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390" yWindow="3810" windowWidth="19440" windowHeight="9840" firstSheet="5" activeTab="8"/>
  </bookViews>
  <sheets>
    <sheet name="Height" sheetId="1" state="hidden" r:id="rId1"/>
    <sheet name="StdBW" sheetId="2" state="hidden" r:id="rId2"/>
    <sheet name="BMILMS" sheetId="3" state="hidden" r:id="rId3"/>
    <sheet name="WeightSDS" sheetId="6" state="hidden" r:id="rId4"/>
    <sheet name="IGF-LMS" sheetId="11" state="hidden" r:id="rId5"/>
    <sheet name="小児慢性疾病意見書記載項目計算" sheetId="9" r:id="rId6"/>
    <sheet name="縦断解析成長率計算" sheetId="10" r:id="rId7"/>
    <sheet name="data sheet" sheetId="4" r:id="rId8"/>
    <sheet name="readme" sheetId="5" r:id="rId9"/>
    <sheet name="HV" sheetId="12" state="hidden" r:id="rId10"/>
  </sheets>
  <definedNames>
    <definedName name="FHVaverage">HV!$C$51:$T$62</definedName>
    <definedName name="FHVstd">HV!$C$65:$T$76</definedName>
    <definedName name="Hfemalemean">Height!$B$22:$S$33</definedName>
    <definedName name="Hfemalesd">Height!$U$22:$AL$33</definedName>
    <definedName name="Hmalemean">Height!$B$5:$S$16</definedName>
    <definedName name="Hmalesd">Height!$U$5:$AL$16</definedName>
    <definedName name="HVcalc">縦断解析成長率計算!$D$8:$Q$57</definedName>
    <definedName name="IGFfemale">'IGF-LMS'!$N$6:$P$83</definedName>
    <definedName name="IGFmale">'IGF-LMS'!$C$6:$E$83</definedName>
    <definedName name="itoOI">StdBW!$H$6:$K$11</definedName>
    <definedName name="MHVaverage">HV!$C$5:$T$16</definedName>
    <definedName name="MHVstd">HV!$C$20:$T$31</definedName>
    <definedName name="muratafemale">StdBW!$C$18:$D$30</definedName>
    <definedName name="muratamale">StdBW!$C$4:$D$16</definedName>
    <definedName name="sex">StdBW!$G$22:$G$23</definedName>
  </definedNames>
  <calcPr calcId="145621"/>
</workbook>
</file>

<file path=xl/calcChain.xml><?xml version="1.0" encoding="utf-8"?>
<calcChain xmlns="http://schemas.openxmlformats.org/spreadsheetml/2006/main">
  <c r="AY8" i="10" l="1"/>
  <c r="AY9" i="10" s="1"/>
  <c r="AY10" i="10" s="1"/>
  <c r="AY11" i="10" s="1"/>
  <c r="AY12" i="10" s="1"/>
  <c r="AY13" i="10" s="1"/>
  <c r="AY14" i="10" s="1"/>
  <c r="AY15" i="10" s="1"/>
  <c r="AY16" i="10" s="1"/>
  <c r="AY17" i="10" s="1"/>
  <c r="AY18" i="10" s="1"/>
  <c r="AY19" i="10" s="1"/>
  <c r="AY20" i="10" s="1"/>
  <c r="AY21" i="10" s="1"/>
  <c r="AY22" i="10" s="1"/>
  <c r="AY23" i="10" s="1"/>
  <c r="AY24" i="10" s="1"/>
  <c r="AY25" i="10" s="1"/>
  <c r="AY26" i="10" s="1"/>
  <c r="AY27" i="10" s="1"/>
  <c r="AY28" i="10" s="1"/>
  <c r="AY29" i="10" s="1"/>
  <c r="AY30" i="10" s="1"/>
  <c r="AY31" i="10" s="1"/>
  <c r="AY32" i="10" s="1"/>
  <c r="AY33" i="10" s="1"/>
  <c r="AY34" i="10" s="1"/>
  <c r="AY35" i="10" s="1"/>
  <c r="AY36" i="10" s="1"/>
  <c r="AY37" i="10" s="1"/>
  <c r="AY38" i="10" s="1"/>
  <c r="AY39" i="10" s="1"/>
  <c r="AY40" i="10" s="1"/>
  <c r="AY41" i="10" s="1"/>
  <c r="AY42" i="10" s="1"/>
  <c r="AY43" i="10" s="1"/>
  <c r="AY44" i="10" s="1"/>
  <c r="AY45" i="10" s="1"/>
  <c r="AY46" i="10" s="1"/>
  <c r="AY47" i="10" s="1"/>
  <c r="AY48" i="10" s="1"/>
  <c r="AY49" i="10" s="1"/>
  <c r="AY50" i="10" s="1"/>
  <c r="AY51" i="10" s="1"/>
  <c r="AY52" i="10" s="1"/>
  <c r="AY53" i="10" s="1"/>
  <c r="AY54" i="10" s="1"/>
  <c r="AY55" i="10" s="1"/>
  <c r="AY56" i="10" s="1"/>
  <c r="AY57" i="10" s="1"/>
  <c r="AA8" i="10"/>
  <c r="AA9" i="10"/>
  <c r="AA10" i="10"/>
  <c r="AA11" i="10"/>
  <c r="AA12" i="10"/>
  <c r="AA13" i="10"/>
  <c r="AA14" i="10"/>
  <c r="AA15" i="10"/>
  <c r="AA16" i="10"/>
  <c r="AA17" i="10"/>
  <c r="AA18" i="10"/>
  <c r="AA19" i="10"/>
  <c r="AA20" i="10"/>
  <c r="AA21" i="10"/>
  <c r="AA22" i="10"/>
  <c r="AA23" i="10"/>
  <c r="AA24" i="10"/>
  <c r="AA25" i="10"/>
  <c r="AA26" i="10"/>
  <c r="AA27" i="10"/>
  <c r="AA28" i="10"/>
  <c r="AA29" i="10"/>
  <c r="AA30" i="10"/>
  <c r="AA31" i="10"/>
  <c r="AA32" i="10"/>
  <c r="AA33" i="10"/>
  <c r="AA34" i="10"/>
  <c r="AA35" i="10"/>
  <c r="AA36" i="10"/>
  <c r="AA37" i="10"/>
  <c r="AA38" i="10"/>
  <c r="AA39" i="10"/>
  <c r="AA40" i="10"/>
  <c r="AA41" i="10"/>
  <c r="AA42" i="10"/>
  <c r="AA43" i="10"/>
  <c r="AA44" i="10"/>
  <c r="AA45" i="10"/>
  <c r="AA46" i="10"/>
  <c r="AA47" i="10"/>
  <c r="AA48" i="10"/>
  <c r="AA49" i="10"/>
  <c r="AA50" i="10"/>
  <c r="AA51" i="10"/>
  <c r="AA52" i="10"/>
  <c r="AA53" i="10"/>
  <c r="AA54" i="10"/>
  <c r="AA55" i="10"/>
  <c r="AA56" i="10"/>
  <c r="AA57" i="10"/>
  <c r="C18" i="9" l="1"/>
  <c r="C16" i="9"/>
  <c r="C15" i="9"/>
  <c r="F18" i="9"/>
  <c r="D49" i="3" l="1"/>
  <c r="C49" i="3"/>
  <c r="B56" i="3"/>
  <c r="C50" i="3" s="1"/>
  <c r="B57" i="3"/>
  <c r="D50" i="3" s="1"/>
  <c r="F56" i="3"/>
  <c r="B49" i="3" l="1"/>
  <c r="D56" i="3"/>
  <c r="D58" i="3"/>
  <c r="X8" i="10"/>
  <c r="D57" i="3" l="1"/>
  <c r="B62" i="3" s="1"/>
  <c r="B59" i="3"/>
  <c r="H7" i="9" s="1"/>
  <c r="X9" i="10"/>
  <c r="X10" i="10" s="1"/>
  <c r="X11" i="10"/>
  <c r="B61" i="3" l="1"/>
  <c r="C61" i="3" s="1"/>
  <c r="C62" i="3" s="1"/>
  <c r="X12" i="10"/>
  <c r="G46" i="3"/>
  <c r="F46" i="3"/>
  <c r="C46" i="3"/>
  <c r="C17" i="9" s="1"/>
  <c r="B46" i="3"/>
  <c r="F10" i="9"/>
  <c r="F17" i="9" l="1"/>
  <c r="F16" i="9"/>
  <c r="F15" i="9"/>
  <c r="X13" i="10"/>
  <c r="AM16" i="10"/>
  <c r="AM15" i="10"/>
  <c r="AR57" i="10"/>
  <c r="AR56" i="10"/>
  <c r="AR55" i="10"/>
  <c r="AR54" i="10"/>
  <c r="AR53" i="10"/>
  <c r="AR52" i="10"/>
  <c r="AR51" i="10"/>
  <c r="AR50" i="10"/>
  <c r="AR49" i="10"/>
  <c r="AR48" i="10"/>
  <c r="AR47" i="10"/>
  <c r="AR46" i="10"/>
  <c r="AR45" i="10"/>
  <c r="AR44" i="10"/>
  <c r="AR43" i="10"/>
  <c r="AR42" i="10"/>
  <c r="AR41" i="10"/>
  <c r="AR40" i="10"/>
  <c r="AR39" i="10"/>
  <c r="AR38" i="10"/>
  <c r="AR37" i="10"/>
  <c r="AR36" i="10"/>
  <c r="AR35" i="10"/>
  <c r="AR34" i="10"/>
  <c r="AR33" i="10"/>
  <c r="AR32" i="10"/>
  <c r="AR31" i="10"/>
  <c r="AR30" i="10"/>
  <c r="AR29" i="10"/>
  <c r="AR28" i="10"/>
  <c r="AR27" i="10"/>
  <c r="AR26" i="10"/>
  <c r="AR25" i="10"/>
  <c r="AR24" i="10"/>
  <c r="AR23" i="10"/>
  <c r="AR22" i="10"/>
  <c r="AR21" i="10"/>
  <c r="AR20" i="10"/>
  <c r="AR19" i="10"/>
  <c r="AR18" i="10"/>
  <c r="AR17" i="10"/>
  <c r="AR16" i="10"/>
  <c r="AR15" i="10"/>
  <c r="AR14" i="10"/>
  <c r="AR13" i="10"/>
  <c r="AR12" i="10"/>
  <c r="AR11" i="10"/>
  <c r="AR10" i="10"/>
  <c r="AR9" i="10"/>
  <c r="AR8" i="10"/>
  <c r="X14" i="10" l="1"/>
  <c r="X15" i="10" s="1"/>
  <c r="X16" i="10" s="1"/>
  <c r="X17" i="10" s="1"/>
  <c r="X18" i="10" s="1"/>
  <c r="X19" i="10" s="1"/>
  <c r="X20" i="10" s="1"/>
  <c r="X21" i="10" s="1"/>
  <c r="X22" i="10" s="1"/>
  <c r="X23" i="10" s="1"/>
  <c r="X24" i="10" s="1"/>
  <c r="X25" i="10" s="1"/>
  <c r="X26" i="10" s="1"/>
  <c r="X27" i="10" s="1"/>
  <c r="X28" i="10" s="1"/>
  <c r="X29" i="10" s="1"/>
  <c r="X30" i="10" s="1"/>
  <c r="X31" i="10" s="1"/>
  <c r="X32" i="10" s="1"/>
  <c r="X33" i="10" s="1"/>
  <c r="X34" i="10" s="1"/>
  <c r="X35" i="10" s="1"/>
  <c r="X36" i="10" s="1"/>
  <c r="X37" i="10" s="1"/>
  <c r="X38" i="10" s="1"/>
  <c r="X39" i="10" s="1"/>
  <c r="X40" i="10" s="1"/>
  <c r="X41" i="10" s="1"/>
  <c r="X42" i="10" s="1"/>
  <c r="X43" i="10" s="1"/>
  <c r="X44" i="10" s="1"/>
  <c r="X45" i="10" s="1"/>
  <c r="X46" i="10" s="1"/>
  <c r="X47" i="10" s="1"/>
  <c r="X48" i="10" s="1"/>
  <c r="X49" i="10" s="1"/>
  <c r="X50" i="10" s="1"/>
  <c r="X51" i="10" s="1"/>
  <c r="X52" i="10" s="1"/>
  <c r="X53" i="10" s="1"/>
  <c r="X54" i="10" s="1"/>
  <c r="X55" i="10" s="1"/>
  <c r="X56" i="10" s="1"/>
  <c r="X57" i="10" s="1"/>
  <c r="C10" i="9"/>
  <c r="AB8" i="10" l="1"/>
  <c r="S8" i="10" s="1"/>
  <c r="T8" i="10" s="1"/>
  <c r="AL15" i="10"/>
  <c r="Q8" i="10"/>
  <c r="BB15" i="10" l="1"/>
  <c r="AX15" i="10"/>
  <c r="BA15" i="10"/>
  <c r="BC15" i="10"/>
  <c r="AB9" i="10"/>
  <c r="W3" i="4"/>
  <c r="V3" i="4"/>
  <c r="U3" i="4"/>
  <c r="G45" i="3"/>
  <c r="F13" i="9" s="1"/>
  <c r="F45" i="3"/>
  <c r="C45" i="3"/>
  <c r="C13" i="9" s="1"/>
  <c r="B45" i="3"/>
  <c r="AB10" i="10" l="1"/>
  <c r="AB11" i="10" s="1"/>
  <c r="AB12" i="10" s="1"/>
  <c r="AB13" i="10" s="1"/>
  <c r="AB14" i="10" s="1"/>
  <c r="S9" i="10"/>
  <c r="T9" i="10" s="1"/>
  <c r="B71" i="6"/>
  <c r="B68" i="6" s="1"/>
  <c r="F11" i="9"/>
  <c r="F42" i="3"/>
  <c r="B83" i="6"/>
  <c r="D68" i="6"/>
  <c r="C11" i="9"/>
  <c r="H57" i="10"/>
  <c r="H56" i="10"/>
  <c r="H55" i="10"/>
  <c r="H54" i="10"/>
  <c r="H53" i="10"/>
  <c r="H52" i="10"/>
  <c r="H51" i="10"/>
  <c r="H50" i="10"/>
  <c r="H49" i="10"/>
  <c r="H48" i="10"/>
  <c r="H47" i="10"/>
  <c r="H46" i="10"/>
  <c r="H45" i="10"/>
  <c r="H44" i="10"/>
  <c r="H43" i="10"/>
  <c r="H42" i="10"/>
  <c r="H41" i="10"/>
  <c r="H40" i="10"/>
  <c r="H39" i="10"/>
  <c r="H38" i="10"/>
  <c r="H37" i="10"/>
  <c r="H36" i="10"/>
  <c r="H35" i="10"/>
  <c r="H34" i="10"/>
  <c r="K57" i="10"/>
  <c r="K56" i="10"/>
  <c r="K55" i="10"/>
  <c r="K54" i="10"/>
  <c r="K53" i="10"/>
  <c r="K52" i="10"/>
  <c r="K51" i="10"/>
  <c r="K50" i="10"/>
  <c r="K49" i="10"/>
  <c r="K48" i="10"/>
  <c r="K47" i="10"/>
  <c r="K46" i="10"/>
  <c r="K45" i="10"/>
  <c r="K44" i="10"/>
  <c r="K43" i="10"/>
  <c r="K42" i="10"/>
  <c r="K41" i="10"/>
  <c r="K40" i="10"/>
  <c r="K39" i="10"/>
  <c r="K38" i="10"/>
  <c r="K37" i="10"/>
  <c r="K36" i="10"/>
  <c r="K35" i="10"/>
  <c r="K34" i="10"/>
  <c r="K33" i="10"/>
  <c r="K32" i="10"/>
  <c r="K31" i="10"/>
  <c r="K30" i="10"/>
  <c r="K29" i="10"/>
  <c r="K28" i="10"/>
  <c r="K11" i="10"/>
  <c r="K10" i="10"/>
  <c r="K9" i="10"/>
  <c r="K8" i="10"/>
  <c r="J57" i="10"/>
  <c r="J56" i="10"/>
  <c r="J55" i="10"/>
  <c r="J54" i="10"/>
  <c r="J53" i="10"/>
  <c r="J52" i="10"/>
  <c r="J51" i="10"/>
  <c r="J50" i="10"/>
  <c r="J49" i="10"/>
  <c r="J48" i="10"/>
  <c r="J47" i="10"/>
  <c r="J46" i="10"/>
  <c r="J45" i="10"/>
  <c r="J44" i="10"/>
  <c r="J43" i="10"/>
  <c r="J42" i="10"/>
  <c r="J41" i="10"/>
  <c r="J40" i="10"/>
  <c r="J39" i="10"/>
  <c r="J38" i="10"/>
  <c r="J37" i="10"/>
  <c r="J36" i="10"/>
  <c r="J35" i="10"/>
  <c r="J34" i="10"/>
  <c r="J8" i="10"/>
  <c r="Q57" i="10"/>
  <c r="R57" i="10" s="1"/>
  <c r="Q56" i="10"/>
  <c r="R56" i="10" s="1"/>
  <c r="Q55" i="10"/>
  <c r="R55" i="10" s="1"/>
  <c r="Q54" i="10"/>
  <c r="R54" i="10" s="1"/>
  <c r="Q53" i="10"/>
  <c r="R53" i="10" s="1"/>
  <c r="Q52" i="10"/>
  <c r="R52" i="10" s="1"/>
  <c r="Q51" i="10"/>
  <c r="R51" i="10" s="1"/>
  <c r="Q50" i="10"/>
  <c r="R50" i="10" s="1"/>
  <c r="Q49" i="10"/>
  <c r="R49" i="10" s="1"/>
  <c r="Q48" i="10"/>
  <c r="R48" i="10" s="1"/>
  <c r="Q47" i="10"/>
  <c r="R47" i="10" s="1"/>
  <c r="Q46" i="10"/>
  <c r="R46" i="10" s="1"/>
  <c r="Q45" i="10"/>
  <c r="R45" i="10" s="1"/>
  <c r="Q44" i="10"/>
  <c r="R44" i="10" s="1"/>
  <c r="Q43" i="10"/>
  <c r="R43" i="10" s="1"/>
  <c r="Q42" i="10"/>
  <c r="R42" i="10" s="1"/>
  <c r="Q41" i="10"/>
  <c r="R41" i="10" s="1"/>
  <c r="Q40" i="10"/>
  <c r="R40" i="10" s="1"/>
  <c r="Q39" i="10"/>
  <c r="R39" i="10" s="1"/>
  <c r="Q38" i="10"/>
  <c r="R38" i="10" s="1"/>
  <c r="Q37" i="10"/>
  <c r="R37" i="10" s="1"/>
  <c r="Q36" i="10"/>
  <c r="R36" i="10" s="1"/>
  <c r="Q35" i="10"/>
  <c r="R35" i="10" s="1"/>
  <c r="Q34" i="10"/>
  <c r="R34" i="10" s="1"/>
  <c r="Q16" i="10"/>
  <c r="H16" i="10" s="1"/>
  <c r="Q15" i="10"/>
  <c r="Q14" i="10"/>
  <c r="Q13" i="10"/>
  <c r="J13" i="10" s="1"/>
  <c r="Q12" i="10"/>
  <c r="K12" i="10" s="1"/>
  <c r="Q11" i="10"/>
  <c r="J11" i="10" s="1"/>
  <c r="Q10" i="10"/>
  <c r="J10" i="10" s="1"/>
  <c r="Q9" i="10"/>
  <c r="Z9" i="10" s="1"/>
  <c r="AM57" i="10"/>
  <c r="AM56" i="10"/>
  <c r="AM55" i="10"/>
  <c r="AM54" i="10"/>
  <c r="AM53" i="10"/>
  <c r="AM52" i="10"/>
  <c r="AM51" i="10"/>
  <c r="AM50" i="10"/>
  <c r="AM49" i="10"/>
  <c r="AM48" i="10"/>
  <c r="AM47" i="10"/>
  <c r="AM46" i="10"/>
  <c r="AM45" i="10"/>
  <c r="AM44" i="10"/>
  <c r="AM43" i="10"/>
  <c r="AM42" i="10"/>
  <c r="AM41" i="10"/>
  <c r="AM40" i="10"/>
  <c r="AM39" i="10"/>
  <c r="AM38" i="10"/>
  <c r="AM37" i="10"/>
  <c r="AM36" i="10"/>
  <c r="AM35" i="10"/>
  <c r="AM34" i="10"/>
  <c r="AM14" i="10"/>
  <c r="AM13" i="10"/>
  <c r="AM12" i="10"/>
  <c r="AM11" i="10"/>
  <c r="AM10" i="10"/>
  <c r="AM9" i="10"/>
  <c r="AM8" i="10"/>
  <c r="AL8" i="10"/>
  <c r="AL57" i="10"/>
  <c r="AL56" i="10"/>
  <c r="AL55" i="10"/>
  <c r="AL54" i="10"/>
  <c r="AL53" i="10"/>
  <c r="AL52" i="10"/>
  <c r="AL51" i="10"/>
  <c r="AL50" i="10"/>
  <c r="AL49" i="10"/>
  <c r="AL48" i="10"/>
  <c r="AL47" i="10"/>
  <c r="AL46" i="10"/>
  <c r="AL45" i="10"/>
  <c r="AL44" i="10"/>
  <c r="AL43" i="10"/>
  <c r="AL42" i="10"/>
  <c r="AL41" i="10"/>
  <c r="AL40" i="10"/>
  <c r="AL39" i="10"/>
  <c r="AL38" i="10"/>
  <c r="AL37" i="10"/>
  <c r="AL36" i="10"/>
  <c r="AL35" i="10"/>
  <c r="AL34" i="10"/>
  <c r="AL14" i="10"/>
  <c r="AL13" i="10"/>
  <c r="AL12" i="10"/>
  <c r="AL11" i="10"/>
  <c r="AL10" i="10"/>
  <c r="AL9" i="10"/>
  <c r="AX13" i="10" l="1"/>
  <c r="R8" i="10"/>
  <c r="H12" i="10"/>
  <c r="AX9" i="10"/>
  <c r="H11" i="10"/>
  <c r="H10" i="10"/>
  <c r="S11" i="10"/>
  <c r="T11" i="10" s="1"/>
  <c r="C68" i="6"/>
  <c r="C14" i="9" s="1"/>
  <c r="D80" i="6"/>
  <c r="C80" i="6"/>
  <c r="B80" i="6"/>
  <c r="BA37" i="10"/>
  <c r="AX37" i="10"/>
  <c r="BC37" i="10"/>
  <c r="BB37" i="10"/>
  <c r="BB45" i="10"/>
  <c r="BA45" i="10"/>
  <c r="AX45" i="10"/>
  <c r="BC45" i="10"/>
  <c r="BA53" i="10"/>
  <c r="BB53" i="10"/>
  <c r="AX53" i="10"/>
  <c r="BC53" i="10"/>
  <c r="R11" i="10"/>
  <c r="AX11" i="10"/>
  <c r="BC38" i="10"/>
  <c r="BB38" i="10"/>
  <c r="AX38" i="10"/>
  <c r="BA38" i="10"/>
  <c r="BC46" i="10"/>
  <c r="BB46" i="10"/>
  <c r="BA46" i="10"/>
  <c r="AX46" i="10"/>
  <c r="BC54" i="10"/>
  <c r="BB54" i="10"/>
  <c r="AX54" i="10"/>
  <c r="BA54" i="10"/>
  <c r="R10" i="10"/>
  <c r="AX10" i="10"/>
  <c r="R12" i="10"/>
  <c r="AX12" i="10"/>
  <c r="AX47" i="10"/>
  <c r="BC47" i="10"/>
  <c r="BB47" i="10"/>
  <c r="BA47" i="10"/>
  <c r="AX55" i="10"/>
  <c r="BC55" i="10"/>
  <c r="BB55" i="10"/>
  <c r="BA55" i="10"/>
  <c r="AX48" i="10"/>
  <c r="BC48" i="10"/>
  <c r="BB48" i="10"/>
  <c r="BA48" i="10"/>
  <c r="BC34" i="10"/>
  <c r="BB34" i="10"/>
  <c r="AX34" i="10"/>
  <c r="BA34" i="10"/>
  <c r="BB42" i="10"/>
  <c r="BC42" i="10"/>
  <c r="AX42" i="10"/>
  <c r="BA42" i="10"/>
  <c r="BC50" i="10"/>
  <c r="BB50" i="10"/>
  <c r="AX50" i="10"/>
  <c r="BA50" i="10"/>
  <c r="AX8" i="10"/>
  <c r="AX39" i="10"/>
  <c r="BC39" i="10"/>
  <c r="BB39" i="10"/>
  <c r="BA39" i="10"/>
  <c r="R15" i="10"/>
  <c r="H15" i="10"/>
  <c r="BA14" i="10"/>
  <c r="AX14" i="10"/>
  <c r="BB49" i="10"/>
  <c r="BA49" i="10"/>
  <c r="AX49" i="10"/>
  <c r="BC49" i="10"/>
  <c r="BB57" i="10"/>
  <c r="BA57" i="10"/>
  <c r="AX57" i="10"/>
  <c r="BC57" i="10"/>
  <c r="BC35" i="10"/>
  <c r="BB35" i="10"/>
  <c r="AX35" i="10"/>
  <c r="BA35" i="10"/>
  <c r="BC43" i="10"/>
  <c r="BB43" i="10"/>
  <c r="AX43" i="10"/>
  <c r="BA43" i="10"/>
  <c r="BC51" i="10"/>
  <c r="AX51" i="10"/>
  <c r="BB51" i="10"/>
  <c r="BA51" i="10"/>
  <c r="AX40" i="10"/>
  <c r="BC40" i="10"/>
  <c r="BB40" i="10"/>
  <c r="BA40" i="10"/>
  <c r="AX56" i="10"/>
  <c r="BC56" i="10"/>
  <c r="BA56" i="10"/>
  <c r="BB56" i="10"/>
  <c r="BB41" i="10"/>
  <c r="BA41" i="10"/>
  <c r="AX41" i="10"/>
  <c r="BC41" i="10"/>
  <c r="BA36" i="10"/>
  <c r="AX36" i="10"/>
  <c r="BC36" i="10"/>
  <c r="BB36" i="10"/>
  <c r="BA44" i="10"/>
  <c r="AX44" i="10"/>
  <c r="BC44" i="10"/>
  <c r="BB44" i="10"/>
  <c r="BA52" i="10"/>
  <c r="AX52" i="10"/>
  <c r="BC52" i="10"/>
  <c r="BB52" i="10"/>
  <c r="H8" i="10"/>
  <c r="R9" i="10"/>
  <c r="H9" i="10"/>
  <c r="H13" i="10"/>
  <c r="H14" i="10"/>
  <c r="J12" i="10"/>
  <c r="K13" i="10"/>
  <c r="J15" i="10"/>
  <c r="J9" i="10"/>
  <c r="Z10" i="10"/>
  <c r="AD9" i="10"/>
  <c r="J14" i="10"/>
  <c r="R13" i="10"/>
  <c r="R14" i="10"/>
  <c r="J16" i="10"/>
  <c r="K14" i="10"/>
  <c r="AL17" i="10"/>
  <c r="Q17" i="10"/>
  <c r="H17" i="10" s="1"/>
  <c r="AM17" i="10"/>
  <c r="AL16" i="10"/>
  <c r="L57" i="10"/>
  <c r="L56" i="10"/>
  <c r="L55" i="10"/>
  <c r="L54" i="10"/>
  <c r="L53" i="10"/>
  <c r="L52" i="10"/>
  <c r="L51" i="10"/>
  <c r="L50" i="10"/>
  <c r="L49" i="10"/>
  <c r="L48" i="10"/>
  <c r="L47" i="10"/>
  <c r="L46" i="10"/>
  <c r="L45" i="10"/>
  <c r="L44" i="10"/>
  <c r="L43" i="10"/>
  <c r="L42" i="10"/>
  <c r="L41" i="10"/>
  <c r="L40" i="10"/>
  <c r="L39" i="10"/>
  <c r="L38" i="10"/>
  <c r="L37" i="10"/>
  <c r="L36" i="10"/>
  <c r="L35" i="10"/>
  <c r="L34" i="10"/>
  <c r="L17" i="10"/>
  <c r="L16" i="10"/>
  <c r="L15" i="10"/>
  <c r="L14" i="10"/>
  <c r="L13" i="10"/>
  <c r="L12" i="10"/>
  <c r="L11" i="10"/>
  <c r="L10" i="10"/>
  <c r="L8" i="10"/>
  <c r="L9" i="10"/>
  <c r="I57" i="10"/>
  <c r="I56" i="10"/>
  <c r="I55" i="10"/>
  <c r="I54" i="10"/>
  <c r="I53" i="10"/>
  <c r="I52" i="10"/>
  <c r="I51" i="10"/>
  <c r="I50" i="10"/>
  <c r="I49" i="10"/>
  <c r="I48" i="10"/>
  <c r="I47" i="10"/>
  <c r="I46" i="10"/>
  <c r="I45" i="10"/>
  <c r="I44" i="10"/>
  <c r="I43" i="10"/>
  <c r="I42" i="10"/>
  <c r="I41" i="10"/>
  <c r="I40" i="10"/>
  <c r="I39" i="10"/>
  <c r="I38" i="10"/>
  <c r="I37" i="10"/>
  <c r="I36" i="10"/>
  <c r="I35" i="10"/>
  <c r="I34" i="10"/>
  <c r="I16" i="10"/>
  <c r="I15" i="10"/>
  <c r="I8" i="10"/>
  <c r="AX17" i="10" l="1"/>
  <c r="F14" i="9"/>
  <c r="AD10" i="10"/>
  <c r="S10" i="10"/>
  <c r="T10" i="10" s="1"/>
  <c r="AB15" i="10"/>
  <c r="S12" i="10"/>
  <c r="T12" i="10" s="1"/>
  <c r="AE9" i="10"/>
  <c r="AG9" i="10" s="1"/>
  <c r="R16" i="10"/>
  <c r="AX16" i="10"/>
  <c r="Z11" i="10"/>
  <c r="J17" i="10"/>
  <c r="I17" i="10"/>
  <c r="AL18" i="10"/>
  <c r="AM18" i="10"/>
  <c r="Q18" i="10"/>
  <c r="L18" i="10"/>
  <c r="R17" i="10"/>
  <c r="AE10" i="10" l="1"/>
  <c r="AG10" i="10" s="1"/>
  <c r="AB16" i="10"/>
  <c r="S15" i="10"/>
  <c r="T15" i="10" s="1"/>
  <c r="AX18" i="10"/>
  <c r="AF9" i="10"/>
  <c r="AJ9" i="10" s="1"/>
  <c r="AB17" i="10"/>
  <c r="AD11" i="10"/>
  <c r="Z12" i="10"/>
  <c r="Z13" i="10" s="1"/>
  <c r="S13" i="10" s="1"/>
  <c r="R18" i="10"/>
  <c r="J18" i="10"/>
  <c r="H18" i="10"/>
  <c r="I18" i="10"/>
  <c r="AM19" i="10"/>
  <c r="Q19" i="10"/>
  <c r="AL19" i="10"/>
  <c r="AX19" i="10" s="1"/>
  <c r="L19" i="10"/>
  <c r="AF10" i="10" l="1"/>
  <c r="AJ10" i="10" s="1"/>
  <c r="AE11" i="10"/>
  <c r="AF11" i="10" s="1"/>
  <c r="AB18" i="10"/>
  <c r="AD12" i="10"/>
  <c r="AD13" i="10"/>
  <c r="T13" i="10" s="1"/>
  <c r="Z14" i="10"/>
  <c r="S14" i="10" s="1"/>
  <c r="T14" i="10" s="1"/>
  <c r="R19" i="10"/>
  <c r="H19" i="10"/>
  <c r="J19" i="10"/>
  <c r="I19" i="10"/>
  <c r="Q20" i="10"/>
  <c r="AL20" i="10"/>
  <c r="BC20" i="10" s="1"/>
  <c r="AM20" i="10"/>
  <c r="L20" i="10"/>
  <c r="AQ57" i="10"/>
  <c r="P57" i="10"/>
  <c r="O57" i="10"/>
  <c r="N57" i="10"/>
  <c r="M57" i="10"/>
  <c r="AQ56" i="10"/>
  <c r="P56" i="10"/>
  <c r="O56" i="10"/>
  <c r="N56" i="10"/>
  <c r="M56" i="10"/>
  <c r="AQ55" i="10"/>
  <c r="P55" i="10"/>
  <c r="O55" i="10"/>
  <c r="N55" i="10"/>
  <c r="M55" i="10"/>
  <c r="AQ54" i="10"/>
  <c r="P54" i="10"/>
  <c r="O54" i="10"/>
  <c r="N54" i="10"/>
  <c r="M54" i="10"/>
  <c r="AQ53" i="10"/>
  <c r="P53" i="10"/>
  <c r="O53" i="10"/>
  <c r="N53" i="10"/>
  <c r="M53" i="10"/>
  <c r="AQ52" i="10"/>
  <c r="P52" i="10"/>
  <c r="O52" i="10"/>
  <c r="N52" i="10"/>
  <c r="M52" i="10"/>
  <c r="AQ51" i="10"/>
  <c r="P51" i="10"/>
  <c r="O51" i="10"/>
  <c r="N51" i="10"/>
  <c r="M51" i="10"/>
  <c r="AQ50" i="10"/>
  <c r="P50" i="10"/>
  <c r="O50" i="10"/>
  <c r="N50" i="10"/>
  <c r="M50" i="10"/>
  <c r="AQ49" i="10"/>
  <c r="P49" i="10"/>
  <c r="O49" i="10"/>
  <c r="N49" i="10"/>
  <c r="M49" i="10"/>
  <c r="AQ48" i="10"/>
  <c r="P48" i="10"/>
  <c r="O48" i="10"/>
  <c r="N48" i="10"/>
  <c r="M48" i="10"/>
  <c r="AQ47" i="10"/>
  <c r="P47" i="10"/>
  <c r="O47" i="10"/>
  <c r="N47" i="10"/>
  <c r="M47" i="10"/>
  <c r="AQ46" i="10"/>
  <c r="P46" i="10"/>
  <c r="O46" i="10"/>
  <c r="N46" i="10"/>
  <c r="M46" i="10"/>
  <c r="AQ45" i="10"/>
  <c r="P45" i="10"/>
  <c r="O45" i="10"/>
  <c r="N45" i="10"/>
  <c r="M45" i="10"/>
  <c r="AQ44" i="10"/>
  <c r="P44" i="10"/>
  <c r="O44" i="10"/>
  <c r="N44" i="10"/>
  <c r="M44" i="10"/>
  <c r="AQ43" i="10"/>
  <c r="P43" i="10"/>
  <c r="O43" i="10"/>
  <c r="N43" i="10"/>
  <c r="M43" i="10"/>
  <c r="AQ42" i="10"/>
  <c r="P42" i="10"/>
  <c r="O42" i="10"/>
  <c r="N42" i="10"/>
  <c r="M42" i="10"/>
  <c r="AQ41" i="10"/>
  <c r="P41" i="10"/>
  <c r="O41" i="10"/>
  <c r="N41" i="10"/>
  <c r="M41" i="10"/>
  <c r="AQ40" i="10"/>
  <c r="P40" i="10"/>
  <c r="O40" i="10"/>
  <c r="N40" i="10"/>
  <c r="M40" i="10"/>
  <c r="AQ39" i="10"/>
  <c r="P39" i="10"/>
  <c r="O39" i="10"/>
  <c r="N39" i="10"/>
  <c r="M39" i="10"/>
  <c r="AQ38" i="10"/>
  <c r="P38" i="10"/>
  <c r="O38" i="10"/>
  <c r="N38" i="10"/>
  <c r="M38" i="10"/>
  <c r="AQ37" i="10"/>
  <c r="P37" i="10"/>
  <c r="O37" i="10"/>
  <c r="N37" i="10"/>
  <c r="M37" i="10"/>
  <c r="AQ36" i="10"/>
  <c r="P36" i="10"/>
  <c r="O36" i="10"/>
  <c r="N36" i="10"/>
  <c r="M36" i="10"/>
  <c r="AQ35" i="10"/>
  <c r="P35" i="10"/>
  <c r="O35" i="10"/>
  <c r="N35" i="10"/>
  <c r="M35" i="10"/>
  <c r="AQ34" i="10"/>
  <c r="P34" i="10"/>
  <c r="O34" i="10"/>
  <c r="N34" i="10"/>
  <c r="M34" i="10"/>
  <c r="AQ33" i="10"/>
  <c r="AQ32" i="10"/>
  <c r="AQ31" i="10"/>
  <c r="AQ30" i="10"/>
  <c r="AQ29" i="10"/>
  <c r="AQ28" i="10"/>
  <c r="K27" i="10"/>
  <c r="AQ27" i="10"/>
  <c r="AQ26" i="10"/>
  <c r="AQ25" i="10"/>
  <c r="AQ24" i="10"/>
  <c r="AQ23" i="10"/>
  <c r="AQ22" i="10"/>
  <c r="AQ21" i="10"/>
  <c r="P21" i="10"/>
  <c r="O21" i="10"/>
  <c r="AQ20" i="10"/>
  <c r="P20" i="10"/>
  <c r="O20" i="10"/>
  <c r="K19" i="10"/>
  <c r="AQ19" i="10"/>
  <c r="P19" i="10"/>
  <c r="O19" i="10"/>
  <c r="K18" i="10"/>
  <c r="AQ18" i="10"/>
  <c r="P18" i="10"/>
  <c r="O18" i="10"/>
  <c r="K17" i="10"/>
  <c r="AQ17" i="10"/>
  <c r="P17" i="10"/>
  <c r="O17" i="10"/>
  <c r="K16" i="10"/>
  <c r="AQ16" i="10"/>
  <c r="P16" i="10"/>
  <c r="O16" i="10"/>
  <c r="K15" i="10"/>
  <c r="AQ15" i="10"/>
  <c r="P15" i="10"/>
  <c r="O15" i="10"/>
  <c r="AQ14" i="10"/>
  <c r="I14" i="10" s="1"/>
  <c r="P14" i="10"/>
  <c r="O14" i="10"/>
  <c r="AQ13" i="10"/>
  <c r="I13" i="10" s="1"/>
  <c r="AQ12" i="10"/>
  <c r="I12" i="10" s="1"/>
  <c r="BC12" i="10"/>
  <c r="AQ11" i="10"/>
  <c r="I11" i="10" s="1"/>
  <c r="AQ10" i="10"/>
  <c r="I10" i="10" s="1"/>
  <c r="AQ9" i="10"/>
  <c r="I9" i="10" s="1"/>
  <c r="BC9" i="10"/>
  <c r="AQ8" i="10"/>
  <c r="AB19" i="10" l="1"/>
  <c r="S19" i="10" s="1"/>
  <c r="T19" i="10" s="1"/>
  <c r="AX20" i="10"/>
  <c r="AG11" i="10"/>
  <c r="AJ11" i="10" s="1"/>
  <c r="AE13" i="10"/>
  <c r="AF13" i="10" s="1"/>
  <c r="AE12" i="10"/>
  <c r="AG12" i="10" s="1"/>
  <c r="Z15" i="10"/>
  <c r="AD15" i="10" s="1"/>
  <c r="AD14" i="10"/>
  <c r="K20" i="10"/>
  <c r="H20" i="10"/>
  <c r="J20" i="10"/>
  <c r="I20" i="10"/>
  <c r="Q21" i="10"/>
  <c r="AM21" i="10"/>
  <c r="AL21" i="10"/>
  <c r="L21" i="10"/>
  <c r="R20" i="10"/>
  <c r="AV51" i="10"/>
  <c r="AV57" i="10"/>
  <c r="AV37" i="10"/>
  <c r="AV53" i="10"/>
  <c r="AV14" i="10"/>
  <c r="AV15" i="10"/>
  <c r="AV45" i="10"/>
  <c r="AV43" i="10"/>
  <c r="BB20" i="10"/>
  <c r="BB12" i="10"/>
  <c r="BA12" i="10"/>
  <c r="BC14" i="10"/>
  <c r="BA20" i="10"/>
  <c r="BB16" i="10"/>
  <c r="BA16" i="10"/>
  <c r="BC16" i="10"/>
  <c r="BA9" i="10"/>
  <c r="BB9" i="10"/>
  <c r="Z16" i="10" l="1"/>
  <c r="Z17" i="10" s="1"/>
  <c r="S17" i="10" s="1"/>
  <c r="AG13" i="10"/>
  <c r="AJ13" i="10" s="1"/>
  <c r="AB20" i="10"/>
  <c r="AB21" i="10" s="1"/>
  <c r="S16" i="10"/>
  <c r="BA21" i="10"/>
  <c r="AX21" i="10"/>
  <c r="AE14" i="10"/>
  <c r="AF14" i="10" s="1"/>
  <c r="AF12" i="10"/>
  <c r="AJ12" i="10" s="1"/>
  <c r="AE15" i="10"/>
  <c r="AG15" i="10" s="1"/>
  <c r="H21" i="10"/>
  <c r="K21" i="10"/>
  <c r="J21" i="10"/>
  <c r="I21" i="10"/>
  <c r="AM22" i="10"/>
  <c r="AL22" i="10"/>
  <c r="Q22" i="10"/>
  <c r="L22" i="10"/>
  <c r="P22" i="10"/>
  <c r="O22" i="10"/>
  <c r="R21" i="10"/>
  <c r="AV9" i="10"/>
  <c r="AV50" i="10"/>
  <c r="AV16" i="10"/>
  <c r="AV39" i="10"/>
  <c r="AV55" i="10"/>
  <c r="AV49" i="10"/>
  <c r="AV41" i="10"/>
  <c r="AV18" i="10"/>
  <c r="AV38" i="10"/>
  <c r="AV13" i="10"/>
  <c r="AV20" i="10"/>
  <c r="AV40" i="10"/>
  <c r="AV19" i="10"/>
  <c r="AV48" i="10"/>
  <c r="AV54" i="10"/>
  <c r="AV17" i="10"/>
  <c r="AV47" i="10"/>
  <c r="AV42" i="10"/>
  <c r="AV34" i="10"/>
  <c r="AV52" i="10"/>
  <c r="AV21" i="10"/>
  <c r="AV36" i="10"/>
  <c r="AV44" i="10"/>
  <c r="AV56" i="10"/>
  <c r="AV35" i="10"/>
  <c r="AV46" i="10"/>
  <c r="AV8" i="10"/>
  <c r="O9" i="10"/>
  <c r="P9" i="10"/>
  <c r="O12" i="10"/>
  <c r="P12" i="10"/>
  <c r="AV12" i="10"/>
  <c r="AV11" i="10"/>
  <c r="AV10" i="10"/>
  <c r="BB19" i="10"/>
  <c r="BA19" i="10"/>
  <c r="BC19" i="10"/>
  <c r="BB14" i="10"/>
  <c r="BC11" i="10"/>
  <c r="BB11" i="10"/>
  <c r="BA11" i="10"/>
  <c r="BB21" i="10"/>
  <c r="BC21" i="10"/>
  <c r="BC13" i="10"/>
  <c r="BB13" i="10"/>
  <c r="BA13" i="10"/>
  <c r="BC18" i="10"/>
  <c r="BB18" i="10"/>
  <c r="BA18" i="10"/>
  <c r="BC10" i="10"/>
  <c r="BB10" i="10"/>
  <c r="BA10" i="10"/>
  <c r="BA17" i="10"/>
  <c r="BC17" i="10"/>
  <c r="BB17" i="10"/>
  <c r="BA8" i="10"/>
  <c r="BC8" i="10"/>
  <c r="BB8" i="10"/>
  <c r="AX22" i="10" l="1"/>
  <c r="AD16" i="10"/>
  <c r="AE16" i="10" s="1"/>
  <c r="AG16" i="10" s="1"/>
  <c r="AB22" i="10"/>
  <c r="AB23" i="10" s="1"/>
  <c r="S20" i="10"/>
  <c r="T20" i="10" s="1"/>
  <c r="AG14" i="10"/>
  <c r="AJ14" i="10" s="1"/>
  <c r="AF15" i="10"/>
  <c r="AJ15" i="10" s="1"/>
  <c r="Z18" i="10"/>
  <c r="AD17" i="10"/>
  <c r="O13" i="10"/>
  <c r="P13" i="10"/>
  <c r="I22" i="10"/>
  <c r="J22" i="10"/>
  <c r="K22" i="10"/>
  <c r="H22" i="10"/>
  <c r="R22" i="10"/>
  <c r="BA22" i="10"/>
  <c r="BC22" i="10"/>
  <c r="BB22" i="10"/>
  <c r="AM23" i="10"/>
  <c r="Q23" i="10"/>
  <c r="I23" i="10" s="1"/>
  <c r="AL23" i="10"/>
  <c r="L23" i="10"/>
  <c r="P23" i="10"/>
  <c r="O23" i="10"/>
  <c r="O10" i="10"/>
  <c r="P10" i="10"/>
  <c r="P11" i="10"/>
  <c r="O11" i="10"/>
  <c r="P8" i="10"/>
  <c r="O8" i="10"/>
  <c r="AD18" i="10" l="1"/>
  <c r="S18" i="10"/>
  <c r="T18" i="10" s="1"/>
  <c r="AB24" i="10"/>
  <c r="S23" i="10"/>
  <c r="T23" i="10" s="1"/>
  <c r="AX23" i="10"/>
  <c r="AE17" i="10"/>
  <c r="AF17" i="10" s="1"/>
  <c r="AF16" i="10"/>
  <c r="AJ16" i="10" s="1"/>
  <c r="T16" i="10" s="1"/>
  <c r="Z19" i="10"/>
  <c r="Z20" i="10" s="1"/>
  <c r="Z21" i="10" s="1"/>
  <c r="S21" i="10" s="1"/>
  <c r="T21" i="10" s="1"/>
  <c r="K23" i="10"/>
  <c r="H23" i="10"/>
  <c r="J23" i="10"/>
  <c r="AV22" i="10"/>
  <c r="BC23" i="10"/>
  <c r="BB23" i="10"/>
  <c r="BA23" i="10"/>
  <c r="R23" i="10"/>
  <c r="AL24" i="10"/>
  <c r="Q24" i="10"/>
  <c r="AM24" i="10"/>
  <c r="L24" i="10"/>
  <c r="O24" i="10"/>
  <c r="P24" i="10"/>
  <c r="AG17" i="10" l="1"/>
  <c r="AJ17" i="10" s="1"/>
  <c r="T17" i="10" s="1"/>
  <c r="AE18" i="10"/>
  <c r="AG18" i="10" s="1"/>
  <c r="AB25" i="10"/>
  <c r="S24" i="10"/>
  <c r="T24" i="10" s="1"/>
  <c r="AX24" i="10"/>
  <c r="AD20" i="10"/>
  <c r="AD19" i="10"/>
  <c r="AD21" i="10"/>
  <c r="Z22" i="10"/>
  <c r="S22" i="10" s="1"/>
  <c r="T22" i="10" s="1"/>
  <c r="K24" i="10"/>
  <c r="J24" i="10"/>
  <c r="H24" i="10"/>
  <c r="I24" i="10"/>
  <c r="R24" i="10"/>
  <c r="BC24" i="10"/>
  <c r="BA24" i="10"/>
  <c r="BB24" i="10"/>
  <c r="AL25" i="10"/>
  <c r="Q25" i="10"/>
  <c r="I25" i="10" s="1"/>
  <c r="AM25" i="10"/>
  <c r="L25" i="10"/>
  <c r="P25" i="10"/>
  <c r="O25" i="10"/>
  <c r="AV23" i="10"/>
  <c r="P1002" i="4"/>
  <c r="O1002" i="4"/>
  <c r="N1002" i="4"/>
  <c r="P1001" i="4"/>
  <c r="O1001" i="4"/>
  <c r="N1001" i="4"/>
  <c r="P1000" i="4"/>
  <c r="O1000" i="4"/>
  <c r="N1000" i="4"/>
  <c r="P999" i="4"/>
  <c r="O999" i="4"/>
  <c r="N999" i="4"/>
  <c r="P998" i="4"/>
  <c r="O998" i="4"/>
  <c r="N998" i="4"/>
  <c r="P997" i="4"/>
  <c r="O997" i="4"/>
  <c r="N997" i="4"/>
  <c r="P996" i="4"/>
  <c r="O996" i="4"/>
  <c r="N996" i="4"/>
  <c r="P995" i="4"/>
  <c r="O995" i="4"/>
  <c r="N995" i="4"/>
  <c r="P994" i="4"/>
  <c r="O994" i="4"/>
  <c r="N994" i="4"/>
  <c r="P993" i="4"/>
  <c r="O993" i="4"/>
  <c r="N993" i="4"/>
  <c r="P992" i="4"/>
  <c r="O992" i="4"/>
  <c r="N992" i="4"/>
  <c r="P991" i="4"/>
  <c r="O991" i="4"/>
  <c r="N991" i="4"/>
  <c r="P990" i="4"/>
  <c r="O990" i="4"/>
  <c r="N990" i="4"/>
  <c r="P989" i="4"/>
  <c r="O989" i="4"/>
  <c r="N989" i="4"/>
  <c r="P988" i="4"/>
  <c r="O988" i="4"/>
  <c r="N988" i="4"/>
  <c r="P987" i="4"/>
  <c r="O987" i="4"/>
  <c r="N987" i="4"/>
  <c r="P986" i="4"/>
  <c r="O986" i="4"/>
  <c r="N986" i="4"/>
  <c r="P985" i="4"/>
  <c r="O985" i="4"/>
  <c r="N985" i="4"/>
  <c r="P984" i="4"/>
  <c r="O984" i="4"/>
  <c r="N984" i="4"/>
  <c r="P983" i="4"/>
  <c r="O983" i="4"/>
  <c r="N983" i="4"/>
  <c r="P982" i="4"/>
  <c r="O982" i="4"/>
  <c r="N982" i="4"/>
  <c r="P981" i="4"/>
  <c r="O981" i="4"/>
  <c r="N981" i="4"/>
  <c r="P980" i="4"/>
  <c r="O980" i="4"/>
  <c r="N980" i="4"/>
  <c r="P979" i="4"/>
  <c r="O979" i="4"/>
  <c r="N979" i="4"/>
  <c r="P978" i="4"/>
  <c r="O978" i="4"/>
  <c r="N978" i="4"/>
  <c r="P977" i="4"/>
  <c r="O977" i="4"/>
  <c r="N977" i="4"/>
  <c r="P976" i="4"/>
  <c r="O976" i="4"/>
  <c r="N976" i="4"/>
  <c r="P975" i="4"/>
  <c r="O975" i="4"/>
  <c r="N975" i="4"/>
  <c r="P974" i="4"/>
  <c r="O974" i="4"/>
  <c r="N974" i="4"/>
  <c r="P973" i="4"/>
  <c r="O973" i="4"/>
  <c r="N973" i="4"/>
  <c r="P972" i="4"/>
  <c r="O972" i="4"/>
  <c r="N972" i="4"/>
  <c r="P971" i="4"/>
  <c r="O971" i="4"/>
  <c r="N971" i="4"/>
  <c r="P970" i="4"/>
  <c r="O970" i="4"/>
  <c r="N970" i="4"/>
  <c r="P969" i="4"/>
  <c r="O969" i="4"/>
  <c r="N969" i="4"/>
  <c r="P968" i="4"/>
  <c r="O968" i="4"/>
  <c r="N968" i="4"/>
  <c r="P967" i="4"/>
  <c r="O967" i="4"/>
  <c r="N967" i="4"/>
  <c r="P966" i="4"/>
  <c r="O966" i="4"/>
  <c r="N966" i="4"/>
  <c r="P965" i="4"/>
  <c r="O965" i="4"/>
  <c r="N965" i="4"/>
  <c r="P964" i="4"/>
  <c r="O964" i="4"/>
  <c r="N964" i="4"/>
  <c r="P963" i="4"/>
  <c r="O963" i="4"/>
  <c r="N963" i="4"/>
  <c r="P962" i="4"/>
  <c r="O962" i="4"/>
  <c r="N962" i="4"/>
  <c r="P961" i="4"/>
  <c r="O961" i="4"/>
  <c r="N961" i="4"/>
  <c r="P960" i="4"/>
  <c r="O960" i="4"/>
  <c r="N960" i="4"/>
  <c r="P959" i="4"/>
  <c r="O959" i="4"/>
  <c r="N959" i="4"/>
  <c r="P958" i="4"/>
  <c r="O958" i="4"/>
  <c r="N958" i="4"/>
  <c r="P957" i="4"/>
  <c r="O957" i="4"/>
  <c r="N957" i="4"/>
  <c r="P956" i="4"/>
  <c r="O956" i="4"/>
  <c r="N956" i="4"/>
  <c r="P955" i="4"/>
  <c r="O955" i="4"/>
  <c r="N955" i="4"/>
  <c r="P954" i="4"/>
  <c r="O954" i="4"/>
  <c r="N954" i="4"/>
  <c r="P953" i="4"/>
  <c r="O953" i="4"/>
  <c r="N953" i="4"/>
  <c r="P952" i="4"/>
  <c r="O952" i="4"/>
  <c r="N952" i="4"/>
  <c r="P951" i="4"/>
  <c r="O951" i="4"/>
  <c r="N951" i="4"/>
  <c r="P950" i="4"/>
  <c r="O950" i="4"/>
  <c r="N950" i="4"/>
  <c r="P949" i="4"/>
  <c r="O949" i="4"/>
  <c r="N949" i="4"/>
  <c r="P948" i="4"/>
  <c r="O948" i="4"/>
  <c r="N948" i="4"/>
  <c r="P947" i="4"/>
  <c r="O947" i="4"/>
  <c r="N947" i="4"/>
  <c r="P946" i="4"/>
  <c r="O946" i="4"/>
  <c r="N946" i="4"/>
  <c r="P945" i="4"/>
  <c r="O945" i="4"/>
  <c r="N945" i="4"/>
  <c r="P944" i="4"/>
  <c r="O944" i="4"/>
  <c r="N944" i="4"/>
  <c r="P943" i="4"/>
  <c r="O943" i="4"/>
  <c r="N943" i="4"/>
  <c r="P942" i="4"/>
  <c r="O942" i="4"/>
  <c r="N942" i="4"/>
  <c r="P941" i="4"/>
  <c r="O941" i="4"/>
  <c r="N941" i="4"/>
  <c r="P940" i="4"/>
  <c r="O940" i="4"/>
  <c r="N940" i="4"/>
  <c r="P939" i="4"/>
  <c r="O939" i="4"/>
  <c r="N939" i="4"/>
  <c r="P938" i="4"/>
  <c r="O938" i="4"/>
  <c r="N938" i="4"/>
  <c r="P937" i="4"/>
  <c r="O937" i="4"/>
  <c r="N937" i="4"/>
  <c r="P936" i="4"/>
  <c r="O936" i="4"/>
  <c r="N936" i="4"/>
  <c r="P935" i="4"/>
  <c r="O935" i="4"/>
  <c r="N935" i="4"/>
  <c r="P934" i="4"/>
  <c r="O934" i="4"/>
  <c r="N934" i="4"/>
  <c r="P933" i="4"/>
  <c r="O933" i="4"/>
  <c r="N933" i="4"/>
  <c r="P932" i="4"/>
  <c r="O932" i="4"/>
  <c r="N932" i="4"/>
  <c r="P931" i="4"/>
  <c r="O931" i="4"/>
  <c r="N931" i="4"/>
  <c r="P930" i="4"/>
  <c r="O930" i="4"/>
  <c r="N930" i="4"/>
  <c r="P929" i="4"/>
  <c r="O929" i="4"/>
  <c r="N929" i="4"/>
  <c r="P928" i="4"/>
  <c r="O928" i="4"/>
  <c r="N928" i="4"/>
  <c r="P927" i="4"/>
  <c r="O927" i="4"/>
  <c r="N927" i="4"/>
  <c r="P926" i="4"/>
  <c r="O926" i="4"/>
  <c r="N926" i="4"/>
  <c r="P925" i="4"/>
  <c r="O925" i="4"/>
  <c r="N925" i="4"/>
  <c r="P924" i="4"/>
  <c r="O924" i="4"/>
  <c r="N924" i="4"/>
  <c r="P923" i="4"/>
  <c r="O923" i="4"/>
  <c r="N923" i="4"/>
  <c r="P922" i="4"/>
  <c r="O922" i="4"/>
  <c r="N922" i="4"/>
  <c r="P921" i="4"/>
  <c r="O921" i="4"/>
  <c r="N921" i="4"/>
  <c r="P920" i="4"/>
  <c r="O920" i="4"/>
  <c r="N920" i="4"/>
  <c r="P919" i="4"/>
  <c r="O919" i="4"/>
  <c r="N919" i="4"/>
  <c r="P918" i="4"/>
  <c r="O918" i="4"/>
  <c r="N918" i="4"/>
  <c r="P917" i="4"/>
  <c r="O917" i="4"/>
  <c r="N917" i="4"/>
  <c r="P916" i="4"/>
  <c r="O916" i="4"/>
  <c r="N916" i="4"/>
  <c r="P915" i="4"/>
  <c r="O915" i="4"/>
  <c r="N915" i="4"/>
  <c r="P914" i="4"/>
  <c r="O914" i="4"/>
  <c r="N914" i="4"/>
  <c r="P913" i="4"/>
  <c r="O913" i="4"/>
  <c r="N913" i="4"/>
  <c r="P912" i="4"/>
  <c r="O912" i="4"/>
  <c r="N912" i="4"/>
  <c r="P911" i="4"/>
  <c r="O911" i="4"/>
  <c r="N911" i="4"/>
  <c r="P910" i="4"/>
  <c r="O910" i="4"/>
  <c r="N910" i="4"/>
  <c r="P909" i="4"/>
  <c r="O909" i="4"/>
  <c r="N909" i="4"/>
  <c r="P908" i="4"/>
  <c r="O908" i="4"/>
  <c r="N908" i="4"/>
  <c r="P907" i="4"/>
  <c r="O907" i="4"/>
  <c r="N907" i="4"/>
  <c r="P906" i="4"/>
  <c r="O906" i="4"/>
  <c r="N906" i="4"/>
  <c r="P905" i="4"/>
  <c r="O905" i="4"/>
  <c r="N905" i="4"/>
  <c r="P904" i="4"/>
  <c r="O904" i="4"/>
  <c r="N904" i="4"/>
  <c r="P903" i="4"/>
  <c r="O903" i="4"/>
  <c r="N903" i="4"/>
  <c r="P902" i="4"/>
  <c r="O902" i="4"/>
  <c r="N902" i="4"/>
  <c r="P901" i="4"/>
  <c r="O901" i="4"/>
  <c r="N901" i="4"/>
  <c r="P900" i="4"/>
  <c r="O900" i="4"/>
  <c r="N900" i="4"/>
  <c r="P899" i="4"/>
  <c r="O899" i="4"/>
  <c r="N899" i="4"/>
  <c r="P898" i="4"/>
  <c r="O898" i="4"/>
  <c r="N898" i="4"/>
  <c r="P897" i="4"/>
  <c r="O897" i="4"/>
  <c r="N897" i="4"/>
  <c r="P896" i="4"/>
  <c r="O896" i="4"/>
  <c r="N896" i="4"/>
  <c r="P895" i="4"/>
  <c r="O895" i="4"/>
  <c r="N895" i="4"/>
  <c r="P894" i="4"/>
  <c r="O894" i="4"/>
  <c r="N894" i="4"/>
  <c r="P893" i="4"/>
  <c r="O893" i="4"/>
  <c r="N893" i="4"/>
  <c r="P892" i="4"/>
  <c r="O892" i="4"/>
  <c r="N892" i="4"/>
  <c r="P891" i="4"/>
  <c r="O891" i="4"/>
  <c r="N891" i="4"/>
  <c r="P890" i="4"/>
  <c r="O890" i="4"/>
  <c r="N890" i="4"/>
  <c r="P889" i="4"/>
  <c r="O889" i="4"/>
  <c r="N889" i="4"/>
  <c r="P888" i="4"/>
  <c r="O888" i="4"/>
  <c r="N888" i="4"/>
  <c r="P887" i="4"/>
  <c r="O887" i="4"/>
  <c r="N887" i="4"/>
  <c r="P886" i="4"/>
  <c r="O886" i="4"/>
  <c r="N886" i="4"/>
  <c r="P885" i="4"/>
  <c r="O885" i="4"/>
  <c r="N885" i="4"/>
  <c r="P884" i="4"/>
  <c r="O884" i="4"/>
  <c r="N884" i="4"/>
  <c r="P883" i="4"/>
  <c r="O883" i="4"/>
  <c r="N883" i="4"/>
  <c r="P882" i="4"/>
  <c r="O882" i="4"/>
  <c r="N882" i="4"/>
  <c r="P881" i="4"/>
  <c r="O881" i="4"/>
  <c r="N881" i="4"/>
  <c r="P880" i="4"/>
  <c r="O880" i="4"/>
  <c r="N880" i="4"/>
  <c r="P879" i="4"/>
  <c r="O879" i="4"/>
  <c r="N879" i="4"/>
  <c r="P878" i="4"/>
  <c r="O878" i="4"/>
  <c r="N878" i="4"/>
  <c r="P877" i="4"/>
  <c r="O877" i="4"/>
  <c r="N877" i="4"/>
  <c r="P876" i="4"/>
  <c r="O876" i="4"/>
  <c r="N876" i="4"/>
  <c r="P875" i="4"/>
  <c r="O875" i="4"/>
  <c r="N875" i="4"/>
  <c r="P874" i="4"/>
  <c r="O874" i="4"/>
  <c r="N874" i="4"/>
  <c r="P873" i="4"/>
  <c r="O873" i="4"/>
  <c r="N873" i="4"/>
  <c r="P872" i="4"/>
  <c r="O872" i="4"/>
  <c r="N872" i="4"/>
  <c r="P871" i="4"/>
  <c r="O871" i="4"/>
  <c r="N871" i="4"/>
  <c r="P870" i="4"/>
  <c r="O870" i="4"/>
  <c r="N870" i="4"/>
  <c r="P869" i="4"/>
  <c r="O869" i="4"/>
  <c r="N869" i="4"/>
  <c r="P868" i="4"/>
  <c r="O868" i="4"/>
  <c r="N868" i="4"/>
  <c r="P867" i="4"/>
  <c r="O867" i="4"/>
  <c r="N867" i="4"/>
  <c r="P866" i="4"/>
  <c r="O866" i="4"/>
  <c r="N866" i="4"/>
  <c r="P865" i="4"/>
  <c r="O865" i="4"/>
  <c r="N865" i="4"/>
  <c r="P864" i="4"/>
  <c r="O864" i="4"/>
  <c r="N864" i="4"/>
  <c r="P863" i="4"/>
  <c r="O863" i="4"/>
  <c r="N863" i="4"/>
  <c r="P862" i="4"/>
  <c r="O862" i="4"/>
  <c r="N862" i="4"/>
  <c r="P861" i="4"/>
  <c r="O861" i="4"/>
  <c r="N861" i="4"/>
  <c r="P860" i="4"/>
  <c r="O860" i="4"/>
  <c r="N860" i="4"/>
  <c r="P859" i="4"/>
  <c r="O859" i="4"/>
  <c r="N859" i="4"/>
  <c r="P858" i="4"/>
  <c r="O858" i="4"/>
  <c r="N858" i="4"/>
  <c r="P857" i="4"/>
  <c r="O857" i="4"/>
  <c r="N857" i="4"/>
  <c r="P856" i="4"/>
  <c r="O856" i="4"/>
  <c r="N856" i="4"/>
  <c r="P855" i="4"/>
  <c r="O855" i="4"/>
  <c r="N855" i="4"/>
  <c r="P854" i="4"/>
  <c r="O854" i="4"/>
  <c r="N854" i="4"/>
  <c r="P853" i="4"/>
  <c r="O853" i="4"/>
  <c r="N853" i="4"/>
  <c r="P852" i="4"/>
  <c r="O852" i="4"/>
  <c r="N852" i="4"/>
  <c r="P851" i="4"/>
  <c r="O851" i="4"/>
  <c r="N851" i="4"/>
  <c r="P850" i="4"/>
  <c r="O850" i="4"/>
  <c r="N850" i="4"/>
  <c r="P849" i="4"/>
  <c r="O849" i="4"/>
  <c r="N849" i="4"/>
  <c r="P848" i="4"/>
  <c r="O848" i="4"/>
  <c r="N848" i="4"/>
  <c r="P847" i="4"/>
  <c r="O847" i="4"/>
  <c r="N847" i="4"/>
  <c r="P846" i="4"/>
  <c r="O846" i="4"/>
  <c r="N846" i="4"/>
  <c r="P845" i="4"/>
  <c r="O845" i="4"/>
  <c r="N845" i="4"/>
  <c r="P844" i="4"/>
  <c r="O844" i="4"/>
  <c r="N844" i="4"/>
  <c r="P843" i="4"/>
  <c r="O843" i="4"/>
  <c r="N843" i="4"/>
  <c r="P842" i="4"/>
  <c r="O842" i="4"/>
  <c r="N842" i="4"/>
  <c r="P841" i="4"/>
  <c r="O841" i="4"/>
  <c r="N841" i="4"/>
  <c r="P840" i="4"/>
  <c r="O840" i="4"/>
  <c r="N840" i="4"/>
  <c r="P839" i="4"/>
  <c r="O839" i="4"/>
  <c r="N839" i="4"/>
  <c r="P838" i="4"/>
  <c r="O838" i="4"/>
  <c r="N838" i="4"/>
  <c r="P837" i="4"/>
  <c r="O837" i="4"/>
  <c r="N837" i="4"/>
  <c r="P836" i="4"/>
  <c r="O836" i="4"/>
  <c r="N836" i="4"/>
  <c r="P835" i="4"/>
  <c r="O835" i="4"/>
  <c r="N835" i="4"/>
  <c r="P834" i="4"/>
  <c r="O834" i="4"/>
  <c r="N834" i="4"/>
  <c r="P833" i="4"/>
  <c r="O833" i="4"/>
  <c r="N833" i="4"/>
  <c r="P832" i="4"/>
  <c r="O832" i="4"/>
  <c r="N832" i="4"/>
  <c r="P831" i="4"/>
  <c r="O831" i="4"/>
  <c r="N831" i="4"/>
  <c r="P830" i="4"/>
  <c r="O830" i="4"/>
  <c r="N830" i="4"/>
  <c r="P829" i="4"/>
  <c r="O829" i="4"/>
  <c r="N829" i="4"/>
  <c r="P828" i="4"/>
  <c r="O828" i="4"/>
  <c r="N828" i="4"/>
  <c r="P827" i="4"/>
  <c r="O827" i="4"/>
  <c r="N827" i="4"/>
  <c r="P826" i="4"/>
  <c r="O826" i="4"/>
  <c r="N826" i="4"/>
  <c r="P825" i="4"/>
  <c r="O825" i="4"/>
  <c r="N825" i="4"/>
  <c r="P824" i="4"/>
  <c r="O824" i="4"/>
  <c r="N824" i="4"/>
  <c r="P823" i="4"/>
  <c r="O823" i="4"/>
  <c r="N823" i="4"/>
  <c r="P822" i="4"/>
  <c r="O822" i="4"/>
  <c r="N822" i="4"/>
  <c r="P821" i="4"/>
  <c r="O821" i="4"/>
  <c r="N821" i="4"/>
  <c r="P820" i="4"/>
  <c r="O820" i="4"/>
  <c r="N820" i="4"/>
  <c r="P819" i="4"/>
  <c r="O819" i="4"/>
  <c r="N819" i="4"/>
  <c r="P818" i="4"/>
  <c r="O818" i="4"/>
  <c r="N818" i="4"/>
  <c r="P817" i="4"/>
  <c r="O817" i="4"/>
  <c r="N817" i="4"/>
  <c r="P816" i="4"/>
  <c r="O816" i="4"/>
  <c r="N816" i="4"/>
  <c r="P815" i="4"/>
  <c r="O815" i="4"/>
  <c r="N815" i="4"/>
  <c r="P814" i="4"/>
  <c r="O814" i="4"/>
  <c r="N814" i="4"/>
  <c r="P813" i="4"/>
  <c r="O813" i="4"/>
  <c r="N813" i="4"/>
  <c r="P812" i="4"/>
  <c r="O812" i="4"/>
  <c r="N812" i="4"/>
  <c r="P811" i="4"/>
  <c r="O811" i="4"/>
  <c r="N811" i="4"/>
  <c r="P810" i="4"/>
  <c r="O810" i="4"/>
  <c r="N810" i="4"/>
  <c r="P809" i="4"/>
  <c r="O809" i="4"/>
  <c r="N809" i="4"/>
  <c r="P808" i="4"/>
  <c r="O808" i="4"/>
  <c r="N808" i="4"/>
  <c r="P807" i="4"/>
  <c r="O807" i="4"/>
  <c r="N807" i="4"/>
  <c r="P806" i="4"/>
  <c r="O806" i="4"/>
  <c r="N806" i="4"/>
  <c r="P805" i="4"/>
  <c r="O805" i="4"/>
  <c r="N805" i="4"/>
  <c r="P804" i="4"/>
  <c r="O804" i="4"/>
  <c r="N804" i="4"/>
  <c r="P803" i="4"/>
  <c r="O803" i="4"/>
  <c r="N803" i="4"/>
  <c r="P802" i="4"/>
  <c r="O802" i="4"/>
  <c r="N802" i="4"/>
  <c r="P801" i="4"/>
  <c r="O801" i="4"/>
  <c r="N801" i="4"/>
  <c r="P800" i="4"/>
  <c r="O800" i="4"/>
  <c r="N800" i="4"/>
  <c r="P799" i="4"/>
  <c r="O799" i="4"/>
  <c r="N799" i="4"/>
  <c r="P798" i="4"/>
  <c r="O798" i="4"/>
  <c r="N798" i="4"/>
  <c r="P797" i="4"/>
  <c r="O797" i="4"/>
  <c r="N797" i="4"/>
  <c r="P796" i="4"/>
  <c r="O796" i="4"/>
  <c r="N796" i="4"/>
  <c r="P795" i="4"/>
  <c r="O795" i="4"/>
  <c r="N795" i="4"/>
  <c r="P794" i="4"/>
  <c r="O794" i="4"/>
  <c r="N794" i="4"/>
  <c r="P793" i="4"/>
  <c r="O793" i="4"/>
  <c r="N793" i="4"/>
  <c r="P792" i="4"/>
  <c r="O792" i="4"/>
  <c r="N792" i="4"/>
  <c r="P791" i="4"/>
  <c r="O791" i="4"/>
  <c r="N791" i="4"/>
  <c r="P790" i="4"/>
  <c r="O790" i="4"/>
  <c r="N790" i="4"/>
  <c r="P789" i="4"/>
  <c r="O789" i="4"/>
  <c r="N789" i="4"/>
  <c r="P788" i="4"/>
  <c r="O788" i="4"/>
  <c r="N788" i="4"/>
  <c r="P787" i="4"/>
  <c r="O787" i="4"/>
  <c r="N787" i="4"/>
  <c r="P786" i="4"/>
  <c r="O786" i="4"/>
  <c r="N786" i="4"/>
  <c r="P785" i="4"/>
  <c r="O785" i="4"/>
  <c r="N785" i="4"/>
  <c r="P784" i="4"/>
  <c r="O784" i="4"/>
  <c r="N784" i="4"/>
  <c r="P783" i="4"/>
  <c r="O783" i="4"/>
  <c r="N783" i="4"/>
  <c r="P782" i="4"/>
  <c r="O782" i="4"/>
  <c r="N782" i="4"/>
  <c r="P781" i="4"/>
  <c r="O781" i="4"/>
  <c r="N781" i="4"/>
  <c r="P780" i="4"/>
  <c r="O780" i="4"/>
  <c r="N780" i="4"/>
  <c r="P779" i="4"/>
  <c r="O779" i="4"/>
  <c r="N779" i="4"/>
  <c r="P778" i="4"/>
  <c r="O778" i="4"/>
  <c r="N778" i="4"/>
  <c r="P777" i="4"/>
  <c r="O777" i="4"/>
  <c r="N777" i="4"/>
  <c r="P776" i="4"/>
  <c r="O776" i="4"/>
  <c r="N776" i="4"/>
  <c r="P775" i="4"/>
  <c r="O775" i="4"/>
  <c r="N775" i="4"/>
  <c r="P774" i="4"/>
  <c r="O774" i="4"/>
  <c r="N774" i="4"/>
  <c r="P773" i="4"/>
  <c r="O773" i="4"/>
  <c r="N773" i="4"/>
  <c r="P772" i="4"/>
  <c r="O772" i="4"/>
  <c r="N772" i="4"/>
  <c r="P771" i="4"/>
  <c r="O771" i="4"/>
  <c r="N771" i="4"/>
  <c r="P770" i="4"/>
  <c r="O770" i="4"/>
  <c r="N770" i="4"/>
  <c r="P769" i="4"/>
  <c r="O769" i="4"/>
  <c r="N769" i="4"/>
  <c r="P768" i="4"/>
  <c r="O768" i="4"/>
  <c r="N768" i="4"/>
  <c r="P767" i="4"/>
  <c r="O767" i="4"/>
  <c r="N767" i="4"/>
  <c r="P766" i="4"/>
  <c r="O766" i="4"/>
  <c r="N766" i="4"/>
  <c r="P765" i="4"/>
  <c r="O765" i="4"/>
  <c r="N765" i="4"/>
  <c r="P764" i="4"/>
  <c r="O764" i="4"/>
  <c r="N764" i="4"/>
  <c r="P763" i="4"/>
  <c r="O763" i="4"/>
  <c r="N763" i="4"/>
  <c r="P762" i="4"/>
  <c r="O762" i="4"/>
  <c r="N762" i="4"/>
  <c r="P761" i="4"/>
  <c r="O761" i="4"/>
  <c r="N761" i="4"/>
  <c r="P760" i="4"/>
  <c r="O760" i="4"/>
  <c r="N760" i="4"/>
  <c r="P759" i="4"/>
  <c r="O759" i="4"/>
  <c r="N759" i="4"/>
  <c r="P758" i="4"/>
  <c r="O758" i="4"/>
  <c r="N758" i="4"/>
  <c r="P757" i="4"/>
  <c r="O757" i="4"/>
  <c r="N757" i="4"/>
  <c r="P756" i="4"/>
  <c r="O756" i="4"/>
  <c r="N756" i="4"/>
  <c r="P755" i="4"/>
  <c r="O755" i="4"/>
  <c r="N755" i="4"/>
  <c r="P754" i="4"/>
  <c r="O754" i="4"/>
  <c r="N754" i="4"/>
  <c r="P753" i="4"/>
  <c r="O753" i="4"/>
  <c r="N753" i="4"/>
  <c r="P752" i="4"/>
  <c r="O752" i="4"/>
  <c r="N752" i="4"/>
  <c r="P751" i="4"/>
  <c r="O751" i="4"/>
  <c r="N751" i="4"/>
  <c r="P750" i="4"/>
  <c r="O750" i="4"/>
  <c r="N750" i="4"/>
  <c r="P749" i="4"/>
  <c r="O749" i="4"/>
  <c r="N749" i="4"/>
  <c r="P748" i="4"/>
  <c r="O748" i="4"/>
  <c r="N748" i="4"/>
  <c r="P747" i="4"/>
  <c r="O747" i="4"/>
  <c r="N747" i="4"/>
  <c r="P746" i="4"/>
  <c r="O746" i="4"/>
  <c r="N746" i="4"/>
  <c r="P745" i="4"/>
  <c r="O745" i="4"/>
  <c r="N745" i="4"/>
  <c r="P744" i="4"/>
  <c r="O744" i="4"/>
  <c r="N744" i="4"/>
  <c r="P743" i="4"/>
  <c r="O743" i="4"/>
  <c r="N743" i="4"/>
  <c r="P742" i="4"/>
  <c r="O742" i="4"/>
  <c r="N742" i="4"/>
  <c r="P741" i="4"/>
  <c r="O741" i="4"/>
  <c r="N741" i="4"/>
  <c r="P740" i="4"/>
  <c r="O740" i="4"/>
  <c r="N740" i="4"/>
  <c r="P739" i="4"/>
  <c r="O739" i="4"/>
  <c r="N739" i="4"/>
  <c r="P738" i="4"/>
  <c r="O738" i="4"/>
  <c r="N738" i="4"/>
  <c r="P737" i="4"/>
  <c r="O737" i="4"/>
  <c r="N737" i="4"/>
  <c r="P736" i="4"/>
  <c r="O736" i="4"/>
  <c r="N736" i="4"/>
  <c r="P735" i="4"/>
  <c r="O735" i="4"/>
  <c r="N735" i="4"/>
  <c r="P734" i="4"/>
  <c r="O734" i="4"/>
  <c r="N734" i="4"/>
  <c r="P733" i="4"/>
  <c r="O733" i="4"/>
  <c r="N733" i="4"/>
  <c r="P732" i="4"/>
  <c r="O732" i="4"/>
  <c r="N732" i="4"/>
  <c r="P731" i="4"/>
  <c r="O731" i="4"/>
  <c r="N731" i="4"/>
  <c r="P730" i="4"/>
  <c r="O730" i="4"/>
  <c r="N730" i="4"/>
  <c r="P729" i="4"/>
  <c r="O729" i="4"/>
  <c r="N729" i="4"/>
  <c r="P728" i="4"/>
  <c r="O728" i="4"/>
  <c r="N728" i="4"/>
  <c r="P727" i="4"/>
  <c r="O727" i="4"/>
  <c r="N727" i="4"/>
  <c r="P726" i="4"/>
  <c r="O726" i="4"/>
  <c r="N726" i="4"/>
  <c r="P725" i="4"/>
  <c r="O725" i="4"/>
  <c r="N725" i="4"/>
  <c r="P724" i="4"/>
  <c r="O724" i="4"/>
  <c r="N724" i="4"/>
  <c r="P723" i="4"/>
  <c r="O723" i="4"/>
  <c r="N723" i="4"/>
  <c r="P722" i="4"/>
  <c r="O722" i="4"/>
  <c r="N722" i="4"/>
  <c r="P721" i="4"/>
  <c r="O721" i="4"/>
  <c r="N721" i="4"/>
  <c r="P720" i="4"/>
  <c r="O720" i="4"/>
  <c r="N720" i="4"/>
  <c r="P719" i="4"/>
  <c r="O719" i="4"/>
  <c r="N719" i="4"/>
  <c r="P718" i="4"/>
  <c r="O718" i="4"/>
  <c r="N718" i="4"/>
  <c r="P717" i="4"/>
  <c r="O717" i="4"/>
  <c r="N717" i="4"/>
  <c r="P716" i="4"/>
  <c r="O716" i="4"/>
  <c r="N716" i="4"/>
  <c r="P715" i="4"/>
  <c r="O715" i="4"/>
  <c r="N715" i="4"/>
  <c r="P714" i="4"/>
  <c r="O714" i="4"/>
  <c r="N714" i="4"/>
  <c r="P713" i="4"/>
  <c r="O713" i="4"/>
  <c r="N713" i="4"/>
  <c r="P712" i="4"/>
  <c r="O712" i="4"/>
  <c r="N712" i="4"/>
  <c r="P711" i="4"/>
  <c r="O711" i="4"/>
  <c r="N711" i="4"/>
  <c r="P710" i="4"/>
  <c r="O710" i="4"/>
  <c r="N710" i="4"/>
  <c r="P709" i="4"/>
  <c r="O709" i="4"/>
  <c r="N709" i="4"/>
  <c r="P708" i="4"/>
  <c r="O708" i="4"/>
  <c r="N708" i="4"/>
  <c r="P707" i="4"/>
  <c r="O707" i="4"/>
  <c r="N707" i="4"/>
  <c r="P706" i="4"/>
  <c r="O706" i="4"/>
  <c r="N706" i="4"/>
  <c r="P705" i="4"/>
  <c r="O705" i="4"/>
  <c r="N705" i="4"/>
  <c r="P704" i="4"/>
  <c r="O704" i="4"/>
  <c r="N704" i="4"/>
  <c r="P703" i="4"/>
  <c r="O703" i="4"/>
  <c r="N703" i="4"/>
  <c r="P702" i="4"/>
  <c r="O702" i="4"/>
  <c r="N702" i="4"/>
  <c r="P701" i="4"/>
  <c r="O701" i="4"/>
  <c r="N701" i="4"/>
  <c r="P700" i="4"/>
  <c r="O700" i="4"/>
  <c r="N700" i="4"/>
  <c r="P699" i="4"/>
  <c r="O699" i="4"/>
  <c r="N699" i="4"/>
  <c r="P698" i="4"/>
  <c r="O698" i="4"/>
  <c r="N698" i="4"/>
  <c r="P697" i="4"/>
  <c r="O697" i="4"/>
  <c r="N697" i="4"/>
  <c r="P696" i="4"/>
  <c r="O696" i="4"/>
  <c r="N696" i="4"/>
  <c r="P695" i="4"/>
  <c r="O695" i="4"/>
  <c r="N695" i="4"/>
  <c r="P694" i="4"/>
  <c r="O694" i="4"/>
  <c r="N694" i="4"/>
  <c r="P693" i="4"/>
  <c r="O693" i="4"/>
  <c r="N693" i="4"/>
  <c r="P692" i="4"/>
  <c r="O692" i="4"/>
  <c r="N692" i="4"/>
  <c r="P691" i="4"/>
  <c r="O691" i="4"/>
  <c r="N691" i="4"/>
  <c r="P690" i="4"/>
  <c r="O690" i="4"/>
  <c r="N690" i="4"/>
  <c r="P689" i="4"/>
  <c r="O689" i="4"/>
  <c r="N689" i="4"/>
  <c r="P688" i="4"/>
  <c r="O688" i="4"/>
  <c r="N688" i="4"/>
  <c r="P687" i="4"/>
  <c r="O687" i="4"/>
  <c r="N687" i="4"/>
  <c r="P686" i="4"/>
  <c r="O686" i="4"/>
  <c r="N686" i="4"/>
  <c r="P685" i="4"/>
  <c r="O685" i="4"/>
  <c r="N685" i="4"/>
  <c r="P684" i="4"/>
  <c r="O684" i="4"/>
  <c r="N684" i="4"/>
  <c r="P683" i="4"/>
  <c r="O683" i="4"/>
  <c r="N683" i="4"/>
  <c r="P682" i="4"/>
  <c r="O682" i="4"/>
  <c r="N682" i="4"/>
  <c r="P681" i="4"/>
  <c r="O681" i="4"/>
  <c r="N681" i="4"/>
  <c r="P680" i="4"/>
  <c r="O680" i="4"/>
  <c r="N680" i="4"/>
  <c r="P679" i="4"/>
  <c r="O679" i="4"/>
  <c r="N679" i="4"/>
  <c r="P678" i="4"/>
  <c r="O678" i="4"/>
  <c r="N678" i="4"/>
  <c r="P677" i="4"/>
  <c r="O677" i="4"/>
  <c r="N677" i="4"/>
  <c r="P676" i="4"/>
  <c r="O676" i="4"/>
  <c r="N676" i="4"/>
  <c r="P675" i="4"/>
  <c r="O675" i="4"/>
  <c r="N675" i="4"/>
  <c r="P674" i="4"/>
  <c r="O674" i="4"/>
  <c r="N674" i="4"/>
  <c r="P673" i="4"/>
  <c r="O673" i="4"/>
  <c r="N673" i="4"/>
  <c r="P672" i="4"/>
  <c r="O672" i="4"/>
  <c r="N672" i="4"/>
  <c r="P671" i="4"/>
  <c r="O671" i="4"/>
  <c r="N671" i="4"/>
  <c r="P670" i="4"/>
  <c r="O670" i="4"/>
  <c r="N670" i="4"/>
  <c r="P669" i="4"/>
  <c r="O669" i="4"/>
  <c r="N669" i="4"/>
  <c r="P668" i="4"/>
  <c r="O668" i="4"/>
  <c r="N668" i="4"/>
  <c r="P667" i="4"/>
  <c r="O667" i="4"/>
  <c r="N667" i="4"/>
  <c r="P666" i="4"/>
  <c r="O666" i="4"/>
  <c r="N666" i="4"/>
  <c r="P665" i="4"/>
  <c r="O665" i="4"/>
  <c r="N665" i="4"/>
  <c r="P664" i="4"/>
  <c r="O664" i="4"/>
  <c r="N664" i="4"/>
  <c r="P663" i="4"/>
  <c r="O663" i="4"/>
  <c r="N663" i="4"/>
  <c r="P662" i="4"/>
  <c r="O662" i="4"/>
  <c r="N662" i="4"/>
  <c r="P661" i="4"/>
  <c r="O661" i="4"/>
  <c r="N661" i="4"/>
  <c r="P660" i="4"/>
  <c r="O660" i="4"/>
  <c r="N660" i="4"/>
  <c r="P659" i="4"/>
  <c r="O659" i="4"/>
  <c r="N659" i="4"/>
  <c r="P658" i="4"/>
  <c r="O658" i="4"/>
  <c r="N658" i="4"/>
  <c r="P657" i="4"/>
  <c r="O657" i="4"/>
  <c r="N657" i="4"/>
  <c r="P656" i="4"/>
  <c r="O656" i="4"/>
  <c r="N656" i="4"/>
  <c r="P655" i="4"/>
  <c r="O655" i="4"/>
  <c r="N655" i="4"/>
  <c r="P654" i="4"/>
  <c r="O654" i="4"/>
  <c r="N654" i="4"/>
  <c r="P653" i="4"/>
  <c r="O653" i="4"/>
  <c r="N653" i="4"/>
  <c r="P652" i="4"/>
  <c r="O652" i="4"/>
  <c r="N652" i="4"/>
  <c r="P651" i="4"/>
  <c r="O651" i="4"/>
  <c r="N651" i="4"/>
  <c r="P650" i="4"/>
  <c r="O650" i="4"/>
  <c r="N650" i="4"/>
  <c r="P649" i="4"/>
  <c r="O649" i="4"/>
  <c r="N649" i="4"/>
  <c r="P648" i="4"/>
  <c r="O648" i="4"/>
  <c r="N648" i="4"/>
  <c r="P647" i="4"/>
  <c r="O647" i="4"/>
  <c r="N647" i="4"/>
  <c r="P646" i="4"/>
  <c r="O646" i="4"/>
  <c r="N646" i="4"/>
  <c r="P645" i="4"/>
  <c r="O645" i="4"/>
  <c r="N645" i="4"/>
  <c r="P644" i="4"/>
  <c r="O644" i="4"/>
  <c r="N644" i="4"/>
  <c r="P643" i="4"/>
  <c r="O643" i="4"/>
  <c r="N643" i="4"/>
  <c r="P642" i="4"/>
  <c r="O642" i="4"/>
  <c r="N642" i="4"/>
  <c r="P641" i="4"/>
  <c r="O641" i="4"/>
  <c r="N641" i="4"/>
  <c r="P640" i="4"/>
  <c r="O640" i="4"/>
  <c r="N640" i="4"/>
  <c r="P639" i="4"/>
  <c r="O639" i="4"/>
  <c r="N639" i="4"/>
  <c r="P638" i="4"/>
  <c r="O638" i="4"/>
  <c r="N638" i="4"/>
  <c r="P637" i="4"/>
  <c r="O637" i="4"/>
  <c r="N637" i="4"/>
  <c r="P636" i="4"/>
  <c r="O636" i="4"/>
  <c r="N636" i="4"/>
  <c r="P635" i="4"/>
  <c r="O635" i="4"/>
  <c r="N635" i="4"/>
  <c r="P634" i="4"/>
  <c r="O634" i="4"/>
  <c r="N634" i="4"/>
  <c r="P633" i="4"/>
  <c r="O633" i="4"/>
  <c r="N633" i="4"/>
  <c r="P632" i="4"/>
  <c r="O632" i="4"/>
  <c r="N632" i="4"/>
  <c r="P631" i="4"/>
  <c r="O631" i="4"/>
  <c r="N631" i="4"/>
  <c r="P630" i="4"/>
  <c r="O630" i="4"/>
  <c r="N630" i="4"/>
  <c r="P629" i="4"/>
  <c r="O629" i="4"/>
  <c r="N629" i="4"/>
  <c r="P628" i="4"/>
  <c r="O628" i="4"/>
  <c r="N628" i="4"/>
  <c r="P627" i="4"/>
  <c r="O627" i="4"/>
  <c r="N627" i="4"/>
  <c r="P626" i="4"/>
  <c r="O626" i="4"/>
  <c r="N626" i="4"/>
  <c r="P625" i="4"/>
  <c r="O625" i="4"/>
  <c r="N625" i="4"/>
  <c r="P624" i="4"/>
  <c r="O624" i="4"/>
  <c r="N624" i="4"/>
  <c r="P623" i="4"/>
  <c r="O623" i="4"/>
  <c r="N623" i="4"/>
  <c r="P622" i="4"/>
  <c r="O622" i="4"/>
  <c r="N622" i="4"/>
  <c r="P621" i="4"/>
  <c r="O621" i="4"/>
  <c r="N621" i="4"/>
  <c r="P620" i="4"/>
  <c r="O620" i="4"/>
  <c r="N620" i="4"/>
  <c r="P619" i="4"/>
  <c r="O619" i="4"/>
  <c r="N619" i="4"/>
  <c r="P618" i="4"/>
  <c r="O618" i="4"/>
  <c r="N618" i="4"/>
  <c r="P617" i="4"/>
  <c r="O617" i="4"/>
  <c r="N617" i="4"/>
  <c r="P616" i="4"/>
  <c r="O616" i="4"/>
  <c r="N616" i="4"/>
  <c r="P615" i="4"/>
  <c r="O615" i="4"/>
  <c r="N615" i="4"/>
  <c r="P614" i="4"/>
  <c r="O614" i="4"/>
  <c r="N614" i="4"/>
  <c r="P613" i="4"/>
  <c r="O613" i="4"/>
  <c r="N613" i="4"/>
  <c r="P612" i="4"/>
  <c r="O612" i="4"/>
  <c r="N612" i="4"/>
  <c r="P611" i="4"/>
  <c r="O611" i="4"/>
  <c r="N611" i="4"/>
  <c r="P610" i="4"/>
  <c r="O610" i="4"/>
  <c r="N610" i="4"/>
  <c r="P609" i="4"/>
  <c r="O609" i="4"/>
  <c r="N609" i="4"/>
  <c r="P608" i="4"/>
  <c r="O608" i="4"/>
  <c r="N608" i="4"/>
  <c r="P607" i="4"/>
  <c r="O607" i="4"/>
  <c r="N607" i="4"/>
  <c r="P606" i="4"/>
  <c r="O606" i="4"/>
  <c r="N606" i="4"/>
  <c r="P605" i="4"/>
  <c r="O605" i="4"/>
  <c r="N605" i="4"/>
  <c r="P604" i="4"/>
  <c r="O604" i="4"/>
  <c r="N604" i="4"/>
  <c r="P603" i="4"/>
  <c r="O603" i="4"/>
  <c r="N603" i="4"/>
  <c r="P602" i="4"/>
  <c r="O602" i="4"/>
  <c r="N602" i="4"/>
  <c r="P601" i="4"/>
  <c r="O601" i="4"/>
  <c r="N601" i="4"/>
  <c r="P600" i="4"/>
  <c r="O600" i="4"/>
  <c r="N600" i="4"/>
  <c r="P599" i="4"/>
  <c r="O599" i="4"/>
  <c r="N599" i="4"/>
  <c r="P598" i="4"/>
  <c r="O598" i="4"/>
  <c r="N598" i="4"/>
  <c r="P597" i="4"/>
  <c r="O597" i="4"/>
  <c r="N597" i="4"/>
  <c r="P596" i="4"/>
  <c r="O596" i="4"/>
  <c r="N596" i="4"/>
  <c r="P595" i="4"/>
  <c r="O595" i="4"/>
  <c r="N595" i="4"/>
  <c r="P594" i="4"/>
  <c r="O594" i="4"/>
  <c r="N594" i="4"/>
  <c r="P593" i="4"/>
  <c r="O593" i="4"/>
  <c r="N593" i="4"/>
  <c r="P592" i="4"/>
  <c r="O592" i="4"/>
  <c r="N592" i="4"/>
  <c r="P591" i="4"/>
  <c r="O591" i="4"/>
  <c r="N591" i="4"/>
  <c r="P590" i="4"/>
  <c r="O590" i="4"/>
  <c r="N590" i="4"/>
  <c r="P589" i="4"/>
  <c r="O589" i="4"/>
  <c r="N589" i="4"/>
  <c r="P588" i="4"/>
  <c r="O588" i="4"/>
  <c r="N588" i="4"/>
  <c r="P587" i="4"/>
  <c r="O587" i="4"/>
  <c r="N587" i="4"/>
  <c r="P586" i="4"/>
  <c r="O586" i="4"/>
  <c r="N586" i="4"/>
  <c r="P585" i="4"/>
  <c r="O585" i="4"/>
  <c r="N585" i="4"/>
  <c r="P584" i="4"/>
  <c r="O584" i="4"/>
  <c r="N584" i="4"/>
  <c r="P583" i="4"/>
  <c r="O583" i="4"/>
  <c r="N583" i="4"/>
  <c r="P582" i="4"/>
  <c r="O582" i="4"/>
  <c r="N582" i="4"/>
  <c r="P581" i="4"/>
  <c r="O581" i="4"/>
  <c r="N581" i="4"/>
  <c r="P580" i="4"/>
  <c r="O580" i="4"/>
  <c r="N580" i="4"/>
  <c r="P579" i="4"/>
  <c r="O579" i="4"/>
  <c r="N579" i="4"/>
  <c r="P578" i="4"/>
  <c r="O578" i="4"/>
  <c r="N578" i="4"/>
  <c r="P577" i="4"/>
  <c r="O577" i="4"/>
  <c r="N577" i="4"/>
  <c r="P576" i="4"/>
  <c r="O576" i="4"/>
  <c r="N576" i="4"/>
  <c r="P575" i="4"/>
  <c r="O575" i="4"/>
  <c r="N575" i="4"/>
  <c r="P574" i="4"/>
  <c r="O574" i="4"/>
  <c r="N574" i="4"/>
  <c r="P573" i="4"/>
  <c r="O573" i="4"/>
  <c r="N573" i="4"/>
  <c r="P572" i="4"/>
  <c r="O572" i="4"/>
  <c r="N572" i="4"/>
  <c r="P571" i="4"/>
  <c r="O571" i="4"/>
  <c r="N571" i="4"/>
  <c r="P570" i="4"/>
  <c r="O570" i="4"/>
  <c r="N570" i="4"/>
  <c r="P569" i="4"/>
  <c r="O569" i="4"/>
  <c r="N569" i="4"/>
  <c r="P568" i="4"/>
  <c r="O568" i="4"/>
  <c r="N568" i="4"/>
  <c r="P567" i="4"/>
  <c r="O567" i="4"/>
  <c r="N567" i="4"/>
  <c r="P566" i="4"/>
  <c r="O566" i="4"/>
  <c r="N566" i="4"/>
  <c r="P565" i="4"/>
  <c r="O565" i="4"/>
  <c r="N565" i="4"/>
  <c r="P564" i="4"/>
  <c r="O564" i="4"/>
  <c r="N564" i="4"/>
  <c r="P563" i="4"/>
  <c r="O563" i="4"/>
  <c r="N563" i="4"/>
  <c r="P562" i="4"/>
  <c r="O562" i="4"/>
  <c r="N562" i="4"/>
  <c r="P561" i="4"/>
  <c r="O561" i="4"/>
  <c r="N561" i="4"/>
  <c r="P560" i="4"/>
  <c r="O560" i="4"/>
  <c r="N560" i="4"/>
  <c r="P559" i="4"/>
  <c r="O559" i="4"/>
  <c r="N559" i="4"/>
  <c r="P558" i="4"/>
  <c r="O558" i="4"/>
  <c r="N558" i="4"/>
  <c r="P557" i="4"/>
  <c r="O557" i="4"/>
  <c r="N557" i="4"/>
  <c r="P556" i="4"/>
  <c r="O556" i="4"/>
  <c r="N556" i="4"/>
  <c r="P555" i="4"/>
  <c r="O555" i="4"/>
  <c r="N555" i="4"/>
  <c r="P554" i="4"/>
  <c r="O554" i="4"/>
  <c r="N554" i="4"/>
  <c r="P553" i="4"/>
  <c r="O553" i="4"/>
  <c r="N553" i="4"/>
  <c r="P552" i="4"/>
  <c r="O552" i="4"/>
  <c r="N552" i="4"/>
  <c r="P551" i="4"/>
  <c r="O551" i="4"/>
  <c r="N551" i="4"/>
  <c r="P550" i="4"/>
  <c r="O550" i="4"/>
  <c r="N550" i="4"/>
  <c r="P549" i="4"/>
  <c r="O549" i="4"/>
  <c r="N549" i="4"/>
  <c r="P548" i="4"/>
  <c r="O548" i="4"/>
  <c r="N548" i="4"/>
  <c r="P547" i="4"/>
  <c r="O547" i="4"/>
  <c r="N547" i="4"/>
  <c r="P546" i="4"/>
  <c r="O546" i="4"/>
  <c r="N546" i="4"/>
  <c r="P545" i="4"/>
  <c r="O545" i="4"/>
  <c r="N545" i="4"/>
  <c r="P544" i="4"/>
  <c r="O544" i="4"/>
  <c r="N544" i="4"/>
  <c r="P543" i="4"/>
  <c r="O543" i="4"/>
  <c r="N543" i="4"/>
  <c r="P542" i="4"/>
  <c r="O542" i="4"/>
  <c r="N542" i="4"/>
  <c r="P541" i="4"/>
  <c r="O541" i="4"/>
  <c r="N541" i="4"/>
  <c r="P540" i="4"/>
  <c r="O540" i="4"/>
  <c r="N540" i="4"/>
  <c r="P539" i="4"/>
  <c r="O539" i="4"/>
  <c r="N539" i="4"/>
  <c r="P538" i="4"/>
  <c r="O538" i="4"/>
  <c r="N538" i="4"/>
  <c r="P537" i="4"/>
  <c r="O537" i="4"/>
  <c r="N537" i="4"/>
  <c r="P536" i="4"/>
  <c r="O536" i="4"/>
  <c r="N536" i="4"/>
  <c r="P535" i="4"/>
  <c r="O535" i="4"/>
  <c r="N535" i="4"/>
  <c r="P534" i="4"/>
  <c r="O534" i="4"/>
  <c r="N534" i="4"/>
  <c r="P533" i="4"/>
  <c r="O533" i="4"/>
  <c r="N533" i="4"/>
  <c r="P532" i="4"/>
  <c r="O532" i="4"/>
  <c r="N532" i="4"/>
  <c r="P531" i="4"/>
  <c r="O531" i="4"/>
  <c r="N531" i="4"/>
  <c r="P530" i="4"/>
  <c r="O530" i="4"/>
  <c r="N530" i="4"/>
  <c r="P529" i="4"/>
  <c r="O529" i="4"/>
  <c r="N529" i="4"/>
  <c r="P528" i="4"/>
  <c r="O528" i="4"/>
  <c r="N528" i="4"/>
  <c r="P527" i="4"/>
  <c r="O527" i="4"/>
  <c r="N527" i="4"/>
  <c r="P526" i="4"/>
  <c r="O526" i="4"/>
  <c r="N526" i="4"/>
  <c r="P525" i="4"/>
  <c r="O525" i="4"/>
  <c r="N525" i="4"/>
  <c r="P524" i="4"/>
  <c r="O524" i="4"/>
  <c r="N524" i="4"/>
  <c r="P523" i="4"/>
  <c r="O523" i="4"/>
  <c r="N523" i="4"/>
  <c r="P522" i="4"/>
  <c r="O522" i="4"/>
  <c r="N522" i="4"/>
  <c r="P521" i="4"/>
  <c r="O521" i="4"/>
  <c r="N521" i="4"/>
  <c r="P520" i="4"/>
  <c r="O520" i="4"/>
  <c r="N520" i="4"/>
  <c r="P519" i="4"/>
  <c r="O519" i="4"/>
  <c r="N519" i="4"/>
  <c r="P518" i="4"/>
  <c r="O518" i="4"/>
  <c r="N518" i="4"/>
  <c r="P517" i="4"/>
  <c r="O517" i="4"/>
  <c r="N517" i="4"/>
  <c r="P516" i="4"/>
  <c r="O516" i="4"/>
  <c r="N516" i="4"/>
  <c r="P515" i="4"/>
  <c r="O515" i="4"/>
  <c r="N515" i="4"/>
  <c r="P514" i="4"/>
  <c r="O514" i="4"/>
  <c r="N514" i="4"/>
  <c r="P513" i="4"/>
  <c r="O513" i="4"/>
  <c r="N513" i="4"/>
  <c r="P512" i="4"/>
  <c r="O512" i="4"/>
  <c r="N512" i="4"/>
  <c r="P511" i="4"/>
  <c r="O511" i="4"/>
  <c r="N511" i="4"/>
  <c r="P510" i="4"/>
  <c r="O510" i="4"/>
  <c r="N510" i="4"/>
  <c r="P509" i="4"/>
  <c r="O509" i="4"/>
  <c r="N509" i="4"/>
  <c r="P508" i="4"/>
  <c r="O508" i="4"/>
  <c r="N508" i="4"/>
  <c r="P507" i="4"/>
  <c r="O507" i="4"/>
  <c r="N507" i="4"/>
  <c r="P506" i="4"/>
  <c r="O506" i="4"/>
  <c r="N506" i="4"/>
  <c r="P505" i="4"/>
  <c r="O505" i="4"/>
  <c r="N505" i="4"/>
  <c r="P504" i="4"/>
  <c r="O504" i="4"/>
  <c r="N504" i="4"/>
  <c r="P503" i="4"/>
  <c r="O503" i="4"/>
  <c r="N503" i="4"/>
  <c r="P502" i="4"/>
  <c r="O502" i="4"/>
  <c r="N502" i="4"/>
  <c r="P501" i="4"/>
  <c r="O501" i="4"/>
  <c r="N501" i="4"/>
  <c r="P500" i="4"/>
  <c r="O500" i="4"/>
  <c r="N500" i="4"/>
  <c r="P499" i="4"/>
  <c r="O499" i="4"/>
  <c r="N499" i="4"/>
  <c r="P498" i="4"/>
  <c r="O498" i="4"/>
  <c r="N498" i="4"/>
  <c r="P497" i="4"/>
  <c r="O497" i="4"/>
  <c r="N497" i="4"/>
  <c r="P496" i="4"/>
  <c r="O496" i="4"/>
  <c r="N496" i="4"/>
  <c r="P495" i="4"/>
  <c r="O495" i="4"/>
  <c r="N495" i="4"/>
  <c r="P494" i="4"/>
  <c r="O494" i="4"/>
  <c r="N494" i="4"/>
  <c r="P493" i="4"/>
  <c r="O493" i="4"/>
  <c r="N493" i="4"/>
  <c r="P492" i="4"/>
  <c r="O492" i="4"/>
  <c r="N492" i="4"/>
  <c r="P491" i="4"/>
  <c r="O491" i="4"/>
  <c r="N491" i="4"/>
  <c r="P490" i="4"/>
  <c r="O490" i="4"/>
  <c r="N490" i="4"/>
  <c r="P489" i="4"/>
  <c r="O489" i="4"/>
  <c r="N489" i="4"/>
  <c r="P488" i="4"/>
  <c r="O488" i="4"/>
  <c r="N488" i="4"/>
  <c r="P487" i="4"/>
  <c r="O487" i="4"/>
  <c r="N487" i="4"/>
  <c r="P486" i="4"/>
  <c r="O486" i="4"/>
  <c r="N486" i="4"/>
  <c r="P485" i="4"/>
  <c r="O485" i="4"/>
  <c r="N485" i="4"/>
  <c r="P484" i="4"/>
  <c r="O484" i="4"/>
  <c r="N484" i="4"/>
  <c r="P483" i="4"/>
  <c r="O483" i="4"/>
  <c r="N483" i="4"/>
  <c r="P482" i="4"/>
  <c r="O482" i="4"/>
  <c r="N482" i="4"/>
  <c r="P481" i="4"/>
  <c r="O481" i="4"/>
  <c r="N481" i="4"/>
  <c r="P480" i="4"/>
  <c r="O480" i="4"/>
  <c r="N480" i="4"/>
  <c r="P479" i="4"/>
  <c r="O479" i="4"/>
  <c r="N479" i="4"/>
  <c r="P478" i="4"/>
  <c r="O478" i="4"/>
  <c r="N478" i="4"/>
  <c r="P477" i="4"/>
  <c r="O477" i="4"/>
  <c r="N477" i="4"/>
  <c r="P476" i="4"/>
  <c r="O476" i="4"/>
  <c r="N476" i="4"/>
  <c r="P475" i="4"/>
  <c r="O475" i="4"/>
  <c r="N475" i="4"/>
  <c r="P474" i="4"/>
  <c r="O474" i="4"/>
  <c r="N474" i="4"/>
  <c r="P473" i="4"/>
  <c r="O473" i="4"/>
  <c r="N473" i="4"/>
  <c r="I1002" i="4"/>
  <c r="I1001" i="4"/>
  <c r="I1000" i="4"/>
  <c r="I999" i="4"/>
  <c r="I998" i="4"/>
  <c r="I997" i="4"/>
  <c r="I996" i="4"/>
  <c r="I995" i="4"/>
  <c r="I994" i="4"/>
  <c r="I993" i="4"/>
  <c r="I992" i="4"/>
  <c r="I991" i="4"/>
  <c r="I990" i="4"/>
  <c r="I989" i="4"/>
  <c r="I988" i="4"/>
  <c r="I987" i="4"/>
  <c r="I986" i="4"/>
  <c r="I985" i="4"/>
  <c r="I984" i="4"/>
  <c r="I983" i="4"/>
  <c r="I982" i="4"/>
  <c r="I981" i="4"/>
  <c r="I980" i="4"/>
  <c r="I979" i="4"/>
  <c r="I978" i="4"/>
  <c r="I977" i="4"/>
  <c r="I976" i="4"/>
  <c r="I975" i="4"/>
  <c r="I974" i="4"/>
  <c r="I973" i="4"/>
  <c r="I972" i="4"/>
  <c r="I971" i="4"/>
  <c r="I970" i="4"/>
  <c r="I969" i="4"/>
  <c r="I968" i="4"/>
  <c r="I967" i="4"/>
  <c r="I966" i="4"/>
  <c r="I965" i="4"/>
  <c r="I964" i="4"/>
  <c r="I963" i="4"/>
  <c r="I962" i="4"/>
  <c r="I961" i="4"/>
  <c r="I960" i="4"/>
  <c r="I959" i="4"/>
  <c r="I958" i="4"/>
  <c r="I957" i="4"/>
  <c r="I956" i="4"/>
  <c r="I955" i="4"/>
  <c r="I954" i="4"/>
  <c r="I953" i="4"/>
  <c r="I952" i="4"/>
  <c r="I951" i="4"/>
  <c r="I950" i="4"/>
  <c r="I949" i="4"/>
  <c r="I948" i="4"/>
  <c r="I947" i="4"/>
  <c r="I946" i="4"/>
  <c r="I945" i="4"/>
  <c r="I944" i="4"/>
  <c r="I943" i="4"/>
  <c r="I942" i="4"/>
  <c r="I941" i="4"/>
  <c r="I940" i="4"/>
  <c r="I939" i="4"/>
  <c r="I938" i="4"/>
  <c r="I937" i="4"/>
  <c r="I936" i="4"/>
  <c r="I935" i="4"/>
  <c r="I934" i="4"/>
  <c r="I933" i="4"/>
  <c r="I932" i="4"/>
  <c r="I931" i="4"/>
  <c r="I930" i="4"/>
  <c r="I929" i="4"/>
  <c r="I928" i="4"/>
  <c r="I927" i="4"/>
  <c r="I926" i="4"/>
  <c r="I925" i="4"/>
  <c r="I924" i="4"/>
  <c r="I923" i="4"/>
  <c r="I922" i="4"/>
  <c r="I921" i="4"/>
  <c r="I920" i="4"/>
  <c r="I919" i="4"/>
  <c r="I918" i="4"/>
  <c r="I917" i="4"/>
  <c r="I916" i="4"/>
  <c r="I915" i="4"/>
  <c r="I914" i="4"/>
  <c r="I913" i="4"/>
  <c r="I912" i="4"/>
  <c r="I911" i="4"/>
  <c r="I910" i="4"/>
  <c r="I909" i="4"/>
  <c r="I908" i="4"/>
  <c r="I907" i="4"/>
  <c r="I906" i="4"/>
  <c r="I905" i="4"/>
  <c r="I904" i="4"/>
  <c r="I903" i="4"/>
  <c r="I902" i="4"/>
  <c r="I901" i="4"/>
  <c r="I900" i="4"/>
  <c r="I899" i="4"/>
  <c r="I898" i="4"/>
  <c r="I897" i="4"/>
  <c r="I896" i="4"/>
  <c r="I895" i="4"/>
  <c r="I894" i="4"/>
  <c r="I893" i="4"/>
  <c r="I892" i="4"/>
  <c r="I891" i="4"/>
  <c r="I890" i="4"/>
  <c r="I889" i="4"/>
  <c r="I888" i="4"/>
  <c r="I887" i="4"/>
  <c r="I886" i="4"/>
  <c r="I885" i="4"/>
  <c r="I884" i="4"/>
  <c r="I883" i="4"/>
  <c r="I882" i="4"/>
  <c r="I881" i="4"/>
  <c r="I880" i="4"/>
  <c r="I879" i="4"/>
  <c r="I878" i="4"/>
  <c r="I877" i="4"/>
  <c r="I876" i="4"/>
  <c r="I875" i="4"/>
  <c r="I874" i="4"/>
  <c r="I873" i="4"/>
  <c r="I872" i="4"/>
  <c r="I871" i="4"/>
  <c r="I870" i="4"/>
  <c r="I869" i="4"/>
  <c r="I868" i="4"/>
  <c r="I867" i="4"/>
  <c r="I866" i="4"/>
  <c r="I865" i="4"/>
  <c r="I864" i="4"/>
  <c r="I863" i="4"/>
  <c r="I862" i="4"/>
  <c r="I861" i="4"/>
  <c r="I860" i="4"/>
  <c r="I859" i="4"/>
  <c r="I858" i="4"/>
  <c r="I857" i="4"/>
  <c r="I856" i="4"/>
  <c r="I855" i="4"/>
  <c r="I854" i="4"/>
  <c r="I853" i="4"/>
  <c r="I852" i="4"/>
  <c r="I851" i="4"/>
  <c r="I850" i="4"/>
  <c r="I849" i="4"/>
  <c r="I848" i="4"/>
  <c r="I847" i="4"/>
  <c r="I846" i="4"/>
  <c r="I845" i="4"/>
  <c r="I844" i="4"/>
  <c r="I843" i="4"/>
  <c r="I842" i="4"/>
  <c r="I841" i="4"/>
  <c r="I840" i="4"/>
  <c r="I839" i="4"/>
  <c r="I838" i="4"/>
  <c r="I837" i="4"/>
  <c r="I836" i="4"/>
  <c r="I835" i="4"/>
  <c r="I834" i="4"/>
  <c r="I833" i="4"/>
  <c r="I832" i="4"/>
  <c r="I831" i="4"/>
  <c r="I830" i="4"/>
  <c r="I829" i="4"/>
  <c r="I828" i="4"/>
  <c r="I827" i="4"/>
  <c r="I826" i="4"/>
  <c r="I825" i="4"/>
  <c r="I824" i="4"/>
  <c r="I823" i="4"/>
  <c r="I822" i="4"/>
  <c r="I821" i="4"/>
  <c r="I820" i="4"/>
  <c r="I819" i="4"/>
  <c r="I818" i="4"/>
  <c r="I817" i="4"/>
  <c r="I816" i="4"/>
  <c r="I815" i="4"/>
  <c r="I814" i="4"/>
  <c r="I813" i="4"/>
  <c r="I812" i="4"/>
  <c r="I811" i="4"/>
  <c r="I810" i="4"/>
  <c r="I809" i="4"/>
  <c r="I808" i="4"/>
  <c r="I807" i="4"/>
  <c r="I806" i="4"/>
  <c r="I805" i="4"/>
  <c r="I804" i="4"/>
  <c r="I803" i="4"/>
  <c r="I802" i="4"/>
  <c r="I801" i="4"/>
  <c r="I800" i="4"/>
  <c r="I799" i="4"/>
  <c r="I798" i="4"/>
  <c r="I797" i="4"/>
  <c r="I796" i="4"/>
  <c r="I795" i="4"/>
  <c r="I794" i="4"/>
  <c r="I793" i="4"/>
  <c r="I792" i="4"/>
  <c r="I791" i="4"/>
  <c r="I790" i="4"/>
  <c r="I789" i="4"/>
  <c r="I788" i="4"/>
  <c r="I787" i="4"/>
  <c r="I786" i="4"/>
  <c r="I785" i="4"/>
  <c r="I784" i="4"/>
  <c r="I783" i="4"/>
  <c r="I782" i="4"/>
  <c r="I781" i="4"/>
  <c r="I780" i="4"/>
  <c r="I779" i="4"/>
  <c r="I778" i="4"/>
  <c r="I777" i="4"/>
  <c r="I776" i="4"/>
  <c r="I775" i="4"/>
  <c r="I774" i="4"/>
  <c r="I773" i="4"/>
  <c r="I772" i="4"/>
  <c r="I771" i="4"/>
  <c r="I770" i="4"/>
  <c r="I769" i="4"/>
  <c r="I768" i="4"/>
  <c r="I767" i="4"/>
  <c r="I766" i="4"/>
  <c r="I765" i="4"/>
  <c r="I764" i="4"/>
  <c r="I763" i="4"/>
  <c r="I762" i="4"/>
  <c r="I761" i="4"/>
  <c r="I760" i="4"/>
  <c r="I759" i="4"/>
  <c r="I758" i="4"/>
  <c r="I757" i="4"/>
  <c r="I756" i="4"/>
  <c r="I755" i="4"/>
  <c r="I754" i="4"/>
  <c r="I753" i="4"/>
  <c r="I752" i="4"/>
  <c r="I751" i="4"/>
  <c r="I750" i="4"/>
  <c r="I749" i="4"/>
  <c r="I748" i="4"/>
  <c r="I747" i="4"/>
  <c r="I746" i="4"/>
  <c r="I745" i="4"/>
  <c r="I744" i="4"/>
  <c r="I743" i="4"/>
  <c r="I742" i="4"/>
  <c r="I741" i="4"/>
  <c r="I740" i="4"/>
  <c r="I739" i="4"/>
  <c r="I738" i="4"/>
  <c r="I737" i="4"/>
  <c r="I736" i="4"/>
  <c r="I735" i="4"/>
  <c r="I734" i="4"/>
  <c r="I733" i="4"/>
  <c r="I732" i="4"/>
  <c r="I731" i="4"/>
  <c r="I730" i="4"/>
  <c r="I729" i="4"/>
  <c r="I728" i="4"/>
  <c r="I727" i="4"/>
  <c r="I726" i="4"/>
  <c r="I725" i="4"/>
  <c r="I724" i="4"/>
  <c r="I723" i="4"/>
  <c r="I722" i="4"/>
  <c r="I721" i="4"/>
  <c r="I720" i="4"/>
  <c r="I719" i="4"/>
  <c r="I718" i="4"/>
  <c r="I717" i="4"/>
  <c r="I716" i="4"/>
  <c r="I715" i="4"/>
  <c r="I714" i="4"/>
  <c r="I713" i="4"/>
  <c r="I712" i="4"/>
  <c r="I711" i="4"/>
  <c r="I710" i="4"/>
  <c r="I709" i="4"/>
  <c r="I708" i="4"/>
  <c r="I707" i="4"/>
  <c r="I706" i="4"/>
  <c r="I705" i="4"/>
  <c r="I704" i="4"/>
  <c r="I703" i="4"/>
  <c r="I702" i="4"/>
  <c r="I701" i="4"/>
  <c r="I700" i="4"/>
  <c r="I699" i="4"/>
  <c r="I698" i="4"/>
  <c r="I697" i="4"/>
  <c r="I696" i="4"/>
  <c r="I695" i="4"/>
  <c r="I694" i="4"/>
  <c r="I693" i="4"/>
  <c r="I692" i="4"/>
  <c r="I691" i="4"/>
  <c r="I690" i="4"/>
  <c r="I689" i="4"/>
  <c r="I688" i="4"/>
  <c r="I687" i="4"/>
  <c r="I686" i="4"/>
  <c r="I685" i="4"/>
  <c r="I684" i="4"/>
  <c r="I683" i="4"/>
  <c r="I682" i="4"/>
  <c r="I681" i="4"/>
  <c r="I680" i="4"/>
  <c r="I679" i="4"/>
  <c r="I678" i="4"/>
  <c r="I677" i="4"/>
  <c r="I676" i="4"/>
  <c r="I675" i="4"/>
  <c r="I674" i="4"/>
  <c r="I673" i="4"/>
  <c r="I672" i="4"/>
  <c r="I671" i="4"/>
  <c r="I670" i="4"/>
  <c r="I669" i="4"/>
  <c r="I668" i="4"/>
  <c r="I667" i="4"/>
  <c r="I666" i="4"/>
  <c r="I665" i="4"/>
  <c r="I664" i="4"/>
  <c r="I663" i="4"/>
  <c r="I662" i="4"/>
  <c r="I661" i="4"/>
  <c r="I660" i="4"/>
  <c r="I659" i="4"/>
  <c r="I658" i="4"/>
  <c r="I657" i="4"/>
  <c r="I656" i="4"/>
  <c r="I655" i="4"/>
  <c r="I654" i="4"/>
  <c r="I653" i="4"/>
  <c r="I652" i="4"/>
  <c r="I651" i="4"/>
  <c r="I650" i="4"/>
  <c r="I649" i="4"/>
  <c r="I648" i="4"/>
  <c r="I647" i="4"/>
  <c r="I646" i="4"/>
  <c r="I645" i="4"/>
  <c r="I644" i="4"/>
  <c r="I643" i="4"/>
  <c r="I642" i="4"/>
  <c r="I641" i="4"/>
  <c r="I640" i="4"/>
  <c r="I639" i="4"/>
  <c r="I638" i="4"/>
  <c r="I637" i="4"/>
  <c r="I636" i="4"/>
  <c r="I635" i="4"/>
  <c r="I634" i="4"/>
  <c r="I633" i="4"/>
  <c r="I632" i="4"/>
  <c r="I631" i="4"/>
  <c r="I630" i="4"/>
  <c r="I629" i="4"/>
  <c r="I628" i="4"/>
  <c r="I627" i="4"/>
  <c r="I626" i="4"/>
  <c r="I625" i="4"/>
  <c r="I624" i="4"/>
  <c r="I623" i="4"/>
  <c r="I622" i="4"/>
  <c r="I621" i="4"/>
  <c r="I620" i="4"/>
  <c r="I619" i="4"/>
  <c r="I618" i="4"/>
  <c r="I617" i="4"/>
  <c r="I616" i="4"/>
  <c r="I615" i="4"/>
  <c r="I614" i="4"/>
  <c r="I613" i="4"/>
  <c r="I612" i="4"/>
  <c r="I611" i="4"/>
  <c r="I610" i="4"/>
  <c r="I609" i="4"/>
  <c r="I608" i="4"/>
  <c r="I607" i="4"/>
  <c r="I606" i="4"/>
  <c r="I605" i="4"/>
  <c r="I604" i="4"/>
  <c r="I603" i="4"/>
  <c r="I602" i="4"/>
  <c r="I601" i="4"/>
  <c r="I600" i="4"/>
  <c r="I599" i="4"/>
  <c r="I598" i="4"/>
  <c r="I597" i="4"/>
  <c r="I596" i="4"/>
  <c r="I595" i="4"/>
  <c r="I594" i="4"/>
  <c r="I593" i="4"/>
  <c r="I592" i="4"/>
  <c r="I591" i="4"/>
  <c r="I590" i="4"/>
  <c r="I589" i="4"/>
  <c r="I588" i="4"/>
  <c r="I587" i="4"/>
  <c r="I586" i="4"/>
  <c r="I585" i="4"/>
  <c r="I584" i="4"/>
  <c r="I583" i="4"/>
  <c r="I582" i="4"/>
  <c r="I581" i="4"/>
  <c r="I580" i="4"/>
  <c r="I579" i="4"/>
  <c r="I578" i="4"/>
  <c r="I577" i="4"/>
  <c r="I576" i="4"/>
  <c r="I575" i="4"/>
  <c r="I574" i="4"/>
  <c r="I573" i="4"/>
  <c r="I572" i="4"/>
  <c r="I571" i="4"/>
  <c r="I570" i="4"/>
  <c r="I569" i="4"/>
  <c r="I568" i="4"/>
  <c r="I567" i="4"/>
  <c r="I566" i="4"/>
  <c r="I565" i="4"/>
  <c r="I564" i="4"/>
  <c r="I563" i="4"/>
  <c r="I562" i="4"/>
  <c r="I561" i="4"/>
  <c r="I560" i="4"/>
  <c r="I559" i="4"/>
  <c r="I558" i="4"/>
  <c r="I557" i="4"/>
  <c r="I556" i="4"/>
  <c r="I555" i="4"/>
  <c r="I554" i="4"/>
  <c r="I553" i="4"/>
  <c r="I552" i="4"/>
  <c r="I551" i="4"/>
  <c r="I550" i="4"/>
  <c r="I549" i="4"/>
  <c r="I548" i="4"/>
  <c r="I547" i="4"/>
  <c r="I546" i="4"/>
  <c r="I545" i="4"/>
  <c r="I544" i="4"/>
  <c r="I543" i="4"/>
  <c r="I542" i="4"/>
  <c r="I541" i="4"/>
  <c r="I540" i="4"/>
  <c r="I539" i="4"/>
  <c r="I538" i="4"/>
  <c r="I537" i="4"/>
  <c r="I536" i="4"/>
  <c r="I535" i="4"/>
  <c r="I534" i="4"/>
  <c r="I533" i="4"/>
  <c r="I532" i="4"/>
  <c r="I531" i="4"/>
  <c r="I530" i="4"/>
  <c r="I529" i="4"/>
  <c r="I528" i="4"/>
  <c r="I527" i="4"/>
  <c r="I526" i="4"/>
  <c r="I525" i="4"/>
  <c r="I524" i="4"/>
  <c r="I523" i="4"/>
  <c r="I522" i="4"/>
  <c r="I521" i="4"/>
  <c r="I520" i="4"/>
  <c r="I519" i="4"/>
  <c r="I518" i="4"/>
  <c r="I517" i="4"/>
  <c r="I516" i="4"/>
  <c r="I515" i="4"/>
  <c r="I514" i="4"/>
  <c r="I513" i="4"/>
  <c r="I512" i="4"/>
  <c r="I511" i="4"/>
  <c r="I510" i="4"/>
  <c r="I509" i="4"/>
  <c r="I508" i="4"/>
  <c r="I507" i="4"/>
  <c r="I506" i="4"/>
  <c r="I505" i="4"/>
  <c r="I504" i="4"/>
  <c r="I503" i="4"/>
  <c r="I502" i="4"/>
  <c r="I501" i="4"/>
  <c r="I500" i="4"/>
  <c r="I499" i="4"/>
  <c r="I498" i="4"/>
  <c r="I497" i="4"/>
  <c r="I496" i="4"/>
  <c r="I495" i="4"/>
  <c r="I494" i="4"/>
  <c r="I493" i="4"/>
  <c r="I492" i="4"/>
  <c r="I491" i="4"/>
  <c r="I490" i="4"/>
  <c r="I489" i="4"/>
  <c r="I488" i="4"/>
  <c r="I487" i="4"/>
  <c r="I486" i="4"/>
  <c r="I485" i="4"/>
  <c r="I484" i="4"/>
  <c r="I483" i="4"/>
  <c r="I482" i="4"/>
  <c r="I481" i="4"/>
  <c r="I480" i="4"/>
  <c r="I479" i="4"/>
  <c r="I478" i="4"/>
  <c r="I477" i="4"/>
  <c r="I476" i="4"/>
  <c r="I475" i="4"/>
  <c r="I474" i="4"/>
  <c r="I473" i="4"/>
  <c r="L1002" i="4"/>
  <c r="K1002" i="4"/>
  <c r="J1002" i="4"/>
  <c r="L1001" i="4"/>
  <c r="K1001" i="4"/>
  <c r="J1001" i="4"/>
  <c r="L1000" i="4"/>
  <c r="K1000" i="4"/>
  <c r="J1000" i="4"/>
  <c r="L999" i="4"/>
  <c r="K999" i="4"/>
  <c r="J999" i="4"/>
  <c r="L998" i="4"/>
  <c r="K998" i="4"/>
  <c r="J998" i="4"/>
  <c r="L997" i="4"/>
  <c r="K997" i="4"/>
  <c r="J997" i="4"/>
  <c r="L996" i="4"/>
  <c r="K996" i="4"/>
  <c r="J996" i="4"/>
  <c r="L995" i="4"/>
  <c r="K995" i="4"/>
  <c r="J995" i="4"/>
  <c r="L994" i="4"/>
  <c r="K994" i="4"/>
  <c r="J994" i="4"/>
  <c r="L993" i="4"/>
  <c r="K993" i="4"/>
  <c r="J993" i="4"/>
  <c r="L992" i="4"/>
  <c r="K992" i="4"/>
  <c r="J992" i="4"/>
  <c r="L991" i="4"/>
  <c r="K991" i="4"/>
  <c r="J991" i="4"/>
  <c r="L990" i="4"/>
  <c r="K990" i="4"/>
  <c r="J990" i="4"/>
  <c r="L989" i="4"/>
  <c r="K989" i="4"/>
  <c r="J989" i="4"/>
  <c r="L988" i="4"/>
  <c r="K988" i="4"/>
  <c r="J988" i="4"/>
  <c r="L987" i="4"/>
  <c r="K987" i="4"/>
  <c r="J987" i="4"/>
  <c r="L986" i="4"/>
  <c r="K986" i="4"/>
  <c r="J986" i="4"/>
  <c r="L985" i="4"/>
  <c r="K985" i="4"/>
  <c r="J985" i="4"/>
  <c r="L984" i="4"/>
  <c r="K984" i="4"/>
  <c r="J984" i="4"/>
  <c r="L983" i="4"/>
  <c r="K983" i="4"/>
  <c r="J983" i="4"/>
  <c r="L982" i="4"/>
  <c r="K982" i="4"/>
  <c r="J982" i="4"/>
  <c r="L981" i="4"/>
  <c r="K981" i="4"/>
  <c r="J981" i="4"/>
  <c r="L980" i="4"/>
  <c r="K980" i="4"/>
  <c r="J980" i="4"/>
  <c r="L979" i="4"/>
  <c r="K979" i="4"/>
  <c r="J979" i="4"/>
  <c r="L978" i="4"/>
  <c r="K978" i="4"/>
  <c r="J978" i="4"/>
  <c r="L977" i="4"/>
  <c r="K977" i="4"/>
  <c r="J977" i="4"/>
  <c r="L976" i="4"/>
  <c r="K976" i="4"/>
  <c r="J976" i="4"/>
  <c r="L975" i="4"/>
  <c r="K975" i="4"/>
  <c r="J975" i="4"/>
  <c r="L974" i="4"/>
  <c r="K974" i="4"/>
  <c r="J974" i="4"/>
  <c r="L973" i="4"/>
  <c r="K973" i="4"/>
  <c r="J973" i="4"/>
  <c r="L972" i="4"/>
  <c r="K972" i="4"/>
  <c r="J972" i="4"/>
  <c r="L971" i="4"/>
  <c r="K971" i="4"/>
  <c r="J971" i="4"/>
  <c r="L970" i="4"/>
  <c r="K970" i="4"/>
  <c r="J970" i="4"/>
  <c r="L969" i="4"/>
  <c r="K969" i="4"/>
  <c r="J969" i="4"/>
  <c r="L968" i="4"/>
  <c r="K968" i="4"/>
  <c r="J968" i="4"/>
  <c r="L967" i="4"/>
  <c r="K967" i="4"/>
  <c r="J967" i="4"/>
  <c r="L966" i="4"/>
  <c r="K966" i="4"/>
  <c r="J966" i="4"/>
  <c r="L965" i="4"/>
  <c r="K965" i="4"/>
  <c r="J965" i="4"/>
  <c r="L964" i="4"/>
  <c r="K964" i="4"/>
  <c r="J964" i="4"/>
  <c r="L963" i="4"/>
  <c r="K963" i="4"/>
  <c r="J963" i="4"/>
  <c r="L962" i="4"/>
  <c r="K962" i="4"/>
  <c r="J962" i="4"/>
  <c r="L961" i="4"/>
  <c r="K961" i="4"/>
  <c r="J961" i="4"/>
  <c r="L960" i="4"/>
  <c r="K960" i="4"/>
  <c r="J960" i="4"/>
  <c r="L959" i="4"/>
  <c r="K959" i="4"/>
  <c r="J959" i="4"/>
  <c r="L958" i="4"/>
  <c r="K958" i="4"/>
  <c r="J958" i="4"/>
  <c r="L957" i="4"/>
  <c r="K957" i="4"/>
  <c r="J957" i="4"/>
  <c r="L956" i="4"/>
  <c r="K956" i="4"/>
  <c r="J956" i="4"/>
  <c r="L955" i="4"/>
  <c r="K955" i="4"/>
  <c r="J955" i="4"/>
  <c r="L954" i="4"/>
  <c r="K954" i="4"/>
  <c r="J954" i="4"/>
  <c r="L953" i="4"/>
  <c r="K953" i="4"/>
  <c r="J953" i="4"/>
  <c r="L952" i="4"/>
  <c r="K952" i="4"/>
  <c r="J952" i="4"/>
  <c r="L951" i="4"/>
  <c r="K951" i="4"/>
  <c r="J951" i="4"/>
  <c r="L950" i="4"/>
  <c r="K950" i="4"/>
  <c r="J950" i="4"/>
  <c r="L949" i="4"/>
  <c r="K949" i="4"/>
  <c r="J949" i="4"/>
  <c r="L948" i="4"/>
  <c r="K948" i="4"/>
  <c r="J948" i="4"/>
  <c r="L947" i="4"/>
  <c r="K947" i="4"/>
  <c r="J947" i="4"/>
  <c r="L946" i="4"/>
  <c r="K946" i="4"/>
  <c r="J946" i="4"/>
  <c r="L945" i="4"/>
  <c r="K945" i="4"/>
  <c r="J945" i="4"/>
  <c r="L944" i="4"/>
  <c r="K944" i="4"/>
  <c r="J944" i="4"/>
  <c r="L943" i="4"/>
  <c r="K943" i="4"/>
  <c r="J943" i="4"/>
  <c r="L942" i="4"/>
  <c r="K942" i="4"/>
  <c r="J942" i="4"/>
  <c r="L941" i="4"/>
  <c r="K941" i="4"/>
  <c r="J941" i="4"/>
  <c r="L940" i="4"/>
  <c r="K940" i="4"/>
  <c r="J940" i="4"/>
  <c r="L939" i="4"/>
  <c r="K939" i="4"/>
  <c r="J939" i="4"/>
  <c r="L938" i="4"/>
  <c r="K938" i="4"/>
  <c r="J938" i="4"/>
  <c r="L937" i="4"/>
  <c r="K937" i="4"/>
  <c r="J937" i="4"/>
  <c r="L936" i="4"/>
  <c r="K936" i="4"/>
  <c r="J936" i="4"/>
  <c r="L935" i="4"/>
  <c r="K935" i="4"/>
  <c r="J935" i="4"/>
  <c r="L934" i="4"/>
  <c r="K934" i="4"/>
  <c r="J934" i="4"/>
  <c r="L933" i="4"/>
  <c r="K933" i="4"/>
  <c r="J933" i="4"/>
  <c r="L932" i="4"/>
  <c r="K932" i="4"/>
  <c r="J932" i="4"/>
  <c r="L931" i="4"/>
  <c r="K931" i="4"/>
  <c r="J931" i="4"/>
  <c r="L930" i="4"/>
  <c r="K930" i="4"/>
  <c r="J930" i="4"/>
  <c r="L929" i="4"/>
  <c r="K929" i="4"/>
  <c r="J929" i="4"/>
  <c r="L928" i="4"/>
  <c r="K928" i="4"/>
  <c r="J928" i="4"/>
  <c r="L927" i="4"/>
  <c r="K927" i="4"/>
  <c r="J927" i="4"/>
  <c r="L926" i="4"/>
  <c r="K926" i="4"/>
  <c r="J926" i="4"/>
  <c r="L925" i="4"/>
  <c r="K925" i="4"/>
  <c r="J925" i="4"/>
  <c r="L924" i="4"/>
  <c r="K924" i="4"/>
  <c r="J924" i="4"/>
  <c r="L923" i="4"/>
  <c r="K923" i="4"/>
  <c r="J923" i="4"/>
  <c r="L922" i="4"/>
  <c r="K922" i="4"/>
  <c r="J922" i="4"/>
  <c r="L921" i="4"/>
  <c r="K921" i="4"/>
  <c r="J921" i="4"/>
  <c r="L920" i="4"/>
  <c r="K920" i="4"/>
  <c r="J920" i="4"/>
  <c r="L919" i="4"/>
  <c r="K919" i="4"/>
  <c r="J919" i="4"/>
  <c r="L918" i="4"/>
  <c r="K918" i="4"/>
  <c r="J918" i="4"/>
  <c r="L917" i="4"/>
  <c r="K917" i="4"/>
  <c r="J917" i="4"/>
  <c r="L916" i="4"/>
  <c r="K916" i="4"/>
  <c r="J916" i="4"/>
  <c r="L915" i="4"/>
  <c r="K915" i="4"/>
  <c r="J915" i="4"/>
  <c r="L914" i="4"/>
  <c r="K914" i="4"/>
  <c r="J914" i="4"/>
  <c r="L913" i="4"/>
  <c r="K913" i="4"/>
  <c r="J913" i="4"/>
  <c r="L912" i="4"/>
  <c r="K912" i="4"/>
  <c r="J912" i="4"/>
  <c r="L911" i="4"/>
  <c r="K911" i="4"/>
  <c r="J911" i="4"/>
  <c r="L910" i="4"/>
  <c r="K910" i="4"/>
  <c r="J910" i="4"/>
  <c r="L909" i="4"/>
  <c r="K909" i="4"/>
  <c r="J909" i="4"/>
  <c r="L908" i="4"/>
  <c r="K908" i="4"/>
  <c r="J908" i="4"/>
  <c r="L907" i="4"/>
  <c r="K907" i="4"/>
  <c r="J907" i="4"/>
  <c r="L906" i="4"/>
  <c r="K906" i="4"/>
  <c r="J906" i="4"/>
  <c r="L905" i="4"/>
  <c r="K905" i="4"/>
  <c r="J905" i="4"/>
  <c r="L904" i="4"/>
  <c r="K904" i="4"/>
  <c r="J904" i="4"/>
  <c r="L903" i="4"/>
  <c r="K903" i="4"/>
  <c r="J903" i="4"/>
  <c r="L902" i="4"/>
  <c r="K902" i="4"/>
  <c r="J902" i="4"/>
  <c r="L901" i="4"/>
  <c r="K901" i="4"/>
  <c r="J901" i="4"/>
  <c r="L900" i="4"/>
  <c r="K900" i="4"/>
  <c r="J900" i="4"/>
  <c r="L899" i="4"/>
  <c r="K899" i="4"/>
  <c r="J899" i="4"/>
  <c r="L898" i="4"/>
  <c r="K898" i="4"/>
  <c r="J898" i="4"/>
  <c r="L897" i="4"/>
  <c r="K897" i="4"/>
  <c r="J897" i="4"/>
  <c r="L896" i="4"/>
  <c r="K896" i="4"/>
  <c r="J896" i="4"/>
  <c r="L895" i="4"/>
  <c r="K895" i="4"/>
  <c r="J895" i="4"/>
  <c r="L894" i="4"/>
  <c r="K894" i="4"/>
  <c r="J894" i="4"/>
  <c r="L893" i="4"/>
  <c r="K893" i="4"/>
  <c r="J893" i="4"/>
  <c r="L892" i="4"/>
  <c r="K892" i="4"/>
  <c r="J892" i="4"/>
  <c r="L891" i="4"/>
  <c r="K891" i="4"/>
  <c r="J891" i="4"/>
  <c r="L890" i="4"/>
  <c r="K890" i="4"/>
  <c r="J890" i="4"/>
  <c r="L889" i="4"/>
  <c r="K889" i="4"/>
  <c r="J889" i="4"/>
  <c r="L888" i="4"/>
  <c r="K888" i="4"/>
  <c r="J888" i="4"/>
  <c r="L887" i="4"/>
  <c r="K887" i="4"/>
  <c r="J887" i="4"/>
  <c r="L886" i="4"/>
  <c r="K886" i="4"/>
  <c r="J886" i="4"/>
  <c r="L885" i="4"/>
  <c r="K885" i="4"/>
  <c r="J885" i="4"/>
  <c r="L884" i="4"/>
  <c r="K884" i="4"/>
  <c r="J884" i="4"/>
  <c r="L883" i="4"/>
  <c r="K883" i="4"/>
  <c r="J883" i="4"/>
  <c r="L882" i="4"/>
  <c r="K882" i="4"/>
  <c r="J882" i="4"/>
  <c r="L881" i="4"/>
  <c r="K881" i="4"/>
  <c r="J881" i="4"/>
  <c r="L880" i="4"/>
  <c r="K880" i="4"/>
  <c r="J880" i="4"/>
  <c r="L879" i="4"/>
  <c r="K879" i="4"/>
  <c r="J879" i="4"/>
  <c r="L878" i="4"/>
  <c r="K878" i="4"/>
  <c r="J878" i="4"/>
  <c r="L877" i="4"/>
  <c r="K877" i="4"/>
  <c r="J877" i="4"/>
  <c r="L876" i="4"/>
  <c r="K876" i="4"/>
  <c r="J876" i="4"/>
  <c r="L875" i="4"/>
  <c r="K875" i="4"/>
  <c r="J875" i="4"/>
  <c r="L874" i="4"/>
  <c r="K874" i="4"/>
  <c r="J874" i="4"/>
  <c r="L873" i="4"/>
  <c r="K873" i="4"/>
  <c r="J873" i="4"/>
  <c r="L872" i="4"/>
  <c r="K872" i="4"/>
  <c r="J872" i="4"/>
  <c r="L871" i="4"/>
  <c r="K871" i="4"/>
  <c r="J871" i="4"/>
  <c r="L870" i="4"/>
  <c r="K870" i="4"/>
  <c r="J870" i="4"/>
  <c r="L869" i="4"/>
  <c r="K869" i="4"/>
  <c r="J869" i="4"/>
  <c r="L868" i="4"/>
  <c r="K868" i="4"/>
  <c r="J868" i="4"/>
  <c r="L867" i="4"/>
  <c r="K867" i="4"/>
  <c r="J867" i="4"/>
  <c r="L866" i="4"/>
  <c r="K866" i="4"/>
  <c r="J866" i="4"/>
  <c r="L865" i="4"/>
  <c r="K865" i="4"/>
  <c r="J865" i="4"/>
  <c r="L864" i="4"/>
  <c r="K864" i="4"/>
  <c r="J864" i="4"/>
  <c r="L863" i="4"/>
  <c r="K863" i="4"/>
  <c r="J863" i="4"/>
  <c r="L862" i="4"/>
  <c r="K862" i="4"/>
  <c r="J862" i="4"/>
  <c r="L861" i="4"/>
  <c r="K861" i="4"/>
  <c r="J861" i="4"/>
  <c r="L860" i="4"/>
  <c r="K860" i="4"/>
  <c r="J860" i="4"/>
  <c r="L859" i="4"/>
  <c r="K859" i="4"/>
  <c r="J859" i="4"/>
  <c r="L858" i="4"/>
  <c r="K858" i="4"/>
  <c r="J858" i="4"/>
  <c r="L857" i="4"/>
  <c r="K857" i="4"/>
  <c r="J857" i="4"/>
  <c r="L856" i="4"/>
  <c r="K856" i="4"/>
  <c r="J856" i="4"/>
  <c r="L855" i="4"/>
  <c r="K855" i="4"/>
  <c r="J855" i="4"/>
  <c r="L854" i="4"/>
  <c r="K854" i="4"/>
  <c r="J854" i="4"/>
  <c r="L853" i="4"/>
  <c r="K853" i="4"/>
  <c r="J853" i="4"/>
  <c r="L852" i="4"/>
  <c r="K852" i="4"/>
  <c r="J852" i="4"/>
  <c r="L851" i="4"/>
  <c r="K851" i="4"/>
  <c r="J851" i="4"/>
  <c r="L850" i="4"/>
  <c r="K850" i="4"/>
  <c r="J850" i="4"/>
  <c r="L849" i="4"/>
  <c r="K849" i="4"/>
  <c r="J849" i="4"/>
  <c r="L848" i="4"/>
  <c r="K848" i="4"/>
  <c r="J848" i="4"/>
  <c r="L847" i="4"/>
  <c r="K847" i="4"/>
  <c r="J847" i="4"/>
  <c r="L846" i="4"/>
  <c r="K846" i="4"/>
  <c r="J846" i="4"/>
  <c r="L845" i="4"/>
  <c r="K845" i="4"/>
  <c r="J845" i="4"/>
  <c r="L844" i="4"/>
  <c r="K844" i="4"/>
  <c r="J844" i="4"/>
  <c r="L843" i="4"/>
  <c r="K843" i="4"/>
  <c r="J843" i="4"/>
  <c r="L842" i="4"/>
  <c r="K842" i="4"/>
  <c r="J842" i="4"/>
  <c r="L841" i="4"/>
  <c r="K841" i="4"/>
  <c r="J841" i="4"/>
  <c r="L840" i="4"/>
  <c r="K840" i="4"/>
  <c r="J840" i="4"/>
  <c r="L839" i="4"/>
  <c r="K839" i="4"/>
  <c r="J839" i="4"/>
  <c r="L838" i="4"/>
  <c r="K838" i="4"/>
  <c r="J838" i="4"/>
  <c r="L837" i="4"/>
  <c r="K837" i="4"/>
  <c r="J837" i="4"/>
  <c r="L836" i="4"/>
  <c r="K836" i="4"/>
  <c r="J836" i="4"/>
  <c r="L835" i="4"/>
  <c r="K835" i="4"/>
  <c r="J835" i="4"/>
  <c r="L834" i="4"/>
  <c r="K834" i="4"/>
  <c r="J834" i="4"/>
  <c r="L833" i="4"/>
  <c r="K833" i="4"/>
  <c r="J833" i="4"/>
  <c r="L832" i="4"/>
  <c r="K832" i="4"/>
  <c r="J832" i="4"/>
  <c r="L831" i="4"/>
  <c r="K831" i="4"/>
  <c r="J831" i="4"/>
  <c r="L830" i="4"/>
  <c r="K830" i="4"/>
  <c r="J830" i="4"/>
  <c r="L829" i="4"/>
  <c r="K829" i="4"/>
  <c r="J829" i="4"/>
  <c r="L828" i="4"/>
  <c r="K828" i="4"/>
  <c r="J828" i="4"/>
  <c r="L827" i="4"/>
  <c r="K827" i="4"/>
  <c r="J827" i="4"/>
  <c r="L826" i="4"/>
  <c r="K826" i="4"/>
  <c r="J826" i="4"/>
  <c r="L825" i="4"/>
  <c r="K825" i="4"/>
  <c r="J825" i="4"/>
  <c r="L824" i="4"/>
  <c r="K824" i="4"/>
  <c r="J824" i="4"/>
  <c r="L823" i="4"/>
  <c r="K823" i="4"/>
  <c r="J823" i="4"/>
  <c r="L822" i="4"/>
  <c r="K822" i="4"/>
  <c r="J822" i="4"/>
  <c r="L821" i="4"/>
  <c r="K821" i="4"/>
  <c r="J821" i="4"/>
  <c r="L820" i="4"/>
  <c r="K820" i="4"/>
  <c r="J820" i="4"/>
  <c r="L819" i="4"/>
  <c r="K819" i="4"/>
  <c r="J819" i="4"/>
  <c r="L818" i="4"/>
  <c r="K818" i="4"/>
  <c r="J818" i="4"/>
  <c r="L817" i="4"/>
  <c r="K817" i="4"/>
  <c r="J817" i="4"/>
  <c r="L816" i="4"/>
  <c r="K816" i="4"/>
  <c r="J816" i="4"/>
  <c r="L815" i="4"/>
  <c r="K815" i="4"/>
  <c r="J815" i="4"/>
  <c r="L814" i="4"/>
  <c r="K814" i="4"/>
  <c r="J814" i="4"/>
  <c r="L813" i="4"/>
  <c r="K813" i="4"/>
  <c r="J813" i="4"/>
  <c r="L812" i="4"/>
  <c r="K812" i="4"/>
  <c r="J812" i="4"/>
  <c r="L811" i="4"/>
  <c r="K811" i="4"/>
  <c r="J811" i="4"/>
  <c r="L810" i="4"/>
  <c r="K810" i="4"/>
  <c r="J810" i="4"/>
  <c r="L809" i="4"/>
  <c r="K809" i="4"/>
  <c r="J809" i="4"/>
  <c r="L808" i="4"/>
  <c r="K808" i="4"/>
  <c r="J808" i="4"/>
  <c r="L807" i="4"/>
  <c r="K807" i="4"/>
  <c r="J807" i="4"/>
  <c r="L806" i="4"/>
  <c r="K806" i="4"/>
  <c r="J806" i="4"/>
  <c r="L805" i="4"/>
  <c r="K805" i="4"/>
  <c r="J805" i="4"/>
  <c r="L804" i="4"/>
  <c r="K804" i="4"/>
  <c r="J804" i="4"/>
  <c r="L803" i="4"/>
  <c r="K803" i="4"/>
  <c r="J803" i="4"/>
  <c r="L802" i="4"/>
  <c r="K802" i="4"/>
  <c r="J802" i="4"/>
  <c r="L801" i="4"/>
  <c r="K801" i="4"/>
  <c r="J801" i="4"/>
  <c r="L800" i="4"/>
  <c r="K800" i="4"/>
  <c r="J800" i="4"/>
  <c r="L799" i="4"/>
  <c r="K799" i="4"/>
  <c r="J799" i="4"/>
  <c r="L798" i="4"/>
  <c r="K798" i="4"/>
  <c r="J798" i="4"/>
  <c r="L797" i="4"/>
  <c r="K797" i="4"/>
  <c r="J797" i="4"/>
  <c r="L796" i="4"/>
  <c r="K796" i="4"/>
  <c r="J796" i="4"/>
  <c r="L795" i="4"/>
  <c r="K795" i="4"/>
  <c r="J795" i="4"/>
  <c r="L794" i="4"/>
  <c r="K794" i="4"/>
  <c r="J794" i="4"/>
  <c r="L793" i="4"/>
  <c r="K793" i="4"/>
  <c r="J793" i="4"/>
  <c r="L792" i="4"/>
  <c r="K792" i="4"/>
  <c r="J792" i="4"/>
  <c r="L791" i="4"/>
  <c r="K791" i="4"/>
  <c r="J791" i="4"/>
  <c r="L790" i="4"/>
  <c r="K790" i="4"/>
  <c r="J790" i="4"/>
  <c r="L789" i="4"/>
  <c r="K789" i="4"/>
  <c r="J789" i="4"/>
  <c r="L788" i="4"/>
  <c r="K788" i="4"/>
  <c r="J788" i="4"/>
  <c r="L787" i="4"/>
  <c r="K787" i="4"/>
  <c r="J787" i="4"/>
  <c r="L786" i="4"/>
  <c r="K786" i="4"/>
  <c r="J786" i="4"/>
  <c r="L785" i="4"/>
  <c r="K785" i="4"/>
  <c r="J785" i="4"/>
  <c r="L784" i="4"/>
  <c r="K784" i="4"/>
  <c r="J784" i="4"/>
  <c r="L783" i="4"/>
  <c r="K783" i="4"/>
  <c r="J783" i="4"/>
  <c r="L782" i="4"/>
  <c r="K782" i="4"/>
  <c r="J782" i="4"/>
  <c r="L781" i="4"/>
  <c r="K781" i="4"/>
  <c r="J781" i="4"/>
  <c r="L780" i="4"/>
  <c r="K780" i="4"/>
  <c r="J780" i="4"/>
  <c r="L779" i="4"/>
  <c r="K779" i="4"/>
  <c r="J779" i="4"/>
  <c r="L778" i="4"/>
  <c r="K778" i="4"/>
  <c r="J778" i="4"/>
  <c r="L777" i="4"/>
  <c r="K777" i="4"/>
  <c r="J777" i="4"/>
  <c r="L776" i="4"/>
  <c r="K776" i="4"/>
  <c r="J776" i="4"/>
  <c r="L775" i="4"/>
  <c r="K775" i="4"/>
  <c r="J775" i="4"/>
  <c r="L774" i="4"/>
  <c r="K774" i="4"/>
  <c r="J774" i="4"/>
  <c r="L773" i="4"/>
  <c r="K773" i="4"/>
  <c r="J773" i="4"/>
  <c r="L772" i="4"/>
  <c r="K772" i="4"/>
  <c r="J772" i="4"/>
  <c r="L771" i="4"/>
  <c r="K771" i="4"/>
  <c r="J771" i="4"/>
  <c r="L770" i="4"/>
  <c r="K770" i="4"/>
  <c r="J770" i="4"/>
  <c r="L769" i="4"/>
  <c r="K769" i="4"/>
  <c r="J769" i="4"/>
  <c r="L768" i="4"/>
  <c r="K768" i="4"/>
  <c r="J768" i="4"/>
  <c r="L767" i="4"/>
  <c r="K767" i="4"/>
  <c r="J767" i="4"/>
  <c r="L766" i="4"/>
  <c r="K766" i="4"/>
  <c r="J766" i="4"/>
  <c r="L765" i="4"/>
  <c r="K765" i="4"/>
  <c r="J765" i="4"/>
  <c r="L764" i="4"/>
  <c r="K764" i="4"/>
  <c r="J764" i="4"/>
  <c r="L763" i="4"/>
  <c r="K763" i="4"/>
  <c r="J763" i="4"/>
  <c r="L762" i="4"/>
  <c r="K762" i="4"/>
  <c r="J762" i="4"/>
  <c r="L761" i="4"/>
  <c r="K761" i="4"/>
  <c r="J761" i="4"/>
  <c r="L760" i="4"/>
  <c r="K760" i="4"/>
  <c r="J760" i="4"/>
  <c r="L759" i="4"/>
  <c r="K759" i="4"/>
  <c r="J759" i="4"/>
  <c r="L758" i="4"/>
  <c r="K758" i="4"/>
  <c r="J758" i="4"/>
  <c r="L757" i="4"/>
  <c r="K757" i="4"/>
  <c r="J757" i="4"/>
  <c r="L756" i="4"/>
  <c r="K756" i="4"/>
  <c r="J756" i="4"/>
  <c r="L755" i="4"/>
  <c r="K755" i="4"/>
  <c r="J755" i="4"/>
  <c r="L754" i="4"/>
  <c r="K754" i="4"/>
  <c r="J754" i="4"/>
  <c r="L753" i="4"/>
  <c r="K753" i="4"/>
  <c r="J753" i="4"/>
  <c r="L752" i="4"/>
  <c r="K752" i="4"/>
  <c r="J752" i="4"/>
  <c r="L751" i="4"/>
  <c r="K751" i="4"/>
  <c r="J751" i="4"/>
  <c r="L750" i="4"/>
  <c r="K750" i="4"/>
  <c r="J750" i="4"/>
  <c r="L749" i="4"/>
  <c r="K749" i="4"/>
  <c r="J749" i="4"/>
  <c r="L748" i="4"/>
  <c r="K748" i="4"/>
  <c r="J748" i="4"/>
  <c r="L747" i="4"/>
  <c r="K747" i="4"/>
  <c r="J747" i="4"/>
  <c r="L746" i="4"/>
  <c r="K746" i="4"/>
  <c r="J746" i="4"/>
  <c r="L745" i="4"/>
  <c r="K745" i="4"/>
  <c r="J745" i="4"/>
  <c r="L744" i="4"/>
  <c r="K744" i="4"/>
  <c r="J744" i="4"/>
  <c r="L743" i="4"/>
  <c r="K743" i="4"/>
  <c r="J743" i="4"/>
  <c r="L742" i="4"/>
  <c r="K742" i="4"/>
  <c r="J742" i="4"/>
  <c r="L741" i="4"/>
  <c r="K741" i="4"/>
  <c r="J741" i="4"/>
  <c r="L740" i="4"/>
  <c r="K740" i="4"/>
  <c r="J740" i="4"/>
  <c r="L739" i="4"/>
  <c r="K739" i="4"/>
  <c r="J739" i="4"/>
  <c r="L738" i="4"/>
  <c r="K738" i="4"/>
  <c r="J738" i="4"/>
  <c r="L737" i="4"/>
  <c r="K737" i="4"/>
  <c r="J737" i="4"/>
  <c r="L736" i="4"/>
  <c r="K736" i="4"/>
  <c r="J736" i="4"/>
  <c r="L735" i="4"/>
  <c r="K735" i="4"/>
  <c r="J735" i="4"/>
  <c r="L734" i="4"/>
  <c r="K734" i="4"/>
  <c r="J734" i="4"/>
  <c r="L733" i="4"/>
  <c r="K733" i="4"/>
  <c r="J733" i="4"/>
  <c r="L732" i="4"/>
  <c r="K732" i="4"/>
  <c r="J732" i="4"/>
  <c r="L731" i="4"/>
  <c r="K731" i="4"/>
  <c r="J731" i="4"/>
  <c r="L730" i="4"/>
  <c r="K730" i="4"/>
  <c r="J730" i="4"/>
  <c r="L729" i="4"/>
  <c r="K729" i="4"/>
  <c r="J729" i="4"/>
  <c r="L728" i="4"/>
  <c r="K728" i="4"/>
  <c r="J728" i="4"/>
  <c r="L727" i="4"/>
  <c r="K727" i="4"/>
  <c r="J727" i="4"/>
  <c r="L726" i="4"/>
  <c r="K726" i="4"/>
  <c r="J726" i="4"/>
  <c r="L725" i="4"/>
  <c r="K725" i="4"/>
  <c r="J725" i="4"/>
  <c r="L724" i="4"/>
  <c r="K724" i="4"/>
  <c r="J724" i="4"/>
  <c r="L723" i="4"/>
  <c r="K723" i="4"/>
  <c r="J723" i="4"/>
  <c r="L722" i="4"/>
  <c r="K722" i="4"/>
  <c r="J722" i="4"/>
  <c r="L721" i="4"/>
  <c r="K721" i="4"/>
  <c r="J721" i="4"/>
  <c r="L720" i="4"/>
  <c r="K720" i="4"/>
  <c r="J720" i="4"/>
  <c r="L719" i="4"/>
  <c r="K719" i="4"/>
  <c r="J719" i="4"/>
  <c r="L718" i="4"/>
  <c r="K718" i="4"/>
  <c r="J718" i="4"/>
  <c r="L717" i="4"/>
  <c r="K717" i="4"/>
  <c r="J717" i="4"/>
  <c r="L716" i="4"/>
  <c r="K716" i="4"/>
  <c r="J716" i="4"/>
  <c r="L715" i="4"/>
  <c r="K715" i="4"/>
  <c r="J715" i="4"/>
  <c r="L714" i="4"/>
  <c r="K714" i="4"/>
  <c r="J714" i="4"/>
  <c r="L713" i="4"/>
  <c r="K713" i="4"/>
  <c r="J713" i="4"/>
  <c r="L712" i="4"/>
  <c r="K712" i="4"/>
  <c r="J712" i="4"/>
  <c r="L711" i="4"/>
  <c r="K711" i="4"/>
  <c r="J711" i="4"/>
  <c r="L710" i="4"/>
  <c r="K710" i="4"/>
  <c r="J710" i="4"/>
  <c r="L709" i="4"/>
  <c r="K709" i="4"/>
  <c r="J709" i="4"/>
  <c r="L708" i="4"/>
  <c r="K708" i="4"/>
  <c r="J708" i="4"/>
  <c r="L707" i="4"/>
  <c r="K707" i="4"/>
  <c r="J707" i="4"/>
  <c r="L706" i="4"/>
  <c r="K706" i="4"/>
  <c r="J706" i="4"/>
  <c r="L705" i="4"/>
  <c r="K705" i="4"/>
  <c r="J705" i="4"/>
  <c r="L704" i="4"/>
  <c r="K704" i="4"/>
  <c r="J704" i="4"/>
  <c r="L703" i="4"/>
  <c r="K703" i="4"/>
  <c r="J703" i="4"/>
  <c r="L702" i="4"/>
  <c r="K702" i="4"/>
  <c r="J702" i="4"/>
  <c r="L701" i="4"/>
  <c r="K701" i="4"/>
  <c r="J701" i="4"/>
  <c r="L700" i="4"/>
  <c r="K700" i="4"/>
  <c r="J700" i="4"/>
  <c r="L699" i="4"/>
  <c r="K699" i="4"/>
  <c r="J699" i="4"/>
  <c r="L698" i="4"/>
  <c r="K698" i="4"/>
  <c r="J698" i="4"/>
  <c r="L697" i="4"/>
  <c r="K697" i="4"/>
  <c r="J697" i="4"/>
  <c r="L696" i="4"/>
  <c r="K696" i="4"/>
  <c r="J696" i="4"/>
  <c r="L695" i="4"/>
  <c r="K695" i="4"/>
  <c r="J695" i="4"/>
  <c r="L694" i="4"/>
  <c r="K694" i="4"/>
  <c r="J694" i="4"/>
  <c r="L693" i="4"/>
  <c r="K693" i="4"/>
  <c r="J693" i="4"/>
  <c r="L692" i="4"/>
  <c r="K692" i="4"/>
  <c r="J692" i="4"/>
  <c r="L691" i="4"/>
  <c r="K691" i="4"/>
  <c r="J691" i="4"/>
  <c r="L690" i="4"/>
  <c r="K690" i="4"/>
  <c r="J690" i="4"/>
  <c r="L689" i="4"/>
  <c r="K689" i="4"/>
  <c r="J689" i="4"/>
  <c r="L688" i="4"/>
  <c r="K688" i="4"/>
  <c r="J688" i="4"/>
  <c r="L687" i="4"/>
  <c r="K687" i="4"/>
  <c r="J687" i="4"/>
  <c r="L686" i="4"/>
  <c r="K686" i="4"/>
  <c r="J686" i="4"/>
  <c r="L685" i="4"/>
  <c r="K685" i="4"/>
  <c r="J685" i="4"/>
  <c r="L684" i="4"/>
  <c r="K684" i="4"/>
  <c r="J684" i="4"/>
  <c r="L683" i="4"/>
  <c r="K683" i="4"/>
  <c r="J683" i="4"/>
  <c r="L682" i="4"/>
  <c r="K682" i="4"/>
  <c r="J682" i="4"/>
  <c r="L681" i="4"/>
  <c r="K681" i="4"/>
  <c r="J681" i="4"/>
  <c r="L680" i="4"/>
  <c r="K680" i="4"/>
  <c r="J680" i="4"/>
  <c r="L679" i="4"/>
  <c r="K679" i="4"/>
  <c r="J679" i="4"/>
  <c r="L678" i="4"/>
  <c r="K678" i="4"/>
  <c r="J678" i="4"/>
  <c r="L677" i="4"/>
  <c r="K677" i="4"/>
  <c r="J677" i="4"/>
  <c r="L676" i="4"/>
  <c r="K676" i="4"/>
  <c r="J676" i="4"/>
  <c r="L675" i="4"/>
  <c r="K675" i="4"/>
  <c r="J675" i="4"/>
  <c r="L674" i="4"/>
  <c r="K674" i="4"/>
  <c r="J674" i="4"/>
  <c r="L673" i="4"/>
  <c r="K673" i="4"/>
  <c r="J673" i="4"/>
  <c r="L672" i="4"/>
  <c r="K672" i="4"/>
  <c r="J672" i="4"/>
  <c r="L671" i="4"/>
  <c r="K671" i="4"/>
  <c r="J671" i="4"/>
  <c r="L670" i="4"/>
  <c r="K670" i="4"/>
  <c r="J670" i="4"/>
  <c r="L669" i="4"/>
  <c r="K669" i="4"/>
  <c r="J669" i="4"/>
  <c r="L668" i="4"/>
  <c r="K668" i="4"/>
  <c r="J668" i="4"/>
  <c r="L667" i="4"/>
  <c r="K667" i="4"/>
  <c r="J667" i="4"/>
  <c r="L666" i="4"/>
  <c r="K666" i="4"/>
  <c r="J666" i="4"/>
  <c r="L665" i="4"/>
  <c r="K665" i="4"/>
  <c r="J665" i="4"/>
  <c r="L664" i="4"/>
  <c r="K664" i="4"/>
  <c r="J664" i="4"/>
  <c r="L663" i="4"/>
  <c r="K663" i="4"/>
  <c r="J663" i="4"/>
  <c r="L662" i="4"/>
  <c r="K662" i="4"/>
  <c r="J662" i="4"/>
  <c r="L661" i="4"/>
  <c r="K661" i="4"/>
  <c r="J661" i="4"/>
  <c r="L660" i="4"/>
  <c r="K660" i="4"/>
  <c r="J660" i="4"/>
  <c r="L659" i="4"/>
  <c r="K659" i="4"/>
  <c r="J659" i="4"/>
  <c r="L658" i="4"/>
  <c r="K658" i="4"/>
  <c r="J658" i="4"/>
  <c r="L657" i="4"/>
  <c r="K657" i="4"/>
  <c r="J657" i="4"/>
  <c r="L656" i="4"/>
  <c r="K656" i="4"/>
  <c r="J656" i="4"/>
  <c r="L655" i="4"/>
  <c r="K655" i="4"/>
  <c r="J655" i="4"/>
  <c r="L654" i="4"/>
  <c r="K654" i="4"/>
  <c r="J654" i="4"/>
  <c r="L653" i="4"/>
  <c r="K653" i="4"/>
  <c r="J653" i="4"/>
  <c r="L652" i="4"/>
  <c r="K652" i="4"/>
  <c r="J652" i="4"/>
  <c r="L651" i="4"/>
  <c r="K651" i="4"/>
  <c r="J651" i="4"/>
  <c r="L650" i="4"/>
  <c r="K650" i="4"/>
  <c r="J650" i="4"/>
  <c r="L649" i="4"/>
  <c r="K649" i="4"/>
  <c r="J649" i="4"/>
  <c r="L648" i="4"/>
  <c r="K648" i="4"/>
  <c r="J648" i="4"/>
  <c r="L647" i="4"/>
  <c r="K647" i="4"/>
  <c r="J647" i="4"/>
  <c r="L646" i="4"/>
  <c r="K646" i="4"/>
  <c r="J646" i="4"/>
  <c r="L645" i="4"/>
  <c r="K645" i="4"/>
  <c r="J645" i="4"/>
  <c r="L644" i="4"/>
  <c r="K644" i="4"/>
  <c r="J644" i="4"/>
  <c r="L643" i="4"/>
  <c r="K643" i="4"/>
  <c r="J643" i="4"/>
  <c r="L642" i="4"/>
  <c r="K642" i="4"/>
  <c r="J642" i="4"/>
  <c r="L641" i="4"/>
  <c r="K641" i="4"/>
  <c r="J641" i="4"/>
  <c r="L640" i="4"/>
  <c r="K640" i="4"/>
  <c r="J640" i="4"/>
  <c r="L639" i="4"/>
  <c r="K639" i="4"/>
  <c r="J639" i="4"/>
  <c r="L638" i="4"/>
  <c r="K638" i="4"/>
  <c r="J638" i="4"/>
  <c r="L637" i="4"/>
  <c r="K637" i="4"/>
  <c r="J637" i="4"/>
  <c r="L636" i="4"/>
  <c r="K636" i="4"/>
  <c r="J636" i="4"/>
  <c r="L635" i="4"/>
  <c r="K635" i="4"/>
  <c r="J635" i="4"/>
  <c r="L634" i="4"/>
  <c r="K634" i="4"/>
  <c r="J634" i="4"/>
  <c r="L633" i="4"/>
  <c r="K633" i="4"/>
  <c r="J633" i="4"/>
  <c r="L632" i="4"/>
  <c r="K632" i="4"/>
  <c r="J632" i="4"/>
  <c r="L631" i="4"/>
  <c r="K631" i="4"/>
  <c r="J631" i="4"/>
  <c r="L630" i="4"/>
  <c r="K630" i="4"/>
  <c r="J630" i="4"/>
  <c r="L629" i="4"/>
  <c r="K629" i="4"/>
  <c r="J629" i="4"/>
  <c r="L628" i="4"/>
  <c r="K628" i="4"/>
  <c r="J628" i="4"/>
  <c r="L627" i="4"/>
  <c r="K627" i="4"/>
  <c r="J627" i="4"/>
  <c r="L626" i="4"/>
  <c r="K626" i="4"/>
  <c r="J626" i="4"/>
  <c r="L625" i="4"/>
  <c r="K625" i="4"/>
  <c r="J625" i="4"/>
  <c r="L624" i="4"/>
  <c r="K624" i="4"/>
  <c r="J624" i="4"/>
  <c r="L623" i="4"/>
  <c r="K623" i="4"/>
  <c r="J623" i="4"/>
  <c r="L622" i="4"/>
  <c r="K622" i="4"/>
  <c r="J622" i="4"/>
  <c r="L621" i="4"/>
  <c r="K621" i="4"/>
  <c r="J621" i="4"/>
  <c r="L620" i="4"/>
  <c r="K620" i="4"/>
  <c r="J620" i="4"/>
  <c r="L619" i="4"/>
  <c r="K619" i="4"/>
  <c r="J619" i="4"/>
  <c r="L618" i="4"/>
  <c r="K618" i="4"/>
  <c r="J618" i="4"/>
  <c r="L617" i="4"/>
  <c r="K617" i="4"/>
  <c r="J617" i="4"/>
  <c r="L616" i="4"/>
  <c r="K616" i="4"/>
  <c r="J616" i="4"/>
  <c r="L615" i="4"/>
  <c r="K615" i="4"/>
  <c r="J615" i="4"/>
  <c r="L614" i="4"/>
  <c r="K614" i="4"/>
  <c r="J614" i="4"/>
  <c r="L613" i="4"/>
  <c r="K613" i="4"/>
  <c r="J613" i="4"/>
  <c r="L612" i="4"/>
  <c r="K612" i="4"/>
  <c r="J612" i="4"/>
  <c r="L611" i="4"/>
  <c r="K611" i="4"/>
  <c r="J611" i="4"/>
  <c r="L610" i="4"/>
  <c r="K610" i="4"/>
  <c r="J610" i="4"/>
  <c r="L609" i="4"/>
  <c r="K609" i="4"/>
  <c r="J609" i="4"/>
  <c r="L608" i="4"/>
  <c r="K608" i="4"/>
  <c r="J608" i="4"/>
  <c r="L607" i="4"/>
  <c r="K607" i="4"/>
  <c r="J607" i="4"/>
  <c r="L606" i="4"/>
  <c r="K606" i="4"/>
  <c r="J606" i="4"/>
  <c r="L605" i="4"/>
  <c r="K605" i="4"/>
  <c r="J605" i="4"/>
  <c r="L604" i="4"/>
  <c r="K604" i="4"/>
  <c r="J604" i="4"/>
  <c r="L603" i="4"/>
  <c r="K603" i="4"/>
  <c r="J603" i="4"/>
  <c r="L602" i="4"/>
  <c r="K602" i="4"/>
  <c r="J602" i="4"/>
  <c r="L601" i="4"/>
  <c r="K601" i="4"/>
  <c r="J601" i="4"/>
  <c r="L600" i="4"/>
  <c r="K600" i="4"/>
  <c r="J600" i="4"/>
  <c r="L599" i="4"/>
  <c r="K599" i="4"/>
  <c r="J599" i="4"/>
  <c r="L598" i="4"/>
  <c r="K598" i="4"/>
  <c r="J598" i="4"/>
  <c r="L597" i="4"/>
  <c r="K597" i="4"/>
  <c r="J597" i="4"/>
  <c r="L596" i="4"/>
  <c r="K596" i="4"/>
  <c r="J596" i="4"/>
  <c r="L595" i="4"/>
  <c r="K595" i="4"/>
  <c r="J595" i="4"/>
  <c r="L594" i="4"/>
  <c r="K594" i="4"/>
  <c r="J594" i="4"/>
  <c r="L593" i="4"/>
  <c r="K593" i="4"/>
  <c r="J593" i="4"/>
  <c r="L592" i="4"/>
  <c r="K592" i="4"/>
  <c r="J592" i="4"/>
  <c r="L591" i="4"/>
  <c r="K591" i="4"/>
  <c r="J591" i="4"/>
  <c r="L590" i="4"/>
  <c r="K590" i="4"/>
  <c r="J590" i="4"/>
  <c r="L589" i="4"/>
  <c r="K589" i="4"/>
  <c r="J589" i="4"/>
  <c r="L588" i="4"/>
  <c r="K588" i="4"/>
  <c r="J588" i="4"/>
  <c r="L587" i="4"/>
  <c r="K587" i="4"/>
  <c r="J587" i="4"/>
  <c r="L586" i="4"/>
  <c r="K586" i="4"/>
  <c r="J586" i="4"/>
  <c r="L585" i="4"/>
  <c r="K585" i="4"/>
  <c r="J585" i="4"/>
  <c r="L584" i="4"/>
  <c r="K584" i="4"/>
  <c r="J584" i="4"/>
  <c r="L583" i="4"/>
  <c r="K583" i="4"/>
  <c r="J583" i="4"/>
  <c r="L582" i="4"/>
  <c r="K582" i="4"/>
  <c r="J582" i="4"/>
  <c r="L581" i="4"/>
  <c r="K581" i="4"/>
  <c r="J581" i="4"/>
  <c r="L580" i="4"/>
  <c r="K580" i="4"/>
  <c r="J580" i="4"/>
  <c r="L579" i="4"/>
  <c r="K579" i="4"/>
  <c r="J579" i="4"/>
  <c r="L578" i="4"/>
  <c r="K578" i="4"/>
  <c r="J578" i="4"/>
  <c r="L577" i="4"/>
  <c r="K577" i="4"/>
  <c r="J577" i="4"/>
  <c r="L576" i="4"/>
  <c r="K576" i="4"/>
  <c r="J576" i="4"/>
  <c r="L575" i="4"/>
  <c r="K575" i="4"/>
  <c r="J575" i="4"/>
  <c r="L574" i="4"/>
  <c r="K574" i="4"/>
  <c r="J574" i="4"/>
  <c r="L573" i="4"/>
  <c r="K573" i="4"/>
  <c r="J573" i="4"/>
  <c r="L572" i="4"/>
  <c r="K572" i="4"/>
  <c r="J572" i="4"/>
  <c r="L571" i="4"/>
  <c r="K571" i="4"/>
  <c r="J571" i="4"/>
  <c r="L570" i="4"/>
  <c r="K570" i="4"/>
  <c r="J570" i="4"/>
  <c r="L569" i="4"/>
  <c r="K569" i="4"/>
  <c r="J569" i="4"/>
  <c r="L568" i="4"/>
  <c r="K568" i="4"/>
  <c r="J568" i="4"/>
  <c r="L567" i="4"/>
  <c r="K567" i="4"/>
  <c r="J567" i="4"/>
  <c r="L566" i="4"/>
  <c r="K566" i="4"/>
  <c r="J566" i="4"/>
  <c r="L565" i="4"/>
  <c r="K565" i="4"/>
  <c r="J565" i="4"/>
  <c r="L564" i="4"/>
  <c r="K564" i="4"/>
  <c r="J564" i="4"/>
  <c r="L563" i="4"/>
  <c r="K563" i="4"/>
  <c r="J563" i="4"/>
  <c r="L562" i="4"/>
  <c r="K562" i="4"/>
  <c r="J562" i="4"/>
  <c r="L561" i="4"/>
  <c r="K561" i="4"/>
  <c r="J561" i="4"/>
  <c r="L560" i="4"/>
  <c r="K560" i="4"/>
  <c r="J560" i="4"/>
  <c r="L559" i="4"/>
  <c r="K559" i="4"/>
  <c r="J559" i="4"/>
  <c r="L558" i="4"/>
  <c r="K558" i="4"/>
  <c r="J558" i="4"/>
  <c r="L557" i="4"/>
  <c r="K557" i="4"/>
  <c r="J557" i="4"/>
  <c r="L556" i="4"/>
  <c r="K556" i="4"/>
  <c r="J556" i="4"/>
  <c r="L555" i="4"/>
  <c r="K555" i="4"/>
  <c r="J555" i="4"/>
  <c r="L554" i="4"/>
  <c r="K554" i="4"/>
  <c r="J554" i="4"/>
  <c r="L553" i="4"/>
  <c r="K553" i="4"/>
  <c r="J553" i="4"/>
  <c r="L552" i="4"/>
  <c r="K552" i="4"/>
  <c r="J552" i="4"/>
  <c r="L551" i="4"/>
  <c r="K551" i="4"/>
  <c r="J551" i="4"/>
  <c r="L550" i="4"/>
  <c r="K550" i="4"/>
  <c r="J550" i="4"/>
  <c r="L549" i="4"/>
  <c r="K549" i="4"/>
  <c r="J549" i="4"/>
  <c r="L548" i="4"/>
  <c r="K548" i="4"/>
  <c r="J548" i="4"/>
  <c r="L547" i="4"/>
  <c r="K547" i="4"/>
  <c r="J547" i="4"/>
  <c r="L546" i="4"/>
  <c r="K546" i="4"/>
  <c r="J546" i="4"/>
  <c r="L545" i="4"/>
  <c r="K545" i="4"/>
  <c r="J545" i="4"/>
  <c r="L544" i="4"/>
  <c r="K544" i="4"/>
  <c r="J544" i="4"/>
  <c r="L543" i="4"/>
  <c r="K543" i="4"/>
  <c r="J543" i="4"/>
  <c r="L542" i="4"/>
  <c r="K542" i="4"/>
  <c r="J542" i="4"/>
  <c r="L541" i="4"/>
  <c r="K541" i="4"/>
  <c r="J541" i="4"/>
  <c r="L540" i="4"/>
  <c r="K540" i="4"/>
  <c r="J540" i="4"/>
  <c r="L539" i="4"/>
  <c r="K539" i="4"/>
  <c r="J539" i="4"/>
  <c r="L538" i="4"/>
  <c r="K538" i="4"/>
  <c r="J538" i="4"/>
  <c r="L537" i="4"/>
  <c r="K537" i="4"/>
  <c r="J537" i="4"/>
  <c r="L536" i="4"/>
  <c r="K536" i="4"/>
  <c r="J536" i="4"/>
  <c r="L535" i="4"/>
  <c r="K535" i="4"/>
  <c r="J535" i="4"/>
  <c r="L534" i="4"/>
  <c r="K534" i="4"/>
  <c r="J534" i="4"/>
  <c r="L533" i="4"/>
  <c r="K533" i="4"/>
  <c r="J533" i="4"/>
  <c r="L532" i="4"/>
  <c r="K532" i="4"/>
  <c r="J532" i="4"/>
  <c r="L531" i="4"/>
  <c r="K531" i="4"/>
  <c r="J531" i="4"/>
  <c r="L530" i="4"/>
  <c r="K530" i="4"/>
  <c r="J530" i="4"/>
  <c r="L529" i="4"/>
  <c r="K529" i="4"/>
  <c r="J529" i="4"/>
  <c r="L528" i="4"/>
  <c r="K528" i="4"/>
  <c r="J528" i="4"/>
  <c r="L527" i="4"/>
  <c r="K527" i="4"/>
  <c r="J527" i="4"/>
  <c r="L526" i="4"/>
  <c r="K526" i="4"/>
  <c r="J526" i="4"/>
  <c r="L525" i="4"/>
  <c r="K525" i="4"/>
  <c r="J525" i="4"/>
  <c r="L524" i="4"/>
  <c r="K524" i="4"/>
  <c r="J524" i="4"/>
  <c r="L523" i="4"/>
  <c r="K523" i="4"/>
  <c r="J523" i="4"/>
  <c r="L522" i="4"/>
  <c r="K522" i="4"/>
  <c r="J522" i="4"/>
  <c r="L521" i="4"/>
  <c r="K521" i="4"/>
  <c r="J521" i="4"/>
  <c r="L520" i="4"/>
  <c r="K520" i="4"/>
  <c r="J520" i="4"/>
  <c r="L519" i="4"/>
  <c r="K519" i="4"/>
  <c r="J519" i="4"/>
  <c r="L518" i="4"/>
  <c r="K518" i="4"/>
  <c r="J518" i="4"/>
  <c r="L517" i="4"/>
  <c r="K517" i="4"/>
  <c r="J517" i="4"/>
  <c r="L516" i="4"/>
  <c r="K516" i="4"/>
  <c r="J516" i="4"/>
  <c r="L515" i="4"/>
  <c r="K515" i="4"/>
  <c r="J515" i="4"/>
  <c r="L514" i="4"/>
  <c r="K514" i="4"/>
  <c r="J514" i="4"/>
  <c r="L513" i="4"/>
  <c r="K513" i="4"/>
  <c r="J513" i="4"/>
  <c r="L512" i="4"/>
  <c r="K512" i="4"/>
  <c r="J512" i="4"/>
  <c r="L511" i="4"/>
  <c r="K511" i="4"/>
  <c r="J511" i="4"/>
  <c r="L510" i="4"/>
  <c r="K510" i="4"/>
  <c r="J510" i="4"/>
  <c r="L509" i="4"/>
  <c r="K509" i="4"/>
  <c r="J509" i="4"/>
  <c r="L508" i="4"/>
  <c r="K508" i="4"/>
  <c r="J508" i="4"/>
  <c r="L507" i="4"/>
  <c r="K507" i="4"/>
  <c r="J507" i="4"/>
  <c r="L506" i="4"/>
  <c r="K506" i="4"/>
  <c r="J506" i="4"/>
  <c r="L505" i="4"/>
  <c r="K505" i="4"/>
  <c r="J505" i="4"/>
  <c r="L504" i="4"/>
  <c r="K504" i="4"/>
  <c r="J504" i="4"/>
  <c r="L503" i="4"/>
  <c r="K503" i="4"/>
  <c r="J503" i="4"/>
  <c r="L502" i="4"/>
  <c r="K502" i="4"/>
  <c r="J502" i="4"/>
  <c r="L501" i="4"/>
  <c r="K501" i="4"/>
  <c r="J501" i="4"/>
  <c r="L500" i="4"/>
  <c r="K500" i="4"/>
  <c r="J500" i="4"/>
  <c r="L499" i="4"/>
  <c r="K499" i="4"/>
  <c r="J499" i="4"/>
  <c r="L498" i="4"/>
  <c r="K498" i="4"/>
  <c r="J498" i="4"/>
  <c r="L497" i="4"/>
  <c r="K497" i="4"/>
  <c r="J497" i="4"/>
  <c r="L496" i="4"/>
  <c r="K496" i="4"/>
  <c r="J496" i="4"/>
  <c r="L495" i="4"/>
  <c r="K495" i="4"/>
  <c r="J495" i="4"/>
  <c r="L494" i="4"/>
  <c r="K494" i="4"/>
  <c r="J494" i="4"/>
  <c r="L493" i="4"/>
  <c r="K493" i="4"/>
  <c r="J493" i="4"/>
  <c r="L492" i="4"/>
  <c r="K492" i="4"/>
  <c r="J492" i="4"/>
  <c r="L491" i="4"/>
  <c r="K491" i="4"/>
  <c r="J491" i="4"/>
  <c r="L490" i="4"/>
  <c r="K490" i="4"/>
  <c r="J490" i="4"/>
  <c r="L489" i="4"/>
  <c r="K489" i="4"/>
  <c r="J489" i="4"/>
  <c r="L488" i="4"/>
  <c r="K488" i="4"/>
  <c r="J488" i="4"/>
  <c r="L487" i="4"/>
  <c r="K487" i="4"/>
  <c r="J487" i="4"/>
  <c r="L486" i="4"/>
  <c r="K486" i="4"/>
  <c r="J486" i="4"/>
  <c r="L485" i="4"/>
  <c r="K485" i="4"/>
  <c r="J485" i="4"/>
  <c r="L484" i="4"/>
  <c r="K484" i="4"/>
  <c r="J484" i="4"/>
  <c r="L483" i="4"/>
  <c r="K483" i="4"/>
  <c r="J483" i="4"/>
  <c r="L482" i="4"/>
  <c r="K482" i="4"/>
  <c r="J482" i="4"/>
  <c r="L481" i="4"/>
  <c r="K481" i="4"/>
  <c r="J481" i="4"/>
  <c r="L480" i="4"/>
  <c r="K480" i="4"/>
  <c r="J480" i="4"/>
  <c r="L479" i="4"/>
  <c r="K479" i="4"/>
  <c r="J479" i="4"/>
  <c r="L478" i="4"/>
  <c r="K478" i="4"/>
  <c r="J478" i="4"/>
  <c r="L477" i="4"/>
  <c r="K477" i="4"/>
  <c r="J477" i="4"/>
  <c r="L476" i="4"/>
  <c r="K476" i="4"/>
  <c r="J476" i="4"/>
  <c r="L475" i="4"/>
  <c r="K475" i="4"/>
  <c r="J475" i="4"/>
  <c r="L474" i="4"/>
  <c r="K474" i="4"/>
  <c r="J474" i="4"/>
  <c r="L473" i="4"/>
  <c r="K473" i="4"/>
  <c r="J473" i="4"/>
  <c r="AF18" i="10" l="1"/>
  <c r="AJ18" i="10" s="1"/>
  <c r="AB26" i="10"/>
  <c r="S25" i="10"/>
  <c r="T25" i="10" s="1"/>
  <c r="AE19" i="10"/>
  <c r="AG19" i="10" s="1"/>
  <c r="AE21" i="10"/>
  <c r="AG21" i="10" s="1"/>
  <c r="AE20" i="10"/>
  <c r="AX25" i="10"/>
  <c r="AD22" i="10"/>
  <c r="Z23" i="10"/>
  <c r="J25" i="10"/>
  <c r="H25" i="10"/>
  <c r="K25" i="10"/>
  <c r="AL26" i="10"/>
  <c r="AM26" i="10"/>
  <c r="Q26" i="10"/>
  <c r="L26" i="10"/>
  <c r="O26" i="10"/>
  <c r="P26" i="10"/>
  <c r="AV24" i="10"/>
  <c r="R25" i="10"/>
  <c r="BA25" i="10"/>
  <c r="BC25" i="10"/>
  <c r="BB25" i="10"/>
  <c r="L49" i="4"/>
  <c r="L216" i="4"/>
  <c r="L265" i="4"/>
  <c r="L257" i="4"/>
  <c r="Q3" i="4"/>
  <c r="L3" i="4" s="1"/>
  <c r="AB27" i="10" l="1"/>
  <c r="AF21" i="10"/>
  <c r="AJ21" i="10" s="1"/>
  <c r="AF19" i="10"/>
  <c r="AJ19" i="10" s="1"/>
  <c r="AE22" i="10"/>
  <c r="AF20" i="10"/>
  <c r="AG20" i="10"/>
  <c r="AX26" i="10"/>
  <c r="Z24" i="10"/>
  <c r="Z25" i="10" s="1"/>
  <c r="AD23" i="10"/>
  <c r="J26" i="10"/>
  <c r="K26" i="10"/>
  <c r="H26" i="10"/>
  <c r="I26" i="10"/>
  <c r="AV25" i="10"/>
  <c r="Q27" i="10"/>
  <c r="AM27" i="10"/>
  <c r="AL27" i="10"/>
  <c r="L27" i="10"/>
  <c r="O27" i="10"/>
  <c r="P27" i="10"/>
  <c r="R26" i="10"/>
  <c r="BA26" i="10"/>
  <c r="BB26" i="10"/>
  <c r="BC26" i="10"/>
  <c r="L259" i="4"/>
  <c r="L5" i="4"/>
  <c r="L310" i="4"/>
  <c r="L272" i="4"/>
  <c r="L66" i="4"/>
  <c r="L319" i="4"/>
  <c r="L243" i="4"/>
  <c r="L36" i="4"/>
  <c r="L260" i="4"/>
  <c r="L321" i="4"/>
  <c r="L278" i="4"/>
  <c r="L56" i="4"/>
  <c r="L224" i="4"/>
  <c r="L58" i="4"/>
  <c r="L28" i="4"/>
  <c r="L293" i="4"/>
  <c r="L229" i="4"/>
  <c r="L53" i="4"/>
  <c r="L266" i="4"/>
  <c r="L268" i="4"/>
  <c r="L54" i="4"/>
  <c r="L230" i="4"/>
  <c r="L313" i="4"/>
  <c r="L41" i="4"/>
  <c r="L312" i="4"/>
  <c r="L33" i="4"/>
  <c r="L298" i="4"/>
  <c r="L42" i="4"/>
  <c r="L290" i="4"/>
  <c r="L34" i="4"/>
  <c r="L275" i="4"/>
  <c r="L25" i="4"/>
  <c r="L7" i="4"/>
  <c r="L264" i="4"/>
  <c r="L48" i="4"/>
  <c r="L44" i="4"/>
  <c r="L249" i="4"/>
  <c r="L255" i="4"/>
  <c r="L208" i="4"/>
  <c r="L241" i="4"/>
  <c r="L311" i="4"/>
  <c r="L247" i="4"/>
  <c r="L43" i="4"/>
  <c r="L221" i="4"/>
  <c r="L39" i="4"/>
  <c r="L258" i="4"/>
  <c r="L222" i="4"/>
  <c r="L67" i="4"/>
  <c r="L236" i="4"/>
  <c r="L248" i="4"/>
  <c r="L38" i="4"/>
  <c r="L11" i="4"/>
  <c r="L307" i="4"/>
  <c r="L286" i="4"/>
  <c r="L302" i="4"/>
  <c r="L62" i="4"/>
  <c r="L238" i="4"/>
  <c r="L251" i="4"/>
  <c r="L47" i="4"/>
  <c r="L315" i="4"/>
  <c r="L223" i="4"/>
  <c r="L218" i="4"/>
  <c r="L63" i="4"/>
  <c r="L318" i="4"/>
  <c r="L246" i="4"/>
  <c r="L280" i="4"/>
  <c r="L35" i="4"/>
  <c r="L256" i="4"/>
  <c r="L301" i="4"/>
  <c r="L274" i="4"/>
  <c r="L210" i="4"/>
  <c r="L276" i="4"/>
  <c r="L281" i="4"/>
  <c r="L271" i="4"/>
  <c r="L207" i="4"/>
  <c r="L228" i="4"/>
  <c r="L27" i="4"/>
  <c r="L70" i="4"/>
  <c r="L19" i="4"/>
  <c r="L55" i="4"/>
  <c r="L4" i="4"/>
  <c r="L204" i="4"/>
  <c r="L471" i="4"/>
  <c r="L215" i="4"/>
  <c r="L6" i="4"/>
  <c r="L245" i="4"/>
  <c r="L242" i="4"/>
  <c r="L50" i="4"/>
  <c r="L470" i="4"/>
  <c r="L206" i="4"/>
  <c r="L320" i="4"/>
  <c r="L273" i="4"/>
  <c r="L15" i="4"/>
  <c r="L16" i="4"/>
  <c r="L309" i="4"/>
  <c r="L57" i="4"/>
  <c r="L282" i="4"/>
  <c r="L284" i="4"/>
  <c r="L289" i="4"/>
  <c r="L279" i="4"/>
  <c r="L277" i="4"/>
  <c r="L37" i="4"/>
  <c r="L250" i="4"/>
  <c r="L225" i="4"/>
  <c r="L299" i="4"/>
  <c r="L24" i="4"/>
  <c r="L214" i="4"/>
  <c r="L32" i="4"/>
  <c r="L23" i="4"/>
  <c r="L205" i="4"/>
  <c r="L18" i="4"/>
  <c r="L209" i="4"/>
  <c r="L306" i="4"/>
  <c r="L244" i="4"/>
  <c r="L303" i="4"/>
  <c r="L68" i="4"/>
  <c r="L227" i="4"/>
  <c r="L270" i="4"/>
  <c r="L472" i="4"/>
  <c r="L261" i="4"/>
  <c r="L10" i="4"/>
  <c r="L234" i="4"/>
  <c r="L305" i="4"/>
  <c r="L295" i="4"/>
  <c r="L231" i="4"/>
  <c r="L300" i="4"/>
  <c r="L60" i="4"/>
  <c r="L283" i="4"/>
  <c r="L219" i="4"/>
  <c r="L262" i="4"/>
  <c r="L267" i="4"/>
  <c r="L59" i="4"/>
  <c r="L237" i="4"/>
  <c r="L20" i="4"/>
  <c r="L308" i="4"/>
  <c r="L285" i="4"/>
  <c r="L213" i="4"/>
  <c r="L26" i="4"/>
  <c r="L217" i="4"/>
  <c r="L314" i="4"/>
  <c r="L252" i="4"/>
  <c r="L235" i="4"/>
  <c r="L240" i="4"/>
  <c r="L69" i="4"/>
  <c r="L269" i="4"/>
  <c r="L29" i="4"/>
  <c r="L239" i="4"/>
  <c r="L291" i="4"/>
  <c r="L21" i="4"/>
  <c r="L317" i="4"/>
  <c r="L253" i="4"/>
  <c r="L13" i="4"/>
  <c r="L31" i="4"/>
  <c r="L226" i="4"/>
  <c r="L212" i="4"/>
  <c r="L297" i="4"/>
  <c r="L65" i="4"/>
  <c r="L287" i="4"/>
  <c r="L71" i="4"/>
  <c r="L292" i="4"/>
  <c r="L52" i="4"/>
  <c r="L211" i="4"/>
  <c r="L254" i="4"/>
  <c r="L14" i="4"/>
  <c r="L296" i="4"/>
  <c r="L72" i="4"/>
  <c r="L288" i="4"/>
  <c r="L220" i="4"/>
  <c r="L304" i="4"/>
  <c r="L8" i="4"/>
  <c r="L51" i="4"/>
  <c r="L17" i="4"/>
  <c r="L45" i="4"/>
  <c r="L316" i="4"/>
  <c r="L322" i="4"/>
  <c r="L233" i="4"/>
  <c r="L46" i="4"/>
  <c r="L64" i="4"/>
  <c r="L22" i="4"/>
  <c r="L232" i="4"/>
  <c r="L40" i="4"/>
  <c r="L9" i="4"/>
  <c r="L263" i="4"/>
  <c r="L61" i="4"/>
  <c r="L294" i="4"/>
  <c r="L12" i="4"/>
  <c r="L30" i="4"/>
  <c r="W1002" i="4"/>
  <c r="W1001" i="4"/>
  <c r="W1000" i="4"/>
  <c r="W999" i="4"/>
  <c r="W998" i="4"/>
  <c r="W997" i="4"/>
  <c r="W996" i="4"/>
  <c r="W995" i="4"/>
  <c r="W994" i="4"/>
  <c r="W993" i="4"/>
  <c r="W992" i="4"/>
  <c r="W991" i="4"/>
  <c r="W990" i="4"/>
  <c r="W989" i="4"/>
  <c r="W988" i="4"/>
  <c r="W987" i="4"/>
  <c r="W986" i="4"/>
  <c r="W985" i="4"/>
  <c r="W984" i="4"/>
  <c r="W983" i="4"/>
  <c r="W982" i="4"/>
  <c r="W981" i="4"/>
  <c r="W980" i="4"/>
  <c r="W979" i="4"/>
  <c r="W978" i="4"/>
  <c r="W977" i="4"/>
  <c r="W976" i="4"/>
  <c r="W975" i="4"/>
  <c r="W974" i="4"/>
  <c r="W973" i="4"/>
  <c r="W972" i="4"/>
  <c r="W971" i="4"/>
  <c r="W970" i="4"/>
  <c r="W969" i="4"/>
  <c r="W968" i="4"/>
  <c r="W967" i="4"/>
  <c r="W966" i="4"/>
  <c r="W965" i="4"/>
  <c r="W964" i="4"/>
  <c r="W963" i="4"/>
  <c r="W962" i="4"/>
  <c r="W961" i="4"/>
  <c r="W960" i="4"/>
  <c r="W959" i="4"/>
  <c r="W958" i="4"/>
  <c r="W957" i="4"/>
  <c r="W956" i="4"/>
  <c r="W955" i="4"/>
  <c r="W954" i="4"/>
  <c r="W953" i="4"/>
  <c r="W952" i="4"/>
  <c r="W951" i="4"/>
  <c r="W950" i="4"/>
  <c r="W949" i="4"/>
  <c r="W948" i="4"/>
  <c r="W947" i="4"/>
  <c r="W946" i="4"/>
  <c r="W945" i="4"/>
  <c r="W944" i="4"/>
  <c r="W943" i="4"/>
  <c r="W942" i="4"/>
  <c r="W941" i="4"/>
  <c r="W940" i="4"/>
  <c r="W939" i="4"/>
  <c r="W938" i="4"/>
  <c r="W937" i="4"/>
  <c r="W936" i="4"/>
  <c r="W935" i="4"/>
  <c r="W934" i="4"/>
  <c r="W933" i="4"/>
  <c r="W932" i="4"/>
  <c r="W931" i="4"/>
  <c r="W930" i="4"/>
  <c r="W929" i="4"/>
  <c r="W928" i="4"/>
  <c r="W927" i="4"/>
  <c r="W926" i="4"/>
  <c r="W925" i="4"/>
  <c r="W924" i="4"/>
  <c r="W923" i="4"/>
  <c r="W922" i="4"/>
  <c r="W921" i="4"/>
  <c r="W920" i="4"/>
  <c r="W919" i="4"/>
  <c r="W918" i="4"/>
  <c r="W917" i="4"/>
  <c r="W916" i="4"/>
  <c r="W915" i="4"/>
  <c r="W914" i="4"/>
  <c r="W913" i="4"/>
  <c r="W912" i="4"/>
  <c r="W911" i="4"/>
  <c r="W910" i="4"/>
  <c r="W909" i="4"/>
  <c r="W908" i="4"/>
  <c r="W907" i="4"/>
  <c r="W906" i="4"/>
  <c r="W905" i="4"/>
  <c r="W904" i="4"/>
  <c r="W903" i="4"/>
  <c r="W902" i="4"/>
  <c r="W901" i="4"/>
  <c r="W900" i="4"/>
  <c r="W899" i="4"/>
  <c r="W898" i="4"/>
  <c r="W897" i="4"/>
  <c r="W896" i="4"/>
  <c r="W895" i="4"/>
  <c r="W894" i="4"/>
  <c r="W893" i="4"/>
  <c r="W892" i="4"/>
  <c r="W891" i="4"/>
  <c r="W890" i="4"/>
  <c r="W889" i="4"/>
  <c r="W888" i="4"/>
  <c r="W887" i="4"/>
  <c r="W886" i="4"/>
  <c r="W885" i="4"/>
  <c r="W884" i="4"/>
  <c r="W883" i="4"/>
  <c r="W882" i="4"/>
  <c r="W881" i="4"/>
  <c r="W880" i="4"/>
  <c r="W879" i="4"/>
  <c r="W878" i="4"/>
  <c r="W877" i="4"/>
  <c r="W876" i="4"/>
  <c r="W875" i="4"/>
  <c r="W874" i="4"/>
  <c r="W873" i="4"/>
  <c r="W872" i="4"/>
  <c r="W871" i="4"/>
  <c r="W870" i="4"/>
  <c r="W869" i="4"/>
  <c r="W868" i="4"/>
  <c r="W867" i="4"/>
  <c r="W866" i="4"/>
  <c r="W865" i="4"/>
  <c r="W864" i="4"/>
  <c r="W863" i="4"/>
  <c r="W862" i="4"/>
  <c r="W861" i="4"/>
  <c r="W860" i="4"/>
  <c r="W859" i="4"/>
  <c r="W858" i="4"/>
  <c r="W857" i="4"/>
  <c r="W856" i="4"/>
  <c r="W855" i="4"/>
  <c r="W854" i="4"/>
  <c r="W853" i="4"/>
  <c r="W852" i="4"/>
  <c r="W851" i="4"/>
  <c r="W850" i="4"/>
  <c r="W849" i="4"/>
  <c r="W848" i="4"/>
  <c r="W847" i="4"/>
  <c r="W846" i="4"/>
  <c r="W845" i="4"/>
  <c r="W844" i="4"/>
  <c r="W843" i="4"/>
  <c r="W842" i="4"/>
  <c r="W841" i="4"/>
  <c r="W840" i="4"/>
  <c r="W839" i="4"/>
  <c r="W838" i="4"/>
  <c r="W837" i="4"/>
  <c r="W836" i="4"/>
  <c r="W835" i="4"/>
  <c r="W834" i="4"/>
  <c r="W833" i="4"/>
  <c r="W832" i="4"/>
  <c r="W831" i="4"/>
  <c r="W830" i="4"/>
  <c r="W829" i="4"/>
  <c r="W828" i="4"/>
  <c r="W827" i="4"/>
  <c r="W826" i="4"/>
  <c r="W825" i="4"/>
  <c r="W824" i="4"/>
  <c r="W823" i="4"/>
  <c r="W822" i="4"/>
  <c r="W821" i="4"/>
  <c r="W820" i="4"/>
  <c r="W819" i="4"/>
  <c r="W818" i="4"/>
  <c r="W817" i="4"/>
  <c r="W816" i="4"/>
  <c r="W815" i="4"/>
  <c r="W814" i="4"/>
  <c r="W813" i="4"/>
  <c r="W812" i="4"/>
  <c r="W811" i="4"/>
  <c r="W810" i="4"/>
  <c r="W809" i="4"/>
  <c r="W808" i="4"/>
  <c r="W807" i="4"/>
  <c r="W806" i="4"/>
  <c r="W805" i="4"/>
  <c r="W804" i="4"/>
  <c r="W803" i="4"/>
  <c r="W802" i="4"/>
  <c r="W801" i="4"/>
  <c r="W800" i="4"/>
  <c r="W799" i="4"/>
  <c r="W798" i="4"/>
  <c r="W797" i="4"/>
  <c r="W796" i="4"/>
  <c r="W795" i="4"/>
  <c r="W794" i="4"/>
  <c r="W793" i="4"/>
  <c r="W792" i="4"/>
  <c r="W791" i="4"/>
  <c r="W790" i="4"/>
  <c r="W789" i="4"/>
  <c r="W788" i="4"/>
  <c r="W787" i="4"/>
  <c r="W786" i="4"/>
  <c r="W785" i="4"/>
  <c r="W784" i="4"/>
  <c r="W783" i="4"/>
  <c r="W782" i="4"/>
  <c r="W781" i="4"/>
  <c r="W780" i="4"/>
  <c r="W779" i="4"/>
  <c r="W778" i="4"/>
  <c r="W777" i="4"/>
  <c r="W776" i="4"/>
  <c r="W775" i="4"/>
  <c r="W774" i="4"/>
  <c r="W773" i="4"/>
  <c r="W772" i="4"/>
  <c r="W771" i="4"/>
  <c r="W770" i="4"/>
  <c r="W769" i="4"/>
  <c r="W768" i="4"/>
  <c r="W767" i="4"/>
  <c r="W766" i="4"/>
  <c r="W765" i="4"/>
  <c r="W764" i="4"/>
  <c r="W763" i="4"/>
  <c r="W762" i="4"/>
  <c r="W761" i="4"/>
  <c r="W760" i="4"/>
  <c r="W759" i="4"/>
  <c r="W758" i="4"/>
  <c r="W757" i="4"/>
  <c r="W756" i="4"/>
  <c r="W755" i="4"/>
  <c r="W754" i="4"/>
  <c r="W753" i="4"/>
  <c r="W752" i="4"/>
  <c r="W751" i="4"/>
  <c r="W750" i="4"/>
  <c r="W749" i="4"/>
  <c r="W748" i="4"/>
  <c r="W747" i="4"/>
  <c r="W746" i="4"/>
  <c r="W745" i="4"/>
  <c r="W744" i="4"/>
  <c r="W743" i="4"/>
  <c r="W742" i="4"/>
  <c r="W741" i="4"/>
  <c r="W740" i="4"/>
  <c r="W739" i="4"/>
  <c r="W738" i="4"/>
  <c r="W737" i="4"/>
  <c r="W736" i="4"/>
  <c r="W735" i="4"/>
  <c r="W734" i="4"/>
  <c r="W733" i="4"/>
  <c r="W732" i="4"/>
  <c r="W731" i="4"/>
  <c r="W730" i="4"/>
  <c r="W729" i="4"/>
  <c r="W728" i="4"/>
  <c r="W727" i="4"/>
  <c r="W726" i="4"/>
  <c r="W725" i="4"/>
  <c r="W724" i="4"/>
  <c r="W723" i="4"/>
  <c r="W722" i="4"/>
  <c r="W721" i="4"/>
  <c r="W720" i="4"/>
  <c r="W719" i="4"/>
  <c r="W718" i="4"/>
  <c r="W717" i="4"/>
  <c r="W716" i="4"/>
  <c r="W715" i="4"/>
  <c r="W714" i="4"/>
  <c r="W713" i="4"/>
  <c r="W712" i="4"/>
  <c r="W711" i="4"/>
  <c r="W710" i="4"/>
  <c r="W709" i="4"/>
  <c r="W708" i="4"/>
  <c r="W707" i="4"/>
  <c r="W706" i="4"/>
  <c r="W705" i="4"/>
  <c r="W704" i="4"/>
  <c r="W703" i="4"/>
  <c r="W702" i="4"/>
  <c r="W701" i="4"/>
  <c r="W700" i="4"/>
  <c r="W699" i="4"/>
  <c r="W698" i="4"/>
  <c r="W697" i="4"/>
  <c r="W696" i="4"/>
  <c r="W695" i="4"/>
  <c r="W694" i="4"/>
  <c r="W693" i="4"/>
  <c r="W692" i="4"/>
  <c r="W691" i="4"/>
  <c r="W690" i="4"/>
  <c r="W689" i="4"/>
  <c r="W688" i="4"/>
  <c r="W687" i="4"/>
  <c r="W686" i="4"/>
  <c r="W685" i="4"/>
  <c r="W684" i="4"/>
  <c r="W683" i="4"/>
  <c r="W682" i="4"/>
  <c r="W681" i="4"/>
  <c r="W680" i="4"/>
  <c r="W679" i="4"/>
  <c r="W678" i="4"/>
  <c r="W677" i="4"/>
  <c r="W676" i="4"/>
  <c r="W675" i="4"/>
  <c r="W674" i="4"/>
  <c r="W673" i="4"/>
  <c r="W672" i="4"/>
  <c r="W671" i="4"/>
  <c r="W670" i="4"/>
  <c r="W669" i="4"/>
  <c r="W668" i="4"/>
  <c r="W667" i="4"/>
  <c r="W666" i="4"/>
  <c r="W665" i="4"/>
  <c r="W664" i="4"/>
  <c r="W663" i="4"/>
  <c r="W662" i="4"/>
  <c r="W661" i="4"/>
  <c r="W660" i="4"/>
  <c r="W659" i="4"/>
  <c r="W658" i="4"/>
  <c r="W657" i="4"/>
  <c r="W656" i="4"/>
  <c r="W655" i="4"/>
  <c r="W654" i="4"/>
  <c r="W653" i="4"/>
  <c r="W652" i="4"/>
  <c r="W651" i="4"/>
  <c r="W650" i="4"/>
  <c r="W649" i="4"/>
  <c r="W648" i="4"/>
  <c r="W647" i="4"/>
  <c r="W646" i="4"/>
  <c r="W645" i="4"/>
  <c r="W644" i="4"/>
  <c r="W643" i="4"/>
  <c r="W642" i="4"/>
  <c r="W641" i="4"/>
  <c r="W640" i="4"/>
  <c r="W639" i="4"/>
  <c r="W638" i="4"/>
  <c r="W637" i="4"/>
  <c r="W636" i="4"/>
  <c r="W635" i="4"/>
  <c r="W634" i="4"/>
  <c r="W633" i="4"/>
  <c r="W632" i="4"/>
  <c r="W631" i="4"/>
  <c r="W630" i="4"/>
  <c r="W629" i="4"/>
  <c r="W628" i="4"/>
  <c r="W627" i="4"/>
  <c r="W626" i="4"/>
  <c r="W625" i="4"/>
  <c r="W624" i="4"/>
  <c r="W623" i="4"/>
  <c r="W622" i="4"/>
  <c r="W621" i="4"/>
  <c r="W620" i="4"/>
  <c r="W619" i="4"/>
  <c r="W618" i="4"/>
  <c r="W617" i="4"/>
  <c r="W616" i="4"/>
  <c r="W615" i="4"/>
  <c r="W614" i="4"/>
  <c r="W613" i="4"/>
  <c r="W612" i="4"/>
  <c r="W611" i="4"/>
  <c r="W610" i="4"/>
  <c r="W609" i="4"/>
  <c r="W608" i="4"/>
  <c r="W607" i="4"/>
  <c r="W606" i="4"/>
  <c r="W605" i="4"/>
  <c r="W604" i="4"/>
  <c r="W603" i="4"/>
  <c r="W602" i="4"/>
  <c r="W601" i="4"/>
  <c r="W600" i="4"/>
  <c r="W599" i="4"/>
  <c r="W598" i="4"/>
  <c r="W597" i="4"/>
  <c r="W596" i="4"/>
  <c r="W595" i="4"/>
  <c r="W594" i="4"/>
  <c r="W593" i="4"/>
  <c r="W592" i="4"/>
  <c r="W591" i="4"/>
  <c r="W590" i="4"/>
  <c r="W589" i="4"/>
  <c r="W588" i="4"/>
  <c r="W587" i="4"/>
  <c r="W586" i="4"/>
  <c r="W585" i="4"/>
  <c r="W584" i="4"/>
  <c r="W583" i="4"/>
  <c r="W582" i="4"/>
  <c r="W581" i="4"/>
  <c r="W580" i="4"/>
  <c r="W579" i="4"/>
  <c r="W578" i="4"/>
  <c r="W577" i="4"/>
  <c r="W576" i="4"/>
  <c r="W575" i="4"/>
  <c r="W574" i="4"/>
  <c r="W573" i="4"/>
  <c r="W572" i="4"/>
  <c r="W571" i="4"/>
  <c r="W570" i="4"/>
  <c r="W569" i="4"/>
  <c r="W568" i="4"/>
  <c r="W567" i="4"/>
  <c r="W566" i="4"/>
  <c r="W565" i="4"/>
  <c r="W564" i="4"/>
  <c r="W563" i="4"/>
  <c r="W562" i="4"/>
  <c r="W561" i="4"/>
  <c r="W560" i="4"/>
  <c r="W559" i="4"/>
  <c r="W558" i="4"/>
  <c r="W557" i="4"/>
  <c r="W556" i="4"/>
  <c r="W555" i="4"/>
  <c r="W554" i="4"/>
  <c r="W553" i="4"/>
  <c r="W552" i="4"/>
  <c r="W551" i="4"/>
  <c r="W550" i="4"/>
  <c r="W549" i="4"/>
  <c r="W548" i="4"/>
  <c r="W547" i="4"/>
  <c r="W546" i="4"/>
  <c r="W545" i="4"/>
  <c r="W544" i="4"/>
  <c r="W543" i="4"/>
  <c r="W542" i="4"/>
  <c r="W541" i="4"/>
  <c r="W540" i="4"/>
  <c r="W539" i="4"/>
  <c r="W538" i="4"/>
  <c r="W537" i="4"/>
  <c r="W536" i="4"/>
  <c r="W535" i="4"/>
  <c r="W534" i="4"/>
  <c r="W533" i="4"/>
  <c r="W532" i="4"/>
  <c r="W531" i="4"/>
  <c r="W530" i="4"/>
  <c r="W529" i="4"/>
  <c r="W528" i="4"/>
  <c r="W527" i="4"/>
  <c r="W526" i="4"/>
  <c r="W525" i="4"/>
  <c r="W524" i="4"/>
  <c r="W523" i="4"/>
  <c r="W522" i="4"/>
  <c r="W521" i="4"/>
  <c r="W520" i="4"/>
  <c r="W519" i="4"/>
  <c r="W518" i="4"/>
  <c r="W517" i="4"/>
  <c r="W516" i="4"/>
  <c r="W515" i="4"/>
  <c r="W514" i="4"/>
  <c r="W513" i="4"/>
  <c r="W512" i="4"/>
  <c r="W511" i="4"/>
  <c r="W510" i="4"/>
  <c r="W509" i="4"/>
  <c r="W508" i="4"/>
  <c r="W507" i="4"/>
  <c r="W506" i="4"/>
  <c r="W505" i="4"/>
  <c r="W504" i="4"/>
  <c r="W503" i="4"/>
  <c r="W502" i="4"/>
  <c r="W501" i="4"/>
  <c r="W500" i="4"/>
  <c r="W499" i="4"/>
  <c r="W498" i="4"/>
  <c r="W497" i="4"/>
  <c r="W496" i="4"/>
  <c r="W495" i="4"/>
  <c r="W494" i="4"/>
  <c r="W493" i="4"/>
  <c r="W492" i="4"/>
  <c r="W491" i="4"/>
  <c r="W490" i="4"/>
  <c r="W489" i="4"/>
  <c r="W488" i="4"/>
  <c r="W487" i="4"/>
  <c r="W486" i="4"/>
  <c r="W485" i="4"/>
  <c r="W484" i="4"/>
  <c r="W483" i="4"/>
  <c r="W482" i="4"/>
  <c r="W481" i="4"/>
  <c r="W480" i="4"/>
  <c r="W479" i="4"/>
  <c r="W478" i="4"/>
  <c r="W477" i="4"/>
  <c r="W476" i="4"/>
  <c r="W475" i="4"/>
  <c r="W474" i="4"/>
  <c r="W473" i="4"/>
  <c r="AX27" i="10" l="1"/>
  <c r="AB28" i="10"/>
  <c r="S27" i="10"/>
  <c r="T27" i="10" s="1"/>
  <c r="AJ20" i="10"/>
  <c r="AD24" i="10"/>
  <c r="AE23" i="10"/>
  <c r="AF23" i="10" s="1"/>
  <c r="AG22" i="10"/>
  <c r="AF22" i="10"/>
  <c r="Z26" i="10"/>
  <c r="S26" i="10" s="1"/>
  <c r="T26" i="10" s="1"/>
  <c r="AD25" i="10"/>
  <c r="I27" i="10"/>
  <c r="H27" i="10"/>
  <c r="J27" i="10"/>
  <c r="R27" i="10"/>
  <c r="BB27" i="10"/>
  <c r="BA27" i="10"/>
  <c r="BC27" i="10"/>
  <c r="AV26" i="10"/>
  <c r="Q28" i="10"/>
  <c r="AM28" i="10"/>
  <c r="AL28" i="10"/>
  <c r="L28" i="10"/>
  <c r="O28" i="10"/>
  <c r="P28" i="10"/>
  <c r="W28" i="4"/>
  <c r="W29" i="4"/>
  <c r="AX28" i="10" l="1"/>
  <c r="AB29" i="10"/>
  <c r="S28" i="10"/>
  <c r="T28" i="10" s="1"/>
  <c r="AJ22" i="10"/>
  <c r="AG23" i="10"/>
  <c r="AJ23" i="10" s="1"/>
  <c r="AE24" i="10"/>
  <c r="AE25" i="10"/>
  <c r="AG25" i="10" s="1"/>
  <c r="AD26" i="10"/>
  <c r="Z27" i="10"/>
  <c r="H28" i="10"/>
  <c r="J28" i="10"/>
  <c r="BA28" i="10"/>
  <c r="BC28" i="10"/>
  <c r="BB28" i="10"/>
  <c r="Q29" i="10"/>
  <c r="AM29" i="10"/>
  <c r="AL29" i="10"/>
  <c r="L29" i="10"/>
  <c r="P29" i="10"/>
  <c r="O29" i="10"/>
  <c r="R28" i="10"/>
  <c r="AV27" i="10"/>
  <c r="I28" i="10"/>
  <c r="W35" i="4"/>
  <c r="W43" i="4"/>
  <c r="W55" i="4"/>
  <c r="W63" i="4"/>
  <c r="W71" i="4"/>
  <c r="W79" i="4"/>
  <c r="W87" i="4"/>
  <c r="W95" i="4"/>
  <c r="W107" i="4"/>
  <c r="W115" i="4"/>
  <c r="W123" i="4"/>
  <c r="W135" i="4"/>
  <c r="W143" i="4"/>
  <c r="W151" i="4"/>
  <c r="W163" i="4"/>
  <c r="W171" i="4"/>
  <c r="W179" i="4"/>
  <c r="W187" i="4"/>
  <c r="W195" i="4"/>
  <c r="W203" i="4"/>
  <c r="W207" i="4"/>
  <c r="W211" i="4"/>
  <c r="W219" i="4"/>
  <c r="W223" i="4"/>
  <c r="W227" i="4"/>
  <c r="W231" i="4"/>
  <c r="W235" i="4"/>
  <c r="W239" i="4"/>
  <c r="W243" i="4"/>
  <c r="W247" i="4"/>
  <c r="W251" i="4"/>
  <c r="W255" i="4"/>
  <c r="W259" i="4"/>
  <c r="W263" i="4"/>
  <c r="W267" i="4"/>
  <c r="W271" i="4"/>
  <c r="W275" i="4"/>
  <c r="W283" i="4"/>
  <c r="W291" i="4"/>
  <c r="W299" i="4"/>
  <c r="W307" i="4"/>
  <c r="W315" i="4"/>
  <c r="W323" i="4"/>
  <c r="W335" i="4"/>
  <c r="W343" i="4"/>
  <c r="W351" i="4"/>
  <c r="W359" i="4"/>
  <c r="W367" i="4"/>
  <c r="W375" i="4"/>
  <c r="W387" i="4"/>
  <c r="W395" i="4"/>
  <c r="W403" i="4"/>
  <c r="W411" i="4"/>
  <c r="W419" i="4"/>
  <c r="W431" i="4"/>
  <c r="W439" i="4"/>
  <c r="W447" i="4"/>
  <c r="W455" i="4"/>
  <c r="W463" i="4"/>
  <c r="W471" i="4"/>
  <c r="W32" i="4"/>
  <c r="W44" i="4"/>
  <c r="W52" i="4"/>
  <c r="W60" i="4"/>
  <c r="W68" i="4"/>
  <c r="W76" i="4"/>
  <c r="W84" i="4"/>
  <c r="W92" i="4"/>
  <c r="W100" i="4"/>
  <c r="W112" i="4"/>
  <c r="W120" i="4"/>
  <c r="W128" i="4"/>
  <c r="W136" i="4"/>
  <c r="W144" i="4"/>
  <c r="W156" i="4"/>
  <c r="W164" i="4"/>
  <c r="W176" i="4"/>
  <c r="W184" i="4"/>
  <c r="W192" i="4"/>
  <c r="W200" i="4"/>
  <c r="W208" i="4"/>
  <c r="W216" i="4"/>
  <c r="W228" i="4"/>
  <c r="W236" i="4"/>
  <c r="W244" i="4"/>
  <c r="W252" i="4"/>
  <c r="W260" i="4"/>
  <c r="W272" i="4"/>
  <c r="W280" i="4"/>
  <c r="W288" i="4"/>
  <c r="W296" i="4"/>
  <c r="W304" i="4"/>
  <c r="W312" i="4"/>
  <c r="W320" i="4"/>
  <c r="W328" i="4"/>
  <c r="W340" i="4"/>
  <c r="W348" i="4"/>
  <c r="W356" i="4"/>
  <c r="W368" i="4"/>
  <c r="W392" i="4"/>
  <c r="W464" i="4"/>
  <c r="W472" i="4"/>
  <c r="W37" i="4"/>
  <c r="W45" i="4"/>
  <c r="W49" i="4"/>
  <c r="W53" i="4"/>
  <c r="W57" i="4"/>
  <c r="W61" i="4"/>
  <c r="W65" i="4"/>
  <c r="W69" i="4"/>
  <c r="W73" i="4"/>
  <c r="W77" i="4"/>
  <c r="W81" i="4"/>
  <c r="W85" i="4"/>
  <c r="W89" i="4"/>
  <c r="W93" i="4"/>
  <c r="W97" i="4"/>
  <c r="W101" i="4"/>
  <c r="W105" i="4"/>
  <c r="W109" i="4"/>
  <c r="W113" i="4"/>
  <c r="W117" i="4"/>
  <c r="W121" i="4"/>
  <c r="W125" i="4"/>
  <c r="W129" i="4"/>
  <c r="W133" i="4"/>
  <c r="W137" i="4"/>
  <c r="W141" i="4"/>
  <c r="W145" i="4"/>
  <c r="W149" i="4"/>
  <c r="W153" i="4"/>
  <c r="W157" i="4"/>
  <c r="W161" i="4"/>
  <c r="W165" i="4"/>
  <c r="W169" i="4"/>
  <c r="W173" i="4"/>
  <c r="W177" i="4"/>
  <c r="W181" i="4"/>
  <c r="W185" i="4"/>
  <c r="W189" i="4"/>
  <c r="W193" i="4"/>
  <c r="W197" i="4"/>
  <c r="W201" i="4"/>
  <c r="W205" i="4"/>
  <c r="W209" i="4"/>
  <c r="W213" i="4"/>
  <c r="W217" i="4"/>
  <c r="W221" i="4"/>
  <c r="W225" i="4"/>
  <c r="W229" i="4"/>
  <c r="W233" i="4"/>
  <c r="W237" i="4"/>
  <c r="W241" i="4"/>
  <c r="W245" i="4"/>
  <c r="W249" i="4"/>
  <c r="W253" i="4"/>
  <c r="W257" i="4"/>
  <c r="W261" i="4"/>
  <c r="W265" i="4"/>
  <c r="W269" i="4"/>
  <c r="W273" i="4"/>
  <c r="W277" i="4"/>
  <c r="W281" i="4"/>
  <c r="W285" i="4"/>
  <c r="W289" i="4"/>
  <c r="W293" i="4"/>
  <c r="W297" i="4"/>
  <c r="W301" i="4"/>
  <c r="W305" i="4"/>
  <c r="W309" i="4"/>
  <c r="W313" i="4"/>
  <c r="W317" i="4"/>
  <c r="W321" i="4"/>
  <c r="W325" i="4"/>
  <c r="W329" i="4"/>
  <c r="W333" i="4"/>
  <c r="W337" i="4"/>
  <c r="W341" i="4"/>
  <c r="W345" i="4"/>
  <c r="W349" i="4"/>
  <c r="W353" i="4"/>
  <c r="W357" i="4"/>
  <c r="W361" i="4"/>
  <c r="W365" i="4"/>
  <c r="W369" i="4"/>
  <c r="W373" i="4"/>
  <c r="W377" i="4"/>
  <c r="W381" i="4"/>
  <c r="W385" i="4"/>
  <c r="W389" i="4"/>
  <c r="W393" i="4"/>
  <c r="W397" i="4"/>
  <c r="W401" i="4"/>
  <c r="W405" i="4"/>
  <c r="W409" i="4"/>
  <c r="W413" i="4"/>
  <c r="W417" i="4"/>
  <c r="W421" i="4"/>
  <c r="W425" i="4"/>
  <c r="W429" i="4"/>
  <c r="W433" i="4"/>
  <c r="W437" i="4"/>
  <c r="W441" i="4"/>
  <c r="W445" i="4"/>
  <c r="W449" i="4"/>
  <c r="W453" i="4"/>
  <c r="W457" i="4"/>
  <c r="W461" i="4"/>
  <c r="W465" i="4"/>
  <c r="W469" i="4"/>
  <c r="W31" i="4"/>
  <c r="W39" i="4"/>
  <c r="W47" i="4"/>
  <c r="W51" i="4"/>
  <c r="W59" i="4"/>
  <c r="W67" i="4"/>
  <c r="W75" i="4"/>
  <c r="W83" i="4"/>
  <c r="W91" i="4"/>
  <c r="W99" i="4"/>
  <c r="W103" i="4"/>
  <c r="W111" i="4"/>
  <c r="W119" i="4"/>
  <c r="W127" i="4"/>
  <c r="W131" i="4"/>
  <c r="W139" i="4"/>
  <c r="W147" i="4"/>
  <c r="W155" i="4"/>
  <c r="W159" i="4"/>
  <c r="W167" i="4"/>
  <c r="W175" i="4"/>
  <c r="W183" i="4"/>
  <c r="W191" i="4"/>
  <c r="W199" i="4"/>
  <c r="W215" i="4"/>
  <c r="W279" i="4"/>
  <c r="W287" i="4"/>
  <c r="W295" i="4"/>
  <c r="W303" i="4"/>
  <c r="W311" i="4"/>
  <c r="W319" i="4"/>
  <c r="W327" i="4"/>
  <c r="W331" i="4"/>
  <c r="W339" i="4"/>
  <c r="W347" i="4"/>
  <c r="W355" i="4"/>
  <c r="W363" i="4"/>
  <c r="W371" i="4"/>
  <c r="W379" i="4"/>
  <c r="W383" i="4"/>
  <c r="W391" i="4"/>
  <c r="W399" i="4"/>
  <c r="W407" i="4"/>
  <c r="W415" i="4"/>
  <c r="W423" i="4"/>
  <c r="W427" i="4"/>
  <c r="W435" i="4"/>
  <c r="W443" i="4"/>
  <c r="W451" i="4"/>
  <c r="W459" i="4"/>
  <c r="W467" i="4"/>
  <c r="W36" i="4"/>
  <c r="W40" i="4"/>
  <c r="W48" i="4"/>
  <c r="W56" i="4"/>
  <c r="W64" i="4"/>
  <c r="W72" i="4"/>
  <c r="W80" i="4"/>
  <c r="W88" i="4"/>
  <c r="W96" i="4"/>
  <c r="W104" i="4"/>
  <c r="W108" i="4"/>
  <c r="W116" i="4"/>
  <c r="W124" i="4"/>
  <c r="W132" i="4"/>
  <c r="W140" i="4"/>
  <c r="W148" i="4"/>
  <c r="W152" i="4"/>
  <c r="W160" i="4"/>
  <c r="W168" i="4"/>
  <c r="W172" i="4"/>
  <c r="W180" i="4"/>
  <c r="W188" i="4"/>
  <c r="W196" i="4"/>
  <c r="W204" i="4"/>
  <c r="W212" i="4"/>
  <c r="W220" i="4"/>
  <c r="W224" i="4"/>
  <c r="W232" i="4"/>
  <c r="W240" i="4"/>
  <c r="W248" i="4"/>
  <c r="W256" i="4"/>
  <c r="W264" i="4"/>
  <c r="W268" i="4"/>
  <c r="W276" i="4"/>
  <c r="W284" i="4"/>
  <c r="W292" i="4"/>
  <c r="W300" i="4"/>
  <c r="W308" i="4"/>
  <c r="W316" i="4"/>
  <c r="W324" i="4"/>
  <c r="W332" i="4"/>
  <c r="W336" i="4"/>
  <c r="W344" i="4"/>
  <c r="W352" i="4"/>
  <c r="W360" i="4"/>
  <c r="W364" i="4"/>
  <c r="W372" i="4"/>
  <c r="W376" i="4"/>
  <c r="W380" i="4"/>
  <c r="W384" i="4"/>
  <c r="W388" i="4"/>
  <c r="W396" i="4"/>
  <c r="W400" i="4"/>
  <c r="W404" i="4"/>
  <c r="W408" i="4"/>
  <c r="W412" i="4"/>
  <c r="W416" i="4"/>
  <c r="W420" i="4"/>
  <c r="W424" i="4"/>
  <c r="W428" i="4"/>
  <c r="W432" i="4"/>
  <c r="W436" i="4"/>
  <c r="W440" i="4"/>
  <c r="W444" i="4"/>
  <c r="W448" i="4"/>
  <c r="W452" i="4"/>
  <c r="W456" i="4"/>
  <c r="W460" i="4"/>
  <c r="W468" i="4"/>
  <c r="W33" i="4"/>
  <c r="W41" i="4"/>
  <c r="W30" i="4"/>
  <c r="W34" i="4"/>
  <c r="W38" i="4"/>
  <c r="W42" i="4"/>
  <c r="W46" i="4"/>
  <c r="W50" i="4"/>
  <c r="W54" i="4"/>
  <c r="W58" i="4"/>
  <c r="W62" i="4"/>
  <c r="W66" i="4"/>
  <c r="W70" i="4"/>
  <c r="W74" i="4"/>
  <c r="W78" i="4"/>
  <c r="W82" i="4"/>
  <c r="W86" i="4"/>
  <c r="W90" i="4"/>
  <c r="W94" i="4"/>
  <c r="W98" i="4"/>
  <c r="W102" i="4"/>
  <c r="W106" i="4"/>
  <c r="W110" i="4"/>
  <c r="W114" i="4"/>
  <c r="W118" i="4"/>
  <c r="W122" i="4"/>
  <c r="W126" i="4"/>
  <c r="W130" i="4"/>
  <c r="W134" i="4"/>
  <c r="W138" i="4"/>
  <c r="W142" i="4"/>
  <c r="W146" i="4"/>
  <c r="W150" i="4"/>
  <c r="W154" i="4"/>
  <c r="W158" i="4"/>
  <c r="W162" i="4"/>
  <c r="W166" i="4"/>
  <c r="W170" i="4"/>
  <c r="W174" i="4"/>
  <c r="W178" i="4"/>
  <c r="W182" i="4"/>
  <c r="W186" i="4"/>
  <c r="W190" i="4"/>
  <c r="W194" i="4"/>
  <c r="W198" i="4"/>
  <c r="W202" i="4"/>
  <c r="W206" i="4"/>
  <c r="W210" i="4"/>
  <c r="W214" i="4"/>
  <c r="W218" i="4"/>
  <c r="W222" i="4"/>
  <c r="W226" i="4"/>
  <c r="W230" i="4"/>
  <c r="W234" i="4"/>
  <c r="W238" i="4"/>
  <c r="W242" i="4"/>
  <c r="W246" i="4"/>
  <c r="W250" i="4"/>
  <c r="W254" i="4"/>
  <c r="W258" i="4"/>
  <c r="W262" i="4"/>
  <c r="W266" i="4"/>
  <c r="W270" i="4"/>
  <c r="W274" i="4"/>
  <c r="W278" i="4"/>
  <c r="W282" i="4"/>
  <c r="W286" i="4"/>
  <c r="W290" i="4"/>
  <c r="W294" i="4"/>
  <c r="W298" i="4"/>
  <c r="W302" i="4"/>
  <c r="W306" i="4"/>
  <c r="W310" i="4"/>
  <c r="W314" i="4"/>
  <c r="W318" i="4"/>
  <c r="W322" i="4"/>
  <c r="W326" i="4"/>
  <c r="W330" i="4"/>
  <c r="W334" i="4"/>
  <c r="W338" i="4"/>
  <c r="W342" i="4"/>
  <c r="W346" i="4"/>
  <c r="W350" i="4"/>
  <c r="W354" i="4"/>
  <c r="W358" i="4"/>
  <c r="W362" i="4"/>
  <c r="W366" i="4"/>
  <c r="W370" i="4"/>
  <c r="W374" i="4"/>
  <c r="W378" i="4"/>
  <c r="W382" i="4"/>
  <c r="W386" i="4"/>
  <c r="W390" i="4"/>
  <c r="W394" i="4"/>
  <c r="W398" i="4"/>
  <c r="W402" i="4"/>
  <c r="W406" i="4"/>
  <c r="W410" i="4"/>
  <c r="W414" i="4"/>
  <c r="W418" i="4"/>
  <c r="W422" i="4"/>
  <c r="W426" i="4"/>
  <c r="W430" i="4"/>
  <c r="W434" i="4"/>
  <c r="W438" i="4"/>
  <c r="W442" i="4"/>
  <c r="W446" i="4"/>
  <c r="W450" i="4"/>
  <c r="W454" i="4"/>
  <c r="W458" i="4"/>
  <c r="W462" i="4"/>
  <c r="W466" i="4"/>
  <c r="W470" i="4"/>
  <c r="W10" i="4"/>
  <c r="W22" i="4"/>
  <c r="W7" i="4"/>
  <c r="W11" i="4"/>
  <c r="W15" i="4"/>
  <c r="W19" i="4"/>
  <c r="W23" i="4"/>
  <c r="W6" i="4"/>
  <c r="W14" i="4"/>
  <c r="W18" i="4"/>
  <c r="W4" i="4"/>
  <c r="W8" i="4"/>
  <c r="W12" i="4"/>
  <c r="W16" i="4"/>
  <c r="W20" i="4"/>
  <c r="W24" i="4"/>
  <c r="W5" i="4"/>
  <c r="W9" i="4"/>
  <c r="W13" i="4"/>
  <c r="W17" i="4"/>
  <c r="W21" i="4"/>
  <c r="W25" i="4"/>
  <c r="W26" i="4"/>
  <c r="W27" i="4"/>
  <c r="AX29" i="10" l="1"/>
  <c r="AB30" i="10"/>
  <c r="S29" i="10"/>
  <c r="T29" i="10" s="1"/>
  <c r="AF25" i="10"/>
  <c r="AJ25" i="10" s="1"/>
  <c r="AE26" i="10"/>
  <c r="AF24" i="10"/>
  <c r="AG24" i="10"/>
  <c r="Z28" i="10"/>
  <c r="Z29" i="10" s="1"/>
  <c r="AD27" i="10"/>
  <c r="H29" i="10"/>
  <c r="J29" i="10"/>
  <c r="AV28" i="10"/>
  <c r="I29" i="10"/>
  <c r="AM30" i="10"/>
  <c r="AL30" i="10"/>
  <c r="Q30" i="10"/>
  <c r="I30" i="10" s="1"/>
  <c r="L30" i="10"/>
  <c r="P30" i="10"/>
  <c r="O30" i="10"/>
  <c r="R29" i="10"/>
  <c r="BA29" i="10"/>
  <c r="BC29" i="10"/>
  <c r="BB29" i="10"/>
  <c r="B42" i="3"/>
  <c r="AX30" i="10" l="1"/>
  <c r="AB31" i="10"/>
  <c r="AJ24" i="10"/>
  <c r="AE27" i="10"/>
  <c r="AF27" i="10" s="1"/>
  <c r="Z30" i="10"/>
  <c r="Z31" i="10" s="1"/>
  <c r="AD31" i="10" s="1"/>
  <c r="AF26" i="10"/>
  <c r="AG26" i="10"/>
  <c r="AD28" i="10"/>
  <c r="AD29" i="10"/>
  <c r="M30" i="10"/>
  <c r="N30" i="10"/>
  <c r="H30" i="10"/>
  <c r="J30" i="10"/>
  <c r="AM31" i="10"/>
  <c r="AL31" i="10"/>
  <c r="Q31" i="10"/>
  <c r="L31" i="10"/>
  <c r="P31" i="10"/>
  <c r="O31" i="10"/>
  <c r="AV29" i="10"/>
  <c r="R30" i="10"/>
  <c r="BC30" i="10"/>
  <c r="BB30" i="10"/>
  <c r="BA30" i="10"/>
  <c r="AX31" i="10" l="1"/>
  <c r="AG27" i="10"/>
  <c r="AJ27" i="10" s="1"/>
  <c r="AB32" i="10"/>
  <c r="S31" i="10"/>
  <c r="T31" i="10" s="1"/>
  <c r="AD30" i="10"/>
  <c r="S30" i="10"/>
  <c r="T30" i="10" s="1"/>
  <c r="AE31" i="10"/>
  <c r="AF31" i="10" s="1"/>
  <c r="AJ26" i="10"/>
  <c r="AE28" i="10"/>
  <c r="AG28" i="10" s="1"/>
  <c r="AE29" i="10"/>
  <c r="H31" i="10"/>
  <c r="J31" i="10"/>
  <c r="M31" i="10"/>
  <c r="N31" i="10"/>
  <c r="R31" i="10"/>
  <c r="BC31" i="10"/>
  <c r="BA31" i="10"/>
  <c r="BB31" i="10"/>
  <c r="I31" i="10"/>
  <c r="AV30" i="10"/>
  <c r="AL32" i="10"/>
  <c r="Q32" i="10"/>
  <c r="AM32" i="10"/>
  <c r="L32" i="10"/>
  <c r="P32" i="10"/>
  <c r="O32" i="10"/>
  <c r="F57" i="6"/>
  <c r="K62" i="6"/>
  <c r="K61" i="6"/>
  <c r="K60" i="6"/>
  <c r="K56" i="6"/>
  <c r="K55" i="6"/>
  <c r="K53" i="6"/>
  <c r="K52" i="6"/>
  <c r="K51" i="6"/>
  <c r="K49" i="6"/>
  <c r="K48" i="6"/>
  <c r="K47" i="6"/>
  <c r="K44" i="6"/>
  <c r="K43" i="6"/>
  <c r="K41" i="6"/>
  <c r="F51" i="6"/>
  <c r="F45" i="6"/>
  <c r="F33" i="6"/>
  <c r="F24" i="6"/>
  <c r="F6" i="6"/>
  <c r="E45" i="6"/>
  <c r="E39" i="6"/>
  <c r="E33" i="6"/>
  <c r="E57" i="6"/>
  <c r="AX32" i="10" l="1"/>
  <c r="AE30" i="10"/>
  <c r="AF30" i="10" s="1"/>
  <c r="AB33" i="10"/>
  <c r="AG31" i="10"/>
  <c r="AJ31" i="10" s="1"/>
  <c r="AF28" i="10"/>
  <c r="AJ28" i="10" s="1"/>
  <c r="AG29" i="10"/>
  <c r="AF29" i="10"/>
  <c r="N32" i="10"/>
  <c r="Z32" i="10"/>
  <c r="S32" i="10" s="1"/>
  <c r="T32" i="10" s="1"/>
  <c r="M32" i="10"/>
  <c r="I32" i="10"/>
  <c r="J32" i="10"/>
  <c r="H32" i="10"/>
  <c r="BA32" i="10"/>
  <c r="BB32" i="10"/>
  <c r="BC32" i="10"/>
  <c r="AV31" i="10"/>
  <c r="AL33" i="10"/>
  <c r="Q33" i="10"/>
  <c r="M33" i="10" s="1"/>
  <c r="AM33" i="10"/>
  <c r="L33" i="10"/>
  <c r="P33" i="10"/>
  <c r="O33" i="10"/>
  <c r="R32" i="10"/>
  <c r="D57" i="6"/>
  <c r="E51" i="6"/>
  <c r="E24" i="6"/>
  <c r="E18" i="6"/>
  <c r="E12" i="6"/>
  <c r="E6" i="6"/>
  <c r="D45" i="6"/>
  <c r="D39" i="6"/>
  <c r="D33" i="6"/>
  <c r="D24" i="6"/>
  <c r="D18" i="6"/>
  <c r="D12" i="6"/>
  <c r="D6" i="6"/>
  <c r="AG30" i="10" l="1"/>
  <c r="AJ30" i="10" s="1"/>
  <c r="AB34" i="10"/>
  <c r="S33" i="10"/>
  <c r="T33" i="10" s="1"/>
  <c r="AJ29" i="10"/>
  <c r="AX33" i="10"/>
  <c r="AD32" i="10"/>
  <c r="Z33" i="10"/>
  <c r="I33" i="10"/>
  <c r="J33" i="10"/>
  <c r="H33" i="10"/>
  <c r="N33" i="10"/>
  <c r="AV32" i="10"/>
  <c r="R33" i="10"/>
  <c r="BC33" i="10"/>
  <c r="BA33" i="10"/>
  <c r="BB33" i="10"/>
  <c r="D51" i="6"/>
  <c r="AB35" i="10" l="1"/>
  <c r="S34" i="10"/>
  <c r="T34" i="10" s="1"/>
  <c r="AE32" i="10"/>
  <c r="Z34" i="10"/>
  <c r="AD34" i="10" s="1"/>
  <c r="AD33" i="10"/>
  <c r="AV33" i="10"/>
  <c r="F39" i="6"/>
  <c r="F18" i="6"/>
  <c r="F12" i="6"/>
  <c r="AF32" i="10" l="1"/>
  <c r="AG32" i="10"/>
  <c r="AE33" i="10"/>
  <c r="AG33" i="10" s="1"/>
  <c r="AB36" i="10"/>
  <c r="S35" i="10"/>
  <c r="T35" i="10" s="1"/>
  <c r="Z35" i="10"/>
  <c r="AE34" i="10"/>
  <c r="M10" i="4"/>
  <c r="Q472" i="4"/>
  <c r="Q471" i="4"/>
  <c r="Q470" i="4"/>
  <c r="Q469" i="4"/>
  <c r="Q468" i="4"/>
  <c r="Q467" i="4"/>
  <c r="Q466" i="4"/>
  <c r="Q465" i="4"/>
  <c r="Q464" i="4"/>
  <c r="Q463" i="4"/>
  <c r="Q462" i="4"/>
  <c r="Q461" i="4"/>
  <c r="Q460" i="4"/>
  <c r="Q459" i="4"/>
  <c r="Q458" i="4"/>
  <c r="Q457" i="4"/>
  <c r="Q456" i="4"/>
  <c r="Q455" i="4"/>
  <c r="Q454" i="4"/>
  <c r="Q453" i="4"/>
  <c r="Q452" i="4"/>
  <c r="Q451" i="4"/>
  <c r="Q450" i="4"/>
  <c r="Q449" i="4"/>
  <c r="Q448" i="4"/>
  <c r="Q447" i="4"/>
  <c r="Q446" i="4"/>
  <c r="Q445" i="4"/>
  <c r="Q444" i="4"/>
  <c r="Q443" i="4"/>
  <c r="Q442" i="4"/>
  <c r="Q441" i="4"/>
  <c r="Q440" i="4"/>
  <c r="Q439" i="4"/>
  <c r="Q438" i="4"/>
  <c r="Q437" i="4"/>
  <c r="Q436" i="4"/>
  <c r="Q435" i="4"/>
  <c r="Q434" i="4"/>
  <c r="Q433" i="4"/>
  <c r="Q225" i="4"/>
  <c r="Q224" i="4"/>
  <c r="Q223" i="4"/>
  <c r="Q222" i="4"/>
  <c r="Q221" i="4"/>
  <c r="Q220" i="4"/>
  <c r="Q219" i="4"/>
  <c r="Q218" i="4"/>
  <c r="Q9" i="4"/>
  <c r="Q8" i="4"/>
  <c r="R1002" i="4"/>
  <c r="R1001" i="4"/>
  <c r="R1000" i="4"/>
  <c r="R999" i="4"/>
  <c r="R998" i="4"/>
  <c r="R997" i="4"/>
  <c r="R996" i="4"/>
  <c r="R995" i="4"/>
  <c r="R994" i="4"/>
  <c r="R993" i="4"/>
  <c r="R992" i="4"/>
  <c r="R991" i="4"/>
  <c r="R990" i="4"/>
  <c r="R989" i="4"/>
  <c r="R988" i="4"/>
  <c r="R987" i="4"/>
  <c r="R986" i="4"/>
  <c r="R985" i="4"/>
  <c r="R984" i="4"/>
  <c r="R983" i="4"/>
  <c r="R982" i="4"/>
  <c r="R981" i="4"/>
  <c r="R980" i="4"/>
  <c r="R979" i="4"/>
  <c r="R978" i="4"/>
  <c r="R977" i="4"/>
  <c r="R976" i="4"/>
  <c r="R975" i="4"/>
  <c r="R974" i="4"/>
  <c r="R973" i="4"/>
  <c r="R972" i="4"/>
  <c r="R971" i="4"/>
  <c r="R970" i="4"/>
  <c r="R969" i="4"/>
  <c r="R968" i="4"/>
  <c r="R967" i="4"/>
  <c r="R966" i="4"/>
  <c r="R965" i="4"/>
  <c r="R964" i="4"/>
  <c r="R963" i="4"/>
  <c r="R962" i="4"/>
  <c r="R961" i="4"/>
  <c r="R960" i="4"/>
  <c r="R959" i="4"/>
  <c r="R958" i="4"/>
  <c r="R957" i="4"/>
  <c r="R956" i="4"/>
  <c r="R955" i="4"/>
  <c r="R954" i="4"/>
  <c r="R953" i="4"/>
  <c r="R952" i="4"/>
  <c r="R951" i="4"/>
  <c r="R950" i="4"/>
  <c r="R949" i="4"/>
  <c r="R948" i="4"/>
  <c r="R947" i="4"/>
  <c r="R946" i="4"/>
  <c r="R945" i="4"/>
  <c r="R944" i="4"/>
  <c r="R943" i="4"/>
  <c r="R942" i="4"/>
  <c r="R941" i="4"/>
  <c r="R940" i="4"/>
  <c r="R939" i="4"/>
  <c r="R938" i="4"/>
  <c r="R937" i="4"/>
  <c r="R936" i="4"/>
  <c r="R935" i="4"/>
  <c r="R934" i="4"/>
  <c r="R933" i="4"/>
  <c r="R932" i="4"/>
  <c r="R931" i="4"/>
  <c r="R930" i="4"/>
  <c r="R929" i="4"/>
  <c r="R928" i="4"/>
  <c r="R927" i="4"/>
  <c r="R926" i="4"/>
  <c r="R925" i="4"/>
  <c r="R924" i="4"/>
  <c r="R923" i="4"/>
  <c r="R922" i="4"/>
  <c r="R921" i="4"/>
  <c r="R920" i="4"/>
  <c r="R919" i="4"/>
  <c r="R918" i="4"/>
  <c r="R917" i="4"/>
  <c r="R916" i="4"/>
  <c r="R915" i="4"/>
  <c r="R914" i="4"/>
  <c r="R913" i="4"/>
  <c r="R912" i="4"/>
  <c r="R911" i="4"/>
  <c r="R910" i="4"/>
  <c r="R909" i="4"/>
  <c r="R908" i="4"/>
  <c r="R907" i="4"/>
  <c r="R906" i="4"/>
  <c r="R905" i="4"/>
  <c r="R904" i="4"/>
  <c r="R903" i="4"/>
  <c r="R902" i="4"/>
  <c r="R901" i="4"/>
  <c r="R900" i="4"/>
  <c r="R899" i="4"/>
  <c r="R898" i="4"/>
  <c r="R897" i="4"/>
  <c r="R896" i="4"/>
  <c r="R895" i="4"/>
  <c r="R894" i="4"/>
  <c r="R893" i="4"/>
  <c r="R892" i="4"/>
  <c r="R891" i="4"/>
  <c r="R890" i="4"/>
  <c r="R889" i="4"/>
  <c r="R888" i="4"/>
  <c r="R887" i="4"/>
  <c r="R886" i="4"/>
  <c r="R885" i="4"/>
  <c r="R884" i="4"/>
  <c r="R883" i="4"/>
  <c r="R882" i="4"/>
  <c r="R881" i="4"/>
  <c r="R880" i="4"/>
  <c r="R879" i="4"/>
  <c r="R878" i="4"/>
  <c r="R877" i="4"/>
  <c r="R876" i="4"/>
  <c r="R875" i="4"/>
  <c r="R874" i="4"/>
  <c r="R873" i="4"/>
  <c r="R872" i="4"/>
  <c r="R871" i="4"/>
  <c r="R870" i="4"/>
  <c r="R869" i="4"/>
  <c r="R868" i="4"/>
  <c r="R867" i="4"/>
  <c r="R866" i="4"/>
  <c r="R865" i="4"/>
  <c r="R864" i="4"/>
  <c r="R863" i="4"/>
  <c r="R862" i="4"/>
  <c r="R861" i="4"/>
  <c r="R860" i="4"/>
  <c r="R859" i="4"/>
  <c r="R858" i="4"/>
  <c r="R857" i="4"/>
  <c r="R856" i="4"/>
  <c r="R855" i="4"/>
  <c r="R854" i="4"/>
  <c r="R853" i="4"/>
  <c r="R852" i="4"/>
  <c r="R851" i="4"/>
  <c r="R850" i="4"/>
  <c r="R849" i="4"/>
  <c r="R848" i="4"/>
  <c r="R847" i="4"/>
  <c r="R846" i="4"/>
  <c r="R845" i="4"/>
  <c r="R844" i="4"/>
  <c r="R843" i="4"/>
  <c r="R842" i="4"/>
  <c r="R841" i="4"/>
  <c r="R840" i="4"/>
  <c r="R839" i="4"/>
  <c r="R838" i="4"/>
  <c r="R837" i="4"/>
  <c r="R836" i="4"/>
  <c r="R835" i="4"/>
  <c r="R834" i="4"/>
  <c r="R833" i="4"/>
  <c r="R832" i="4"/>
  <c r="R831" i="4"/>
  <c r="R830" i="4"/>
  <c r="R829" i="4"/>
  <c r="R828" i="4"/>
  <c r="R827" i="4"/>
  <c r="R826" i="4"/>
  <c r="R825" i="4"/>
  <c r="R824" i="4"/>
  <c r="R823" i="4"/>
  <c r="R822" i="4"/>
  <c r="R821" i="4"/>
  <c r="R820" i="4"/>
  <c r="R819" i="4"/>
  <c r="R818" i="4"/>
  <c r="R817" i="4"/>
  <c r="R816" i="4"/>
  <c r="R815" i="4"/>
  <c r="R814" i="4"/>
  <c r="R813" i="4"/>
  <c r="R812" i="4"/>
  <c r="R811" i="4"/>
  <c r="R810" i="4"/>
  <c r="R809" i="4"/>
  <c r="R808" i="4"/>
  <c r="R807" i="4"/>
  <c r="R806" i="4"/>
  <c r="R805" i="4"/>
  <c r="R804" i="4"/>
  <c r="R803" i="4"/>
  <c r="R802" i="4"/>
  <c r="R801" i="4"/>
  <c r="R800" i="4"/>
  <c r="R799" i="4"/>
  <c r="R798" i="4"/>
  <c r="R797" i="4"/>
  <c r="R796" i="4"/>
  <c r="R795" i="4"/>
  <c r="R794" i="4"/>
  <c r="R793" i="4"/>
  <c r="R792" i="4"/>
  <c r="R791" i="4"/>
  <c r="R790" i="4"/>
  <c r="R789" i="4"/>
  <c r="R788" i="4"/>
  <c r="R787" i="4"/>
  <c r="R786" i="4"/>
  <c r="R785" i="4"/>
  <c r="R784" i="4"/>
  <c r="R783" i="4"/>
  <c r="R782" i="4"/>
  <c r="R781" i="4"/>
  <c r="R780" i="4"/>
  <c r="R779" i="4"/>
  <c r="R778" i="4"/>
  <c r="R777" i="4"/>
  <c r="R776" i="4"/>
  <c r="R775" i="4"/>
  <c r="R774" i="4"/>
  <c r="R773" i="4"/>
  <c r="R772" i="4"/>
  <c r="R771" i="4"/>
  <c r="R770" i="4"/>
  <c r="R769" i="4"/>
  <c r="R768" i="4"/>
  <c r="R767" i="4"/>
  <c r="R766" i="4"/>
  <c r="R765" i="4"/>
  <c r="R764" i="4"/>
  <c r="R763" i="4"/>
  <c r="R762" i="4"/>
  <c r="R761" i="4"/>
  <c r="R760" i="4"/>
  <c r="R759" i="4"/>
  <c r="R758" i="4"/>
  <c r="R757" i="4"/>
  <c r="R756" i="4"/>
  <c r="R755" i="4"/>
  <c r="R754" i="4"/>
  <c r="R753" i="4"/>
  <c r="R752" i="4"/>
  <c r="R751" i="4"/>
  <c r="R750" i="4"/>
  <c r="R749" i="4"/>
  <c r="R748" i="4"/>
  <c r="R747" i="4"/>
  <c r="R746" i="4"/>
  <c r="R745" i="4"/>
  <c r="R744" i="4"/>
  <c r="R743" i="4"/>
  <c r="R742" i="4"/>
  <c r="R741" i="4"/>
  <c r="R740" i="4"/>
  <c r="R739" i="4"/>
  <c r="R738" i="4"/>
  <c r="R737" i="4"/>
  <c r="R736" i="4"/>
  <c r="R735" i="4"/>
  <c r="R734" i="4"/>
  <c r="R733" i="4"/>
  <c r="R732" i="4"/>
  <c r="R731" i="4"/>
  <c r="R730" i="4"/>
  <c r="R729" i="4"/>
  <c r="R728" i="4"/>
  <c r="R727" i="4"/>
  <c r="R726" i="4"/>
  <c r="R725" i="4"/>
  <c r="R724" i="4"/>
  <c r="R723" i="4"/>
  <c r="R722" i="4"/>
  <c r="R721" i="4"/>
  <c r="R720" i="4"/>
  <c r="R719" i="4"/>
  <c r="R718" i="4"/>
  <c r="R717" i="4"/>
  <c r="R716" i="4"/>
  <c r="R715" i="4"/>
  <c r="R714" i="4"/>
  <c r="R713" i="4"/>
  <c r="R712" i="4"/>
  <c r="R711" i="4"/>
  <c r="R710" i="4"/>
  <c r="R709" i="4"/>
  <c r="R708" i="4"/>
  <c r="R707" i="4"/>
  <c r="R706" i="4"/>
  <c r="R705" i="4"/>
  <c r="R704" i="4"/>
  <c r="R703" i="4"/>
  <c r="R702" i="4"/>
  <c r="R701" i="4"/>
  <c r="R700" i="4"/>
  <c r="R699" i="4"/>
  <c r="R698" i="4"/>
  <c r="R697" i="4"/>
  <c r="R696" i="4"/>
  <c r="R695" i="4"/>
  <c r="R694" i="4"/>
  <c r="R693" i="4"/>
  <c r="R692" i="4"/>
  <c r="R691" i="4"/>
  <c r="R690" i="4"/>
  <c r="R689" i="4"/>
  <c r="R688" i="4"/>
  <c r="R687" i="4"/>
  <c r="R686" i="4"/>
  <c r="R685" i="4"/>
  <c r="R684" i="4"/>
  <c r="R683" i="4"/>
  <c r="R682" i="4"/>
  <c r="R681" i="4"/>
  <c r="R680" i="4"/>
  <c r="R679" i="4"/>
  <c r="R678" i="4"/>
  <c r="R677" i="4"/>
  <c r="R676" i="4"/>
  <c r="R675" i="4"/>
  <c r="R674" i="4"/>
  <c r="R673" i="4"/>
  <c r="R672" i="4"/>
  <c r="R671" i="4"/>
  <c r="R670" i="4"/>
  <c r="R669" i="4"/>
  <c r="R668" i="4"/>
  <c r="R667" i="4"/>
  <c r="R666" i="4"/>
  <c r="R665" i="4"/>
  <c r="R664" i="4"/>
  <c r="R663" i="4"/>
  <c r="R662" i="4"/>
  <c r="R661" i="4"/>
  <c r="R660" i="4"/>
  <c r="R659" i="4"/>
  <c r="R658" i="4"/>
  <c r="R657" i="4"/>
  <c r="R656" i="4"/>
  <c r="R655" i="4"/>
  <c r="R654" i="4"/>
  <c r="R653" i="4"/>
  <c r="R652" i="4"/>
  <c r="R651" i="4"/>
  <c r="R650" i="4"/>
  <c r="R649" i="4"/>
  <c r="R648" i="4"/>
  <c r="R647" i="4"/>
  <c r="R646" i="4"/>
  <c r="R645" i="4"/>
  <c r="R644" i="4"/>
  <c r="R643" i="4"/>
  <c r="R642" i="4"/>
  <c r="R641" i="4"/>
  <c r="R640" i="4"/>
  <c r="R639" i="4"/>
  <c r="R638" i="4"/>
  <c r="R637" i="4"/>
  <c r="R636" i="4"/>
  <c r="R635" i="4"/>
  <c r="R634" i="4"/>
  <c r="R633" i="4"/>
  <c r="R632" i="4"/>
  <c r="R631" i="4"/>
  <c r="R630" i="4"/>
  <c r="R629" i="4"/>
  <c r="R628" i="4"/>
  <c r="R627" i="4"/>
  <c r="R626" i="4"/>
  <c r="R625" i="4"/>
  <c r="R624" i="4"/>
  <c r="R623" i="4"/>
  <c r="R622" i="4"/>
  <c r="R621" i="4"/>
  <c r="R620" i="4"/>
  <c r="R619" i="4"/>
  <c r="R618" i="4"/>
  <c r="R617" i="4"/>
  <c r="R616" i="4"/>
  <c r="R615" i="4"/>
  <c r="R614" i="4"/>
  <c r="R613" i="4"/>
  <c r="R612" i="4"/>
  <c r="R611" i="4"/>
  <c r="R610" i="4"/>
  <c r="R609" i="4"/>
  <c r="R608" i="4"/>
  <c r="R607" i="4"/>
  <c r="R606" i="4"/>
  <c r="R605" i="4"/>
  <c r="R604" i="4"/>
  <c r="R603" i="4"/>
  <c r="R602" i="4"/>
  <c r="R601" i="4"/>
  <c r="R600" i="4"/>
  <c r="R599" i="4"/>
  <c r="R598" i="4"/>
  <c r="R597" i="4"/>
  <c r="R596" i="4"/>
  <c r="R595" i="4"/>
  <c r="R594" i="4"/>
  <c r="R593" i="4"/>
  <c r="R592" i="4"/>
  <c r="R591" i="4"/>
  <c r="R590" i="4"/>
  <c r="R589" i="4"/>
  <c r="R588" i="4"/>
  <c r="R587" i="4"/>
  <c r="R586" i="4"/>
  <c r="R585" i="4"/>
  <c r="R584" i="4"/>
  <c r="R583" i="4"/>
  <c r="R582" i="4"/>
  <c r="R581" i="4"/>
  <c r="R580" i="4"/>
  <c r="R579" i="4"/>
  <c r="R578" i="4"/>
  <c r="R577" i="4"/>
  <c r="R576" i="4"/>
  <c r="R575" i="4"/>
  <c r="R574" i="4"/>
  <c r="R573" i="4"/>
  <c r="R572" i="4"/>
  <c r="R571" i="4"/>
  <c r="R570" i="4"/>
  <c r="R569" i="4"/>
  <c r="R568" i="4"/>
  <c r="R567" i="4"/>
  <c r="R566" i="4"/>
  <c r="R565" i="4"/>
  <c r="R564" i="4"/>
  <c r="R563" i="4"/>
  <c r="R562" i="4"/>
  <c r="R561" i="4"/>
  <c r="R560" i="4"/>
  <c r="R559" i="4"/>
  <c r="R558" i="4"/>
  <c r="R557" i="4"/>
  <c r="R556" i="4"/>
  <c r="R555" i="4"/>
  <c r="R554" i="4"/>
  <c r="R553" i="4"/>
  <c r="R552" i="4"/>
  <c r="R551" i="4"/>
  <c r="R550" i="4"/>
  <c r="R549" i="4"/>
  <c r="R548" i="4"/>
  <c r="R547" i="4"/>
  <c r="R546" i="4"/>
  <c r="R545" i="4"/>
  <c r="R544" i="4"/>
  <c r="R543" i="4"/>
  <c r="R542" i="4"/>
  <c r="R541" i="4"/>
  <c r="R540" i="4"/>
  <c r="R539" i="4"/>
  <c r="R538" i="4"/>
  <c r="R537" i="4"/>
  <c r="R536" i="4"/>
  <c r="R535" i="4"/>
  <c r="R534" i="4"/>
  <c r="R533" i="4"/>
  <c r="R532" i="4"/>
  <c r="R531" i="4"/>
  <c r="R530" i="4"/>
  <c r="R529" i="4"/>
  <c r="R528" i="4"/>
  <c r="R527" i="4"/>
  <c r="R526" i="4"/>
  <c r="R525" i="4"/>
  <c r="R524" i="4"/>
  <c r="R523" i="4"/>
  <c r="R522" i="4"/>
  <c r="R521" i="4"/>
  <c r="R520" i="4"/>
  <c r="R519" i="4"/>
  <c r="R518" i="4"/>
  <c r="R517" i="4"/>
  <c r="R516" i="4"/>
  <c r="R515" i="4"/>
  <c r="R514" i="4"/>
  <c r="R513" i="4"/>
  <c r="R512" i="4"/>
  <c r="R511" i="4"/>
  <c r="R510" i="4"/>
  <c r="R509" i="4"/>
  <c r="R508" i="4"/>
  <c r="R507" i="4"/>
  <c r="R506" i="4"/>
  <c r="R505" i="4"/>
  <c r="R504" i="4"/>
  <c r="R503" i="4"/>
  <c r="R502" i="4"/>
  <c r="R501" i="4"/>
  <c r="R500" i="4"/>
  <c r="R499" i="4"/>
  <c r="R498" i="4"/>
  <c r="R497" i="4"/>
  <c r="R496" i="4"/>
  <c r="R495" i="4"/>
  <c r="R494" i="4"/>
  <c r="R493" i="4"/>
  <c r="R492" i="4"/>
  <c r="R491" i="4"/>
  <c r="R490" i="4"/>
  <c r="R489" i="4"/>
  <c r="R488" i="4"/>
  <c r="R487" i="4"/>
  <c r="R486" i="4"/>
  <c r="R485" i="4"/>
  <c r="R484" i="4"/>
  <c r="R483" i="4"/>
  <c r="R482" i="4"/>
  <c r="R481" i="4"/>
  <c r="R480" i="4"/>
  <c r="R479" i="4"/>
  <c r="R478" i="4"/>
  <c r="R477" i="4"/>
  <c r="R476" i="4"/>
  <c r="R475" i="4"/>
  <c r="R474" i="4"/>
  <c r="R473" i="4"/>
  <c r="Q1002" i="4"/>
  <c r="M1002" i="4"/>
  <c r="Q1001" i="4"/>
  <c r="M1001" i="4"/>
  <c r="Q1000" i="4"/>
  <c r="M1000" i="4"/>
  <c r="Q999" i="4"/>
  <c r="M999" i="4"/>
  <c r="Q998" i="4"/>
  <c r="M998" i="4"/>
  <c r="Q997" i="4"/>
  <c r="M997" i="4"/>
  <c r="Q996" i="4"/>
  <c r="M996" i="4"/>
  <c r="Q995" i="4"/>
  <c r="M995" i="4"/>
  <c r="Q994" i="4"/>
  <c r="M994" i="4"/>
  <c r="Q993" i="4"/>
  <c r="M993" i="4"/>
  <c r="Q992" i="4"/>
  <c r="M992" i="4"/>
  <c r="Q991" i="4"/>
  <c r="M991" i="4"/>
  <c r="Q990" i="4"/>
  <c r="M990" i="4"/>
  <c r="Q989" i="4"/>
  <c r="M989" i="4"/>
  <c r="Q988" i="4"/>
  <c r="M988" i="4"/>
  <c r="Q987" i="4"/>
  <c r="M987" i="4"/>
  <c r="Q986" i="4"/>
  <c r="M986" i="4"/>
  <c r="Q985" i="4"/>
  <c r="M985" i="4"/>
  <c r="Q984" i="4"/>
  <c r="M984" i="4"/>
  <c r="Q983" i="4"/>
  <c r="M983" i="4"/>
  <c r="Q982" i="4"/>
  <c r="M982" i="4"/>
  <c r="Q981" i="4"/>
  <c r="M981" i="4"/>
  <c r="Q980" i="4"/>
  <c r="M980" i="4"/>
  <c r="Q979" i="4"/>
  <c r="M979" i="4"/>
  <c r="Q978" i="4"/>
  <c r="M978" i="4"/>
  <c r="Q977" i="4"/>
  <c r="M977" i="4"/>
  <c r="Q976" i="4"/>
  <c r="M976" i="4"/>
  <c r="Q975" i="4"/>
  <c r="M975" i="4"/>
  <c r="Q974" i="4"/>
  <c r="M974" i="4"/>
  <c r="Q973" i="4"/>
  <c r="M973" i="4"/>
  <c r="Q972" i="4"/>
  <c r="M972" i="4"/>
  <c r="Q971" i="4"/>
  <c r="M971" i="4"/>
  <c r="Q970" i="4"/>
  <c r="M970" i="4"/>
  <c r="Q969" i="4"/>
  <c r="M969" i="4"/>
  <c r="Q968" i="4"/>
  <c r="M968" i="4"/>
  <c r="Q967" i="4"/>
  <c r="M967" i="4"/>
  <c r="Q966" i="4"/>
  <c r="M966" i="4"/>
  <c r="Q965" i="4"/>
  <c r="M965" i="4"/>
  <c r="Q964" i="4"/>
  <c r="M964" i="4"/>
  <c r="Q963" i="4"/>
  <c r="M963" i="4"/>
  <c r="Q962" i="4"/>
  <c r="M962" i="4"/>
  <c r="Q961" i="4"/>
  <c r="M961" i="4"/>
  <c r="Q960" i="4"/>
  <c r="M960" i="4"/>
  <c r="Q959" i="4"/>
  <c r="M959" i="4"/>
  <c r="Q958" i="4"/>
  <c r="M958" i="4"/>
  <c r="Q957" i="4"/>
  <c r="M957" i="4"/>
  <c r="Q956" i="4"/>
  <c r="M956" i="4"/>
  <c r="Q955" i="4"/>
  <c r="M955" i="4"/>
  <c r="Q954" i="4"/>
  <c r="M954" i="4"/>
  <c r="Q953" i="4"/>
  <c r="M953" i="4"/>
  <c r="Q952" i="4"/>
  <c r="M952" i="4"/>
  <c r="Q951" i="4"/>
  <c r="M951" i="4"/>
  <c r="Q950" i="4"/>
  <c r="M950" i="4"/>
  <c r="Q949" i="4"/>
  <c r="M949" i="4"/>
  <c r="Q948" i="4"/>
  <c r="M948" i="4"/>
  <c r="Q947" i="4"/>
  <c r="M947" i="4"/>
  <c r="Q946" i="4"/>
  <c r="M946" i="4"/>
  <c r="Q945" i="4"/>
  <c r="M945" i="4"/>
  <c r="Q944" i="4"/>
  <c r="M944" i="4"/>
  <c r="Q943" i="4"/>
  <c r="M943" i="4"/>
  <c r="Q942" i="4"/>
  <c r="M942" i="4"/>
  <c r="Q941" i="4"/>
  <c r="M941" i="4"/>
  <c r="Q940" i="4"/>
  <c r="M940" i="4"/>
  <c r="Q939" i="4"/>
  <c r="M939" i="4"/>
  <c r="Q938" i="4"/>
  <c r="M938" i="4"/>
  <c r="Q937" i="4"/>
  <c r="M937" i="4"/>
  <c r="Q936" i="4"/>
  <c r="M936" i="4"/>
  <c r="Q935" i="4"/>
  <c r="M935" i="4"/>
  <c r="Q934" i="4"/>
  <c r="M934" i="4"/>
  <c r="Q933" i="4"/>
  <c r="M933" i="4"/>
  <c r="Q932" i="4"/>
  <c r="M932" i="4"/>
  <c r="Q931" i="4"/>
  <c r="M931" i="4"/>
  <c r="Q930" i="4"/>
  <c r="M930" i="4"/>
  <c r="Q929" i="4"/>
  <c r="M929" i="4"/>
  <c r="Q928" i="4"/>
  <c r="M928" i="4"/>
  <c r="Q927" i="4"/>
  <c r="M927" i="4"/>
  <c r="Q926" i="4"/>
  <c r="M926" i="4"/>
  <c r="Q925" i="4"/>
  <c r="M925" i="4"/>
  <c r="Q924" i="4"/>
  <c r="M924" i="4"/>
  <c r="Q923" i="4"/>
  <c r="M923" i="4"/>
  <c r="Q922" i="4"/>
  <c r="M922" i="4"/>
  <c r="Q921" i="4"/>
  <c r="M921" i="4"/>
  <c r="Q920" i="4"/>
  <c r="M920" i="4"/>
  <c r="Q919" i="4"/>
  <c r="M919" i="4"/>
  <c r="Q918" i="4"/>
  <c r="M918" i="4"/>
  <c r="Q917" i="4"/>
  <c r="M917" i="4"/>
  <c r="Q916" i="4"/>
  <c r="M916" i="4"/>
  <c r="Q915" i="4"/>
  <c r="M915" i="4"/>
  <c r="Q914" i="4"/>
  <c r="M914" i="4"/>
  <c r="Q913" i="4"/>
  <c r="M913" i="4"/>
  <c r="Q912" i="4"/>
  <c r="M912" i="4"/>
  <c r="Q911" i="4"/>
  <c r="M911" i="4"/>
  <c r="Q910" i="4"/>
  <c r="M910" i="4"/>
  <c r="Q909" i="4"/>
  <c r="M909" i="4"/>
  <c r="Q908" i="4"/>
  <c r="M908" i="4"/>
  <c r="Q907" i="4"/>
  <c r="M907" i="4"/>
  <c r="Q906" i="4"/>
  <c r="M906" i="4"/>
  <c r="Q905" i="4"/>
  <c r="M905" i="4"/>
  <c r="Q904" i="4"/>
  <c r="M904" i="4"/>
  <c r="Q903" i="4"/>
  <c r="M903" i="4"/>
  <c r="Q902" i="4"/>
  <c r="M902" i="4"/>
  <c r="Q901" i="4"/>
  <c r="M901" i="4"/>
  <c r="Q900" i="4"/>
  <c r="M900" i="4"/>
  <c r="Q899" i="4"/>
  <c r="M899" i="4"/>
  <c r="Q898" i="4"/>
  <c r="M898" i="4"/>
  <c r="Q897" i="4"/>
  <c r="M897" i="4"/>
  <c r="Q896" i="4"/>
  <c r="M896" i="4"/>
  <c r="Q895" i="4"/>
  <c r="M895" i="4"/>
  <c r="Q894" i="4"/>
  <c r="M894" i="4"/>
  <c r="Q893" i="4"/>
  <c r="M893" i="4"/>
  <c r="Q892" i="4"/>
  <c r="M892" i="4"/>
  <c r="Q891" i="4"/>
  <c r="M891" i="4"/>
  <c r="Q890" i="4"/>
  <c r="M890" i="4"/>
  <c r="Q889" i="4"/>
  <c r="M889" i="4"/>
  <c r="Q888" i="4"/>
  <c r="M888" i="4"/>
  <c r="Q887" i="4"/>
  <c r="M887" i="4"/>
  <c r="Q886" i="4"/>
  <c r="M886" i="4"/>
  <c r="Q885" i="4"/>
  <c r="M885" i="4"/>
  <c r="Q884" i="4"/>
  <c r="M884" i="4"/>
  <c r="Q883" i="4"/>
  <c r="M883" i="4"/>
  <c r="Q882" i="4"/>
  <c r="M882" i="4"/>
  <c r="Q881" i="4"/>
  <c r="M881" i="4"/>
  <c r="Q880" i="4"/>
  <c r="M880" i="4"/>
  <c r="Q879" i="4"/>
  <c r="M879" i="4"/>
  <c r="Q878" i="4"/>
  <c r="M878" i="4"/>
  <c r="Q877" i="4"/>
  <c r="M877" i="4"/>
  <c r="Q876" i="4"/>
  <c r="M876" i="4"/>
  <c r="Q875" i="4"/>
  <c r="M875" i="4"/>
  <c r="Q874" i="4"/>
  <c r="M874" i="4"/>
  <c r="Q873" i="4"/>
  <c r="M873" i="4"/>
  <c r="Q872" i="4"/>
  <c r="M872" i="4"/>
  <c r="Q871" i="4"/>
  <c r="M871" i="4"/>
  <c r="Q870" i="4"/>
  <c r="M870" i="4"/>
  <c r="Q869" i="4"/>
  <c r="M869" i="4"/>
  <c r="Q868" i="4"/>
  <c r="M868" i="4"/>
  <c r="Q867" i="4"/>
  <c r="M867" i="4"/>
  <c r="Q866" i="4"/>
  <c r="M866" i="4"/>
  <c r="Q865" i="4"/>
  <c r="M865" i="4"/>
  <c r="Q864" i="4"/>
  <c r="M864" i="4"/>
  <c r="Q863" i="4"/>
  <c r="M863" i="4"/>
  <c r="Q862" i="4"/>
  <c r="M862" i="4"/>
  <c r="Q861" i="4"/>
  <c r="M861" i="4"/>
  <c r="Q860" i="4"/>
  <c r="M860" i="4"/>
  <c r="Q859" i="4"/>
  <c r="M859" i="4"/>
  <c r="Q858" i="4"/>
  <c r="M858" i="4"/>
  <c r="Q857" i="4"/>
  <c r="M857" i="4"/>
  <c r="Q856" i="4"/>
  <c r="M856" i="4"/>
  <c r="Q855" i="4"/>
  <c r="M855" i="4"/>
  <c r="Q854" i="4"/>
  <c r="M854" i="4"/>
  <c r="Q853" i="4"/>
  <c r="M853" i="4"/>
  <c r="Q852" i="4"/>
  <c r="M852" i="4"/>
  <c r="Q851" i="4"/>
  <c r="M851" i="4"/>
  <c r="Q850" i="4"/>
  <c r="M850" i="4"/>
  <c r="Q849" i="4"/>
  <c r="M849" i="4"/>
  <c r="Q848" i="4"/>
  <c r="M848" i="4"/>
  <c r="Q847" i="4"/>
  <c r="M847" i="4"/>
  <c r="Q846" i="4"/>
  <c r="M846" i="4"/>
  <c r="Q845" i="4"/>
  <c r="M845" i="4"/>
  <c r="Q844" i="4"/>
  <c r="M844" i="4"/>
  <c r="Q843" i="4"/>
  <c r="M843" i="4"/>
  <c r="Q842" i="4"/>
  <c r="M842" i="4"/>
  <c r="Q841" i="4"/>
  <c r="M841" i="4"/>
  <c r="Q840" i="4"/>
  <c r="M840" i="4"/>
  <c r="Q839" i="4"/>
  <c r="M839" i="4"/>
  <c r="Q838" i="4"/>
  <c r="M838" i="4"/>
  <c r="Q837" i="4"/>
  <c r="M837" i="4"/>
  <c r="Q836" i="4"/>
  <c r="M836" i="4"/>
  <c r="Q835" i="4"/>
  <c r="M835" i="4"/>
  <c r="Q834" i="4"/>
  <c r="M834" i="4"/>
  <c r="Q833" i="4"/>
  <c r="M833" i="4"/>
  <c r="Q832" i="4"/>
  <c r="M832" i="4"/>
  <c r="Q831" i="4"/>
  <c r="M831" i="4"/>
  <c r="Q830" i="4"/>
  <c r="M830" i="4"/>
  <c r="Q829" i="4"/>
  <c r="M829" i="4"/>
  <c r="Q828" i="4"/>
  <c r="M828" i="4"/>
  <c r="Q827" i="4"/>
  <c r="M827" i="4"/>
  <c r="Q826" i="4"/>
  <c r="M826" i="4"/>
  <c r="Q825" i="4"/>
  <c r="M825" i="4"/>
  <c r="Q824" i="4"/>
  <c r="M824" i="4"/>
  <c r="Q823" i="4"/>
  <c r="M823" i="4"/>
  <c r="Q822" i="4"/>
  <c r="M822" i="4"/>
  <c r="Q821" i="4"/>
  <c r="M821" i="4"/>
  <c r="Q820" i="4"/>
  <c r="M820" i="4"/>
  <c r="Q819" i="4"/>
  <c r="M819" i="4"/>
  <c r="Q818" i="4"/>
  <c r="M818" i="4"/>
  <c r="Q817" i="4"/>
  <c r="M817" i="4"/>
  <c r="Q816" i="4"/>
  <c r="M816" i="4"/>
  <c r="Q815" i="4"/>
  <c r="M815" i="4"/>
  <c r="Q814" i="4"/>
  <c r="M814" i="4"/>
  <c r="Q813" i="4"/>
  <c r="M813" i="4"/>
  <c r="Q812" i="4"/>
  <c r="M812" i="4"/>
  <c r="Q811" i="4"/>
  <c r="M811" i="4"/>
  <c r="Q810" i="4"/>
  <c r="M810" i="4"/>
  <c r="Q809" i="4"/>
  <c r="M809" i="4"/>
  <c r="Q808" i="4"/>
  <c r="M808" i="4"/>
  <c r="Q807" i="4"/>
  <c r="M807" i="4"/>
  <c r="Q806" i="4"/>
  <c r="M806" i="4"/>
  <c r="Q805" i="4"/>
  <c r="M805" i="4"/>
  <c r="Q804" i="4"/>
  <c r="M804" i="4"/>
  <c r="Q803" i="4"/>
  <c r="M803" i="4"/>
  <c r="Q802" i="4"/>
  <c r="M802" i="4"/>
  <c r="Q801" i="4"/>
  <c r="M801" i="4"/>
  <c r="Q800" i="4"/>
  <c r="M800" i="4"/>
  <c r="Q799" i="4"/>
  <c r="M799" i="4"/>
  <c r="Q798" i="4"/>
  <c r="M798" i="4"/>
  <c r="Q797" i="4"/>
  <c r="M797" i="4"/>
  <c r="Q796" i="4"/>
  <c r="M796" i="4"/>
  <c r="Q795" i="4"/>
  <c r="M795" i="4"/>
  <c r="Q794" i="4"/>
  <c r="M794" i="4"/>
  <c r="Q793" i="4"/>
  <c r="M793" i="4"/>
  <c r="Q792" i="4"/>
  <c r="M792" i="4"/>
  <c r="Q791" i="4"/>
  <c r="M791" i="4"/>
  <c r="Q790" i="4"/>
  <c r="M790" i="4"/>
  <c r="Q789" i="4"/>
  <c r="M789" i="4"/>
  <c r="Q788" i="4"/>
  <c r="M788" i="4"/>
  <c r="Q787" i="4"/>
  <c r="M787" i="4"/>
  <c r="Q786" i="4"/>
  <c r="M786" i="4"/>
  <c r="Q785" i="4"/>
  <c r="M785" i="4"/>
  <c r="Q784" i="4"/>
  <c r="M784" i="4"/>
  <c r="Q783" i="4"/>
  <c r="M783" i="4"/>
  <c r="Q782" i="4"/>
  <c r="M782" i="4"/>
  <c r="Q781" i="4"/>
  <c r="M781" i="4"/>
  <c r="Q780" i="4"/>
  <c r="M780" i="4"/>
  <c r="Q779" i="4"/>
  <c r="M779" i="4"/>
  <c r="Q778" i="4"/>
  <c r="M778" i="4"/>
  <c r="Q777" i="4"/>
  <c r="M777" i="4"/>
  <c r="Q776" i="4"/>
  <c r="M776" i="4"/>
  <c r="Q775" i="4"/>
  <c r="M775" i="4"/>
  <c r="Q774" i="4"/>
  <c r="M774" i="4"/>
  <c r="Q773" i="4"/>
  <c r="M773" i="4"/>
  <c r="Q772" i="4"/>
  <c r="M772" i="4"/>
  <c r="Q771" i="4"/>
  <c r="M771" i="4"/>
  <c r="Q770" i="4"/>
  <c r="M770" i="4"/>
  <c r="Q769" i="4"/>
  <c r="M769" i="4"/>
  <c r="Q768" i="4"/>
  <c r="M768" i="4"/>
  <c r="Q767" i="4"/>
  <c r="M767" i="4"/>
  <c r="Q766" i="4"/>
  <c r="M766" i="4"/>
  <c r="Q765" i="4"/>
  <c r="M765" i="4"/>
  <c r="Q764" i="4"/>
  <c r="M764" i="4"/>
  <c r="Q763" i="4"/>
  <c r="M763" i="4"/>
  <c r="Q762" i="4"/>
  <c r="M762" i="4"/>
  <c r="Q761" i="4"/>
  <c r="M761" i="4"/>
  <c r="Q760" i="4"/>
  <c r="M760" i="4"/>
  <c r="Q759" i="4"/>
  <c r="M759" i="4"/>
  <c r="Q758" i="4"/>
  <c r="M758" i="4"/>
  <c r="Q757" i="4"/>
  <c r="M757" i="4"/>
  <c r="Q756" i="4"/>
  <c r="M756" i="4"/>
  <c r="Q755" i="4"/>
  <c r="M755" i="4"/>
  <c r="Q754" i="4"/>
  <c r="M754" i="4"/>
  <c r="Q753" i="4"/>
  <c r="M753" i="4"/>
  <c r="Q752" i="4"/>
  <c r="M752" i="4"/>
  <c r="Q751" i="4"/>
  <c r="M751" i="4"/>
  <c r="Q750" i="4"/>
  <c r="M750" i="4"/>
  <c r="Q749" i="4"/>
  <c r="M749" i="4"/>
  <c r="Q748" i="4"/>
  <c r="M748" i="4"/>
  <c r="Q747" i="4"/>
  <c r="M747" i="4"/>
  <c r="Q746" i="4"/>
  <c r="M746" i="4"/>
  <c r="Q745" i="4"/>
  <c r="M745" i="4"/>
  <c r="Q744" i="4"/>
  <c r="M744" i="4"/>
  <c r="Q743" i="4"/>
  <c r="M743" i="4"/>
  <c r="Q742" i="4"/>
  <c r="M742" i="4"/>
  <c r="Q741" i="4"/>
  <c r="M741" i="4"/>
  <c r="Q740" i="4"/>
  <c r="M740" i="4"/>
  <c r="Q739" i="4"/>
  <c r="M739" i="4"/>
  <c r="Q738" i="4"/>
  <c r="M738" i="4"/>
  <c r="Q737" i="4"/>
  <c r="M737" i="4"/>
  <c r="Q736" i="4"/>
  <c r="M736" i="4"/>
  <c r="Q735" i="4"/>
  <c r="M735" i="4"/>
  <c r="Q734" i="4"/>
  <c r="M734" i="4"/>
  <c r="Q733" i="4"/>
  <c r="M733" i="4"/>
  <c r="Q732" i="4"/>
  <c r="M732" i="4"/>
  <c r="Q731" i="4"/>
  <c r="M731" i="4"/>
  <c r="Q730" i="4"/>
  <c r="M730" i="4"/>
  <c r="Q729" i="4"/>
  <c r="M729" i="4"/>
  <c r="Q728" i="4"/>
  <c r="M728" i="4"/>
  <c r="Q727" i="4"/>
  <c r="M727" i="4"/>
  <c r="Q726" i="4"/>
  <c r="M726" i="4"/>
  <c r="Q725" i="4"/>
  <c r="M725" i="4"/>
  <c r="Q724" i="4"/>
  <c r="M724" i="4"/>
  <c r="Q723" i="4"/>
  <c r="M723" i="4"/>
  <c r="Q722" i="4"/>
  <c r="M722" i="4"/>
  <c r="Q721" i="4"/>
  <c r="M721" i="4"/>
  <c r="Q720" i="4"/>
  <c r="M720" i="4"/>
  <c r="Q719" i="4"/>
  <c r="M719" i="4"/>
  <c r="Q718" i="4"/>
  <c r="M718" i="4"/>
  <c r="Q717" i="4"/>
  <c r="M717" i="4"/>
  <c r="Q716" i="4"/>
  <c r="M716" i="4"/>
  <c r="Q715" i="4"/>
  <c r="M715" i="4"/>
  <c r="Q714" i="4"/>
  <c r="M714" i="4"/>
  <c r="Q713" i="4"/>
  <c r="M713" i="4"/>
  <c r="Q712" i="4"/>
  <c r="M712" i="4"/>
  <c r="Q711" i="4"/>
  <c r="M711" i="4"/>
  <c r="Q710" i="4"/>
  <c r="M710" i="4"/>
  <c r="Q709" i="4"/>
  <c r="M709" i="4"/>
  <c r="Q708" i="4"/>
  <c r="M708" i="4"/>
  <c r="Q707" i="4"/>
  <c r="M707" i="4"/>
  <c r="Q706" i="4"/>
  <c r="M706" i="4"/>
  <c r="Q705" i="4"/>
  <c r="M705" i="4"/>
  <c r="Q704" i="4"/>
  <c r="M704" i="4"/>
  <c r="Q703" i="4"/>
  <c r="M703" i="4"/>
  <c r="Q702" i="4"/>
  <c r="M702" i="4"/>
  <c r="Q701" i="4"/>
  <c r="M701" i="4"/>
  <c r="Q700" i="4"/>
  <c r="M700" i="4"/>
  <c r="Q699" i="4"/>
  <c r="M699" i="4"/>
  <c r="Q698" i="4"/>
  <c r="M698" i="4"/>
  <c r="Q697" i="4"/>
  <c r="M697" i="4"/>
  <c r="Q696" i="4"/>
  <c r="M696" i="4"/>
  <c r="Q695" i="4"/>
  <c r="M695" i="4"/>
  <c r="Q694" i="4"/>
  <c r="M694" i="4"/>
  <c r="Q693" i="4"/>
  <c r="M693" i="4"/>
  <c r="Q692" i="4"/>
  <c r="M692" i="4"/>
  <c r="Q691" i="4"/>
  <c r="M691" i="4"/>
  <c r="Q690" i="4"/>
  <c r="M690" i="4"/>
  <c r="Q689" i="4"/>
  <c r="M689" i="4"/>
  <c r="Q688" i="4"/>
  <c r="M688" i="4"/>
  <c r="Q687" i="4"/>
  <c r="M687" i="4"/>
  <c r="Q686" i="4"/>
  <c r="M686" i="4"/>
  <c r="Q685" i="4"/>
  <c r="M685" i="4"/>
  <c r="Q684" i="4"/>
  <c r="M684" i="4"/>
  <c r="Q683" i="4"/>
  <c r="M683" i="4"/>
  <c r="Q682" i="4"/>
  <c r="M682" i="4"/>
  <c r="Q681" i="4"/>
  <c r="M681" i="4"/>
  <c r="Q680" i="4"/>
  <c r="M680" i="4"/>
  <c r="Q679" i="4"/>
  <c r="M679" i="4"/>
  <c r="Q678" i="4"/>
  <c r="M678" i="4"/>
  <c r="Q677" i="4"/>
  <c r="M677" i="4"/>
  <c r="Q676" i="4"/>
  <c r="M676" i="4"/>
  <c r="Q675" i="4"/>
  <c r="M675" i="4"/>
  <c r="Q674" i="4"/>
  <c r="M674" i="4"/>
  <c r="Q673" i="4"/>
  <c r="M673" i="4"/>
  <c r="Q672" i="4"/>
  <c r="M672" i="4"/>
  <c r="Q671" i="4"/>
  <c r="M671" i="4"/>
  <c r="Q670" i="4"/>
  <c r="M670" i="4"/>
  <c r="Q669" i="4"/>
  <c r="M669" i="4"/>
  <c r="Q668" i="4"/>
  <c r="M668" i="4"/>
  <c r="Q667" i="4"/>
  <c r="M667" i="4"/>
  <c r="Q666" i="4"/>
  <c r="M666" i="4"/>
  <c r="Q665" i="4"/>
  <c r="M665" i="4"/>
  <c r="Q664" i="4"/>
  <c r="M664" i="4"/>
  <c r="Q663" i="4"/>
  <c r="M663" i="4"/>
  <c r="Q662" i="4"/>
  <c r="M662" i="4"/>
  <c r="Q661" i="4"/>
  <c r="M661" i="4"/>
  <c r="Q660" i="4"/>
  <c r="M660" i="4"/>
  <c r="Q659" i="4"/>
  <c r="M659" i="4"/>
  <c r="Q658" i="4"/>
  <c r="M658" i="4"/>
  <c r="Q657" i="4"/>
  <c r="M657" i="4"/>
  <c r="Q656" i="4"/>
  <c r="M656" i="4"/>
  <c r="Q655" i="4"/>
  <c r="M655" i="4"/>
  <c r="Q654" i="4"/>
  <c r="M654" i="4"/>
  <c r="Q653" i="4"/>
  <c r="M653" i="4"/>
  <c r="Q652" i="4"/>
  <c r="M652" i="4"/>
  <c r="Q651" i="4"/>
  <c r="M651" i="4"/>
  <c r="Q650" i="4"/>
  <c r="M650" i="4"/>
  <c r="Q649" i="4"/>
  <c r="M649" i="4"/>
  <c r="Q648" i="4"/>
  <c r="M648" i="4"/>
  <c r="Q647" i="4"/>
  <c r="M647" i="4"/>
  <c r="Q646" i="4"/>
  <c r="M646" i="4"/>
  <c r="Q645" i="4"/>
  <c r="M645" i="4"/>
  <c r="Q644" i="4"/>
  <c r="M644" i="4"/>
  <c r="Q643" i="4"/>
  <c r="M643" i="4"/>
  <c r="Q642" i="4"/>
  <c r="M642" i="4"/>
  <c r="Q641" i="4"/>
  <c r="M641" i="4"/>
  <c r="Q640" i="4"/>
  <c r="M640" i="4"/>
  <c r="Q639" i="4"/>
  <c r="M639" i="4"/>
  <c r="Q638" i="4"/>
  <c r="M638" i="4"/>
  <c r="Q637" i="4"/>
  <c r="M637" i="4"/>
  <c r="Q636" i="4"/>
  <c r="M636" i="4"/>
  <c r="Q635" i="4"/>
  <c r="M635" i="4"/>
  <c r="Q634" i="4"/>
  <c r="M634" i="4"/>
  <c r="Q633" i="4"/>
  <c r="M633" i="4"/>
  <c r="Q632" i="4"/>
  <c r="M632" i="4"/>
  <c r="Q631" i="4"/>
  <c r="M631" i="4"/>
  <c r="Q630" i="4"/>
  <c r="M630" i="4"/>
  <c r="Q629" i="4"/>
  <c r="M629" i="4"/>
  <c r="Q628" i="4"/>
  <c r="M628" i="4"/>
  <c r="Q627" i="4"/>
  <c r="M627" i="4"/>
  <c r="Q626" i="4"/>
  <c r="M626" i="4"/>
  <c r="Q625" i="4"/>
  <c r="M625" i="4"/>
  <c r="Q624" i="4"/>
  <c r="M624" i="4"/>
  <c r="Q623" i="4"/>
  <c r="M623" i="4"/>
  <c r="Q622" i="4"/>
  <c r="M622" i="4"/>
  <c r="Q621" i="4"/>
  <c r="M621" i="4"/>
  <c r="Q620" i="4"/>
  <c r="M620" i="4"/>
  <c r="Q619" i="4"/>
  <c r="M619" i="4"/>
  <c r="Q618" i="4"/>
  <c r="M618" i="4"/>
  <c r="Q617" i="4"/>
  <c r="M617" i="4"/>
  <c r="Q616" i="4"/>
  <c r="M616" i="4"/>
  <c r="Q615" i="4"/>
  <c r="M615" i="4"/>
  <c r="Q614" i="4"/>
  <c r="M614" i="4"/>
  <c r="Q613" i="4"/>
  <c r="M613" i="4"/>
  <c r="Q612" i="4"/>
  <c r="M612" i="4"/>
  <c r="Q611" i="4"/>
  <c r="M611" i="4"/>
  <c r="Q610" i="4"/>
  <c r="M610" i="4"/>
  <c r="Q609" i="4"/>
  <c r="M609" i="4"/>
  <c r="Q608" i="4"/>
  <c r="M608" i="4"/>
  <c r="Q607" i="4"/>
  <c r="M607" i="4"/>
  <c r="Q606" i="4"/>
  <c r="M606" i="4"/>
  <c r="Q605" i="4"/>
  <c r="M605" i="4"/>
  <c r="Q604" i="4"/>
  <c r="M604" i="4"/>
  <c r="Q603" i="4"/>
  <c r="M603" i="4"/>
  <c r="Q602" i="4"/>
  <c r="M602" i="4"/>
  <c r="Q601" i="4"/>
  <c r="M601" i="4"/>
  <c r="Q600" i="4"/>
  <c r="M600" i="4"/>
  <c r="Q599" i="4"/>
  <c r="M599" i="4"/>
  <c r="Q598" i="4"/>
  <c r="M598" i="4"/>
  <c r="Q597" i="4"/>
  <c r="M597" i="4"/>
  <c r="Q596" i="4"/>
  <c r="M596" i="4"/>
  <c r="Q595" i="4"/>
  <c r="M595" i="4"/>
  <c r="Q594" i="4"/>
  <c r="M594" i="4"/>
  <c r="Q593" i="4"/>
  <c r="M593" i="4"/>
  <c r="Q592" i="4"/>
  <c r="M592" i="4"/>
  <c r="Q591" i="4"/>
  <c r="M591" i="4"/>
  <c r="Q590" i="4"/>
  <c r="M590" i="4"/>
  <c r="Q589" i="4"/>
  <c r="M589" i="4"/>
  <c r="Q588" i="4"/>
  <c r="M588" i="4"/>
  <c r="Q587" i="4"/>
  <c r="M587" i="4"/>
  <c r="Q586" i="4"/>
  <c r="M586" i="4"/>
  <c r="Q585" i="4"/>
  <c r="M585" i="4"/>
  <c r="Q584" i="4"/>
  <c r="M584" i="4"/>
  <c r="Q583" i="4"/>
  <c r="M583" i="4"/>
  <c r="Q582" i="4"/>
  <c r="M582" i="4"/>
  <c r="Q581" i="4"/>
  <c r="M581" i="4"/>
  <c r="Q580" i="4"/>
  <c r="M580" i="4"/>
  <c r="Q579" i="4"/>
  <c r="M579" i="4"/>
  <c r="Q578" i="4"/>
  <c r="M578" i="4"/>
  <c r="Q577" i="4"/>
  <c r="M577" i="4"/>
  <c r="Q576" i="4"/>
  <c r="M576" i="4"/>
  <c r="Q575" i="4"/>
  <c r="M575" i="4"/>
  <c r="Q574" i="4"/>
  <c r="M574" i="4"/>
  <c r="Q573" i="4"/>
  <c r="M573" i="4"/>
  <c r="Q572" i="4"/>
  <c r="M572" i="4"/>
  <c r="Q571" i="4"/>
  <c r="M571" i="4"/>
  <c r="Q570" i="4"/>
  <c r="M570" i="4"/>
  <c r="Q569" i="4"/>
  <c r="M569" i="4"/>
  <c r="Q568" i="4"/>
  <c r="M568" i="4"/>
  <c r="Q567" i="4"/>
  <c r="M567" i="4"/>
  <c r="Q566" i="4"/>
  <c r="M566" i="4"/>
  <c r="Q565" i="4"/>
  <c r="M565" i="4"/>
  <c r="Q564" i="4"/>
  <c r="M564" i="4"/>
  <c r="Q563" i="4"/>
  <c r="M563" i="4"/>
  <c r="Q562" i="4"/>
  <c r="M562" i="4"/>
  <c r="Q561" i="4"/>
  <c r="M561" i="4"/>
  <c r="Q560" i="4"/>
  <c r="M560" i="4"/>
  <c r="Q559" i="4"/>
  <c r="M559" i="4"/>
  <c r="Q558" i="4"/>
  <c r="M558" i="4"/>
  <c r="Q557" i="4"/>
  <c r="M557" i="4"/>
  <c r="Q556" i="4"/>
  <c r="M556" i="4"/>
  <c r="Q555" i="4"/>
  <c r="M555" i="4"/>
  <c r="Q554" i="4"/>
  <c r="M554" i="4"/>
  <c r="Q553" i="4"/>
  <c r="M553" i="4"/>
  <c r="Q552" i="4"/>
  <c r="M552" i="4"/>
  <c r="Q551" i="4"/>
  <c r="M551" i="4"/>
  <c r="Q550" i="4"/>
  <c r="M550" i="4"/>
  <c r="Q549" i="4"/>
  <c r="M549" i="4"/>
  <c r="Q548" i="4"/>
  <c r="M548" i="4"/>
  <c r="Q547" i="4"/>
  <c r="M547" i="4"/>
  <c r="Q546" i="4"/>
  <c r="M546" i="4"/>
  <c r="Q545" i="4"/>
  <c r="M545" i="4"/>
  <c r="Q544" i="4"/>
  <c r="M544" i="4"/>
  <c r="Q543" i="4"/>
  <c r="M543" i="4"/>
  <c r="Q542" i="4"/>
  <c r="M542" i="4"/>
  <c r="Q541" i="4"/>
  <c r="M541" i="4"/>
  <c r="Q540" i="4"/>
  <c r="M540" i="4"/>
  <c r="Q539" i="4"/>
  <c r="M539" i="4"/>
  <c r="Q538" i="4"/>
  <c r="M538" i="4"/>
  <c r="Q537" i="4"/>
  <c r="M537" i="4"/>
  <c r="Q536" i="4"/>
  <c r="M536" i="4"/>
  <c r="Q535" i="4"/>
  <c r="M535" i="4"/>
  <c r="Q534" i="4"/>
  <c r="M534" i="4"/>
  <c r="Q533" i="4"/>
  <c r="M533" i="4"/>
  <c r="Q532" i="4"/>
  <c r="M532" i="4"/>
  <c r="Q531" i="4"/>
  <c r="M531" i="4"/>
  <c r="Q530" i="4"/>
  <c r="M530" i="4"/>
  <c r="Q529" i="4"/>
  <c r="M529" i="4"/>
  <c r="Q528" i="4"/>
  <c r="M528" i="4"/>
  <c r="Q527" i="4"/>
  <c r="M527" i="4"/>
  <c r="Q526" i="4"/>
  <c r="M526" i="4"/>
  <c r="Q525" i="4"/>
  <c r="M525" i="4"/>
  <c r="Q524" i="4"/>
  <c r="M524" i="4"/>
  <c r="Q523" i="4"/>
  <c r="M523" i="4"/>
  <c r="Q522" i="4"/>
  <c r="M522" i="4"/>
  <c r="Q521" i="4"/>
  <c r="M521" i="4"/>
  <c r="Q520" i="4"/>
  <c r="M520" i="4"/>
  <c r="Q519" i="4"/>
  <c r="M519" i="4"/>
  <c r="Q518" i="4"/>
  <c r="M518" i="4"/>
  <c r="Q517" i="4"/>
  <c r="M517" i="4"/>
  <c r="Q516" i="4"/>
  <c r="M516" i="4"/>
  <c r="Q515" i="4"/>
  <c r="M515" i="4"/>
  <c r="Q514" i="4"/>
  <c r="M514" i="4"/>
  <c r="Q513" i="4"/>
  <c r="M513" i="4"/>
  <c r="Q512" i="4"/>
  <c r="M512" i="4"/>
  <c r="Q511" i="4"/>
  <c r="M511" i="4"/>
  <c r="Q510" i="4"/>
  <c r="M510" i="4"/>
  <c r="Q509" i="4"/>
  <c r="M509" i="4"/>
  <c r="Q508" i="4"/>
  <c r="M508" i="4"/>
  <c r="Q507" i="4"/>
  <c r="M507" i="4"/>
  <c r="Q506" i="4"/>
  <c r="M506" i="4"/>
  <c r="Q505" i="4"/>
  <c r="M505" i="4"/>
  <c r="Q504" i="4"/>
  <c r="M504" i="4"/>
  <c r="Q503" i="4"/>
  <c r="M503" i="4"/>
  <c r="Q502" i="4"/>
  <c r="M502" i="4"/>
  <c r="Q501" i="4"/>
  <c r="M501" i="4"/>
  <c r="Q500" i="4"/>
  <c r="M500" i="4"/>
  <c r="Q499" i="4"/>
  <c r="M499" i="4"/>
  <c r="Q498" i="4"/>
  <c r="M498" i="4"/>
  <c r="Q497" i="4"/>
  <c r="M497" i="4"/>
  <c r="Q496" i="4"/>
  <c r="M496" i="4"/>
  <c r="Q495" i="4"/>
  <c r="M495" i="4"/>
  <c r="Q494" i="4"/>
  <c r="M494" i="4"/>
  <c r="Q493" i="4"/>
  <c r="M493" i="4"/>
  <c r="Q492" i="4"/>
  <c r="M492" i="4"/>
  <c r="Q491" i="4"/>
  <c r="M491" i="4"/>
  <c r="Q490" i="4"/>
  <c r="M490" i="4"/>
  <c r="Q489" i="4"/>
  <c r="M489" i="4"/>
  <c r="Q488" i="4"/>
  <c r="M488" i="4"/>
  <c r="Q487" i="4"/>
  <c r="M487" i="4"/>
  <c r="Q486" i="4"/>
  <c r="M486" i="4"/>
  <c r="Q485" i="4"/>
  <c r="M485" i="4"/>
  <c r="Q484" i="4"/>
  <c r="M484" i="4"/>
  <c r="Q483" i="4"/>
  <c r="M483" i="4"/>
  <c r="Q482" i="4"/>
  <c r="M482" i="4"/>
  <c r="Q481" i="4"/>
  <c r="M481" i="4"/>
  <c r="Q480" i="4"/>
  <c r="M480" i="4"/>
  <c r="Q479" i="4"/>
  <c r="M479" i="4"/>
  <c r="Q478" i="4"/>
  <c r="M478" i="4"/>
  <c r="Q477" i="4"/>
  <c r="M477" i="4"/>
  <c r="Q476" i="4"/>
  <c r="M476" i="4"/>
  <c r="Q475" i="4"/>
  <c r="M475" i="4"/>
  <c r="Q474" i="4"/>
  <c r="M474" i="4"/>
  <c r="Q473" i="4"/>
  <c r="M473" i="4"/>
  <c r="M472" i="4"/>
  <c r="M471" i="4"/>
  <c r="M470" i="4"/>
  <c r="M469" i="4"/>
  <c r="M468" i="4"/>
  <c r="M467" i="4"/>
  <c r="M466" i="4"/>
  <c r="M465" i="4"/>
  <c r="M464" i="4"/>
  <c r="M463" i="4"/>
  <c r="M462" i="4"/>
  <c r="M461" i="4"/>
  <c r="M460" i="4"/>
  <c r="M459" i="4"/>
  <c r="M458" i="4"/>
  <c r="M457" i="4"/>
  <c r="M456" i="4"/>
  <c r="M455" i="4"/>
  <c r="M454" i="4"/>
  <c r="M453" i="4"/>
  <c r="M452" i="4"/>
  <c r="M451" i="4"/>
  <c r="M450" i="4"/>
  <c r="M449" i="4"/>
  <c r="M448" i="4"/>
  <c r="M447" i="4"/>
  <c r="M446" i="4"/>
  <c r="M445" i="4"/>
  <c r="M444" i="4"/>
  <c r="M443" i="4"/>
  <c r="M442" i="4"/>
  <c r="M441" i="4"/>
  <c r="M440" i="4"/>
  <c r="M439" i="4"/>
  <c r="M438" i="4"/>
  <c r="M437" i="4"/>
  <c r="M436" i="4"/>
  <c r="M435" i="4"/>
  <c r="M434" i="4"/>
  <c r="M433" i="4"/>
  <c r="M225" i="4"/>
  <c r="M224" i="4"/>
  <c r="M223" i="4"/>
  <c r="M222" i="4"/>
  <c r="M221" i="4"/>
  <c r="M220" i="4"/>
  <c r="M219" i="4"/>
  <c r="M218" i="4"/>
  <c r="M9" i="4"/>
  <c r="M8" i="4"/>
  <c r="Q7" i="4"/>
  <c r="Q6" i="4"/>
  <c r="Q5" i="4"/>
  <c r="Q4" i="4"/>
  <c r="AJ32" i="10" l="1"/>
  <c r="AF33" i="10"/>
  <c r="AJ33" i="10" s="1"/>
  <c r="AB37" i="10"/>
  <c r="S36" i="10"/>
  <c r="T36" i="10" s="1"/>
  <c r="AD35" i="10"/>
  <c r="Z36" i="10"/>
  <c r="AF34" i="10"/>
  <c r="AG34" i="10"/>
  <c r="I436" i="4"/>
  <c r="N436" i="4"/>
  <c r="O436" i="4"/>
  <c r="P436" i="4"/>
  <c r="I444" i="4"/>
  <c r="O444" i="4"/>
  <c r="P444" i="4"/>
  <c r="N444" i="4"/>
  <c r="I452" i="4"/>
  <c r="O452" i="4"/>
  <c r="P452" i="4"/>
  <c r="N452" i="4"/>
  <c r="I460" i="4"/>
  <c r="N460" i="4"/>
  <c r="P460" i="4"/>
  <c r="O460" i="4"/>
  <c r="I468" i="4"/>
  <c r="P468" i="4"/>
  <c r="O468" i="4"/>
  <c r="N468" i="4"/>
  <c r="I445" i="4"/>
  <c r="N445" i="4"/>
  <c r="O445" i="4"/>
  <c r="P445" i="4"/>
  <c r="I453" i="4"/>
  <c r="O453" i="4"/>
  <c r="P453" i="4"/>
  <c r="N453" i="4"/>
  <c r="I461" i="4"/>
  <c r="N461" i="4"/>
  <c r="P461" i="4"/>
  <c r="O461" i="4"/>
  <c r="P469" i="4"/>
  <c r="N469" i="4"/>
  <c r="O469" i="4"/>
  <c r="I446" i="4"/>
  <c r="O446" i="4"/>
  <c r="N446" i="4"/>
  <c r="P446" i="4"/>
  <c r="I434" i="4"/>
  <c r="P434" i="4"/>
  <c r="O434" i="4"/>
  <c r="N434" i="4"/>
  <c r="I442" i="4"/>
  <c r="N442" i="4"/>
  <c r="O442" i="4"/>
  <c r="P442" i="4"/>
  <c r="I450" i="4"/>
  <c r="O450" i="4"/>
  <c r="P450" i="4"/>
  <c r="N450" i="4"/>
  <c r="I458" i="4"/>
  <c r="N458" i="4"/>
  <c r="O458" i="4"/>
  <c r="P458" i="4"/>
  <c r="I466" i="4"/>
  <c r="O466" i="4"/>
  <c r="P466" i="4"/>
  <c r="N466" i="4"/>
  <c r="I435" i="4"/>
  <c r="N435" i="4"/>
  <c r="P435" i="4"/>
  <c r="O435" i="4"/>
  <c r="I443" i="4"/>
  <c r="N443" i="4"/>
  <c r="O443" i="4"/>
  <c r="P443" i="4"/>
  <c r="I451" i="4"/>
  <c r="N451" i="4"/>
  <c r="P451" i="4"/>
  <c r="O451" i="4"/>
  <c r="I459" i="4"/>
  <c r="P459" i="4"/>
  <c r="N459" i="4"/>
  <c r="O459" i="4"/>
  <c r="I467" i="4"/>
  <c r="P467" i="4"/>
  <c r="O467" i="4"/>
  <c r="N467" i="4"/>
  <c r="I438" i="4"/>
  <c r="P438" i="4"/>
  <c r="N438" i="4"/>
  <c r="O438" i="4"/>
  <c r="I470" i="4"/>
  <c r="O470" i="4"/>
  <c r="N470" i="4"/>
  <c r="P470" i="4"/>
  <c r="I439" i="4"/>
  <c r="P439" i="4"/>
  <c r="N439" i="4"/>
  <c r="O439" i="4"/>
  <c r="I447" i="4"/>
  <c r="O447" i="4"/>
  <c r="P447" i="4"/>
  <c r="N447" i="4"/>
  <c r="I455" i="4"/>
  <c r="P455" i="4"/>
  <c r="O455" i="4"/>
  <c r="N455" i="4"/>
  <c r="I454" i="4"/>
  <c r="P454" i="4"/>
  <c r="O454" i="4"/>
  <c r="N454" i="4"/>
  <c r="I463" i="4"/>
  <c r="O463" i="4"/>
  <c r="P463" i="4"/>
  <c r="N463" i="4"/>
  <c r="I440" i="4"/>
  <c r="N440" i="4"/>
  <c r="O440" i="4"/>
  <c r="P440" i="4"/>
  <c r="I448" i="4"/>
  <c r="N448" i="4"/>
  <c r="O448" i="4"/>
  <c r="P448" i="4"/>
  <c r="I456" i="4"/>
  <c r="N456" i="4"/>
  <c r="O456" i="4"/>
  <c r="P456" i="4"/>
  <c r="I464" i="4"/>
  <c r="P464" i="4"/>
  <c r="N464" i="4"/>
  <c r="O464" i="4"/>
  <c r="I472" i="4"/>
  <c r="N472" i="4"/>
  <c r="P472" i="4"/>
  <c r="O472" i="4"/>
  <c r="I437" i="4"/>
  <c r="O437" i="4"/>
  <c r="N437" i="4"/>
  <c r="P437" i="4"/>
  <c r="I462" i="4"/>
  <c r="O462" i="4"/>
  <c r="P462" i="4"/>
  <c r="N462" i="4"/>
  <c r="I471" i="4"/>
  <c r="N471" i="4"/>
  <c r="P471" i="4"/>
  <c r="O471" i="4"/>
  <c r="I433" i="4"/>
  <c r="P433" i="4"/>
  <c r="O433" i="4"/>
  <c r="N433" i="4"/>
  <c r="I441" i="4"/>
  <c r="N441" i="4"/>
  <c r="O441" i="4"/>
  <c r="P441" i="4"/>
  <c r="I449" i="4"/>
  <c r="N449" i="4"/>
  <c r="P449" i="4"/>
  <c r="O449" i="4"/>
  <c r="I457" i="4"/>
  <c r="O457" i="4"/>
  <c r="P457" i="4"/>
  <c r="N457" i="4"/>
  <c r="I465" i="4"/>
  <c r="P465" i="4"/>
  <c r="O465" i="4"/>
  <c r="N465" i="4"/>
  <c r="L469" i="4"/>
  <c r="I469" i="4"/>
  <c r="J221" i="4"/>
  <c r="J444" i="4"/>
  <c r="K444" i="4"/>
  <c r="L444" i="4"/>
  <c r="J460" i="4"/>
  <c r="L460" i="4"/>
  <c r="K460" i="4"/>
  <c r="J461" i="4"/>
  <c r="L461" i="4"/>
  <c r="K461" i="4"/>
  <c r="J7" i="4"/>
  <c r="K7" i="4"/>
  <c r="J219" i="4"/>
  <c r="L434" i="4"/>
  <c r="K434" i="4"/>
  <c r="J434" i="4"/>
  <c r="J442" i="4"/>
  <c r="L442" i="4"/>
  <c r="K442" i="4"/>
  <c r="L450" i="4"/>
  <c r="J450" i="4"/>
  <c r="K450" i="4"/>
  <c r="L458" i="4"/>
  <c r="K458" i="4"/>
  <c r="J458" i="4"/>
  <c r="L466" i="4"/>
  <c r="K466" i="4"/>
  <c r="J466" i="4"/>
  <c r="J220" i="4"/>
  <c r="L435" i="4"/>
  <c r="K435" i="4"/>
  <c r="J435" i="4"/>
  <c r="L443" i="4"/>
  <c r="J443" i="4"/>
  <c r="K443" i="4"/>
  <c r="J451" i="4"/>
  <c r="L451" i="4"/>
  <c r="K451" i="4"/>
  <c r="J459" i="4"/>
  <c r="L459" i="4"/>
  <c r="K459" i="4"/>
  <c r="L467" i="4"/>
  <c r="K467" i="4"/>
  <c r="J467" i="4"/>
  <c r="K445" i="4"/>
  <c r="J445" i="4"/>
  <c r="L445" i="4"/>
  <c r="K454" i="4"/>
  <c r="L454" i="4"/>
  <c r="J454" i="4"/>
  <c r="K8" i="4"/>
  <c r="J8" i="4"/>
  <c r="J224" i="4"/>
  <c r="L439" i="4"/>
  <c r="K439" i="4"/>
  <c r="J439" i="4"/>
  <c r="L447" i="4"/>
  <c r="K447" i="4"/>
  <c r="J447" i="4"/>
  <c r="K455" i="4"/>
  <c r="L455" i="4"/>
  <c r="J455" i="4"/>
  <c r="K463" i="4"/>
  <c r="L463" i="4"/>
  <c r="J463" i="4"/>
  <c r="K471" i="4"/>
  <c r="J471" i="4"/>
  <c r="J453" i="4"/>
  <c r="L453" i="4"/>
  <c r="K453" i="4"/>
  <c r="J470" i="4"/>
  <c r="K470" i="4"/>
  <c r="J9" i="4"/>
  <c r="K9" i="4"/>
  <c r="J225" i="4"/>
  <c r="J440" i="4"/>
  <c r="L440" i="4"/>
  <c r="K440" i="4"/>
  <c r="L448" i="4"/>
  <c r="K448" i="4"/>
  <c r="J448" i="4"/>
  <c r="L456" i="4"/>
  <c r="K456" i="4"/>
  <c r="J456" i="4"/>
  <c r="K464" i="4"/>
  <c r="L464" i="4"/>
  <c r="J464" i="4"/>
  <c r="J472" i="4"/>
  <c r="K472" i="4"/>
  <c r="L436" i="4"/>
  <c r="K436" i="4"/>
  <c r="J436" i="4"/>
  <c r="J452" i="4"/>
  <c r="K452" i="4"/>
  <c r="L452" i="4"/>
  <c r="J468" i="4"/>
  <c r="L468" i="4"/>
  <c r="K468" i="4"/>
  <c r="J222" i="4"/>
  <c r="K437" i="4"/>
  <c r="J437" i="4"/>
  <c r="L437" i="4"/>
  <c r="K469" i="4"/>
  <c r="J469" i="4"/>
  <c r="J223" i="4"/>
  <c r="K438" i="4"/>
  <c r="J438" i="4"/>
  <c r="L438" i="4"/>
  <c r="J446" i="4"/>
  <c r="K446" i="4"/>
  <c r="L446" i="4"/>
  <c r="K462" i="4"/>
  <c r="J462" i="4"/>
  <c r="L462" i="4"/>
  <c r="J4" i="4"/>
  <c r="K4" i="4"/>
  <c r="K5" i="4"/>
  <c r="J5" i="4"/>
  <c r="J6" i="4"/>
  <c r="K6" i="4"/>
  <c r="J218" i="4"/>
  <c r="J433" i="4"/>
  <c r="L433" i="4"/>
  <c r="K433" i="4"/>
  <c r="K441" i="4"/>
  <c r="L441" i="4"/>
  <c r="J441" i="4"/>
  <c r="L449" i="4"/>
  <c r="J449" i="4"/>
  <c r="K449" i="4"/>
  <c r="K457" i="4"/>
  <c r="J457" i="4"/>
  <c r="L457" i="4"/>
  <c r="L465" i="4"/>
  <c r="K465" i="4"/>
  <c r="J465" i="4"/>
  <c r="J3" i="4"/>
  <c r="K3" i="4"/>
  <c r="V11" i="4"/>
  <c r="Q10" i="4"/>
  <c r="V1002" i="4"/>
  <c r="V1001" i="4"/>
  <c r="V1000" i="4"/>
  <c r="V999" i="4"/>
  <c r="V998" i="4"/>
  <c r="V997" i="4"/>
  <c r="V996" i="4"/>
  <c r="V995" i="4"/>
  <c r="V994" i="4"/>
  <c r="V993" i="4"/>
  <c r="V992" i="4"/>
  <c r="V991" i="4"/>
  <c r="V990" i="4"/>
  <c r="V989" i="4"/>
  <c r="V988" i="4"/>
  <c r="V987" i="4"/>
  <c r="V986" i="4"/>
  <c r="V985" i="4"/>
  <c r="V984" i="4"/>
  <c r="V983" i="4"/>
  <c r="V982" i="4"/>
  <c r="V981" i="4"/>
  <c r="V980" i="4"/>
  <c r="V979" i="4"/>
  <c r="V978" i="4"/>
  <c r="V977" i="4"/>
  <c r="V976" i="4"/>
  <c r="V975" i="4"/>
  <c r="V974" i="4"/>
  <c r="V973" i="4"/>
  <c r="V972" i="4"/>
  <c r="V971" i="4"/>
  <c r="V970" i="4"/>
  <c r="V969" i="4"/>
  <c r="V968" i="4"/>
  <c r="V967" i="4"/>
  <c r="V966" i="4"/>
  <c r="V965" i="4"/>
  <c r="V964" i="4"/>
  <c r="V963" i="4"/>
  <c r="V962" i="4"/>
  <c r="V961" i="4"/>
  <c r="V960" i="4"/>
  <c r="V959" i="4"/>
  <c r="V958" i="4"/>
  <c r="V957" i="4"/>
  <c r="V956" i="4"/>
  <c r="V955" i="4"/>
  <c r="V954" i="4"/>
  <c r="V953" i="4"/>
  <c r="V952" i="4"/>
  <c r="V951" i="4"/>
  <c r="V950" i="4"/>
  <c r="V949" i="4"/>
  <c r="V948" i="4"/>
  <c r="V947" i="4"/>
  <c r="V946" i="4"/>
  <c r="V945" i="4"/>
  <c r="V944" i="4"/>
  <c r="V943" i="4"/>
  <c r="V942" i="4"/>
  <c r="V941" i="4"/>
  <c r="V940" i="4"/>
  <c r="V939" i="4"/>
  <c r="V938" i="4"/>
  <c r="V937" i="4"/>
  <c r="V936" i="4"/>
  <c r="V935" i="4"/>
  <c r="V934" i="4"/>
  <c r="V933" i="4"/>
  <c r="V932" i="4"/>
  <c r="V931" i="4"/>
  <c r="V930" i="4"/>
  <c r="V929" i="4"/>
  <c r="V928" i="4"/>
  <c r="V927" i="4"/>
  <c r="V926" i="4"/>
  <c r="V925" i="4"/>
  <c r="V924" i="4"/>
  <c r="V923" i="4"/>
  <c r="V922" i="4"/>
  <c r="V921" i="4"/>
  <c r="V920" i="4"/>
  <c r="V919" i="4"/>
  <c r="V918" i="4"/>
  <c r="V917" i="4"/>
  <c r="V916" i="4"/>
  <c r="V915" i="4"/>
  <c r="V914" i="4"/>
  <c r="V913" i="4"/>
  <c r="V912" i="4"/>
  <c r="V911" i="4"/>
  <c r="V910" i="4"/>
  <c r="V909" i="4"/>
  <c r="V908" i="4"/>
  <c r="V907" i="4"/>
  <c r="V906" i="4"/>
  <c r="V905" i="4"/>
  <c r="V904" i="4"/>
  <c r="V903" i="4"/>
  <c r="V902" i="4"/>
  <c r="V901" i="4"/>
  <c r="V900" i="4"/>
  <c r="V899" i="4"/>
  <c r="V898" i="4"/>
  <c r="V897" i="4"/>
  <c r="V896" i="4"/>
  <c r="V895" i="4"/>
  <c r="V894" i="4"/>
  <c r="V893" i="4"/>
  <c r="V892" i="4"/>
  <c r="V891" i="4"/>
  <c r="V890" i="4"/>
  <c r="V889" i="4"/>
  <c r="V888" i="4"/>
  <c r="V887" i="4"/>
  <c r="V886" i="4"/>
  <c r="V885" i="4"/>
  <c r="V884" i="4"/>
  <c r="V883" i="4"/>
  <c r="V882" i="4"/>
  <c r="V881" i="4"/>
  <c r="V880" i="4"/>
  <c r="V879" i="4"/>
  <c r="V878" i="4"/>
  <c r="V877" i="4"/>
  <c r="V876" i="4"/>
  <c r="V875" i="4"/>
  <c r="V874" i="4"/>
  <c r="V873" i="4"/>
  <c r="V872" i="4"/>
  <c r="V871" i="4"/>
  <c r="V870" i="4"/>
  <c r="V869" i="4"/>
  <c r="V868" i="4"/>
  <c r="V867" i="4"/>
  <c r="V866" i="4"/>
  <c r="V865" i="4"/>
  <c r="V864" i="4"/>
  <c r="V863" i="4"/>
  <c r="V862" i="4"/>
  <c r="V861" i="4"/>
  <c r="V860" i="4"/>
  <c r="V859" i="4"/>
  <c r="V858" i="4"/>
  <c r="V857" i="4"/>
  <c r="V856" i="4"/>
  <c r="V855" i="4"/>
  <c r="V854" i="4"/>
  <c r="V853" i="4"/>
  <c r="V852" i="4"/>
  <c r="V851" i="4"/>
  <c r="V850" i="4"/>
  <c r="V849" i="4"/>
  <c r="V848" i="4"/>
  <c r="V847" i="4"/>
  <c r="V846" i="4"/>
  <c r="V845" i="4"/>
  <c r="V844" i="4"/>
  <c r="V843" i="4"/>
  <c r="V842" i="4"/>
  <c r="V841" i="4"/>
  <c r="V840" i="4"/>
  <c r="V839" i="4"/>
  <c r="V838" i="4"/>
  <c r="V837" i="4"/>
  <c r="V836" i="4"/>
  <c r="V835" i="4"/>
  <c r="V834" i="4"/>
  <c r="V833" i="4"/>
  <c r="V832" i="4"/>
  <c r="V831" i="4"/>
  <c r="V830" i="4"/>
  <c r="V829" i="4"/>
  <c r="V828" i="4"/>
  <c r="V827" i="4"/>
  <c r="V826" i="4"/>
  <c r="V825" i="4"/>
  <c r="V824" i="4"/>
  <c r="V823" i="4"/>
  <c r="V822" i="4"/>
  <c r="V821" i="4"/>
  <c r="V820" i="4"/>
  <c r="V819" i="4"/>
  <c r="V818" i="4"/>
  <c r="V817" i="4"/>
  <c r="V816" i="4"/>
  <c r="V815" i="4"/>
  <c r="V814" i="4"/>
  <c r="V813" i="4"/>
  <c r="V812" i="4"/>
  <c r="V811" i="4"/>
  <c r="V810" i="4"/>
  <c r="V809" i="4"/>
  <c r="V808" i="4"/>
  <c r="V807" i="4"/>
  <c r="V806" i="4"/>
  <c r="V805" i="4"/>
  <c r="V804" i="4"/>
  <c r="V803" i="4"/>
  <c r="V802" i="4"/>
  <c r="V801" i="4"/>
  <c r="V800" i="4"/>
  <c r="V799" i="4"/>
  <c r="V798" i="4"/>
  <c r="V797" i="4"/>
  <c r="V796" i="4"/>
  <c r="V795" i="4"/>
  <c r="V794" i="4"/>
  <c r="V793" i="4"/>
  <c r="V792" i="4"/>
  <c r="V791" i="4"/>
  <c r="V790" i="4"/>
  <c r="V789" i="4"/>
  <c r="V788" i="4"/>
  <c r="V787" i="4"/>
  <c r="V786" i="4"/>
  <c r="V785" i="4"/>
  <c r="V784" i="4"/>
  <c r="V783" i="4"/>
  <c r="V782" i="4"/>
  <c r="V781" i="4"/>
  <c r="V780" i="4"/>
  <c r="V779" i="4"/>
  <c r="V778" i="4"/>
  <c r="V777" i="4"/>
  <c r="V776" i="4"/>
  <c r="V775" i="4"/>
  <c r="V774" i="4"/>
  <c r="V773" i="4"/>
  <c r="V772" i="4"/>
  <c r="V771" i="4"/>
  <c r="V770" i="4"/>
  <c r="V769" i="4"/>
  <c r="V768" i="4"/>
  <c r="V767" i="4"/>
  <c r="V766" i="4"/>
  <c r="V765" i="4"/>
  <c r="V764" i="4"/>
  <c r="V763" i="4"/>
  <c r="V762" i="4"/>
  <c r="V761" i="4"/>
  <c r="V760" i="4"/>
  <c r="V759" i="4"/>
  <c r="V758" i="4"/>
  <c r="V757" i="4"/>
  <c r="V756" i="4"/>
  <c r="V755" i="4"/>
  <c r="V754" i="4"/>
  <c r="V753" i="4"/>
  <c r="V752" i="4"/>
  <c r="V751" i="4"/>
  <c r="V750" i="4"/>
  <c r="V749" i="4"/>
  <c r="V748" i="4"/>
  <c r="V747" i="4"/>
  <c r="V746" i="4"/>
  <c r="V745" i="4"/>
  <c r="V744" i="4"/>
  <c r="V743" i="4"/>
  <c r="V742" i="4"/>
  <c r="V741" i="4"/>
  <c r="V740" i="4"/>
  <c r="V739" i="4"/>
  <c r="V738" i="4"/>
  <c r="V737" i="4"/>
  <c r="V736" i="4"/>
  <c r="V735" i="4"/>
  <c r="V734" i="4"/>
  <c r="V733" i="4"/>
  <c r="V732" i="4"/>
  <c r="V731" i="4"/>
  <c r="V730" i="4"/>
  <c r="V729" i="4"/>
  <c r="V728" i="4"/>
  <c r="V727" i="4"/>
  <c r="V726" i="4"/>
  <c r="V725" i="4"/>
  <c r="V724" i="4"/>
  <c r="V723" i="4"/>
  <c r="V722" i="4"/>
  <c r="V721" i="4"/>
  <c r="V720" i="4"/>
  <c r="V719" i="4"/>
  <c r="V718" i="4"/>
  <c r="V717" i="4"/>
  <c r="V716" i="4"/>
  <c r="V715" i="4"/>
  <c r="V714" i="4"/>
  <c r="V713" i="4"/>
  <c r="V712" i="4"/>
  <c r="V711" i="4"/>
  <c r="V710" i="4"/>
  <c r="V709" i="4"/>
  <c r="V708" i="4"/>
  <c r="V707" i="4"/>
  <c r="V706" i="4"/>
  <c r="V705" i="4"/>
  <c r="V704" i="4"/>
  <c r="V703" i="4"/>
  <c r="V702" i="4"/>
  <c r="V701" i="4"/>
  <c r="V700" i="4"/>
  <c r="V699" i="4"/>
  <c r="V698" i="4"/>
  <c r="V697" i="4"/>
  <c r="V696" i="4"/>
  <c r="V695" i="4"/>
  <c r="V694" i="4"/>
  <c r="V693" i="4"/>
  <c r="V692" i="4"/>
  <c r="V691" i="4"/>
  <c r="V690" i="4"/>
  <c r="V689" i="4"/>
  <c r="V688" i="4"/>
  <c r="V687" i="4"/>
  <c r="V686" i="4"/>
  <c r="V685" i="4"/>
  <c r="V684" i="4"/>
  <c r="V683" i="4"/>
  <c r="V682" i="4"/>
  <c r="V681" i="4"/>
  <c r="V680" i="4"/>
  <c r="V679" i="4"/>
  <c r="V678" i="4"/>
  <c r="V677" i="4"/>
  <c r="V676" i="4"/>
  <c r="V675" i="4"/>
  <c r="V674" i="4"/>
  <c r="V673" i="4"/>
  <c r="V672" i="4"/>
  <c r="V671" i="4"/>
  <c r="V670" i="4"/>
  <c r="V669" i="4"/>
  <c r="V668" i="4"/>
  <c r="V667" i="4"/>
  <c r="V666" i="4"/>
  <c r="V665" i="4"/>
  <c r="V664" i="4"/>
  <c r="V663" i="4"/>
  <c r="V662" i="4"/>
  <c r="V661" i="4"/>
  <c r="V660" i="4"/>
  <c r="V659" i="4"/>
  <c r="V658" i="4"/>
  <c r="V657" i="4"/>
  <c r="V656" i="4"/>
  <c r="V655" i="4"/>
  <c r="V654" i="4"/>
  <c r="V653" i="4"/>
  <c r="V652" i="4"/>
  <c r="V651" i="4"/>
  <c r="V650" i="4"/>
  <c r="V649" i="4"/>
  <c r="V648" i="4"/>
  <c r="V647" i="4"/>
  <c r="V646" i="4"/>
  <c r="V645" i="4"/>
  <c r="V644" i="4"/>
  <c r="V643" i="4"/>
  <c r="V642" i="4"/>
  <c r="V641" i="4"/>
  <c r="V640" i="4"/>
  <c r="V639" i="4"/>
  <c r="V638" i="4"/>
  <c r="V637" i="4"/>
  <c r="V636" i="4"/>
  <c r="V635" i="4"/>
  <c r="V634" i="4"/>
  <c r="V633" i="4"/>
  <c r="V632" i="4"/>
  <c r="V631" i="4"/>
  <c r="V630" i="4"/>
  <c r="V629" i="4"/>
  <c r="V628" i="4"/>
  <c r="V627" i="4"/>
  <c r="V626" i="4"/>
  <c r="V625" i="4"/>
  <c r="V624" i="4"/>
  <c r="V623" i="4"/>
  <c r="V622" i="4"/>
  <c r="V621" i="4"/>
  <c r="V620" i="4"/>
  <c r="V619" i="4"/>
  <c r="V618" i="4"/>
  <c r="V617" i="4"/>
  <c r="V616" i="4"/>
  <c r="V615" i="4"/>
  <c r="V614" i="4"/>
  <c r="V613" i="4"/>
  <c r="V612" i="4"/>
  <c r="V611" i="4"/>
  <c r="V610" i="4"/>
  <c r="V609" i="4"/>
  <c r="V608" i="4"/>
  <c r="V607" i="4"/>
  <c r="V606" i="4"/>
  <c r="V605" i="4"/>
  <c r="V604" i="4"/>
  <c r="V603" i="4"/>
  <c r="V602" i="4"/>
  <c r="V601" i="4"/>
  <c r="V600" i="4"/>
  <c r="V599" i="4"/>
  <c r="V598" i="4"/>
  <c r="V597" i="4"/>
  <c r="V596" i="4"/>
  <c r="V595" i="4"/>
  <c r="V594" i="4"/>
  <c r="V593" i="4"/>
  <c r="V592" i="4"/>
  <c r="V591" i="4"/>
  <c r="V590" i="4"/>
  <c r="V589" i="4"/>
  <c r="V588" i="4"/>
  <c r="V587" i="4"/>
  <c r="V586" i="4"/>
  <c r="V585" i="4"/>
  <c r="V584" i="4"/>
  <c r="V583" i="4"/>
  <c r="V582" i="4"/>
  <c r="V581" i="4"/>
  <c r="V580" i="4"/>
  <c r="V579" i="4"/>
  <c r="V578" i="4"/>
  <c r="V577" i="4"/>
  <c r="V576" i="4"/>
  <c r="V575" i="4"/>
  <c r="V574" i="4"/>
  <c r="V573" i="4"/>
  <c r="V572" i="4"/>
  <c r="V571" i="4"/>
  <c r="V570" i="4"/>
  <c r="V569" i="4"/>
  <c r="V568" i="4"/>
  <c r="V567" i="4"/>
  <c r="V566" i="4"/>
  <c r="V565" i="4"/>
  <c r="V564" i="4"/>
  <c r="V563" i="4"/>
  <c r="V562" i="4"/>
  <c r="V561" i="4"/>
  <c r="V560" i="4"/>
  <c r="V559" i="4"/>
  <c r="V558" i="4"/>
  <c r="V557" i="4"/>
  <c r="V556" i="4"/>
  <c r="V555" i="4"/>
  <c r="V554" i="4"/>
  <c r="V553" i="4"/>
  <c r="V552" i="4"/>
  <c r="V551" i="4"/>
  <c r="V550" i="4"/>
  <c r="V549" i="4"/>
  <c r="V548" i="4"/>
  <c r="V547" i="4"/>
  <c r="V546" i="4"/>
  <c r="V545" i="4"/>
  <c r="V544" i="4"/>
  <c r="V543" i="4"/>
  <c r="V542" i="4"/>
  <c r="V541" i="4"/>
  <c r="V540" i="4"/>
  <c r="V539" i="4"/>
  <c r="V538" i="4"/>
  <c r="V537" i="4"/>
  <c r="V536" i="4"/>
  <c r="V535" i="4"/>
  <c r="V534" i="4"/>
  <c r="V533" i="4"/>
  <c r="V532" i="4"/>
  <c r="V531" i="4"/>
  <c r="V530" i="4"/>
  <c r="V529" i="4"/>
  <c r="V528" i="4"/>
  <c r="V527" i="4"/>
  <c r="V526" i="4"/>
  <c r="V525" i="4"/>
  <c r="V524" i="4"/>
  <c r="V523" i="4"/>
  <c r="V522" i="4"/>
  <c r="V521" i="4"/>
  <c r="V520" i="4"/>
  <c r="V519" i="4"/>
  <c r="V518" i="4"/>
  <c r="V517" i="4"/>
  <c r="V516" i="4"/>
  <c r="V515" i="4"/>
  <c r="V514" i="4"/>
  <c r="V513" i="4"/>
  <c r="V512" i="4"/>
  <c r="V511" i="4"/>
  <c r="V510" i="4"/>
  <c r="V509" i="4"/>
  <c r="V508" i="4"/>
  <c r="V507" i="4"/>
  <c r="V506" i="4"/>
  <c r="V505" i="4"/>
  <c r="V504" i="4"/>
  <c r="V503" i="4"/>
  <c r="V502" i="4"/>
  <c r="V501" i="4"/>
  <c r="V500" i="4"/>
  <c r="V499" i="4"/>
  <c r="V498" i="4"/>
  <c r="V497" i="4"/>
  <c r="V496" i="4"/>
  <c r="V495" i="4"/>
  <c r="V494" i="4"/>
  <c r="V493" i="4"/>
  <c r="V492" i="4"/>
  <c r="V491" i="4"/>
  <c r="V490" i="4"/>
  <c r="V489" i="4"/>
  <c r="V488" i="4"/>
  <c r="V487" i="4"/>
  <c r="V486" i="4"/>
  <c r="V485" i="4"/>
  <c r="V484" i="4"/>
  <c r="V483" i="4"/>
  <c r="V482" i="4"/>
  <c r="V481" i="4"/>
  <c r="V480" i="4"/>
  <c r="V479" i="4"/>
  <c r="V478" i="4"/>
  <c r="V477" i="4"/>
  <c r="V476" i="4"/>
  <c r="V475" i="4"/>
  <c r="V474" i="4"/>
  <c r="V473" i="4"/>
  <c r="V472" i="4"/>
  <c r="V471" i="4"/>
  <c r="V470" i="4"/>
  <c r="V469" i="4"/>
  <c r="V468" i="4"/>
  <c r="V467" i="4"/>
  <c r="V466" i="4"/>
  <c r="V465" i="4"/>
  <c r="V464" i="4"/>
  <c r="V463" i="4"/>
  <c r="V462" i="4"/>
  <c r="V461" i="4"/>
  <c r="V460" i="4"/>
  <c r="V459" i="4"/>
  <c r="V458" i="4"/>
  <c r="V457" i="4"/>
  <c r="V456" i="4"/>
  <c r="V455" i="4"/>
  <c r="V454" i="4"/>
  <c r="V453" i="4"/>
  <c r="V452" i="4"/>
  <c r="V451" i="4"/>
  <c r="V450" i="4"/>
  <c r="V449" i="4"/>
  <c r="V448" i="4"/>
  <c r="V447" i="4"/>
  <c r="V446" i="4"/>
  <c r="V445" i="4"/>
  <c r="V444" i="4"/>
  <c r="V443" i="4"/>
  <c r="V442" i="4"/>
  <c r="V441" i="4"/>
  <c r="V440" i="4"/>
  <c r="V439" i="4"/>
  <c r="V438" i="4"/>
  <c r="V437" i="4"/>
  <c r="V436" i="4"/>
  <c r="V435" i="4"/>
  <c r="V434" i="4"/>
  <c r="V433" i="4"/>
  <c r="V226" i="4"/>
  <c r="V225" i="4"/>
  <c r="V224" i="4"/>
  <c r="V223" i="4"/>
  <c r="V222" i="4"/>
  <c r="V221" i="4"/>
  <c r="V220" i="4"/>
  <c r="V219" i="4"/>
  <c r="V218" i="4"/>
  <c r="V10" i="4"/>
  <c r="V9" i="4"/>
  <c r="V8" i="4"/>
  <c r="V7" i="4"/>
  <c r="V6" i="4"/>
  <c r="V5" i="4"/>
  <c r="V4" i="4"/>
  <c r="U1002" i="4"/>
  <c r="AG1002" i="4" s="1"/>
  <c r="U1001" i="4"/>
  <c r="AG1001" i="4" s="1"/>
  <c r="U1000" i="4"/>
  <c r="AG1000" i="4" s="1"/>
  <c r="U999" i="4"/>
  <c r="U998" i="4"/>
  <c r="AG998" i="4" s="1"/>
  <c r="U997" i="4"/>
  <c r="AG997" i="4" s="1"/>
  <c r="U996" i="4"/>
  <c r="U995" i="4"/>
  <c r="U994" i="4"/>
  <c r="AG994" i="4" s="1"/>
  <c r="U993" i="4"/>
  <c r="AG993" i="4" s="1"/>
  <c r="U992" i="4"/>
  <c r="AG992" i="4" s="1"/>
  <c r="U991" i="4"/>
  <c r="U990" i="4"/>
  <c r="AG990" i="4" s="1"/>
  <c r="U989" i="4"/>
  <c r="AG989" i="4" s="1"/>
  <c r="U988" i="4"/>
  <c r="AG988" i="4" s="1"/>
  <c r="U987" i="4"/>
  <c r="U986" i="4"/>
  <c r="AG986" i="4" s="1"/>
  <c r="U985" i="4"/>
  <c r="AG985" i="4" s="1"/>
  <c r="U984" i="4"/>
  <c r="AG984" i="4" s="1"/>
  <c r="U983" i="4"/>
  <c r="U982" i="4"/>
  <c r="AG982" i="4" s="1"/>
  <c r="U981" i="4"/>
  <c r="AG981" i="4" s="1"/>
  <c r="U980" i="4"/>
  <c r="AG980" i="4" s="1"/>
  <c r="U979" i="4"/>
  <c r="U978" i="4"/>
  <c r="AG978" i="4" s="1"/>
  <c r="U977" i="4"/>
  <c r="AG977" i="4" s="1"/>
  <c r="U976" i="4"/>
  <c r="AG976" i="4" s="1"/>
  <c r="U975" i="4"/>
  <c r="U974" i="4"/>
  <c r="AG974" i="4" s="1"/>
  <c r="U973" i="4"/>
  <c r="AG973" i="4" s="1"/>
  <c r="U972" i="4"/>
  <c r="AG972" i="4" s="1"/>
  <c r="U971" i="4"/>
  <c r="U970" i="4"/>
  <c r="AG970" i="4" s="1"/>
  <c r="U969" i="4"/>
  <c r="AG969" i="4" s="1"/>
  <c r="U968" i="4"/>
  <c r="AG968" i="4" s="1"/>
  <c r="U967" i="4"/>
  <c r="U966" i="4"/>
  <c r="AG966" i="4" s="1"/>
  <c r="U965" i="4"/>
  <c r="AG965" i="4" s="1"/>
  <c r="U964" i="4"/>
  <c r="AG964" i="4" s="1"/>
  <c r="U963" i="4"/>
  <c r="U962" i="4"/>
  <c r="AG962" i="4" s="1"/>
  <c r="U961" i="4"/>
  <c r="AG961" i="4" s="1"/>
  <c r="U960" i="4"/>
  <c r="AG960" i="4" s="1"/>
  <c r="U959" i="4"/>
  <c r="U958" i="4"/>
  <c r="AG958" i="4" s="1"/>
  <c r="U957" i="4"/>
  <c r="AG957" i="4" s="1"/>
  <c r="U956" i="4"/>
  <c r="AG956" i="4" s="1"/>
  <c r="U955" i="4"/>
  <c r="U954" i="4"/>
  <c r="AG954" i="4" s="1"/>
  <c r="U953" i="4"/>
  <c r="AG953" i="4" s="1"/>
  <c r="U952" i="4"/>
  <c r="AG952" i="4" s="1"/>
  <c r="U951" i="4"/>
  <c r="U950" i="4"/>
  <c r="AG950" i="4" s="1"/>
  <c r="U949" i="4"/>
  <c r="AG949" i="4" s="1"/>
  <c r="U948" i="4"/>
  <c r="AG948" i="4" s="1"/>
  <c r="U947" i="4"/>
  <c r="U946" i="4"/>
  <c r="AG946" i="4" s="1"/>
  <c r="U945" i="4"/>
  <c r="AG945" i="4" s="1"/>
  <c r="U944" i="4"/>
  <c r="AG944" i="4" s="1"/>
  <c r="U943" i="4"/>
  <c r="U942" i="4"/>
  <c r="AG942" i="4" s="1"/>
  <c r="U941" i="4"/>
  <c r="AG941" i="4" s="1"/>
  <c r="U940" i="4"/>
  <c r="AG940" i="4" s="1"/>
  <c r="U939" i="4"/>
  <c r="U938" i="4"/>
  <c r="AG938" i="4" s="1"/>
  <c r="U937" i="4"/>
  <c r="AG937" i="4" s="1"/>
  <c r="U936" i="4"/>
  <c r="AG936" i="4" s="1"/>
  <c r="U935" i="4"/>
  <c r="U934" i="4"/>
  <c r="AG934" i="4" s="1"/>
  <c r="U933" i="4"/>
  <c r="AG933" i="4" s="1"/>
  <c r="U932" i="4"/>
  <c r="AG932" i="4" s="1"/>
  <c r="U931" i="4"/>
  <c r="U930" i="4"/>
  <c r="AG930" i="4" s="1"/>
  <c r="U929" i="4"/>
  <c r="AG929" i="4" s="1"/>
  <c r="U928" i="4"/>
  <c r="AG928" i="4" s="1"/>
  <c r="U927" i="4"/>
  <c r="U926" i="4"/>
  <c r="AG926" i="4" s="1"/>
  <c r="U925" i="4"/>
  <c r="AG925" i="4" s="1"/>
  <c r="U924" i="4"/>
  <c r="AG924" i="4" s="1"/>
  <c r="U923" i="4"/>
  <c r="U922" i="4"/>
  <c r="AG922" i="4" s="1"/>
  <c r="U921" i="4"/>
  <c r="AG921" i="4" s="1"/>
  <c r="U920" i="4"/>
  <c r="AG920" i="4" s="1"/>
  <c r="U919" i="4"/>
  <c r="U918" i="4"/>
  <c r="AG918" i="4" s="1"/>
  <c r="U917" i="4"/>
  <c r="AG917" i="4" s="1"/>
  <c r="U916" i="4"/>
  <c r="AG916" i="4" s="1"/>
  <c r="U915" i="4"/>
  <c r="U914" i="4"/>
  <c r="AG914" i="4" s="1"/>
  <c r="U913" i="4"/>
  <c r="AG913" i="4" s="1"/>
  <c r="U912" i="4"/>
  <c r="AG912" i="4" s="1"/>
  <c r="U911" i="4"/>
  <c r="U910" i="4"/>
  <c r="AG910" i="4" s="1"/>
  <c r="U909" i="4"/>
  <c r="AG909" i="4" s="1"/>
  <c r="U908" i="4"/>
  <c r="AG908" i="4" s="1"/>
  <c r="U907" i="4"/>
  <c r="U906" i="4"/>
  <c r="AG906" i="4" s="1"/>
  <c r="U905" i="4"/>
  <c r="AG905" i="4" s="1"/>
  <c r="U904" i="4"/>
  <c r="AG904" i="4" s="1"/>
  <c r="U903" i="4"/>
  <c r="U902" i="4"/>
  <c r="AG902" i="4" s="1"/>
  <c r="U901" i="4"/>
  <c r="AG901" i="4" s="1"/>
  <c r="U900" i="4"/>
  <c r="AG900" i="4" s="1"/>
  <c r="U899" i="4"/>
  <c r="U898" i="4"/>
  <c r="AG898" i="4" s="1"/>
  <c r="U897" i="4"/>
  <c r="AG897" i="4" s="1"/>
  <c r="U896" i="4"/>
  <c r="AG896" i="4" s="1"/>
  <c r="U895" i="4"/>
  <c r="U894" i="4"/>
  <c r="AG894" i="4" s="1"/>
  <c r="U893" i="4"/>
  <c r="AG893" i="4" s="1"/>
  <c r="U892" i="4"/>
  <c r="AG892" i="4" s="1"/>
  <c r="U891" i="4"/>
  <c r="U890" i="4"/>
  <c r="AG890" i="4" s="1"/>
  <c r="U889" i="4"/>
  <c r="AG889" i="4" s="1"/>
  <c r="U888" i="4"/>
  <c r="AG888" i="4" s="1"/>
  <c r="U887" i="4"/>
  <c r="U886" i="4"/>
  <c r="AG886" i="4" s="1"/>
  <c r="U885" i="4"/>
  <c r="AG885" i="4" s="1"/>
  <c r="U884" i="4"/>
  <c r="AG884" i="4" s="1"/>
  <c r="U883" i="4"/>
  <c r="U882" i="4"/>
  <c r="AG882" i="4" s="1"/>
  <c r="U881" i="4"/>
  <c r="AG881" i="4" s="1"/>
  <c r="U880" i="4"/>
  <c r="AG880" i="4" s="1"/>
  <c r="U879" i="4"/>
  <c r="U878" i="4"/>
  <c r="AG878" i="4" s="1"/>
  <c r="U877" i="4"/>
  <c r="AG877" i="4" s="1"/>
  <c r="U876" i="4"/>
  <c r="AG876" i="4" s="1"/>
  <c r="U875" i="4"/>
  <c r="U874" i="4"/>
  <c r="AG874" i="4" s="1"/>
  <c r="U873" i="4"/>
  <c r="AG873" i="4" s="1"/>
  <c r="U872" i="4"/>
  <c r="AG872" i="4" s="1"/>
  <c r="U871" i="4"/>
  <c r="U870" i="4"/>
  <c r="AG870" i="4" s="1"/>
  <c r="U869" i="4"/>
  <c r="AG869" i="4" s="1"/>
  <c r="U868" i="4"/>
  <c r="AG868" i="4" s="1"/>
  <c r="U867" i="4"/>
  <c r="U866" i="4"/>
  <c r="AG866" i="4" s="1"/>
  <c r="U865" i="4"/>
  <c r="AG865" i="4" s="1"/>
  <c r="U864" i="4"/>
  <c r="AG864" i="4" s="1"/>
  <c r="U863" i="4"/>
  <c r="U862" i="4"/>
  <c r="AG862" i="4" s="1"/>
  <c r="U861" i="4"/>
  <c r="AG861" i="4" s="1"/>
  <c r="U860" i="4"/>
  <c r="AG860" i="4" s="1"/>
  <c r="U859" i="4"/>
  <c r="U858" i="4"/>
  <c r="AG858" i="4" s="1"/>
  <c r="U857" i="4"/>
  <c r="AG857" i="4" s="1"/>
  <c r="U856" i="4"/>
  <c r="AG856" i="4" s="1"/>
  <c r="U855" i="4"/>
  <c r="U854" i="4"/>
  <c r="AG854" i="4" s="1"/>
  <c r="U853" i="4"/>
  <c r="AG853" i="4" s="1"/>
  <c r="U852" i="4"/>
  <c r="AG852" i="4" s="1"/>
  <c r="U851" i="4"/>
  <c r="U850" i="4"/>
  <c r="AG850" i="4" s="1"/>
  <c r="U849" i="4"/>
  <c r="AG849" i="4" s="1"/>
  <c r="U848" i="4"/>
  <c r="AG848" i="4" s="1"/>
  <c r="U847" i="4"/>
  <c r="U846" i="4"/>
  <c r="AG846" i="4" s="1"/>
  <c r="U845" i="4"/>
  <c r="AG845" i="4" s="1"/>
  <c r="U844" i="4"/>
  <c r="AG844" i="4" s="1"/>
  <c r="U843" i="4"/>
  <c r="U842" i="4"/>
  <c r="AG842" i="4" s="1"/>
  <c r="U841" i="4"/>
  <c r="AG841" i="4" s="1"/>
  <c r="U840" i="4"/>
  <c r="AG840" i="4" s="1"/>
  <c r="U839" i="4"/>
  <c r="U838" i="4"/>
  <c r="AG838" i="4" s="1"/>
  <c r="U837" i="4"/>
  <c r="AG837" i="4" s="1"/>
  <c r="U836" i="4"/>
  <c r="AG836" i="4" s="1"/>
  <c r="U835" i="4"/>
  <c r="U834" i="4"/>
  <c r="AG834" i="4" s="1"/>
  <c r="U833" i="4"/>
  <c r="AG833" i="4" s="1"/>
  <c r="U832" i="4"/>
  <c r="AG832" i="4" s="1"/>
  <c r="U831" i="4"/>
  <c r="U830" i="4"/>
  <c r="AG830" i="4" s="1"/>
  <c r="U829" i="4"/>
  <c r="AG829" i="4" s="1"/>
  <c r="U828" i="4"/>
  <c r="AG828" i="4" s="1"/>
  <c r="U827" i="4"/>
  <c r="U826" i="4"/>
  <c r="AG826" i="4" s="1"/>
  <c r="U825" i="4"/>
  <c r="AG825" i="4" s="1"/>
  <c r="U824" i="4"/>
  <c r="AG824" i="4" s="1"/>
  <c r="U823" i="4"/>
  <c r="U822" i="4"/>
  <c r="AG822" i="4" s="1"/>
  <c r="U821" i="4"/>
  <c r="AG821" i="4" s="1"/>
  <c r="U820" i="4"/>
  <c r="AG820" i="4" s="1"/>
  <c r="U819" i="4"/>
  <c r="U818" i="4"/>
  <c r="AG818" i="4" s="1"/>
  <c r="U817" i="4"/>
  <c r="AG817" i="4" s="1"/>
  <c r="U816" i="4"/>
  <c r="AG816" i="4" s="1"/>
  <c r="U815" i="4"/>
  <c r="U814" i="4"/>
  <c r="AG814" i="4" s="1"/>
  <c r="U813" i="4"/>
  <c r="AG813" i="4" s="1"/>
  <c r="U812" i="4"/>
  <c r="AG812" i="4" s="1"/>
  <c r="U811" i="4"/>
  <c r="U810" i="4"/>
  <c r="AG810" i="4" s="1"/>
  <c r="U809" i="4"/>
  <c r="AG809" i="4" s="1"/>
  <c r="U808" i="4"/>
  <c r="AG808" i="4" s="1"/>
  <c r="U807" i="4"/>
  <c r="U806" i="4"/>
  <c r="AG806" i="4" s="1"/>
  <c r="U805" i="4"/>
  <c r="AG805" i="4" s="1"/>
  <c r="U804" i="4"/>
  <c r="AG804" i="4" s="1"/>
  <c r="U803" i="4"/>
  <c r="U802" i="4"/>
  <c r="AG802" i="4" s="1"/>
  <c r="U801" i="4"/>
  <c r="AG801" i="4" s="1"/>
  <c r="U800" i="4"/>
  <c r="AG800" i="4" s="1"/>
  <c r="U799" i="4"/>
  <c r="U798" i="4"/>
  <c r="AG798" i="4" s="1"/>
  <c r="U797" i="4"/>
  <c r="AG797" i="4" s="1"/>
  <c r="U796" i="4"/>
  <c r="AG796" i="4" s="1"/>
  <c r="U795" i="4"/>
  <c r="U794" i="4"/>
  <c r="AG794" i="4" s="1"/>
  <c r="U793" i="4"/>
  <c r="AG793" i="4" s="1"/>
  <c r="U792" i="4"/>
  <c r="AG792" i="4" s="1"/>
  <c r="U791" i="4"/>
  <c r="U790" i="4"/>
  <c r="AG790" i="4" s="1"/>
  <c r="U789" i="4"/>
  <c r="AG789" i="4" s="1"/>
  <c r="U788" i="4"/>
  <c r="AG788" i="4" s="1"/>
  <c r="U787" i="4"/>
  <c r="U786" i="4"/>
  <c r="AG786" i="4" s="1"/>
  <c r="U785" i="4"/>
  <c r="AG785" i="4" s="1"/>
  <c r="U784" i="4"/>
  <c r="AG784" i="4" s="1"/>
  <c r="U783" i="4"/>
  <c r="U782" i="4"/>
  <c r="AG782" i="4" s="1"/>
  <c r="U781" i="4"/>
  <c r="AG781" i="4" s="1"/>
  <c r="U780" i="4"/>
  <c r="AG780" i="4" s="1"/>
  <c r="U779" i="4"/>
  <c r="U778" i="4"/>
  <c r="AG778" i="4" s="1"/>
  <c r="U777" i="4"/>
  <c r="AG777" i="4" s="1"/>
  <c r="U776" i="4"/>
  <c r="AG776" i="4" s="1"/>
  <c r="U775" i="4"/>
  <c r="U774" i="4"/>
  <c r="AG774" i="4" s="1"/>
  <c r="U773" i="4"/>
  <c r="AG773" i="4" s="1"/>
  <c r="U772" i="4"/>
  <c r="AG772" i="4" s="1"/>
  <c r="U771" i="4"/>
  <c r="U770" i="4"/>
  <c r="AG770" i="4" s="1"/>
  <c r="U769" i="4"/>
  <c r="AG769" i="4" s="1"/>
  <c r="U768" i="4"/>
  <c r="AG768" i="4" s="1"/>
  <c r="U767" i="4"/>
  <c r="U766" i="4"/>
  <c r="AG766" i="4" s="1"/>
  <c r="U765" i="4"/>
  <c r="AG765" i="4" s="1"/>
  <c r="U764" i="4"/>
  <c r="AG764" i="4" s="1"/>
  <c r="U763" i="4"/>
  <c r="U762" i="4"/>
  <c r="AG762" i="4" s="1"/>
  <c r="U761" i="4"/>
  <c r="AG761" i="4" s="1"/>
  <c r="U760" i="4"/>
  <c r="AG760" i="4" s="1"/>
  <c r="U759" i="4"/>
  <c r="U758" i="4"/>
  <c r="AG758" i="4" s="1"/>
  <c r="U757" i="4"/>
  <c r="AG757" i="4" s="1"/>
  <c r="U756" i="4"/>
  <c r="AG756" i="4" s="1"/>
  <c r="U755" i="4"/>
  <c r="U754" i="4"/>
  <c r="AG754" i="4" s="1"/>
  <c r="U753" i="4"/>
  <c r="AG753" i="4" s="1"/>
  <c r="U752" i="4"/>
  <c r="AG752" i="4" s="1"/>
  <c r="U751" i="4"/>
  <c r="U750" i="4"/>
  <c r="AG750" i="4" s="1"/>
  <c r="U749" i="4"/>
  <c r="AG749" i="4" s="1"/>
  <c r="U748" i="4"/>
  <c r="AG748" i="4" s="1"/>
  <c r="U747" i="4"/>
  <c r="U746" i="4"/>
  <c r="AG746" i="4" s="1"/>
  <c r="U745" i="4"/>
  <c r="AG745" i="4" s="1"/>
  <c r="U744" i="4"/>
  <c r="AG744" i="4" s="1"/>
  <c r="U743" i="4"/>
  <c r="U742" i="4"/>
  <c r="AG742" i="4" s="1"/>
  <c r="U741" i="4"/>
  <c r="AG741" i="4" s="1"/>
  <c r="U740" i="4"/>
  <c r="AG740" i="4" s="1"/>
  <c r="U739" i="4"/>
  <c r="U738" i="4"/>
  <c r="AG738" i="4" s="1"/>
  <c r="U737" i="4"/>
  <c r="AG737" i="4" s="1"/>
  <c r="U736" i="4"/>
  <c r="AG736" i="4" s="1"/>
  <c r="U735" i="4"/>
  <c r="U734" i="4"/>
  <c r="AG734" i="4" s="1"/>
  <c r="U733" i="4"/>
  <c r="AG733" i="4" s="1"/>
  <c r="U732" i="4"/>
  <c r="AG732" i="4" s="1"/>
  <c r="U731" i="4"/>
  <c r="U730" i="4"/>
  <c r="AG730" i="4" s="1"/>
  <c r="U729" i="4"/>
  <c r="AG729" i="4" s="1"/>
  <c r="U728" i="4"/>
  <c r="AG728" i="4" s="1"/>
  <c r="U727" i="4"/>
  <c r="U726" i="4"/>
  <c r="AG726" i="4" s="1"/>
  <c r="U725" i="4"/>
  <c r="AG725" i="4" s="1"/>
  <c r="U724" i="4"/>
  <c r="AG724" i="4" s="1"/>
  <c r="U723" i="4"/>
  <c r="U722" i="4"/>
  <c r="AG722" i="4" s="1"/>
  <c r="U721" i="4"/>
  <c r="AG721" i="4" s="1"/>
  <c r="U720" i="4"/>
  <c r="AG720" i="4" s="1"/>
  <c r="U719" i="4"/>
  <c r="U718" i="4"/>
  <c r="AG718" i="4" s="1"/>
  <c r="U717" i="4"/>
  <c r="AG717" i="4" s="1"/>
  <c r="U716" i="4"/>
  <c r="AG716" i="4" s="1"/>
  <c r="U715" i="4"/>
  <c r="U714" i="4"/>
  <c r="AG714" i="4" s="1"/>
  <c r="U713" i="4"/>
  <c r="AG713" i="4" s="1"/>
  <c r="U712" i="4"/>
  <c r="AG712" i="4" s="1"/>
  <c r="U711" i="4"/>
  <c r="U710" i="4"/>
  <c r="AG710" i="4" s="1"/>
  <c r="U709" i="4"/>
  <c r="AG709" i="4" s="1"/>
  <c r="U708" i="4"/>
  <c r="AG708" i="4" s="1"/>
  <c r="U707" i="4"/>
  <c r="U706" i="4"/>
  <c r="AG706" i="4" s="1"/>
  <c r="U705" i="4"/>
  <c r="AG705" i="4" s="1"/>
  <c r="U704" i="4"/>
  <c r="AG704" i="4" s="1"/>
  <c r="U703" i="4"/>
  <c r="U702" i="4"/>
  <c r="AG702" i="4" s="1"/>
  <c r="U701" i="4"/>
  <c r="AG701" i="4" s="1"/>
  <c r="U700" i="4"/>
  <c r="AG700" i="4" s="1"/>
  <c r="U699" i="4"/>
  <c r="U698" i="4"/>
  <c r="AG698" i="4" s="1"/>
  <c r="U697" i="4"/>
  <c r="AG697" i="4" s="1"/>
  <c r="U696" i="4"/>
  <c r="AG696" i="4" s="1"/>
  <c r="U695" i="4"/>
  <c r="U694" i="4"/>
  <c r="AG694" i="4" s="1"/>
  <c r="U693" i="4"/>
  <c r="AG693" i="4" s="1"/>
  <c r="U692" i="4"/>
  <c r="AG692" i="4" s="1"/>
  <c r="U691" i="4"/>
  <c r="U690" i="4"/>
  <c r="AG690" i="4" s="1"/>
  <c r="U689" i="4"/>
  <c r="AG689" i="4" s="1"/>
  <c r="U688" i="4"/>
  <c r="AG688" i="4" s="1"/>
  <c r="U687" i="4"/>
  <c r="U686" i="4"/>
  <c r="AG686" i="4" s="1"/>
  <c r="U685" i="4"/>
  <c r="AG685" i="4" s="1"/>
  <c r="U684" i="4"/>
  <c r="AG684" i="4" s="1"/>
  <c r="U683" i="4"/>
  <c r="U682" i="4"/>
  <c r="AG682" i="4" s="1"/>
  <c r="U681" i="4"/>
  <c r="AG681" i="4" s="1"/>
  <c r="U680" i="4"/>
  <c r="AG680" i="4" s="1"/>
  <c r="U679" i="4"/>
  <c r="U678" i="4"/>
  <c r="AG678" i="4" s="1"/>
  <c r="U677" i="4"/>
  <c r="AG677" i="4" s="1"/>
  <c r="U676" i="4"/>
  <c r="AG676" i="4" s="1"/>
  <c r="U675" i="4"/>
  <c r="U674" i="4"/>
  <c r="AG674" i="4" s="1"/>
  <c r="U673" i="4"/>
  <c r="AG673" i="4" s="1"/>
  <c r="U672" i="4"/>
  <c r="AG672" i="4" s="1"/>
  <c r="U671" i="4"/>
  <c r="U670" i="4"/>
  <c r="AG670" i="4" s="1"/>
  <c r="U669" i="4"/>
  <c r="AG669" i="4" s="1"/>
  <c r="U668" i="4"/>
  <c r="AG668" i="4" s="1"/>
  <c r="U667" i="4"/>
  <c r="U666" i="4"/>
  <c r="AG666" i="4" s="1"/>
  <c r="U665" i="4"/>
  <c r="AG665" i="4" s="1"/>
  <c r="U664" i="4"/>
  <c r="AG664" i="4" s="1"/>
  <c r="U663" i="4"/>
  <c r="U662" i="4"/>
  <c r="AG662" i="4" s="1"/>
  <c r="U661" i="4"/>
  <c r="AG661" i="4" s="1"/>
  <c r="U660" i="4"/>
  <c r="AG660" i="4" s="1"/>
  <c r="U659" i="4"/>
  <c r="U658" i="4"/>
  <c r="AG658" i="4" s="1"/>
  <c r="U657" i="4"/>
  <c r="AG657" i="4" s="1"/>
  <c r="U656" i="4"/>
  <c r="AG656" i="4" s="1"/>
  <c r="U655" i="4"/>
  <c r="U654" i="4"/>
  <c r="AG654" i="4" s="1"/>
  <c r="U653" i="4"/>
  <c r="AG653" i="4" s="1"/>
  <c r="U652" i="4"/>
  <c r="AG652" i="4" s="1"/>
  <c r="U651" i="4"/>
  <c r="U650" i="4"/>
  <c r="AG650" i="4" s="1"/>
  <c r="U649" i="4"/>
  <c r="AG649" i="4" s="1"/>
  <c r="U648" i="4"/>
  <c r="AG648" i="4" s="1"/>
  <c r="U647" i="4"/>
  <c r="U646" i="4"/>
  <c r="AG646" i="4" s="1"/>
  <c r="U645" i="4"/>
  <c r="AG645" i="4" s="1"/>
  <c r="U644" i="4"/>
  <c r="AG644" i="4" s="1"/>
  <c r="U643" i="4"/>
  <c r="U642" i="4"/>
  <c r="AG642" i="4" s="1"/>
  <c r="U641" i="4"/>
  <c r="AG641" i="4" s="1"/>
  <c r="U640" i="4"/>
  <c r="AG640" i="4" s="1"/>
  <c r="U639" i="4"/>
  <c r="U638" i="4"/>
  <c r="AG638" i="4" s="1"/>
  <c r="U637" i="4"/>
  <c r="AG637" i="4" s="1"/>
  <c r="U636" i="4"/>
  <c r="AG636" i="4" s="1"/>
  <c r="U635" i="4"/>
  <c r="U634" i="4"/>
  <c r="AG634" i="4" s="1"/>
  <c r="U633" i="4"/>
  <c r="AG633" i="4" s="1"/>
  <c r="U632" i="4"/>
  <c r="AG632" i="4" s="1"/>
  <c r="U631" i="4"/>
  <c r="U630" i="4"/>
  <c r="AG630" i="4" s="1"/>
  <c r="U629" i="4"/>
  <c r="AG629" i="4" s="1"/>
  <c r="U628" i="4"/>
  <c r="AG628" i="4" s="1"/>
  <c r="U627" i="4"/>
  <c r="U626" i="4"/>
  <c r="AG626" i="4" s="1"/>
  <c r="U625" i="4"/>
  <c r="AG625" i="4" s="1"/>
  <c r="U624" i="4"/>
  <c r="AG624" i="4" s="1"/>
  <c r="U623" i="4"/>
  <c r="U622" i="4"/>
  <c r="AG622" i="4" s="1"/>
  <c r="U621" i="4"/>
  <c r="AG621" i="4" s="1"/>
  <c r="U620" i="4"/>
  <c r="AG620" i="4" s="1"/>
  <c r="U619" i="4"/>
  <c r="U618" i="4"/>
  <c r="AG618" i="4" s="1"/>
  <c r="U617" i="4"/>
  <c r="AG617" i="4" s="1"/>
  <c r="U616" i="4"/>
  <c r="AG616" i="4" s="1"/>
  <c r="U615" i="4"/>
  <c r="U614" i="4"/>
  <c r="AG614" i="4" s="1"/>
  <c r="U613" i="4"/>
  <c r="AG613" i="4" s="1"/>
  <c r="U612" i="4"/>
  <c r="AG612" i="4" s="1"/>
  <c r="U611" i="4"/>
  <c r="U610" i="4"/>
  <c r="AG610" i="4" s="1"/>
  <c r="U609" i="4"/>
  <c r="AG609" i="4" s="1"/>
  <c r="U608" i="4"/>
  <c r="AG608" i="4" s="1"/>
  <c r="U607" i="4"/>
  <c r="U606" i="4"/>
  <c r="AG606" i="4" s="1"/>
  <c r="U605" i="4"/>
  <c r="AG605" i="4" s="1"/>
  <c r="U604" i="4"/>
  <c r="AG604" i="4" s="1"/>
  <c r="U603" i="4"/>
  <c r="U602" i="4"/>
  <c r="AG602" i="4" s="1"/>
  <c r="U601" i="4"/>
  <c r="AG601" i="4" s="1"/>
  <c r="U600" i="4"/>
  <c r="AG600" i="4" s="1"/>
  <c r="U599" i="4"/>
  <c r="U598" i="4"/>
  <c r="AG598" i="4" s="1"/>
  <c r="U597" i="4"/>
  <c r="AG597" i="4" s="1"/>
  <c r="U596" i="4"/>
  <c r="AG596" i="4" s="1"/>
  <c r="U595" i="4"/>
  <c r="U594" i="4"/>
  <c r="AG594" i="4" s="1"/>
  <c r="U593" i="4"/>
  <c r="AG593" i="4" s="1"/>
  <c r="U592" i="4"/>
  <c r="AG592" i="4" s="1"/>
  <c r="U591" i="4"/>
  <c r="U590" i="4"/>
  <c r="AG590" i="4" s="1"/>
  <c r="U589" i="4"/>
  <c r="AG589" i="4" s="1"/>
  <c r="U588" i="4"/>
  <c r="AG588" i="4" s="1"/>
  <c r="U587" i="4"/>
  <c r="U586" i="4"/>
  <c r="AG586" i="4" s="1"/>
  <c r="U585" i="4"/>
  <c r="AG585" i="4" s="1"/>
  <c r="U584" i="4"/>
  <c r="AG584" i="4" s="1"/>
  <c r="U583" i="4"/>
  <c r="U582" i="4"/>
  <c r="AG582" i="4" s="1"/>
  <c r="U581" i="4"/>
  <c r="AG581" i="4" s="1"/>
  <c r="U580" i="4"/>
  <c r="AG580" i="4" s="1"/>
  <c r="U579" i="4"/>
  <c r="U578" i="4"/>
  <c r="AG578" i="4" s="1"/>
  <c r="U577" i="4"/>
  <c r="AG577" i="4" s="1"/>
  <c r="U576" i="4"/>
  <c r="AG576" i="4" s="1"/>
  <c r="U575" i="4"/>
  <c r="U574" i="4"/>
  <c r="AG574" i="4" s="1"/>
  <c r="U573" i="4"/>
  <c r="AG573" i="4" s="1"/>
  <c r="U572" i="4"/>
  <c r="AG572" i="4" s="1"/>
  <c r="U571" i="4"/>
  <c r="U570" i="4"/>
  <c r="AG570" i="4" s="1"/>
  <c r="U569" i="4"/>
  <c r="AG569" i="4" s="1"/>
  <c r="U568" i="4"/>
  <c r="AG568" i="4" s="1"/>
  <c r="U567" i="4"/>
  <c r="U566" i="4"/>
  <c r="AG566" i="4" s="1"/>
  <c r="U565" i="4"/>
  <c r="AG565" i="4" s="1"/>
  <c r="U564" i="4"/>
  <c r="AG564" i="4" s="1"/>
  <c r="U563" i="4"/>
  <c r="U562" i="4"/>
  <c r="AG562" i="4" s="1"/>
  <c r="U561" i="4"/>
  <c r="AG561" i="4" s="1"/>
  <c r="U560" i="4"/>
  <c r="AG560" i="4" s="1"/>
  <c r="U559" i="4"/>
  <c r="U558" i="4"/>
  <c r="AG558" i="4" s="1"/>
  <c r="U557" i="4"/>
  <c r="AG557" i="4" s="1"/>
  <c r="U556" i="4"/>
  <c r="AG556" i="4" s="1"/>
  <c r="U555" i="4"/>
  <c r="U554" i="4"/>
  <c r="AG554" i="4" s="1"/>
  <c r="U553" i="4"/>
  <c r="AG553" i="4" s="1"/>
  <c r="U552" i="4"/>
  <c r="AG552" i="4" s="1"/>
  <c r="U551" i="4"/>
  <c r="U550" i="4"/>
  <c r="AG550" i="4" s="1"/>
  <c r="U549" i="4"/>
  <c r="AG549" i="4" s="1"/>
  <c r="U548" i="4"/>
  <c r="AG548" i="4" s="1"/>
  <c r="U547" i="4"/>
  <c r="U546" i="4"/>
  <c r="AG546" i="4" s="1"/>
  <c r="U545" i="4"/>
  <c r="AG545" i="4" s="1"/>
  <c r="U544" i="4"/>
  <c r="AG544" i="4" s="1"/>
  <c r="U543" i="4"/>
  <c r="U542" i="4"/>
  <c r="AG542" i="4" s="1"/>
  <c r="U541" i="4"/>
  <c r="AG541" i="4" s="1"/>
  <c r="U540" i="4"/>
  <c r="AG540" i="4" s="1"/>
  <c r="U539" i="4"/>
  <c r="U538" i="4"/>
  <c r="AG538" i="4" s="1"/>
  <c r="U537" i="4"/>
  <c r="AG537" i="4" s="1"/>
  <c r="U536" i="4"/>
  <c r="AG536" i="4" s="1"/>
  <c r="U535" i="4"/>
  <c r="U534" i="4"/>
  <c r="AG534" i="4" s="1"/>
  <c r="U533" i="4"/>
  <c r="AG533" i="4" s="1"/>
  <c r="U532" i="4"/>
  <c r="AG532" i="4" s="1"/>
  <c r="U531" i="4"/>
  <c r="U530" i="4"/>
  <c r="AG530" i="4" s="1"/>
  <c r="U529" i="4"/>
  <c r="AG529" i="4" s="1"/>
  <c r="U528" i="4"/>
  <c r="AG528" i="4" s="1"/>
  <c r="U527" i="4"/>
  <c r="U526" i="4"/>
  <c r="AG526" i="4" s="1"/>
  <c r="U525" i="4"/>
  <c r="AG525" i="4" s="1"/>
  <c r="U524" i="4"/>
  <c r="AG524" i="4" s="1"/>
  <c r="U523" i="4"/>
  <c r="U522" i="4"/>
  <c r="AG522" i="4" s="1"/>
  <c r="U521" i="4"/>
  <c r="AG521" i="4" s="1"/>
  <c r="U520" i="4"/>
  <c r="AG520" i="4" s="1"/>
  <c r="U519" i="4"/>
  <c r="U518" i="4"/>
  <c r="AG518" i="4" s="1"/>
  <c r="U517" i="4"/>
  <c r="AG517" i="4" s="1"/>
  <c r="U516" i="4"/>
  <c r="AG516" i="4" s="1"/>
  <c r="U515" i="4"/>
  <c r="U514" i="4"/>
  <c r="AG514" i="4" s="1"/>
  <c r="U513" i="4"/>
  <c r="AG513" i="4" s="1"/>
  <c r="U512" i="4"/>
  <c r="AG512" i="4" s="1"/>
  <c r="U511" i="4"/>
  <c r="U510" i="4"/>
  <c r="AG510" i="4" s="1"/>
  <c r="U509" i="4"/>
  <c r="AG509" i="4" s="1"/>
  <c r="U508" i="4"/>
  <c r="AG508" i="4" s="1"/>
  <c r="U507" i="4"/>
  <c r="U506" i="4"/>
  <c r="AG506" i="4" s="1"/>
  <c r="U505" i="4"/>
  <c r="AG505" i="4" s="1"/>
  <c r="U504" i="4"/>
  <c r="AG504" i="4" s="1"/>
  <c r="U503" i="4"/>
  <c r="U502" i="4"/>
  <c r="AG502" i="4" s="1"/>
  <c r="U501" i="4"/>
  <c r="AG501" i="4" s="1"/>
  <c r="U500" i="4"/>
  <c r="AG500" i="4" s="1"/>
  <c r="U499" i="4"/>
  <c r="U498" i="4"/>
  <c r="AG498" i="4" s="1"/>
  <c r="U497" i="4"/>
  <c r="AG497" i="4" s="1"/>
  <c r="U496" i="4"/>
  <c r="AG496" i="4" s="1"/>
  <c r="U495" i="4"/>
  <c r="U494" i="4"/>
  <c r="AG494" i="4" s="1"/>
  <c r="U493" i="4"/>
  <c r="AG493" i="4" s="1"/>
  <c r="U492" i="4"/>
  <c r="AG492" i="4" s="1"/>
  <c r="U491" i="4"/>
  <c r="U490" i="4"/>
  <c r="AG490" i="4" s="1"/>
  <c r="U489" i="4"/>
  <c r="AG489" i="4" s="1"/>
  <c r="U488" i="4"/>
  <c r="AG488" i="4" s="1"/>
  <c r="U487" i="4"/>
  <c r="U486" i="4"/>
  <c r="AG486" i="4" s="1"/>
  <c r="U485" i="4"/>
  <c r="AG485" i="4" s="1"/>
  <c r="U484" i="4"/>
  <c r="AG484" i="4" s="1"/>
  <c r="U483" i="4"/>
  <c r="U482" i="4"/>
  <c r="AG482" i="4" s="1"/>
  <c r="U481" i="4"/>
  <c r="AG481" i="4" s="1"/>
  <c r="U480" i="4"/>
  <c r="AG480" i="4" s="1"/>
  <c r="U479" i="4"/>
  <c r="U478" i="4"/>
  <c r="AG478" i="4" s="1"/>
  <c r="U477" i="4"/>
  <c r="U476" i="4"/>
  <c r="U475" i="4"/>
  <c r="U474" i="4"/>
  <c r="AG474" i="4" s="1"/>
  <c r="U473" i="4"/>
  <c r="U472" i="4"/>
  <c r="U471" i="4"/>
  <c r="U470" i="4"/>
  <c r="U469" i="4"/>
  <c r="U468" i="4"/>
  <c r="U467" i="4"/>
  <c r="U466" i="4"/>
  <c r="U465" i="4"/>
  <c r="U464" i="4"/>
  <c r="U463" i="4"/>
  <c r="U462" i="4"/>
  <c r="U461" i="4"/>
  <c r="U460" i="4"/>
  <c r="U459" i="4"/>
  <c r="U458" i="4"/>
  <c r="U457" i="4"/>
  <c r="U456" i="4"/>
  <c r="U455" i="4"/>
  <c r="U454" i="4"/>
  <c r="U453" i="4"/>
  <c r="U452" i="4"/>
  <c r="U451" i="4"/>
  <c r="U450" i="4"/>
  <c r="U449" i="4"/>
  <c r="U448" i="4"/>
  <c r="U447" i="4"/>
  <c r="U446" i="4"/>
  <c r="U445" i="4"/>
  <c r="U444" i="4"/>
  <c r="U443" i="4"/>
  <c r="U442" i="4"/>
  <c r="U441" i="4"/>
  <c r="U440" i="4"/>
  <c r="U439" i="4"/>
  <c r="U438" i="4"/>
  <c r="U437" i="4"/>
  <c r="U436" i="4"/>
  <c r="U435" i="4"/>
  <c r="U434" i="4"/>
  <c r="U433" i="4"/>
  <c r="U226" i="4"/>
  <c r="U225" i="4"/>
  <c r="K225" i="4" s="1"/>
  <c r="U224" i="4"/>
  <c r="K224" i="4" s="1"/>
  <c r="U223" i="4"/>
  <c r="K223" i="4" s="1"/>
  <c r="U222" i="4"/>
  <c r="K222" i="4" s="1"/>
  <c r="U221" i="4"/>
  <c r="K221" i="4" s="1"/>
  <c r="U220" i="4"/>
  <c r="K220" i="4" s="1"/>
  <c r="U219" i="4"/>
  <c r="K219" i="4" s="1"/>
  <c r="U218" i="4"/>
  <c r="K218" i="4" s="1"/>
  <c r="U11" i="4"/>
  <c r="U10" i="4"/>
  <c r="U9" i="4"/>
  <c r="U8" i="4"/>
  <c r="U7" i="4"/>
  <c r="U6" i="4"/>
  <c r="U5" i="4"/>
  <c r="U4" i="4"/>
  <c r="AB38" i="10" l="1"/>
  <c r="S37" i="10"/>
  <c r="T37" i="10" s="1"/>
  <c r="AJ34" i="10"/>
  <c r="AD36" i="10"/>
  <c r="Z37" i="10"/>
  <c r="AD37" i="10" s="1"/>
  <c r="AE35" i="10"/>
  <c r="I7" i="4"/>
  <c r="I8" i="4"/>
  <c r="I223" i="4"/>
  <c r="I9" i="4"/>
  <c r="I224" i="4"/>
  <c r="I225" i="4"/>
  <c r="I218" i="4"/>
  <c r="I4" i="4"/>
  <c r="I219" i="4"/>
  <c r="I3" i="4"/>
  <c r="I5" i="4"/>
  <c r="I220" i="4"/>
  <c r="I6" i="4"/>
  <c r="I221" i="4"/>
  <c r="I10" i="4"/>
  <c r="I222" i="4"/>
  <c r="K10" i="4"/>
  <c r="J10" i="4"/>
  <c r="AG476" i="4"/>
  <c r="AG473" i="4"/>
  <c r="AI473" i="4" s="1"/>
  <c r="AG477" i="4"/>
  <c r="AJ482" i="4"/>
  <c r="AK482" i="4"/>
  <c r="AI482" i="4"/>
  <c r="AJ498" i="4"/>
  <c r="AK498" i="4"/>
  <c r="AI498" i="4"/>
  <c r="AJ510" i="4"/>
  <c r="AK510" i="4"/>
  <c r="AI510" i="4"/>
  <c r="AJ526" i="4"/>
  <c r="AK526" i="4"/>
  <c r="AI526" i="4"/>
  <c r="AJ542" i="4"/>
  <c r="AK542" i="4"/>
  <c r="AI542" i="4"/>
  <c r="AJ558" i="4"/>
  <c r="AK558" i="4"/>
  <c r="AI558" i="4"/>
  <c r="AJ570" i="4"/>
  <c r="AK570" i="4"/>
  <c r="AI570" i="4"/>
  <c r="AJ586" i="4"/>
  <c r="AK586" i="4"/>
  <c r="AI586" i="4"/>
  <c r="AJ598" i="4"/>
  <c r="AK598" i="4"/>
  <c r="AI598" i="4"/>
  <c r="AJ610" i="4"/>
  <c r="AK610" i="4"/>
  <c r="AI610" i="4"/>
  <c r="AJ626" i="4"/>
  <c r="AK626" i="4"/>
  <c r="AI626" i="4"/>
  <c r="AJ642" i="4"/>
  <c r="AK642" i="4"/>
  <c r="AI642" i="4"/>
  <c r="AJ654" i="4"/>
  <c r="AK654" i="4"/>
  <c r="AI654" i="4"/>
  <c r="AJ670" i="4"/>
  <c r="AK670" i="4"/>
  <c r="AI670" i="4"/>
  <c r="AJ682" i="4"/>
  <c r="AK682" i="4"/>
  <c r="AI682" i="4"/>
  <c r="AJ698" i="4"/>
  <c r="AK698" i="4"/>
  <c r="AI698" i="4"/>
  <c r="AJ710" i="4"/>
  <c r="AK710" i="4"/>
  <c r="AI710" i="4"/>
  <c r="AJ726" i="4"/>
  <c r="AK726" i="4"/>
  <c r="AI726" i="4"/>
  <c r="AJ742" i="4"/>
  <c r="AK742" i="4"/>
  <c r="AI742" i="4"/>
  <c r="AJ758" i="4"/>
  <c r="AK758" i="4"/>
  <c r="AI758" i="4"/>
  <c r="AJ774" i="4"/>
  <c r="AK774" i="4"/>
  <c r="AI774" i="4"/>
  <c r="AJ786" i="4"/>
  <c r="AK786" i="4"/>
  <c r="AI786" i="4"/>
  <c r="AJ798" i="4"/>
  <c r="AK798" i="4"/>
  <c r="AI798" i="4"/>
  <c r="AJ818" i="4"/>
  <c r="AK818" i="4"/>
  <c r="AI818" i="4"/>
  <c r="AJ826" i="4"/>
  <c r="AK826" i="4"/>
  <c r="AI826" i="4"/>
  <c r="AJ842" i="4"/>
  <c r="AK842" i="4"/>
  <c r="AI842" i="4"/>
  <c r="AJ862" i="4"/>
  <c r="AK862" i="4"/>
  <c r="AI862" i="4"/>
  <c r="AJ874" i="4"/>
  <c r="AK874" i="4"/>
  <c r="AI874" i="4"/>
  <c r="AJ890" i="4"/>
  <c r="AK890" i="4"/>
  <c r="AI890" i="4"/>
  <c r="AJ902" i="4"/>
  <c r="AK902" i="4"/>
  <c r="AI902" i="4"/>
  <c r="AJ914" i="4"/>
  <c r="AK914" i="4"/>
  <c r="AI914" i="4"/>
  <c r="AJ934" i="4"/>
  <c r="AK934" i="4"/>
  <c r="AI934" i="4"/>
  <c r="AJ950" i="4"/>
  <c r="AK950" i="4"/>
  <c r="AI950" i="4"/>
  <c r="AJ958" i="4"/>
  <c r="AK958" i="4"/>
  <c r="AI958" i="4"/>
  <c r="AJ974" i="4"/>
  <c r="AK974" i="4"/>
  <c r="AI974" i="4"/>
  <c r="AJ994" i="4"/>
  <c r="AK994" i="4"/>
  <c r="AI994" i="4"/>
  <c r="AG491" i="4"/>
  <c r="AG507" i="4"/>
  <c r="AG515" i="4"/>
  <c r="AG535" i="4"/>
  <c r="AG551" i="4"/>
  <c r="AG563" i="4"/>
  <c r="AG575" i="4"/>
  <c r="AG595" i="4"/>
  <c r="AG607" i="4"/>
  <c r="AG623" i="4"/>
  <c r="AG651" i="4"/>
  <c r="AJ486" i="4"/>
  <c r="AK486" i="4"/>
  <c r="AI486" i="4"/>
  <c r="AJ494" i="4"/>
  <c r="AK494" i="4"/>
  <c r="AI494" i="4"/>
  <c r="AJ514" i="4"/>
  <c r="AK514" i="4"/>
  <c r="AI514" i="4"/>
  <c r="AJ530" i="4"/>
  <c r="AK530" i="4"/>
  <c r="AI530" i="4"/>
  <c r="AJ538" i="4"/>
  <c r="AK538" i="4"/>
  <c r="AI538" i="4"/>
  <c r="AJ554" i="4"/>
  <c r="AK554" i="4"/>
  <c r="AI554" i="4"/>
  <c r="AJ566" i="4"/>
  <c r="AK566" i="4"/>
  <c r="AI566" i="4"/>
  <c r="AJ582" i="4"/>
  <c r="AK582" i="4"/>
  <c r="AI582" i="4"/>
  <c r="AJ602" i="4"/>
  <c r="AK602" i="4"/>
  <c r="AI602" i="4"/>
  <c r="AJ614" i="4"/>
  <c r="AK614" i="4"/>
  <c r="AI614" i="4"/>
  <c r="AJ630" i="4"/>
  <c r="AK630" i="4"/>
  <c r="AI630" i="4"/>
  <c r="AJ646" i="4"/>
  <c r="AK646" i="4"/>
  <c r="AI646" i="4"/>
  <c r="AJ658" i="4"/>
  <c r="AK658" i="4"/>
  <c r="AI658" i="4"/>
  <c r="AJ674" i="4"/>
  <c r="AK674" i="4"/>
  <c r="AI674" i="4"/>
  <c r="AJ690" i="4"/>
  <c r="AK690" i="4"/>
  <c r="AI690" i="4"/>
  <c r="AJ702" i="4"/>
  <c r="AK702" i="4"/>
  <c r="AI702" i="4"/>
  <c r="AJ718" i="4"/>
  <c r="AK718" i="4"/>
  <c r="AI718" i="4"/>
  <c r="AJ730" i="4"/>
  <c r="AK730" i="4"/>
  <c r="AI730" i="4"/>
  <c r="AJ746" i="4"/>
  <c r="AK746" i="4"/>
  <c r="AI746" i="4"/>
  <c r="AJ754" i="4"/>
  <c r="AK754" i="4"/>
  <c r="AI754" i="4"/>
  <c r="AJ770" i="4"/>
  <c r="AK770" i="4"/>
  <c r="AI770" i="4"/>
  <c r="AJ790" i="4"/>
  <c r="AK790" i="4"/>
  <c r="AI790" i="4"/>
  <c r="AJ802" i="4"/>
  <c r="AK802" i="4"/>
  <c r="AI802" i="4"/>
  <c r="AJ814" i="4"/>
  <c r="AK814" i="4"/>
  <c r="AI814" i="4"/>
  <c r="AJ830" i="4"/>
  <c r="AK830" i="4"/>
  <c r="AI830" i="4"/>
  <c r="AJ846" i="4"/>
  <c r="AK846" i="4"/>
  <c r="AI846" i="4"/>
  <c r="AJ858" i="4"/>
  <c r="AK858" i="4"/>
  <c r="AI858" i="4"/>
  <c r="AJ870" i="4"/>
  <c r="AK870" i="4"/>
  <c r="AI870" i="4"/>
  <c r="AJ886" i="4"/>
  <c r="AK886" i="4"/>
  <c r="AI886" i="4"/>
  <c r="AJ906" i="4"/>
  <c r="AK906" i="4"/>
  <c r="AI906" i="4"/>
  <c r="AJ918" i="4"/>
  <c r="AK918" i="4"/>
  <c r="AI918" i="4"/>
  <c r="AJ930" i="4"/>
  <c r="AK930" i="4"/>
  <c r="AI930" i="4"/>
  <c r="AJ942" i="4"/>
  <c r="AK942" i="4"/>
  <c r="AI942" i="4"/>
  <c r="AJ962" i="4"/>
  <c r="AK962" i="4"/>
  <c r="AI962" i="4"/>
  <c r="AJ978" i="4"/>
  <c r="AK978" i="4"/>
  <c r="AI978" i="4"/>
  <c r="AJ990" i="4"/>
  <c r="AK990" i="4"/>
  <c r="AI990" i="4"/>
  <c r="AG475" i="4"/>
  <c r="AG487" i="4"/>
  <c r="AG503" i="4"/>
  <c r="AG523" i="4"/>
  <c r="AG531" i="4"/>
  <c r="AG547" i="4"/>
  <c r="AG567" i="4"/>
  <c r="AG579" i="4"/>
  <c r="AG591" i="4"/>
  <c r="AG611" i="4"/>
  <c r="AG627" i="4"/>
  <c r="AG655" i="4"/>
  <c r="AJ474" i="4"/>
  <c r="AK474" i="4"/>
  <c r="AI474" i="4"/>
  <c r="AJ478" i="4"/>
  <c r="AK478" i="4"/>
  <c r="AI478" i="4"/>
  <c r="AJ490" i="4"/>
  <c r="AK490" i="4"/>
  <c r="AI490" i="4"/>
  <c r="AJ502" i="4"/>
  <c r="AK502" i="4"/>
  <c r="AI502" i="4"/>
  <c r="AJ506" i="4"/>
  <c r="AK506" i="4"/>
  <c r="AI506" i="4"/>
  <c r="AJ518" i="4"/>
  <c r="AK518" i="4"/>
  <c r="AI518" i="4"/>
  <c r="AJ522" i="4"/>
  <c r="AK522" i="4"/>
  <c r="AI522" i="4"/>
  <c r="AJ534" i="4"/>
  <c r="AK534" i="4"/>
  <c r="AI534" i="4"/>
  <c r="AJ546" i="4"/>
  <c r="AK546" i="4"/>
  <c r="AI546" i="4"/>
  <c r="AJ550" i="4"/>
  <c r="AK550" i="4"/>
  <c r="AI550" i="4"/>
  <c r="AJ562" i="4"/>
  <c r="AK562" i="4"/>
  <c r="AI562" i="4"/>
  <c r="AJ574" i="4"/>
  <c r="AK574" i="4"/>
  <c r="AI574" i="4"/>
  <c r="AJ578" i="4"/>
  <c r="AK578" i="4"/>
  <c r="AI578" i="4"/>
  <c r="AJ590" i="4"/>
  <c r="AK590" i="4"/>
  <c r="AI590" i="4"/>
  <c r="AJ594" i="4"/>
  <c r="AK594" i="4"/>
  <c r="AI594" i="4"/>
  <c r="AJ606" i="4"/>
  <c r="AK606" i="4"/>
  <c r="AI606" i="4"/>
  <c r="AJ618" i="4"/>
  <c r="AK618" i="4"/>
  <c r="AI618" i="4"/>
  <c r="AJ622" i="4"/>
  <c r="AK622" i="4"/>
  <c r="AI622" i="4"/>
  <c r="AJ634" i="4"/>
  <c r="AK634" i="4"/>
  <c r="AI634" i="4"/>
  <c r="AJ638" i="4"/>
  <c r="AK638" i="4"/>
  <c r="AI638" i="4"/>
  <c r="AJ650" i="4"/>
  <c r="AK650" i="4"/>
  <c r="AI650" i="4"/>
  <c r="AJ662" i="4"/>
  <c r="AK662" i="4"/>
  <c r="AI662" i="4"/>
  <c r="AJ666" i="4"/>
  <c r="AK666" i="4"/>
  <c r="AI666" i="4"/>
  <c r="AJ678" i="4"/>
  <c r="AK678" i="4"/>
  <c r="AI678" i="4"/>
  <c r="AJ686" i="4"/>
  <c r="AK686" i="4"/>
  <c r="AI686" i="4"/>
  <c r="AJ694" i="4"/>
  <c r="AK694" i="4"/>
  <c r="AI694" i="4"/>
  <c r="AJ706" i="4"/>
  <c r="AK706" i="4"/>
  <c r="AI706" i="4"/>
  <c r="AJ714" i="4"/>
  <c r="AK714" i="4"/>
  <c r="AI714" i="4"/>
  <c r="AJ722" i="4"/>
  <c r="AK722" i="4"/>
  <c r="AI722" i="4"/>
  <c r="AJ734" i="4"/>
  <c r="AK734" i="4"/>
  <c r="AI734" i="4"/>
  <c r="AJ738" i="4"/>
  <c r="AK738" i="4"/>
  <c r="AI738" i="4"/>
  <c r="AJ750" i="4"/>
  <c r="AK750" i="4"/>
  <c r="AI750" i="4"/>
  <c r="AJ762" i="4"/>
  <c r="AK762" i="4"/>
  <c r="AI762" i="4"/>
  <c r="AJ766" i="4"/>
  <c r="AK766" i="4"/>
  <c r="AI766" i="4"/>
  <c r="AJ778" i="4"/>
  <c r="AK778" i="4"/>
  <c r="AI778" i="4"/>
  <c r="AJ782" i="4"/>
  <c r="AK782" i="4"/>
  <c r="AI782" i="4"/>
  <c r="AJ794" i="4"/>
  <c r="AK794" i="4"/>
  <c r="AI794" i="4"/>
  <c r="AJ806" i="4"/>
  <c r="AK806" i="4"/>
  <c r="AI806" i="4"/>
  <c r="AJ810" i="4"/>
  <c r="AK810" i="4"/>
  <c r="AI810" i="4"/>
  <c r="AJ822" i="4"/>
  <c r="AK822" i="4"/>
  <c r="AI822" i="4"/>
  <c r="AJ834" i="4"/>
  <c r="AK834" i="4"/>
  <c r="AI834" i="4"/>
  <c r="AJ838" i="4"/>
  <c r="AK838" i="4"/>
  <c r="AI838" i="4"/>
  <c r="AJ850" i="4"/>
  <c r="AK850" i="4"/>
  <c r="AI850" i="4"/>
  <c r="AJ854" i="4"/>
  <c r="AK854" i="4"/>
  <c r="AI854" i="4"/>
  <c r="AJ866" i="4"/>
  <c r="AK866" i="4"/>
  <c r="AI866" i="4"/>
  <c r="AJ878" i="4"/>
  <c r="AK878" i="4"/>
  <c r="AI878" i="4"/>
  <c r="AJ882" i="4"/>
  <c r="AK882" i="4"/>
  <c r="AI882" i="4"/>
  <c r="AJ894" i="4"/>
  <c r="AK894" i="4"/>
  <c r="AI894" i="4"/>
  <c r="AJ898" i="4"/>
  <c r="AK898" i="4"/>
  <c r="AI898" i="4"/>
  <c r="AJ910" i="4"/>
  <c r="AK910" i="4"/>
  <c r="AI910" i="4"/>
  <c r="AJ922" i="4"/>
  <c r="AK922" i="4"/>
  <c r="AI922" i="4"/>
  <c r="AJ926" i="4"/>
  <c r="AK926" i="4"/>
  <c r="AI926" i="4"/>
  <c r="AJ938" i="4"/>
  <c r="AK938" i="4"/>
  <c r="AI938" i="4"/>
  <c r="AJ946" i="4"/>
  <c r="AK946" i="4"/>
  <c r="AI946" i="4"/>
  <c r="AJ954" i="4"/>
  <c r="AK954" i="4"/>
  <c r="AI954" i="4"/>
  <c r="AJ966" i="4"/>
  <c r="AK966" i="4"/>
  <c r="AI966" i="4"/>
  <c r="AJ970" i="4"/>
  <c r="AK970" i="4"/>
  <c r="AI970" i="4"/>
  <c r="AJ982" i="4"/>
  <c r="AK982" i="4"/>
  <c r="AI982" i="4"/>
  <c r="AJ986" i="4"/>
  <c r="AK986" i="4"/>
  <c r="AI986" i="4"/>
  <c r="AJ998" i="4"/>
  <c r="AK998" i="4"/>
  <c r="AI998" i="4"/>
  <c r="AJ1002" i="4"/>
  <c r="AK1002" i="4"/>
  <c r="AI1002" i="4"/>
  <c r="AG479" i="4"/>
  <c r="AG483" i="4"/>
  <c r="AG495" i="4"/>
  <c r="AG499" i="4"/>
  <c r="AG511" i="4"/>
  <c r="AG519" i="4"/>
  <c r="AG527" i="4"/>
  <c r="AG539" i="4"/>
  <c r="AG543" i="4"/>
  <c r="AG555" i="4"/>
  <c r="AG559" i="4"/>
  <c r="AG571" i="4"/>
  <c r="AG583" i="4"/>
  <c r="AG587" i="4"/>
  <c r="AG599" i="4"/>
  <c r="AG603" i="4"/>
  <c r="AG615" i="4"/>
  <c r="AG619" i="4"/>
  <c r="AG631" i="4"/>
  <c r="AG635" i="4"/>
  <c r="AG639" i="4"/>
  <c r="AG643" i="4"/>
  <c r="AG647" i="4"/>
  <c r="AG659" i="4"/>
  <c r="AG663" i="4"/>
  <c r="AG667" i="4"/>
  <c r="AG671" i="4"/>
  <c r="AG675" i="4"/>
  <c r="AG679" i="4"/>
  <c r="AG683" i="4"/>
  <c r="AG687" i="4"/>
  <c r="AG691" i="4"/>
  <c r="AG695" i="4"/>
  <c r="AG699" i="4"/>
  <c r="AG703" i="4"/>
  <c r="AG707" i="4"/>
  <c r="AG711" i="4"/>
  <c r="AG715" i="4"/>
  <c r="AG719" i="4"/>
  <c r="AG723" i="4"/>
  <c r="AG727" i="4"/>
  <c r="AG731" i="4"/>
  <c r="AG735" i="4"/>
  <c r="AG739" i="4"/>
  <c r="AG743" i="4"/>
  <c r="AG747" i="4"/>
  <c r="AG751" i="4"/>
  <c r="AG755" i="4"/>
  <c r="AG759" i="4"/>
  <c r="AG763" i="4"/>
  <c r="AG767" i="4"/>
  <c r="AG771" i="4"/>
  <c r="AG775" i="4"/>
  <c r="AG779" i="4"/>
  <c r="AG783" i="4"/>
  <c r="AG787" i="4"/>
  <c r="AG791" i="4"/>
  <c r="AG795" i="4"/>
  <c r="AG799" i="4"/>
  <c r="AG803" i="4"/>
  <c r="AG807" i="4"/>
  <c r="AG811" i="4"/>
  <c r="AG815" i="4"/>
  <c r="AG819" i="4"/>
  <c r="AG823" i="4"/>
  <c r="AG827" i="4"/>
  <c r="AG831" i="4"/>
  <c r="AG835" i="4"/>
  <c r="AG839" i="4"/>
  <c r="AG843" i="4"/>
  <c r="AG847" i="4"/>
  <c r="AG851" i="4"/>
  <c r="AG855" i="4"/>
  <c r="AG859" i="4"/>
  <c r="AG863" i="4"/>
  <c r="AG867" i="4"/>
  <c r="AG871" i="4"/>
  <c r="AG875" i="4"/>
  <c r="AG879" i="4"/>
  <c r="AG883" i="4"/>
  <c r="AG887" i="4"/>
  <c r="AG891" i="4"/>
  <c r="AG895" i="4"/>
  <c r="AG899" i="4"/>
  <c r="AG903" i="4"/>
  <c r="AG907" i="4"/>
  <c r="AG911" i="4"/>
  <c r="AG915" i="4"/>
  <c r="AG919" i="4"/>
  <c r="AG923" i="4"/>
  <c r="AG927" i="4"/>
  <c r="AG931" i="4"/>
  <c r="AG935" i="4"/>
  <c r="AG939" i="4"/>
  <c r="AG943" i="4"/>
  <c r="AG947" i="4"/>
  <c r="AG951" i="4"/>
  <c r="AG955" i="4"/>
  <c r="AG959" i="4"/>
  <c r="AG963" i="4"/>
  <c r="AG967" i="4"/>
  <c r="AG971" i="4"/>
  <c r="AG975" i="4"/>
  <c r="AG979" i="4"/>
  <c r="AG983" i="4"/>
  <c r="AG987" i="4"/>
  <c r="AG995" i="4"/>
  <c r="AG999" i="4"/>
  <c r="AJ480" i="4"/>
  <c r="AK480" i="4"/>
  <c r="AI480" i="4"/>
  <c r="AJ488" i="4"/>
  <c r="AK488" i="4"/>
  <c r="AI488" i="4"/>
  <c r="AJ492" i="4"/>
  <c r="AK492" i="4"/>
  <c r="AI492" i="4"/>
  <c r="AJ500" i="4"/>
  <c r="AI500" i="4"/>
  <c r="AK500" i="4"/>
  <c r="AJ508" i="4"/>
  <c r="AK508" i="4"/>
  <c r="AI508" i="4"/>
  <c r="AJ512" i="4"/>
  <c r="AK512" i="4"/>
  <c r="AI512" i="4"/>
  <c r="AJ520" i="4"/>
  <c r="AK520" i="4"/>
  <c r="AI520" i="4"/>
  <c r="AJ524" i="4"/>
  <c r="AK524" i="4"/>
  <c r="AI524" i="4"/>
  <c r="AJ532" i="4"/>
  <c r="AI532" i="4"/>
  <c r="AK532" i="4"/>
  <c r="AJ540" i="4"/>
  <c r="AK540" i="4"/>
  <c r="AI540" i="4"/>
  <c r="AJ544" i="4"/>
  <c r="AK544" i="4"/>
  <c r="AI544" i="4"/>
  <c r="AJ552" i="4"/>
  <c r="AI552" i="4"/>
  <c r="AK552" i="4"/>
  <c r="AJ560" i="4"/>
  <c r="AK560" i="4"/>
  <c r="AI560" i="4"/>
  <c r="AJ568" i="4"/>
  <c r="AI568" i="4"/>
  <c r="AK568" i="4"/>
  <c r="AJ576" i="4"/>
  <c r="AK576" i="4"/>
  <c r="AI576" i="4"/>
  <c r="AJ584" i="4"/>
  <c r="AI584" i="4"/>
  <c r="AK584" i="4"/>
  <c r="AJ592" i="4"/>
  <c r="AK592" i="4"/>
  <c r="AI592" i="4"/>
  <c r="AJ600" i="4"/>
  <c r="AI600" i="4"/>
  <c r="AK600" i="4"/>
  <c r="AJ608" i="4"/>
  <c r="AK608" i="4"/>
  <c r="AI608" i="4"/>
  <c r="AJ612" i="4"/>
  <c r="AI612" i="4"/>
  <c r="AK612" i="4"/>
  <c r="AJ620" i="4"/>
  <c r="AK620" i="4"/>
  <c r="AI620" i="4"/>
  <c r="AJ628" i="4"/>
  <c r="AI628" i="4"/>
  <c r="AK628" i="4"/>
  <c r="AJ636" i="4"/>
  <c r="AK636" i="4"/>
  <c r="AI636" i="4"/>
  <c r="AJ644" i="4"/>
  <c r="AI644" i="4"/>
  <c r="AK644" i="4"/>
  <c r="AJ648" i="4"/>
  <c r="AI648" i="4"/>
  <c r="AK648" i="4"/>
  <c r="AJ656" i="4"/>
  <c r="AK656" i="4"/>
  <c r="AI656" i="4"/>
  <c r="AJ664" i="4"/>
  <c r="AK664" i="4"/>
  <c r="AI664" i="4"/>
  <c r="AJ668" i="4"/>
  <c r="AK668" i="4"/>
  <c r="AI668" i="4"/>
  <c r="AJ676" i="4"/>
  <c r="AK676" i="4"/>
  <c r="AI676" i="4"/>
  <c r="AJ684" i="4"/>
  <c r="AK684" i="4"/>
  <c r="AI684" i="4"/>
  <c r="AJ688" i="4"/>
  <c r="AK688" i="4"/>
  <c r="AI688" i="4"/>
  <c r="AJ696" i="4"/>
  <c r="AK696" i="4"/>
  <c r="AI696" i="4"/>
  <c r="AJ708" i="4"/>
  <c r="AK708" i="4"/>
  <c r="AI708" i="4"/>
  <c r="AJ748" i="4"/>
  <c r="AK748" i="4"/>
  <c r="AI748" i="4"/>
  <c r="AJ760" i="4"/>
  <c r="AK760" i="4"/>
  <c r="AI760" i="4"/>
  <c r="AJ772" i="4"/>
  <c r="AK772" i="4"/>
  <c r="AI772" i="4"/>
  <c r="AJ780" i="4"/>
  <c r="AK780" i="4"/>
  <c r="AI780" i="4"/>
  <c r="AJ792" i="4"/>
  <c r="AK792" i="4"/>
  <c r="AI792" i="4"/>
  <c r="AJ804" i="4"/>
  <c r="AK804" i="4"/>
  <c r="AI804" i="4"/>
  <c r="AJ816" i="4"/>
  <c r="AK816" i="4"/>
  <c r="AI816" i="4"/>
  <c r="AJ824" i="4"/>
  <c r="AK824" i="4"/>
  <c r="AI824" i="4"/>
  <c r="AJ836" i="4"/>
  <c r="AK836" i="4"/>
  <c r="AI836" i="4"/>
  <c r="AJ848" i="4"/>
  <c r="AK848" i="4"/>
  <c r="AI848" i="4"/>
  <c r="AJ860" i="4"/>
  <c r="AK860" i="4"/>
  <c r="AI860" i="4"/>
  <c r="AJ872" i="4"/>
  <c r="AK872" i="4"/>
  <c r="AI872" i="4"/>
  <c r="AJ884" i="4"/>
  <c r="AK884" i="4"/>
  <c r="AI884" i="4"/>
  <c r="AJ892" i="4"/>
  <c r="AK892" i="4"/>
  <c r="AI892" i="4"/>
  <c r="AJ904" i="4"/>
  <c r="AK904" i="4"/>
  <c r="AI904" i="4"/>
  <c r="AJ916" i="4"/>
  <c r="AK916" i="4"/>
  <c r="AI916" i="4"/>
  <c r="AJ928" i="4"/>
  <c r="AK928" i="4"/>
  <c r="AI928" i="4"/>
  <c r="AJ936" i="4"/>
  <c r="AK936" i="4"/>
  <c r="AI936" i="4"/>
  <c r="AJ944" i="4"/>
  <c r="AK944" i="4"/>
  <c r="AI944" i="4"/>
  <c r="AJ948" i="4"/>
  <c r="AK948" i="4"/>
  <c r="AI948" i="4"/>
  <c r="AJ956" i="4"/>
  <c r="AK956" i="4"/>
  <c r="AI956" i="4"/>
  <c r="AJ960" i="4"/>
  <c r="AK960" i="4"/>
  <c r="AI960" i="4"/>
  <c r="AJ964" i="4"/>
  <c r="AK964" i="4"/>
  <c r="AI964" i="4"/>
  <c r="AJ968" i="4"/>
  <c r="AK968" i="4"/>
  <c r="AI968" i="4"/>
  <c r="AJ972" i="4"/>
  <c r="AI972" i="4"/>
  <c r="AK972" i="4"/>
  <c r="AJ976" i="4"/>
  <c r="AI976" i="4"/>
  <c r="AK976" i="4"/>
  <c r="AJ980" i="4"/>
  <c r="AI980" i="4"/>
  <c r="AK980" i="4"/>
  <c r="AJ984" i="4"/>
  <c r="AI984" i="4"/>
  <c r="AK984" i="4"/>
  <c r="AJ988" i="4"/>
  <c r="AI988" i="4"/>
  <c r="AK988" i="4"/>
  <c r="AJ992" i="4"/>
  <c r="AI992" i="4"/>
  <c r="AK992" i="4"/>
  <c r="AJ1000" i="4"/>
  <c r="AI1000" i="4"/>
  <c r="AK1000" i="4"/>
  <c r="AJ476" i="4"/>
  <c r="AK476" i="4"/>
  <c r="AI476" i="4"/>
  <c r="AJ484" i="4"/>
  <c r="AI484" i="4"/>
  <c r="AK484" i="4"/>
  <c r="AJ496" i="4"/>
  <c r="AK496" i="4"/>
  <c r="AI496" i="4"/>
  <c r="AJ504" i="4"/>
  <c r="AK504" i="4"/>
  <c r="AI504" i="4"/>
  <c r="AJ516" i="4"/>
  <c r="AK516" i="4"/>
  <c r="AI516" i="4"/>
  <c r="AJ528" i="4"/>
  <c r="AK528" i="4"/>
  <c r="AI528" i="4"/>
  <c r="AJ536" i="4"/>
  <c r="AK536" i="4"/>
  <c r="AI536" i="4"/>
  <c r="AJ548" i="4"/>
  <c r="AI548" i="4"/>
  <c r="AK548" i="4"/>
  <c r="AJ556" i="4"/>
  <c r="AK556" i="4"/>
  <c r="AI556" i="4"/>
  <c r="AJ564" i="4"/>
  <c r="AI564" i="4"/>
  <c r="AK564" i="4"/>
  <c r="AJ572" i="4"/>
  <c r="AK572" i="4"/>
  <c r="AI572" i="4"/>
  <c r="AJ580" i="4"/>
  <c r="AI580" i="4"/>
  <c r="AK580" i="4"/>
  <c r="AJ588" i="4"/>
  <c r="AK588" i="4"/>
  <c r="AI588" i="4"/>
  <c r="AJ596" i="4"/>
  <c r="AI596" i="4"/>
  <c r="AK596" i="4"/>
  <c r="AJ604" i="4"/>
  <c r="AK604" i="4"/>
  <c r="AI604" i="4"/>
  <c r="AJ616" i="4"/>
  <c r="AI616" i="4"/>
  <c r="AK616" i="4"/>
  <c r="AJ624" i="4"/>
  <c r="AK624" i="4"/>
  <c r="AI624" i="4"/>
  <c r="AJ632" i="4"/>
  <c r="AI632" i="4"/>
  <c r="AK632" i="4"/>
  <c r="AJ640" i="4"/>
  <c r="AK640" i="4"/>
  <c r="AI640" i="4"/>
  <c r="AJ652" i="4"/>
  <c r="AK652" i="4"/>
  <c r="AI652" i="4"/>
  <c r="AJ660" i="4"/>
  <c r="AI660" i="4"/>
  <c r="AK660" i="4"/>
  <c r="AJ672" i="4"/>
  <c r="AK672" i="4"/>
  <c r="AI672" i="4"/>
  <c r="AJ680" i="4"/>
  <c r="AK680" i="4"/>
  <c r="AI680" i="4"/>
  <c r="AJ692" i="4"/>
  <c r="AK692" i="4"/>
  <c r="AI692" i="4"/>
  <c r="AJ700" i="4"/>
  <c r="AK700" i="4"/>
  <c r="AI700" i="4"/>
  <c r="AJ704" i="4"/>
  <c r="AK704" i="4"/>
  <c r="AI704" i="4"/>
  <c r="AJ712" i="4"/>
  <c r="AK712" i="4"/>
  <c r="AI712" i="4"/>
  <c r="AJ716" i="4"/>
  <c r="AK716" i="4"/>
  <c r="AI716" i="4"/>
  <c r="AJ720" i="4"/>
  <c r="AK720" i="4"/>
  <c r="AI720" i="4"/>
  <c r="AJ724" i="4"/>
  <c r="AK724" i="4"/>
  <c r="AI724" i="4"/>
  <c r="AJ728" i="4"/>
  <c r="AK728" i="4"/>
  <c r="AI728" i="4"/>
  <c r="AJ732" i="4"/>
  <c r="AK732" i="4"/>
  <c r="AI732" i="4"/>
  <c r="AJ736" i="4"/>
  <c r="AK736" i="4"/>
  <c r="AI736" i="4"/>
  <c r="AJ740" i="4"/>
  <c r="AK740" i="4"/>
  <c r="AI740" i="4"/>
  <c r="AJ744" i="4"/>
  <c r="AK744" i="4"/>
  <c r="AI744" i="4"/>
  <c r="AJ752" i="4"/>
  <c r="AK752" i="4"/>
  <c r="AI752" i="4"/>
  <c r="AJ756" i="4"/>
  <c r="AK756" i="4"/>
  <c r="AI756" i="4"/>
  <c r="AJ764" i="4"/>
  <c r="AK764" i="4"/>
  <c r="AI764" i="4"/>
  <c r="AJ768" i="4"/>
  <c r="AK768" i="4"/>
  <c r="AI768" i="4"/>
  <c r="AJ776" i="4"/>
  <c r="AK776" i="4"/>
  <c r="AI776" i="4"/>
  <c r="AJ784" i="4"/>
  <c r="AK784" i="4"/>
  <c r="AI784" i="4"/>
  <c r="AJ788" i="4"/>
  <c r="AK788" i="4"/>
  <c r="AI788" i="4"/>
  <c r="AJ796" i="4"/>
  <c r="AK796" i="4"/>
  <c r="AI796" i="4"/>
  <c r="AJ800" i="4"/>
  <c r="AK800" i="4"/>
  <c r="AI800" i="4"/>
  <c r="AJ808" i="4"/>
  <c r="AK808" i="4"/>
  <c r="AI808" i="4"/>
  <c r="AJ812" i="4"/>
  <c r="AK812" i="4"/>
  <c r="AI812" i="4"/>
  <c r="AJ820" i="4"/>
  <c r="AK820" i="4"/>
  <c r="AI820" i="4"/>
  <c r="AJ828" i="4"/>
  <c r="AK828" i="4"/>
  <c r="AI828" i="4"/>
  <c r="AJ832" i="4"/>
  <c r="AK832" i="4"/>
  <c r="AI832" i="4"/>
  <c r="AJ840" i="4"/>
  <c r="AK840" i="4"/>
  <c r="AI840" i="4"/>
  <c r="AJ844" i="4"/>
  <c r="AK844" i="4"/>
  <c r="AI844" i="4"/>
  <c r="AJ852" i="4"/>
  <c r="AK852" i="4"/>
  <c r="AI852" i="4"/>
  <c r="AJ856" i="4"/>
  <c r="AK856" i="4"/>
  <c r="AI856" i="4"/>
  <c r="AJ864" i="4"/>
  <c r="AK864" i="4"/>
  <c r="AI864" i="4"/>
  <c r="AJ868" i="4"/>
  <c r="AK868" i="4"/>
  <c r="AI868" i="4"/>
  <c r="AJ876" i="4"/>
  <c r="AK876" i="4"/>
  <c r="AI876" i="4"/>
  <c r="AJ880" i="4"/>
  <c r="AK880" i="4"/>
  <c r="AI880" i="4"/>
  <c r="AJ888" i="4"/>
  <c r="AK888" i="4"/>
  <c r="AI888" i="4"/>
  <c r="AJ896" i="4"/>
  <c r="AK896" i="4"/>
  <c r="AI896" i="4"/>
  <c r="AJ900" i="4"/>
  <c r="AK900" i="4"/>
  <c r="AI900" i="4"/>
  <c r="AJ908" i="4"/>
  <c r="AK908" i="4"/>
  <c r="AI908" i="4"/>
  <c r="AJ912" i="4"/>
  <c r="AK912" i="4"/>
  <c r="AI912" i="4"/>
  <c r="AJ920" i="4"/>
  <c r="AK920" i="4"/>
  <c r="AI920" i="4"/>
  <c r="AJ924" i="4"/>
  <c r="AK924" i="4"/>
  <c r="AI924" i="4"/>
  <c r="AJ932" i="4"/>
  <c r="AK932" i="4"/>
  <c r="AI932" i="4"/>
  <c r="AJ940" i="4"/>
  <c r="AK940" i="4"/>
  <c r="AI940" i="4"/>
  <c r="AJ952" i="4"/>
  <c r="AK952" i="4"/>
  <c r="AI952" i="4"/>
  <c r="AJ477" i="4"/>
  <c r="AK477" i="4"/>
  <c r="AI477" i="4"/>
  <c r="AJ481" i="4"/>
  <c r="AK481" i="4"/>
  <c r="AI481" i="4"/>
  <c r="AJ485" i="4"/>
  <c r="AK485" i="4"/>
  <c r="AI485" i="4"/>
  <c r="AJ489" i="4"/>
  <c r="AK489" i="4"/>
  <c r="AI489" i="4"/>
  <c r="AJ493" i="4"/>
  <c r="AK493" i="4"/>
  <c r="AI493" i="4"/>
  <c r="AJ497" i="4"/>
  <c r="AK497" i="4"/>
  <c r="AI497" i="4"/>
  <c r="AJ501" i="4"/>
  <c r="AK501" i="4"/>
  <c r="AI501" i="4"/>
  <c r="AJ505" i="4"/>
  <c r="AK505" i="4"/>
  <c r="AI505" i="4"/>
  <c r="AJ509" i="4"/>
  <c r="AK509" i="4"/>
  <c r="AI509" i="4"/>
  <c r="AJ513" i="4"/>
  <c r="AK513" i="4"/>
  <c r="AI513" i="4"/>
  <c r="AJ517" i="4"/>
  <c r="AK517" i="4"/>
  <c r="AI517" i="4"/>
  <c r="AJ521" i="4"/>
  <c r="AK521" i="4"/>
  <c r="AI521" i="4"/>
  <c r="AJ525" i="4"/>
  <c r="AK525" i="4"/>
  <c r="AI525" i="4"/>
  <c r="AJ529" i="4"/>
  <c r="AK529" i="4"/>
  <c r="AI529" i="4"/>
  <c r="AJ533" i="4"/>
  <c r="AK533" i="4"/>
  <c r="AI533" i="4"/>
  <c r="AJ537" i="4"/>
  <c r="AK537" i="4"/>
  <c r="AI537" i="4"/>
  <c r="AJ541" i="4"/>
  <c r="AK541" i="4"/>
  <c r="AI541" i="4"/>
  <c r="AJ545" i="4"/>
  <c r="AK545" i="4"/>
  <c r="AI545" i="4"/>
  <c r="AJ549" i="4"/>
  <c r="AI549" i="4"/>
  <c r="AK549" i="4"/>
  <c r="AJ553" i="4"/>
  <c r="AI553" i="4"/>
  <c r="AK553" i="4"/>
  <c r="AJ557" i="4"/>
  <c r="AI557" i="4"/>
  <c r="AK557" i="4"/>
  <c r="AJ561" i="4"/>
  <c r="AK561" i="4"/>
  <c r="AI561" i="4"/>
  <c r="AJ565" i="4"/>
  <c r="AI565" i="4"/>
  <c r="AK565" i="4"/>
  <c r="AJ569" i="4"/>
  <c r="AI569" i="4"/>
  <c r="AK569" i="4"/>
  <c r="AJ573" i="4"/>
  <c r="AI573" i="4"/>
  <c r="AK573" i="4"/>
  <c r="AJ577" i="4"/>
  <c r="AK577" i="4"/>
  <c r="AI577" i="4"/>
  <c r="AJ581" i="4"/>
  <c r="AI581" i="4"/>
  <c r="AK581" i="4"/>
  <c r="AJ585" i="4"/>
  <c r="AI585" i="4"/>
  <c r="AK585" i="4"/>
  <c r="AJ589" i="4"/>
  <c r="AI589" i="4"/>
  <c r="AK589" i="4"/>
  <c r="AJ593" i="4"/>
  <c r="AK593" i="4"/>
  <c r="AI593" i="4"/>
  <c r="AJ597" i="4"/>
  <c r="AI597" i="4"/>
  <c r="AK597" i="4"/>
  <c r="AJ601" i="4"/>
  <c r="AI601" i="4"/>
  <c r="AK601" i="4"/>
  <c r="AJ605" i="4"/>
  <c r="AI605" i="4"/>
  <c r="AK605" i="4"/>
  <c r="AJ609" i="4"/>
  <c r="AK609" i="4"/>
  <c r="AI609" i="4"/>
  <c r="AJ613" i="4"/>
  <c r="AI613" i="4"/>
  <c r="AK613" i="4"/>
  <c r="AJ617" i="4"/>
  <c r="AI617" i="4"/>
  <c r="AK617" i="4"/>
  <c r="AJ621" i="4"/>
  <c r="AI621" i="4"/>
  <c r="AK621" i="4"/>
  <c r="AJ625" i="4"/>
  <c r="AK625" i="4"/>
  <c r="AI625" i="4"/>
  <c r="AJ629" i="4"/>
  <c r="AI629" i="4"/>
  <c r="AK629" i="4"/>
  <c r="AJ633" i="4"/>
  <c r="AI633" i="4"/>
  <c r="AK633" i="4"/>
  <c r="AJ637" i="4"/>
  <c r="AI637" i="4"/>
  <c r="AK637" i="4"/>
  <c r="AJ641" i="4"/>
  <c r="AK641" i="4"/>
  <c r="AI641" i="4"/>
  <c r="AJ645" i="4"/>
  <c r="AI645" i="4"/>
  <c r="AK645" i="4"/>
  <c r="AJ649" i="4"/>
  <c r="AI649" i="4"/>
  <c r="AK649" i="4"/>
  <c r="AJ653" i="4"/>
  <c r="AI653" i="4"/>
  <c r="AK653" i="4"/>
  <c r="AJ657" i="4"/>
  <c r="AK657" i="4"/>
  <c r="AI657" i="4"/>
  <c r="AJ661" i="4"/>
  <c r="AI661" i="4"/>
  <c r="AK661" i="4"/>
  <c r="AJ665" i="4"/>
  <c r="AK665" i="4"/>
  <c r="AI665" i="4"/>
  <c r="AJ669" i="4"/>
  <c r="AK669" i="4"/>
  <c r="AI669" i="4"/>
  <c r="AJ673" i="4"/>
  <c r="AK673" i="4"/>
  <c r="AI673" i="4"/>
  <c r="AJ677" i="4"/>
  <c r="AK677" i="4"/>
  <c r="AI677" i="4"/>
  <c r="AJ681" i="4"/>
  <c r="AK681" i="4"/>
  <c r="AI681" i="4"/>
  <c r="AJ685" i="4"/>
  <c r="AK685" i="4"/>
  <c r="AI685" i="4"/>
  <c r="AJ689" i="4"/>
  <c r="AK689" i="4"/>
  <c r="AI689" i="4"/>
  <c r="AJ693" i="4"/>
  <c r="AK693" i="4"/>
  <c r="AI693" i="4"/>
  <c r="AJ697" i="4"/>
  <c r="AK697" i="4"/>
  <c r="AI697" i="4"/>
  <c r="AJ701" i="4"/>
  <c r="AK701" i="4"/>
  <c r="AI701" i="4"/>
  <c r="AJ705" i="4"/>
  <c r="AK705" i="4"/>
  <c r="AI705" i="4"/>
  <c r="AJ709" i="4"/>
  <c r="AK709" i="4"/>
  <c r="AI709" i="4"/>
  <c r="AJ713" i="4"/>
  <c r="AK713" i="4"/>
  <c r="AI713" i="4"/>
  <c r="AJ717" i="4"/>
  <c r="AK717" i="4"/>
  <c r="AI717" i="4"/>
  <c r="AJ721" i="4"/>
  <c r="AK721" i="4"/>
  <c r="AI721" i="4"/>
  <c r="AJ725" i="4"/>
  <c r="AK725" i="4"/>
  <c r="AI725" i="4"/>
  <c r="AJ729" i="4"/>
  <c r="AK729" i="4"/>
  <c r="AI729" i="4"/>
  <c r="AJ733" i="4"/>
  <c r="AK733" i="4"/>
  <c r="AI733" i="4"/>
  <c r="AJ737" i="4"/>
  <c r="AK737" i="4"/>
  <c r="AI737" i="4"/>
  <c r="AJ741" i="4"/>
  <c r="AK741" i="4"/>
  <c r="AI741" i="4"/>
  <c r="AJ745" i="4"/>
  <c r="AK745" i="4"/>
  <c r="AI745" i="4"/>
  <c r="AJ749" i="4"/>
  <c r="AK749" i="4"/>
  <c r="AI749" i="4"/>
  <c r="AJ753" i="4"/>
  <c r="AK753" i="4"/>
  <c r="AI753" i="4"/>
  <c r="AJ757" i="4"/>
  <c r="AK757" i="4"/>
  <c r="AI757" i="4"/>
  <c r="AJ761" i="4"/>
  <c r="AK761" i="4"/>
  <c r="AI761" i="4"/>
  <c r="AJ765" i="4"/>
  <c r="AK765" i="4"/>
  <c r="AI765" i="4"/>
  <c r="AJ769" i="4"/>
  <c r="AK769" i="4"/>
  <c r="AI769" i="4"/>
  <c r="AJ773" i="4"/>
  <c r="AK773" i="4"/>
  <c r="AI773" i="4"/>
  <c r="AJ777" i="4"/>
  <c r="AK777" i="4"/>
  <c r="AI777" i="4"/>
  <c r="AJ781" i="4"/>
  <c r="AK781" i="4"/>
  <c r="AI781" i="4"/>
  <c r="AJ785" i="4"/>
  <c r="AK785" i="4"/>
  <c r="AI785" i="4"/>
  <c r="AJ789" i="4"/>
  <c r="AK789" i="4"/>
  <c r="AI789" i="4"/>
  <c r="AJ793" i="4"/>
  <c r="AK793" i="4"/>
  <c r="AI793" i="4"/>
  <c r="AJ797" i="4"/>
  <c r="AK797" i="4"/>
  <c r="AI797" i="4"/>
  <c r="AJ801" i="4"/>
  <c r="AK801" i="4"/>
  <c r="AI801" i="4"/>
  <c r="AJ805" i="4"/>
  <c r="AK805" i="4"/>
  <c r="AI805" i="4"/>
  <c r="AJ809" i="4"/>
  <c r="AK809" i="4"/>
  <c r="AI809" i="4"/>
  <c r="AJ813" i="4"/>
  <c r="AK813" i="4"/>
  <c r="AI813" i="4"/>
  <c r="AJ817" i="4"/>
  <c r="AK817" i="4"/>
  <c r="AI817" i="4"/>
  <c r="AJ821" i="4"/>
  <c r="AK821" i="4"/>
  <c r="AI821" i="4"/>
  <c r="AJ825" i="4"/>
  <c r="AK825" i="4"/>
  <c r="AI825" i="4"/>
  <c r="AJ829" i="4"/>
  <c r="AK829" i="4"/>
  <c r="AI829" i="4"/>
  <c r="AJ833" i="4"/>
  <c r="AK833" i="4"/>
  <c r="AI833" i="4"/>
  <c r="AJ837" i="4"/>
  <c r="AK837" i="4"/>
  <c r="AI837" i="4"/>
  <c r="AJ841" i="4"/>
  <c r="AK841" i="4"/>
  <c r="AI841" i="4"/>
  <c r="AJ845" i="4"/>
  <c r="AK845" i="4"/>
  <c r="AI845" i="4"/>
  <c r="AJ849" i="4"/>
  <c r="AK849" i="4"/>
  <c r="AI849" i="4"/>
  <c r="AJ853" i="4"/>
  <c r="AK853" i="4"/>
  <c r="AI853" i="4"/>
  <c r="AJ857" i="4"/>
  <c r="AK857" i="4"/>
  <c r="AI857" i="4"/>
  <c r="AJ861" i="4"/>
  <c r="AK861" i="4"/>
  <c r="AI861" i="4"/>
  <c r="AJ865" i="4"/>
  <c r="AK865" i="4"/>
  <c r="AI865" i="4"/>
  <c r="AJ869" i="4"/>
  <c r="AK869" i="4"/>
  <c r="AI869" i="4"/>
  <c r="AJ873" i="4"/>
  <c r="AK873" i="4"/>
  <c r="AI873" i="4"/>
  <c r="AJ877" i="4"/>
  <c r="AK877" i="4"/>
  <c r="AI877" i="4"/>
  <c r="AJ881" i="4"/>
  <c r="AK881" i="4"/>
  <c r="AI881" i="4"/>
  <c r="AJ885" i="4"/>
  <c r="AK885" i="4"/>
  <c r="AI885" i="4"/>
  <c r="AJ889" i="4"/>
  <c r="AK889" i="4"/>
  <c r="AI889" i="4"/>
  <c r="AJ893" i="4"/>
  <c r="AK893" i="4"/>
  <c r="AI893" i="4"/>
  <c r="AJ897" i="4"/>
  <c r="AK897" i="4"/>
  <c r="AI897" i="4"/>
  <c r="AJ901" i="4"/>
  <c r="AK901" i="4"/>
  <c r="AI901" i="4"/>
  <c r="AJ905" i="4"/>
  <c r="AK905" i="4"/>
  <c r="AI905" i="4"/>
  <c r="AJ909" i="4"/>
  <c r="AK909" i="4"/>
  <c r="AI909" i="4"/>
  <c r="AJ913" i="4"/>
  <c r="AK913" i="4"/>
  <c r="AI913" i="4"/>
  <c r="AJ917" i="4"/>
  <c r="AK917" i="4"/>
  <c r="AI917" i="4"/>
  <c r="AJ921" i="4"/>
  <c r="AK921" i="4"/>
  <c r="AI921" i="4"/>
  <c r="AJ925" i="4"/>
  <c r="AK925" i="4"/>
  <c r="AI925" i="4"/>
  <c r="AJ929" i="4"/>
  <c r="AK929" i="4"/>
  <c r="AI929" i="4"/>
  <c r="AJ933" i="4"/>
  <c r="AK933" i="4"/>
  <c r="AI933" i="4"/>
  <c r="AJ937" i="4"/>
  <c r="AK937" i="4"/>
  <c r="AI937" i="4"/>
  <c r="AJ941" i="4"/>
  <c r="AK941" i="4"/>
  <c r="AI941" i="4"/>
  <c r="AJ945" i="4"/>
  <c r="AK945" i="4"/>
  <c r="AI945" i="4"/>
  <c r="AJ949" i="4"/>
  <c r="AK949" i="4"/>
  <c r="AI949" i="4"/>
  <c r="AJ953" i="4"/>
  <c r="AK953" i="4"/>
  <c r="AI953" i="4"/>
  <c r="AJ957" i="4"/>
  <c r="AK957" i="4"/>
  <c r="AI957" i="4"/>
  <c r="AJ961" i="4"/>
  <c r="AK961" i="4"/>
  <c r="AI961" i="4"/>
  <c r="AJ965" i="4"/>
  <c r="AK965" i="4"/>
  <c r="AI965" i="4"/>
  <c r="AJ969" i="4"/>
  <c r="AK969" i="4"/>
  <c r="AI969" i="4"/>
  <c r="AJ973" i="4"/>
  <c r="AK973" i="4"/>
  <c r="AI973" i="4"/>
  <c r="AJ977" i="4"/>
  <c r="AK977" i="4"/>
  <c r="AI977" i="4"/>
  <c r="AJ981" i="4"/>
  <c r="AK981" i="4"/>
  <c r="AI981" i="4"/>
  <c r="AJ985" i="4"/>
  <c r="AK985" i="4"/>
  <c r="AI985" i="4"/>
  <c r="AJ989" i="4"/>
  <c r="AK989" i="4"/>
  <c r="AI989" i="4"/>
  <c r="AJ993" i="4"/>
  <c r="AK993" i="4"/>
  <c r="AI993" i="4"/>
  <c r="AJ997" i="4"/>
  <c r="AK997" i="4"/>
  <c r="AI997" i="4"/>
  <c r="AJ1001" i="4"/>
  <c r="AK1001" i="4"/>
  <c r="AI1001" i="4"/>
  <c r="AG458" i="4"/>
  <c r="R458" i="4"/>
  <c r="AG462" i="4"/>
  <c r="R462" i="4"/>
  <c r="AG466" i="4"/>
  <c r="R466" i="4"/>
  <c r="AG470" i="4"/>
  <c r="R470" i="4"/>
  <c r="AG459" i="4"/>
  <c r="R459" i="4"/>
  <c r="AG463" i="4"/>
  <c r="R463" i="4"/>
  <c r="AG467" i="4"/>
  <c r="R467" i="4"/>
  <c r="AG471" i="4"/>
  <c r="R471" i="4"/>
  <c r="AG460" i="4"/>
  <c r="R460" i="4"/>
  <c r="AG464" i="4"/>
  <c r="R464" i="4"/>
  <c r="AG468" i="4"/>
  <c r="R468" i="4"/>
  <c r="AG472" i="4"/>
  <c r="R472" i="4"/>
  <c r="AG461" i="4"/>
  <c r="R461" i="4"/>
  <c r="AG465" i="4"/>
  <c r="R465" i="4"/>
  <c r="AG469" i="4"/>
  <c r="R469" i="4"/>
  <c r="AG439" i="4"/>
  <c r="R439" i="4"/>
  <c r="AG447" i="4"/>
  <c r="R447" i="4"/>
  <c r="AG455" i="4"/>
  <c r="R455" i="4"/>
  <c r="AG433" i="4"/>
  <c r="R433" i="4"/>
  <c r="AG437" i="4"/>
  <c r="R437" i="4"/>
  <c r="AG441" i="4"/>
  <c r="R441" i="4"/>
  <c r="AG445" i="4"/>
  <c r="R445" i="4"/>
  <c r="AG449" i="4"/>
  <c r="R449" i="4"/>
  <c r="AG453" i="4"/>
  <c r="R453" i="4"/>
  <c r="AG457" i="4"/>
  <c r="R457" i="4"/>
  <c r="AG434" i="4"/>
  <c r="R434" i="4"/>
  <c r="AG438" i="4"/>
  <c r="R438" i="4"/>
  <c r="AG442" i="4"/>
  <c r="R442" i="4"/>
  <c r="AG446" i="4"/>
  <c r="R446" i="4"/>
  <c r="AG450" i="4"/>
  <c r="R450" i="4"/>
  <c r="AG454" i="4"/>
  <c r="R454" i="4"/>
  <c r="AG435" i="4"/>
  <c r="R435" i="4"/>
  <c r="AG443" i="4"/>
  <c r="R443" i="4"/>
  <c r="AG451" i="4"/>
  <c r="R451" i="4"/>
  <c r="AG436" i="4"/>
  <c r="R436" i="4"/>
  <c r="AG440" i="4"/>
  <c r="R440" i="4"/>
  <c r="AG444" i="4"/>
  <c r="R444" i="4"/>
  <c r="AG448" i="4"/>
  <c r="R448" i="4"/>
  <c r="AG452" i="4"/>
  <c r="R452" i="4"/>
  <c r="AG456" i="4"/>
  <c r="R456" i="4"/>
  <c r="Q226" i="4"/>
  <c r="M226" i="4"/>
  <c r="M11" i="4"/>
  <c r="Q11" i="4"/>
  <c r="AG224" i="4"/>
  <c r="AJ224" i="4" s="1"/>
  <c r="R224" i="4"/>
  <c r="AG222" i="4"/>
  <c r="AJ222" i="4" s="1"/>
  <c r="R222" i="4"/>
  <c r="AG225" i="4"/>
  <c r="AJ225" i="4" s="1"/>
  <c r="R225" i="4"/>
  <c r="AG221" i="4"/>
  <c r="AJ221" i="4" s="1"/>
  <c r="R221" i="4"/>
  <c r="AG223" i="4"/>
  <c r="AJ223" i="4" s="1"/>
  <c r="R223" i="4"/>
  <c r="AG218" i="4"/>
  <c r="AJ218" i="4" s="1"/>
  <c r="R218" i="4"/>
  <c r="AG226" i="4"/>
  <c r="AJ226" i="4" s="1"/>
  <c r="R226" i="4"/>
  <c r="AG219" i="4"/>
  <c r="AJ219" i="4" s="1"/>
  <c r="R219" i="4"/>
  <c r="AG220" i="4"/>
  <c r="AJ220" i="4" s="1"/>
  <c r="R220" i="4"/>
  <c r="AG10" i="4"/>
  <c r="AJ10" i="4" s="1"/>
  <c r="R10" i="4"/>
  <c r="AG11" i="4"/>
  <c r="AJ11" i="4" s="1"/>
  <c r="R11" i="4"/>
  <c r="AG8" i="4"/>
  <c r="AI8" i="4" s="1"/>
  <c r="R8" i="4"/>
  <c r="AG9" i="4"/>
  <c r="AJ9" i="4" s="1"/>
  <c r="R9" i="4"/>
  <c r="R7" i="4"/>
  <c r="AG7" i="4"/>
  <c r="AJ7" i="4" s="1"/>
  <c r="AG991" i="4"/>
  <c r="R5" i="4"/>
  <c r="AG5" i="4"/>
  <c r="AJ5" i="4" s="1"/>
  <c r="R3" i="4"/>
  <c r="AG3" i="4"/>
  <c r="AJ3" i="4" s="1"/>
  <c r="R4" i="4"/>
  <c r="AG4" i="4"/>
  <c r="AJ4" i="4" s="1"/>
  <c r="AG996" i="4"/>
  <c r="R6" i="4"/>
  <c r="AG6" i="4"/>
  <c r="AJ6" i="4" s="1"/>
  <c r="AB3" i="4"/>
  <c r="AA3" i="4"/>
  <c r="M3" i="4"/>
  <c r="AB39" i="10" l="1"/>
  <c r="S38" i="10"/>
  <c r="T38" i="10" s="1"/>
  <c r="AE36" i="10"/>
  <c r="AG35" i="10"/>
  <c r="AF35" i="10"/>
  <c r="Z38" i="10"/>
  <c r="AD38" i="10" s="1"/>
  <c r="AE37" i="10"/>
  <c r="I11" i="4"/>
  <c r="I226" i="4"/>
  <c r="J11" i="4"/>
  <c r="K11" i="4"/>
  <c r="K226" i="4"/>
  <c r="J226" i="4"/>
  <c r="AK473" i="4"/>
  <c r="AJ473" i="4"/>
  <c r="AJ615" i="4"/>
  <c r="AK615" i="4"/>
  <c r="AI615" i="4"/>
  <c r="AJ996" i="4"/>
  <c r="AI996" i="4"/>
  <c r="AK996" i="4"/>
  <c r="AJ987" i="4"/>
  <c r="AK987" i="4"/>
  <c r="AI987" i="4"/>
  <c r="AJ971" i="4"/>
  <c r="AK971" i="4"/>
  <c r="AI971" i="4"/>
  <c r="AJ955" i="4"/>
  <c r="AK955" i="4"/>
  <c r="AI955" i="4"/>
  <c r="AJ939" i="4"/>
  <c r="AK939" i="4"/>
  <c r="AI939" i="4"/>
  <c r="AJ923" i="4"/>
  <c r="AK923" i="4"/>
  <c r="AI923" i="4"/>
  <c r="AJ907" i="4"/>
  <c r="AK907" i="4"/>
  <c r="AI907" i="4"/>
  <c r="AJ891" i="4"/>
  <c r="AK891" i="4"/>
  <c r="AI891" i="4"/>
  <c r="AJ875" i="4"/>
  <c r="AK875" i="4"/>
  <c r="AI875" i="4"/>
  <c r="AJ859" i="4"/>
  <c r="AK859" i="4"/>
  <c r="AI859" i="4"/>
  <c r="AJ843" i="4"/>
  <c r="AK843" i="4"/>
  <c r="AI843" i="4"/>
  <c r="AJ827" i="4"/>
  <c r="AK827" i="4"/>
  <c r="AI827" i="4"/>
  <c r="AJ811" i="4"/>
  <c r="AK811" i="4"/>
  <c r="AI811" i="4"/>
  <c r="AJ795" i="4"/>
  <c r="AK795" i="4"/>
  <c r="AI795" i="4"/>
  <c r="AJ779" i="4"/>
  <c r="AK779" i="4"/>
  <c r="AI779" i="4"/>
  <c r="AJ763" i="4"/>
  <c r="AK763" i="4"/>
  <c r="AI763" i="4"/>
  <c r="AJ747" i="4"/>
  <c r="AK747" i="4"/>
  <c r="AI747" i="4"/>
  <c r="AJ731" i="4"/>
  <c r="AK731" i="4"/>
  <c r="AI731" i="4"/>
  <c r="AJ715" i="4"/>
  <c r="AK715" i="4"/>
  <c r="AI715" i="4"/>
  <c r="AJ699" i="4"/>
  <c r="AK699" i="4"/>
  <c r="AI699" i="4"/>
  <c r="AJ683" i="4"/>
  <c r="AK683" i="4"/>
  <c r="AI683" i="4"/>
  <c r="AJ667" i="4"/>
  <c r="AK667" i="4"/>
  <c r="AI667" i="4"/>
  <c r="AJ643" i="4"/>
  <c r="AK643" i="4"/>
  <c r="AI643" i="4"/>
  <c r="AJ619" i="4"/>
  <c r="AK619" i="4"/>
  <c r="AI619" i="4"/>
  <c r="AJ587" i="4"/>
  <c r="AK587" i="4"/>
  <c r="AI587" i="4"/>
  <c r="AJ555" i="4"/>
  <c r="AK555" i="4"/>
  <c r="AI555" i="4"/>
  <c r="AJ519" i="4"/>
  <c r="AK519" i="4"/>
  <c r="AI519" i="4"/>
  <c r="AJ483" i="4"/>
  <c r="AK483" i="4"/>
  <c r="AI483" i="4"/>
  <c r="AJ591" i="4"/>
  <c r="AK591" i="4"/>
  <c r="AI591" i="4"/>
  <c r="AJ531" i="4"/>
  <c r="AK531" i="4"/>
  <c r="AI531" i="4"/>
  <c r="AJ475" i="4"/>
  <c r="AK475" i="4"/>
  <c r="AI475" i="4"/>
  <c r="AJ595" i="4"/>
  <c r="AK595" i="4"/>
  <c r="AI595" i="4"/>
  <c r="AJ535" i="4"/>
  <c r="AK535" i="4"/>
  <c r="AI535" i="4"/>
  <c r="AJ983" i="4"/>
  <c r="AK983" i="4"/>
  <c r="AI983" i="4"/>
  <c r="AJ935" i="4"/>
  <c r="AK935" i="4"/>
  <c r="AI935" i="4"/>
  <c r="AJ887" i="4"/>
  <c r="AK887" i="4"/>
  <c r="AI887" i="4"/>
  <c r="AJ839" i="4"/>
  <c r="AK839" i="4"/>
  <c r="AI839" i="4"/>
  <c r="AJ791" i="4"/>
  <c r="AK791" i="4"/>
  <c r="AI791" i="4"/>
  <c r="AJ743" i="4"/>
  <c r="AK743" i="4"/>
  <c r="AI743" i="4"/>
  <c r="AJ695" i="4"/>
  <c r="AK695" i="4"/>
  <c r="AI695" i="4"/>
  <c r="AJ663" i="4"/>
  <c r="AK663" i="4"/>
  <c r="AI663" i="4"/>
  <c r="AJ583" i="4"/>
  <c r="AK583" i="4"/>
  <c r="AI583" i="4"/>
  <c r="AJ511" i="4"/>
  <c r="AK511" i="4"/>
  <c r="AI511" i="4"/>
  <c r="AJ479" i="4"/>
  <c r="AI479" i="4"/>
  <c r="AK479" i="4"/>
  <c r="AJ651" i="4"/>
  <c r="AK651" i="4"/>
  <c r="AI651" i="4"/>
  <c r="AJ999" i="4"/>
  <c r="AK999" i="4"/>
  <c r="AI999" i="4"/>
  <c r="AJ979" i="4"/>
  <c r="AI979" i="4"/>
  <c r="AK979" i="4"/>
  <c r="AJ963" i="4"/>
  <c r="AK963" i="4"/>
  <c r="AI963" i="4"/>
  <c r="AJ947" i="4"/>
  <c r="AK947" i="4"/>
  <c r="AI947" i="4"/>
  <c r="AJ931" i="4"/>
  <c r="AK931" i="4"/>
  <c r="AI931" i="4"/>
  <c r="AJ915" i="4"/>
  <c r="AK915" i="4"/>
  <c r="AI915" i="4"/>
  <c r="AJ899" i="4"/>
  <c r="AK899" i="4"/>
  <c r="AI899" i="4"/>
  <c r="AJ883" i="4"/>
  <c r="AK883" i="4"/>
  <c r="AI883" i="4"/>
  <c r="AJ867" i="4"/>
  <c r="AK867" i="4"/>
  <c r="AI867" i="4"/>
  <c r="AJ851" i="4"/>
  <c r="AK851" i="4"/>
  <c r="AI851" i="4"/>
  <c r="AJ835" i="4"/>
  <c r="AK835" i="4"/>
  <c r="AI835" i="4"/>
  <c r="AJ819" i="4"/>
  <c r="AK819" i="4"/>
  <c r="AI819" i="4"/>
  <c r="AJ803" i="4"/>
  <c r="AK803" i="4"/>
  <c r="AI803" i="4"/>
  <c r="AJ787" i="4"/>
  <c r="AK787" i="4"/>
  <c r="AI787" i="4"/>
  <c r="AJ771" i="4"/>
  <c r="AK771" i="4"/>
  <c r="AI771" i="4"/>
  <c r="AJ755" i="4"/>
  <c r="AK755" i="4"/>
  <c r="AI755" i="4"/>
  <c r="AJ739" i="4"/>
  <c r="AK739" i="4"/>
  <c r="AI739" i="4"/>
  <c r="AJ723" i="4"/>
  <c r="AK723" i="4"/>
  <c r="AI723" i="4"/>
  <c r="AJ707" i="4"/>
  <c r="AK707" i="4"/>
  <c r="AI707" i="4"/>
  <c r="AJ691" i="4"/>
  <c r="AK691" i="4"/>
  <c r="AI691" i="4"/>
  <c r="AJ675" i="4"/>
  <c r="AK675" i="4"/>
  <c r="AI675" i="4"/>
  <c r="AJ659" i="4"/>
  <c r="AK659" i="4"/>
  <c r="AI659" i="4"/>
  <c r="AJ635" i="4"/>
  <c r="AK635" i="4"/>
  <c r="AI635" i="4"/>
  <c r="AJ603" i="4"/>
  <c r="AK603" i="4"/>
  <c r="AI603" i="4"/>
  <c r="AJ571" i="4"/>
  <c r="AK571" i="4"/>
  <c r="AI571" i="4"/>
  <c r="AJ539" i="4"/>
  <c r="AK539" i="4"/>
  <c r="AI539" i="4"/>
  <c r="AJ499" i="4"/>
  <c r="AK499" i="4"/>
  <c r="AI499" i="4"/>
  <c r="AJ627" i="4"/>
  <c r="AK627" i="4"/>
  <c r="AI627" i="4"/>
  <c r="AJ567" i="4"/>
  <c r="AK567" i="4"/>
  <c r="AI567" i="4"/>
  <c r="AJ503" i="4"/>
  <c r="AK503" i="4"/>
  <c r="AI503" i="4"/>
  <c r="AJ623" i="4"/>
  <c r="AK623" i="4"/>
  <c r="AI623" i="4"/>
  <c r="AJ563" i="4"/>
  <c r="AK563" i="4"/>
  <c r="AI563" i="4"/>
  <c r="AJ507" i="4"/>
  <c r="AK507" i="4"/>
  <c r="AI507" i="4"/>
  <c r="AJ967" i="4"/>
  <c r="AK967" i="4"/>
  <c r="AI967" i="4"/>
  <c r="AJ951" i="4"/>
  <c r="AK951" i="4"/>
  <c r="AI951" i="4"/>
  <c r="AJ919" i="4"/>
  <c r="AK919" i="4"/>
  <c r="AI919" i="4"/>
  <c r="AJ903" i="4"/>
  <c r="AK903" i="4"/>
  <c r="AI903" i="4"/>
  <c r="AJ871" i="4"/>
  <c r="AK871" i="4"/>
  <c r="AI871" i="4"/>
  <c r="AJ855" i="4"/>
  <c r="AK855" i="4"/>
  <c r="AI855" i="4"/>
  <c r="AJ823" i="4"/>
  <c r="AK823" i="4"/>
  <c r="AI823" i="4"/>
  <c r="AJ807" i="4"/>
  <c r="AK807" i="4"/>
  <c r="AI807" i="4"/>
  <c r="AJ775" i="4"/>
  <c r="AK775" i="4"/>
  <c r="AI775" i="4"/>
  <c r="AJ759" i="4"/>
  <c r="AK759" i="4"/>
  <c r="AI759" i="4"/>
  <c r="AJ727" i="4"/>
  <c r="AK727" i="4"/>
  <c r="AI727" i="4"/>
  <c r="AJ711" i="4"/>
  <c r="AK711" i="4"/>
  <c r="AI711" i="4"/>
  <c r="AJ679" i="4"/>
  <c r="AK679" i="4"/>
  <c r="AI679" i="4"/>
  <c r="AJ639" i="4"/>
  <c r="AK639" i="4"/>
  <c r="AI639" i="4"/>
  <c r="AJ543" i="4"/>
  <c r="AI543" i="4"/>
  <c r="AK543" i="4"/>
  <c r="AJ655" i="4"/>
  <c r="AK655" i="4"/>
  <c r="AI655" i="4"/>
  <c r="AJ579" i="4"/>
  <c r="AK579" i="4"/>
  <c r="AI579" i="4"/>
  <c r="AJ523" i="4"/>
  <c r="AK523" i="4"/>
  <c r="AI523" i="4"/>
  <c r="AJ575" i="4"/>
  <c r="AK575" i="4"/>
  <c r="AI575" i="4"/>
  <c r="AJ515" i="4"/>
  <c r="AK515" i="4"/>
  <c r="AI515" i="4"/>
  <c r="AJ991" i="4"/>
  <c r="AI991" i="4"/>
  <c r="AK991" i="4"/>
  <c r="AJ995" i="4"/>
  <c r="AI995" i="4"/>
  <c r="AK995" i="4"/>
  <c r="AJ975" i="4"/>
  <c r="AI975" i="4"/>
  <c r="AK975" i="4"/>
  <c r="AJ959" i="4"/>
  <c r="AK959" i="4"/>
  <c r="AI959" i="4"/>
  <c r="AJ943" i="4"/>
  <c r="AI943" i="4"/>
  <c r="AK943" i="4"/>
  <c r="AJ927" i="4"/>
  <c r="AK927" i="4"/>
  <c r="AI927" i="4"/>
  <c r="AJ911" i="4"/>
  <c r="AK911" i="4"/>
  <c r="AI911" i="4"/>
  <c r="AJ895" i="4"/>
  <c r="AI895" i="4"/>
  <c r="AK895" i="4"/>
  <c r="AJ879" i="4"/>
  <c r="AI879" i="4"/>
  <c r="AK879" i="4"/>
  <c r="AJ863" i="4"/>
  <c r="AK863" i="4"/>
  <c r="AI863" i="4"/>
  <c r="AJ847" i="4"/>
  <c r="AK847" i="4"/>
  <c r="AI847" i="4"/>
  <c r="AJ831" i="4"/>
  <c r="AK831" i="4"/>
  <c r="AI831" i="4"/>
  <c r="AJ815" i="4"/>
  <c r="AI815" i="4"/>
  <c r="AK815" i="4"/>
  <c r="AJ799" i="4"/>
  <c r="AK799" i="4"/>
  <c r="AI799" i="4"/>
  <c r="AJ783" i="4"/>
  <c r="AK783" i="4"/>
  <c r="AI783" i="4"/>
  <c r="AJ767" i="4"/>
  <c r="AI767" i="4"/>
  <c r="AK767" i="4"/>
  <c r="AJ751" i="4"/>
  <c r="AI751" i="4"/>
  <c r="AK751" i="4"/>
  <c r="AJ735" i="4"/>
  <c r="AK735" i="4"/>
  <c r="AI735" i="4"/>
  <c r="AJ719" i="4"/>
  <c r="AK719" i="4"/>
  <c r="AI719" i="4"/>
  <c r="AJ703" i="4"/>
  <c r="AI703" i="4"/>
  <c r="AK703" i="4"/>
  <c r="AJ687" i="4"/>
  <c r="AI687" i="4"/>
  <c r="AK687" i="4"/>
  <c r="AJ671" i="4"/>
  <c r="AK671" i="4"/>
  <c r="AI671" i="4"/>
  <c r="AJ647" i="4"/>
  <c r="AK647" i="4"/>
  <c r="AI647" i="4"/>
  <c r="AJ631" i="4"/>
  <c r="AK631" i="4"/>
  <c r="AI631" i="4"/>
  <c r="AJ599" i="4"/>
  <c r="AK599" i="4"/>
  <c r="AI599" i="4"/>
  <c r="AJ559" i="4"/>
  <c r="AK559" i="4"/>
  <c r="AI559" i="4"/>
  <c r="AJ527" i="4"/>
  <c r="AI527" i="4"/>
  <c r="AK527" i="4"/>
  <c r="AJ495" i="4"/>
  <c r="AK495" i="4"/>
  <c r="AI495" i="4"/>
  <c r="AJ611" i="4"/>
  <c r="AK611" i="4"/>
  <c r="AI611" i="4"/>
  <c r="AJ547" i="4"/>
  <c r="AK547" i="4"/>
  <c r="AI547" i="4"/>
  <c r="AJ487" i="4"/>
  <c r="AK487" i="4"/>
  <c r="AI487" i="4"/>
  <c r="AJ607" i="4"/>
  <c r="AI607" i="4"/>
  <c r="AK607" i="4"/>
  <c r="AJ551" i="4"/>
  <c r="AK551" i="4"/>
  <c r="AI551" i="4"/>
  <c r="AJ491" i="4"/>
  <c r="AK491" i="4"/>
  <c r="AI491" i="4"/>
  <c r="AJ471" i="4"/>
  <c r="AK471" i="4"/>
  <c r="AI471" i="4"/>
  <c r="AJ463" i="4"/>
  <c r="AK463" i="4"/>
  <c r="AI463" i="4"/>
  <c r="AJ462" i="4"/>
  <c r="AI462" i="4"/>
  <c r="AK462" i="4"/>
  <c r="AJ465" i="4"/>
  <c r="AK465" i="4"/>
  <c r="AI465" i="4"/>
  <c r="AJ468" i="4"/>
  <c r="AK468" i="4"/>
  <c r="AI468" i="4"/>
  <c r="AJ460" i="4"/>
  <c r="AK460" i="4"/>
  <c r="AI460" i="4"/>
  <c r="AJ466" i="4"/>
  <c r="AI466" i="4"/>
  <c r="AK466" i="4"/>
  <c r="AJ467" i="4"/>
  <c r="AI467" i="4"/>
  <c r="AK467" i="4"/>
  <c r="AJ459" i="4"/>
  <c r="AK459" i="4"/>
  <c r="AI459" i="4"/>
  <c r="AJ470" i="4"/>
  <c r="AI470" i="4"/>
  <c r="AK470" i="4"/>
  <c r="AJ469" i="4"/>
  <c r="AK469" i="4"/>
  <c r="AI469" i="4"/>
  <c r="AJ461" i="4"/>
  <c r="AK461" i="4"/>
  <c r="AI461" i="4"/>
  <c r="AJ472" i="4"/>
  <c r="AK472" i="4"/>
  <c r="AI472" i="4"/>
  <c r="AJ464" i="4"/>
  <c r="AI464" i="4"/>
  <c r="AK464" i="4"/>
  <c r="AJ458" i="4"/>
  <c r="AI458" i="4"/>
  <c r="AK458" i="4"/>
  <c r="AJ435" i="4"/>
  <c r="AK435" i="4"/>
  <c r="AI435" i="4"/>
  <c r="AJ449" i="4"/>
  <c r="AK449" i="4"/>
  <c r="AI449" i="4"/>
  <c r="AJ433" i="4"/>
  <c r="AI433" i="4"/>
  <c r="AK433" i="4"/>
  <c r="AJ451" i="4"/>
  <c r="AI451" i="4"/>
  <c r="AK451" i="4"/>
  <c r="AJ457" i="4"/>
  <c r="AI457" i="4"/>
  <c r="AK457" i="4"/>
  <c r="AJ441" i="4"/>
  <c r="AK441" i="4"/>
  <c r="AI441" i="4"/>
  <c r="AJ447" i="4"/>
  <c r="AK447" i="4"/>
  <c r="AI447" i="4"/>
  <c r="AJ452" i="4"/>
  <c r="AI452" i="4"/>
  <c r="AK452" i="4"/>
  <c r="AJ444" i="4"/>
  <c r="AI444" i="4"/>
  <c r="AK444" i="4"/>
  <c r="AJ436" i="4"/>
  <c r="AI436" i="4"/>
  <c r="AK436" i="4"/>
  <c r="AJ450" i="4"/>
  <c r="AK450" i="4"/>
  <c r="AI450" i="4"/>
  <c r="AJ442" i="4"/>
  <c r="AK442" i="4"/>
  <c r="AI442" i="4"/>
  <c r="AJ434" i="4"/>
  <c r="AK434" i="4"/>
  <c r="AI434" i="4"/>
  <c r="AJ445" i="4"/>
  <c r="AI445" i="4"/>
  <c r="AK445" i="4"/>
  <c r="AJ455" i="4"/>
  <c r="AK455" i="4"/>
  <c r="AI455" i="4"/>
  <c r="AJ456" i="4"/>
  <c r="AI456" i="4"/>
  <c r="AK456" i="4"/>
  <c r="AJ448" i="4"/>
  <c r="AI448" i="4"/>
  <c r="AK448" i="4"/>
  <c r="AJ440" i="4"/>
  <c r="AI440" i="4"/>
  <c r="AK440" i="4"/>
  <c r="AJ443" i="4"/>
  <c r="AI443" i="4"/>
  <c r="AK443" i="4"/>
  <c r="AJ454" i="4"/>
  <c r="AK454" i="4"/>
  <c r="AI454" i="4"/>
  <c r="AJ446" i="4"/>
  <c r="AK446" i="4"/>
  <c r="AI446" i="4"/>
  <c r="AJ438" i="4"/>
  <c r="AK438" i="4"/>
  <c r="AI438" i="4"/>
  <c r="AJ453" i="4"/>
  <c r="AK453" i="4"/>
  <c r="AI453" i="4"/>
  <c r="AJ437" i="4"/>
  <c r="AI437" i="4"/>
  <c r="AK437" i="4"/>
  <c r="AJ439" i="4"/>
  <c r="AI439" i="4"/>
  <c r="AK439" i="4"/>
  <c r="Q227" i="4"/>
  <c r="M227" i="4"/>
  <c r="U227" i="4"/>
  <c r="V227" i="4"/>
  <c r="AJ8" i="4"/>
  <c r="AK8" i="4"/>
  <c r="Q12" i="4"/>
  <c r="M12" i="4"/>
  <c r="V12" i="4"/>
  <c r="U12" i="4"/>
  <c r="AK220" i="4"/>
  <c r="AI220" i="4"/>
  <c r="AK226" i="4"/>
  <c r="AI226" i="4"/>
  <c r="AK223" i="4"/>
  <c r="AI223" i="4"/>
  <c r="P223" i="4" s="1"/>
  <c r="AK219" i="4"/>
  <c r="AI219" i="4"/>
  <c r="AK222" i="4"/>
  <c r="AI222" i="4"/>
  <c r="AK225" i="4"/>
  <c r="AI225" i="4"/>
  <c r="AK218" i="4"/>
  <c r="AI218" i="4"/>
  <c r="P218" i="4" s="1"/>
  <c r="AK221" i="4"/>
  <c r="AI221" i="4"/>
  <c r="AK224" i="4"/>
  <c r="AI224" i="4"/>
  <c r="AK11" i="4"/>
  <c r="AI11" i="4"/>
  <c r="AK10" i="4"/>
  <c r="AI10" i="4"/>
  <c r="P10" i="4" s="1"/>
  <c r="AK9" i="4"/>
  <c r="AI9" i="4"/>
  <c r="AK6" i="4"/>
  <c r="AI6" i="4"/>
  <c r="AK7" i="4"/>
  <c r="AI7" i="4"/>
  <c r="AK5" i="4"/>
  <c r="AI5" i="4"/>
  <c r="P5" i="4" s="1"/>
  <c r="AI4" i="4"/>
  <c r="AK4" i="4"/>
  <c r="AI3" i="4"/>
  <c r="AK3" i="4"/>
  <c r="AE3" i="4"/>
  <c r="AB1002" i="4"/>
  <c r="AA1002" i="4"/>
  <c r="AB1001" i="4"/>
  <c r="AA1001" i="4"/>
  <c r="AB1000" i="4"/>
  <c r="AA1000" i="4"/>
  <c r="AB999" i="4"/>
  <c r="AA999" i="4"/>
  <c r="AB998" i="4"/>
  <c r="AA998" i="4"/>
  <c r="AB997" i="4"/>
  <c r="AA997" i="4"/>
  <c r="AB996" i="4"/>
  <c r="AA996" i="4"/>
  <c r="AB995" i="4"/>
  <c r="AA995" i="4"/>
  <c r="AB994" i="4"/>
  <c r="AA994" i="4"/>
  <c r="AB993" i="4"/>
  <c r="AA993" i="4"/>
  <c r="AB992" i="4"/>
  <c r="AA992" i="4"/>
  <c r="AB991" i="4"/>
  <c r="AA991" i="4"/>
  <c r="AB990" i="4"/>
  <c r="AA990" i="4"/>
  <c r="AB989" i="4"/>
  <c r="AA989" i="4"/>
  <c r="AB988" i="4"/>
  <c r="AA988" i="4"/>
  <c r="AB987" i="4"/>
  <c r="AA987" i="4"/>
  <c r="AB986" i="4"/>
  <c r="AA986" i="4"/>
  <c r="AB985" i="4"/>
  <c r="AA985" i="4"/>
  <c r="AB984" i="4"/>
  <c r="AA984" i="4"/>
  <c r="AB983" i="4"/>
  <c r="AA983" i="4"/>
  <c r="AB982" i="4"/>
  <c r="AA982" i="4"/>
  <c r="AB981" i="4"/>
  <c r="AA981" i="4"/>
  <c r="AB980" i="4"/>
  <c r="AA980" i="4"/>
  <c r="AB979" i="4"/>
  <c r="AA979" i="4"/>
  <c r="AB978" i="4"/>
  <c r="AA978" i="4"/>
  <c r="AB977" i="4"/>
  <c r="AA977" i="4"/>
  <c r="AB976" i="4"/>
  <c r="AA976" i="4"/>
  <c r="AB975" i="4"/>
  <c r="AA975" i="4"/>
  <c r="AB974" i="4"/>
  <c r="AA974" i="4"/>
  <c r="AB973" i="4"/>
  <c r="AA973" i="4"/>
  <c r="AB972" i="4"/>
  <c r="AA972" i="4"/>
  <c r="AB971" i="4"/>
  <c r="AA971" i="4"/>
  <c r="AB970" i="4"/>
  <c r="AA970" i="4"/>
  <c r="AB969" i="4"/>
  <c r="AA969" i="4"/>
  <c r="AB968" i="4"/>
  <c r="AA968" i="4"/>
  <c r="AB967" i="4"/>
  <c r="AA967" i="4"/>
  <c r="AB966" i="4"/>
  <c r="AA966" i="4"/>
  <c r="AB965" i="4"/>
  <c r="AA965" i="4"/>
  <c r="AB964" i="4"/>
  <c r="AA964" i="4"/>
  <c r="AB963" i="4"/>
  <c r="AA963" i="4"/>
  <c r="AB962" i="4"/>
  <c r="AA962" i="4"/>
  <c r="AB961" i="4"/>
  <c r="AA961" i="4"/>
  <c r="AB960" i="4"/>
  <c r="AA960" i="4"/>
  <c r="AB959" i="4"/>
  <c r="AA959" i="4"/>
  <c r="AB958" i="4"/>
  <c r="AA958" i="4"/>
  <c r="AB957" i="4"/>
  <c r="AA957" i="4"/>
  <c r="AB956" i="4"/>
  <c r="AA956" i="4"/>
  <c r="AB955" i="4"/>
  <c r="AA955" i="4"/>
  <c r="AB954" i="4"/>
  <c r="AA954" i="4"/>
  <c r="AB953" i="4"/>
  <c r="AA953" i="4"/>
  <c r="AB952" i="4"/>
  <c r="AA952" i="4"/>
  <c r="AB951" i="4"/>
  <c r="AA951" i="4"/>
  <c r="AB950" i="4"/>
  <c r="AA950" i="4"/>
  <c r="AB949" i="4"/>
  <c r="AA949" i="4"/>
  <c r="AB948" i="4"/>
  <c r="AA948" i="4"/>
  <c r="AB947" i="4"/>
  <c r="AA947" i="4"/>
  <c r="AB946" i="4"/>
  <c r="AA946" i="4"/>
  <c r="AB945" i="4"/>
  <c r="AA945" i="4"/>
  <c r="AB944" i="4"/>
  <c r="AA944" i="4"/>
  <c r="AB943" i="4"/>
  <c r="AA943" i="4"/>
  <c r="AB942" i="4"/>
  <c r="AA942" i="4"/>
  <c r="AB941" i="4"/>
  <c r="AA941" i="4"/>
  <c r="AB940" i="4"/>
  <c r="AA940" i="4"/>
  <c r="AB939" i="4"/>
  <c r="AA939" i="4"/>
  <c r="AB938" i="4"/>
  <c r="AA938" i="4"/>
  <c r="AB937" i="4"/>
  <c r="AA937" i="4"/>
  <c r="AB936" i="4"/>
  <c r="AA936" i="4"/>
  <c r="AB935" i="4"/>
  <c r="AA935" i="4"/>
  <c r="AE935" i="4"/>
  <c r="AB934" i="4"/>
  <c r="AA934" i="4"/>
  <c r="AB933" i="4"/>
  <c r="AA933" i="4"/>
  <c r="AB932" i="4"/>
  <c r="AA932" i="4"/>
  <c r="AB931" i="4"/>
  <c r="AA931" i="4"/>
  <c r="AB930" i="4"/>
  <c r="AA930" i="4"/>
  <c r="AB929" i="4"/>
  <c r="AA929" i="4"/>
  <c r="AB928" i="4"/>
  <c r="AA928" i="4"/>
  <c r="AB927" i="4"/>
  <c r="AA927" i="4"/>
  <c r="AB926" i="4"/>
  <c r="AA926" i="4"/>
  <c r="AB925" i="4"/>
  <c r="AA925" i="4"/>
  <c r="AB924" i="4"/>
  <c r="AA924" i="4"/>
  <c r="AB923" i="4"/>
  <c r="AA923" i="4"/>
  <c r="AB922" i="4"/>
  <c r="AA922" i="4"/>
  <c r="AB921" i="4"/>
  <c r="AA921" i="4"/>
  <c r="AB920" i="4"/>
  <c r="AA920" i="4"/>
  <c r="AB919" i="4"/>
  <c r="AA919" i="4"/>
  <c r="AB918" i="4"/>
  <c r="AA918" i="4"/>
  <c r="AB917" i="4"/>
  <c r="AA917" i="4"/>
  <c r="AB916" i="4"/>
  <c r="AA916" i="4"/>
  <c r="AB915" i="4"/>
  <c r="AA915" i="4"/>
  <c r="AB914" i="4"/>
  <c r="AA914" i="4"/>
  <c r="AB913" i="4"/>
  <c r="AA913" i="4"/>
  <c r="AB912" i="4"/>
  <c r="AA912" i="4"/>
  <c r="AB911" i="4"/>
  <c r="AA911" i="4"/>
  <c r="AE911" i="4"/>
  <c r="AB910" i="4"/>
  <c r="AA910" i="4"/>
  <c r="AB909" i="4"/>
  <c r="AA909" i="4"/>
  <c r="AB908" i="4"/>
  <c r="AA908" i="4"/>
  <c r="AB907" i="4"/>
  <c r="AA907" i="4"/>
  <c r="AB906" i="4"/>
  <c r="AA906" i="4"/>
  <c r="AB905" i="4"/>
  <c r="AA905" i="4"/>
  <c r="AB904" i="4"/>
  <c r="AA904" i="4"/>
  <c r="AB903" i="4"/>
  <c r="AA903" i="4"/>
  <c r="AB902" i="4"/>
  <c r="AA902" i="4"/>
  <c r="AB901" i="4"/>
  <c r="AA901" i="4"/>
  <c r="AB900" i="4"/>
  <c r="AA900" i="4"/>
  <c r="AB899" i="4"/>
  <c r="AA899" i="4"/>
  <c r="AB898" i="4"/>
  <c r="AA898" i="4"/>
  <c r="AB897" i="4"/>
  <c r="AA897" i="4"/>
  <c r="AB896" i="4"/>
  <c r="AA896" i="4"/>
  <c r="AB895" i="4"/>
  <c r="AA895" i="4"/>
  <c r="AB894" i="4"/>
  <c r="AA894" i="4"/>
  <c r="AB893" i="4"/>
  <c r="AA893" i="4"/>
  <c r="AB892" i="4"/>
  <c r="AA892" i="4"/>
  <c r="AB891" i="4"/>
  <c r="AA891" i="4"/>
  <c r="AB890" i="4"/>
  <c r="AA890" i="4"/>
  <c r="AB889" i="4"/>
  <c r="AA889" i="4"/>
  <c r="AB888" i="4"/>
  <c r="AA888" i="4"/>
  <c r="AB887" i="4"/>
  <c r="AA887" i="4"/>
  <c r="AB886" i="4"/>
  <c r="AA886" i="4"/>
  <c r="AB885" i="4"/>
  <c r="AA885" i="4"/>
  <c r="AB884" i="4"/>
  <c r="AA884" i="4"/>
  <c r="AB883" i="4"/>
  <c r="AA883" i="4"/>
  <c r="AB882" i="4"/>
  <c r="AA882" i="4"/>
  <c r="AB881" i="4"/>
  <c r="AA881" i="4"/>
  <c r="AB880" i="4"/>
  <c r="AA880" i="4"/>
  <c r="AB879" i="4"/>
  <c r="AA879" i="4"/>
  <c r="AB878" i="4"/>
  <c r="AA878" i="4"/>
  <c r="AB877" i="4"/>
  <c r="AA877" i="4"/>
  <c r="AB876" i="4"/>
  <c r="AA876" i="4"/>
  <c r="AB875" i="4"/>
  <c r="AA875" i="4"/>
  <c r="AE875" i="4"/>
  <c r="AB874" i="4"/>
  <c r="AA874" i="4"/>
  <c r="AB873" i="4"/>
  <c r="AA873" i="4"/>
  <c r="AB872" i="4"/>
  <c r="AA872" i="4"/>
  <c r="AB871" i="4"/>
  <c r="AA871" i="4"/>
  <c r="AB870" i="4"/>
  <c r="AA870" i="4"/>
  <c r="AB869" i="4"/>
  <c r="AA869" i="4"/>
  <c r="AB868" i="4"/>
  <c r="AA868" i="4"/>
  <c r="AB867" i="4"/>
  <c r="AA867" i="4"/>
  <c r="AB866" i="4"/>
  <c r="AA866" i="4"/>
  <c r="AB865" i="4"/>
  <c r="AA865" i="4"/>
  <c r="AB864" i="4"/>
  <c r="AA864" i="4"/>
  <c r="AB863" i="4"/>
  <c r="AA863" i="4"/>
  <c r="AB862" i="4"/>
  <c r="AA862" i="4"/>
  <c r="AB861" i="4"/>
  <c r="AA861" i="4"/>
  <c r="AB860" i="4"/>
  <c r="AA860" i="4"/>
  <c r="AB859" i="4"/>
  <c r="AA859" i="4"/>
  <c r="AB858" i="4"/>
  <c r="AA858" i="4"/>
  <c r="AB857" i="4"/>
  <c r="AA857" i="4"/>
  <c r="AB856" i="4"/>
  <c r="AA856" i="4"/>
  <c r="AB855" i="4"/>
  <c r="AA855" i="4"/>
  <c r="AB854" i="4"/>
  <c r="AA854" i="4"/>
  <c r="AB853" i="4"/>
  <c r="AA853" i="4"/>
  <c r="AB852" i="4"/>
  <c r="AA852" i="4"/>
  <c r="AB851" i="4"/>
  <c r="AA851" i="4"/>
  <c r="AB850" i="4"/>
  <c r="AA850" i="4"/>
  <c r="AB849" i="4"/>
  <c r="AA849" i="4"/>
  <c r="AB848" i="4"/>
  <c r="AA848" i="4"/>
  <c r="AB847" i="4"/>
  <c r="AA847" i="4"/>
  <c r="AB846" i="4"/>
  <c r="AA846" i="4"/>
  <c r="AB845" i="4"/>
  <c r="AA845" i="4"/>
  <c r="AB844" i="4"/>
  <c r="AA844" i="4"/>
  <c r="AB843" i="4"/>
  <c r="AA843" i="4"/>
  <c r="AB842" i="4"/>
  <c r="AA842" i="4"/>
  <c r="AB841" i="4"/>
  <c r="AA841" i="4"/>
  <c r="AB840" i="4"/>
  <c r="AA840" i="4"/>
  <c r="AB839" i="4"/>
  <c r="AA839" i="4"/>
  <c r="AB838" i="4"/>
  <c r="AA838" i="4"/>
  <c r="AB837" i="4"/>
  <c r="AA837" i="4"/>
  <c r="AB836" i="4"/>
  <c r="AA836" i="4"/>
  <c r="AB835" i="4"/>
  <c r="AA835" i="4"/>
  <c r="AB834" i="4"/>
  <c r="AA834" i="4"/>
  <c r="AB833" i="4"/>
  <c r="AA833" i="4"/>
  <c r="AB832" i="4"/>
  <c r="AA832" i="4"/>
  <c r="AB831" i="4"/>
  <c r="AA831" i="4"/>
  <c r="AB830" i="4"/>
  <c r="AA830" i="4"/>
  <c r="AE830" i="4"/>
  <c r="AB829" i="4"/>
  <c r="AA829" i="4"/>
  <c r="AB828" i="4"/>
  <c r="AA828" i="4"/>
  <c r="AB827" i="4"/>
  <c r="AA827" i="4"/>
  <c r="AB826" i="4"/>
  <c r="AA826" i="4"/>
  <c r="AB825" i="4"/>
  <c r="AA825" i="4"/>
  <c r="AB824" i="4"/>
  <c r="AA824" i="4"/>
  <c r="AB823" i="4"/>
  <c r="AA823" i="4"/>
  <c r="AB822" i="4"/>
  <c r="AA822" i="4"/>
  <c r="AB821" i="4"/>
  <c r="AA821" i="4"/>
  <c r="AB820" i="4"/>
  <c r="AA820" i="4"/>
  <c r="AB819" i="4"/>
  <c r="AA819" i="4"/>
  <c r="AB818" i="4"/>
  <c r="AA818" i="4"/>
  <c r="AB817" i="4"/>
  <c r="AA817" i="4"/>
  <c r="AB816" i="4"/>
  <c r="AA816" i="4"/>
  <c r="AB815" i="4"/>
  <c r="AA815" i="4"/>
  <c r="AB814" i="4"/>
  <c r="AA814" i="4"/>
  <c r="AB813" i="4"/>
  <c r="AA813" i="4"/>
  <c r="AB812" i="4"/>
  <c r="AA812" i="4"/>
  <c r="AB811" i="4"/>
  <c r="AA811" i="4"/>
  <c r="AB810" i="4"/>
  <c r="AA810" i="4"/>
  <c r="AB809" i="4"/>
  <c r="AA809" i="4"/>
  <c r="AB808" i="4"/>
  <c r="AA808" i="4"/>
  <c r="AB807" i="4"/>
  <c r="AA807" i="4"/>
  <c r="AB806" i="4"/>
  <c r="AA806" i="4"/>
  <c r="AB805" i="4"/>
  <c r="AA805" i="4"/>
  <c r="AB804" i="4"/>
  <c r="AA804" i="4"/>
  <c r="AB803" i="4"/>
  <c r="AA803" i="4"/>
  <c r="AB802" i="4"/>
  <c r="AA802" i="4"/>
  <c r="AB801" i="4"/>
  <c r="AA801" i="4"/>
  <c r="AB800" i="4"/>
  <c r="AA800" i="4"/>
  <c r="AB799" i="4"/>
  <c r="AA799" i="4"/>
  <c r="AB798" i="4"/>
  <c r="AA798" i="4"/>
  <c r="AB797" i="4"/>
  <c r="AA797" i="4"/>
  <c r="AB796" i="4"/>
  <c r="AA796" i="4"/>
  <c r="AB795" i="4"/>
  <c r="AA795" i="4"/>
  <c r="AB794" i="4"/>
  <c r="AA794" i="4"/>
  <c r="AB793" i="4"/>
  <c r="AA793" i="4"/>
  <c r="AB792" i="4"/>
  <c r="AA792" i="4"/>
  <c r="AB791" i="4"/>
  <c r="AA791" i="4"/>
  <c r="AB790" i="4"/>
  <c r="AA790" i="4"/>
  <c r="AB789" i="4"/>
  <c r="AA789" i="4"/>
  <c r="AB788" i="4"/>
  <c r="AA788" i="4"/>
  <c r="AB787" i="4"/>
  <c r="AA787" i="4"/>
  <c r="AB786" i="4"/>
  <c r="AA786" i="4"/>
  <c r="AB785" i="4"/>
  <c r="AA785" i="4"/>
  <c r="AB784" i="4"/>
  <c r="AA784" i="4"/>
  <c r="AB783" i="4"/>
  <c r="AA783" i="4"/>
  <c r="AB782" i="4"/>
  <c r="AA782" i="4"/>
  <c r="AB781" i="4"/>
  <c r="AA781" i="4"/>
  <c r="AB780" i="4"/>
  <c r="AA780" i="4"/>
  <c r="AB779" i="4"/>
  <c r="AA779" i="4"/>
  <c r="AB778" i="4"/>
  <c r="AA778" i="4"/>
  <c r="AB777" i="4"/>
  <c r="AA777" i="4"/>
  <c r="AB776" i="4"/>
  <c r="AA776" i="4"/>
  <c r="AB775" i="4"/>
  <c r="AA775" i="4"/>
  <c r="AB774" i="4"/>
  <c r="AA774" i="4"/>
  <c r="AB773" i="4"/>
  <c r="AA773" i="4"/>
  <c r="AB772" i="4"/>
  <c r="AA772" i="4"/>
  <c r="AB771" i="4"/>
  <c r="AA771" i="4"/>
  <c r="AB770" i="4"/>
  <c r="AA770" i="4"/>
  <c r="AB769" i="4"/>
  <c r="AA769" i="4"/>
  <c r="AB768" i="4"/>
  <c r="AA768" i="4"/>
  <c r="AB767" i="4"/>
  <c r="AA767" i="4"/>
  <c r="AB766" i="4"/>
  <c r="AA766" i="4"/>
  <c r="AB765" i="4"/>
  <c r="AA765" i="4"/>
  <c r="AB764" i="4"/>
  <c r="AA764" i="4"/>
  <c r="AB763" i="4"/>
  <c r="AA763" i="4"/>
  <c r="AB762" i="4"/>
  <c r="AA762" i="4"/>
  <c r="AB761" i="4"/>
  <c r="AA761" i="4"/>
  <c r="AB760" i="4"/>
  <c r="AA760" i="4"/>
  <c r="AB759" i="4"/>
  <c r="AA759" i="4"/>
  <c r="AB758" i="4"/>
  <c r="AA758" i="4"/>
  <c r="AB757" i="4"/>
  <c r="AA757" i="4"/>
  <c r="AB756" i="4"/>
  <c r="AA756" i="4"/>
  <c r="AB755" i="4"/>
  <c r="AA755" i="4"/>
  <c r="AB754" i="4"/>
  <c r="AA754" i="4"/>
  <c r="AB753" i="4"/>
  <c r="AA753" i="4"/>
  <c r="AB752" i="4"/>
  <c r="AA752" i="4"/>
  <c r="AB751" i="4"/>
  <c r="AA751" i="4"/>
  <c r="AE751" i="4"/>
  <c r="AB750" i="4"/>
  <c r="AA750" i="4"/>
  <c r="AB749" i="4"/>
  <c r="AA749" i="4"/>
  <c r="AE749" i="4"/>
  <c r="AB748" i="4"/>
  <c r="AA748" i="4"/>
  <c r="AB747" i="4"/>
  <c r="AA747" i="4"/>
  <c r="AB746" i="4"/>
  <c r="AA746" i="4"/>
  <c r="AB745" i="4"/>
  <c r="AA745" i="4"/>
  <c r="AB744" i="4"/>
  <c r="AA744" i="4"/>
  <c r="AB743" i="4"/>
  <c r="AA743" i="4"/>
  <c r="AB742" i="4"/>
  <c r="AA742" i="4"/>
  <c r="AB741" i="4"/>
  <c r="AA741" i="4"/>
  <c r="AB740" i="4"/>
  <c r="AA740" i="4"/>
  <c r="AB739" i="4"/>
  <c r="AA739" i="4"/>
  <c r="AB738" i="4"/>
  <c r="AA738" i="4"/>
  <c r="AB737" i="4"/>
  <c r="AA737" i="4"/>
  <c r="AB736" i="4"/>
  <c r="AA736" i="4"/>
  <c r="AB735" i="4"/>
  <c r="AA735" i="4"/>
  <c r="AB734" i="4"/>
  <c r="AA734" i="4"/>
  <c r="AB733" i="4"/>
  <c r="AA733" i="4"/>
  <c r="AB732" i="4"/>
  <c r="AA732" i="4"/>
  <c r="AB731" i="4"/>
  <c r="AA731" i="4"/>
  <c r="AB730" i="4"/>
  <c r="AA730" i="4"/>
  <c r="AB729" i="4"/>
  <c r="AA729" i="4"/>
  <c r="AB728" i="4"/>
  <c r="AA728" i="4"/>
  <c r="AB727" i="4"/>
  <c r="AA727" i="4"/>
  <c r="AB726" i="4"/>
  <c r="AA726" i="4"/>
  <c r="AB725" i="4"/>
  <c r="AA725" i="4"/>
  <c r="AB724" i="4"/>
  <c r="AA724" i="4"/>
  <c r="AB723" i="4"/>
  <c r="AA723" i="4"/>
  <c r="AB722" i="4"/>
  <c r="AA722" i="4"/>
  <c r="AB721" i="4"/>
  <c r="AA721" i="4"/>
  <c r="AB720" i="4"/>
  <c r="AA720" i="4"/>
  <c r="AB719" i="4"/>
  <c r="AA719" i="4"/>
  <c r="AB718" i="4"/>
  <c r="AA718" i="4"/>
  <c r="AB717" i="4"/>
  <c r="AA717" i="4"/>
  <c r="AB716" i="4"/>
  <c r="AA716" i="4"/>
  <c r="AB715" i="4"/>
  <c r="AA715" i="4"/>
  <c r="AB714" i="4"/>
  <c r="AA714" i="4"/>
  <c r="AB713" i="4"/>
  <c r="AA713" i="4"/>
  <c r="AB712" i="4"/>
  <c r="AA712" i="4"/>
  <c r="AB711" i="4"/>
  <c r="AA711" i="4"/>
  <c r="AB710" i="4"/>
  <c r="AA710" i="4"/>
  <c r="AB709" i="4"/>
  <c r="AA709" i="4"/>
  <c r="AB708" i="4"/>
  <c r="AA708" i="4"/>
  <c r="AB707" i="4"/>
  <c r="AA707" i="4"/>
  <c r="AB706" i="4"/>
  <c r="AA706" i="4"/>
  <c r="AB705" i="4"/>
  <c r="AA705" i="4"/>
  <c r="AB704" i="4"/>
  <c r="AA704" i="4"/>
  <c r="AB703" i="4"/>
  <c r="AA703" i="4"/>
  <c r="AB702" i="4"/>
  <c r="AA702" i="4"/>
  <c r="AB701" i="4"/>
  <c r="AA701" i="4"/>
  <c r="AB700" i="4"/>
  <c r="AA700" i="4"/>
  <c r="AB699" i="4"/>
  <c r="AA699" i="4"/>
  <c r="AB698" i="4"/>
  <c r="AA698" i="4"/>
  <c r="AB697" i="4"/>
  <c r="AA697" i="4"/>
  <c r="AB696" i="4"/>
  <c r="AA696" i="4"/>
  <c r="AB695" i="4"/>
  <c r="AA695" i="4"/>
  <c r="AB694" i="4"/>
  <c r="AA694" i="4"/>
  <c r="AB693" i="4"/>
  <c r="AA693" i="4"/>
  <c r="AB692" i="4"/>
  <c r="AA692" i="4"/>
  <c r="AB691" i="4"/>
  <c r="AA691" i="4"/>
  <c r="AB690" i="4"/>
  <c r="AA690" i="4"/>
  <c r="AB689" i="4"/>
  <c r="AA689" i="4"/>
  <c r="AB688" i="4"/>
  <c r="AA688" i="4"/>
  <c r="AB687" i="4"/>
  <c r="AA687" i="4"/>
  <c r="AB686" i="4"/>
  <c r="AA686" i="4"/>
  <c r="AB685" i="4"/>
  <c r="AA685" i="4"/>
  <c r="AB684" i="4"/>
  <c r="AA684" i="4"/>
  <c r="AB683" i="4"/>
  <c r="AA683" i="4"/>
  <c r="AB682" i="4"/>
  <c r="AA682" i="4"/>
  <c r="AE682" i="4"/>
  <c r="AB681" i="4"/>
  <c r="AA681" i="4"/>
  <c r="AB680" i="4"/>
  <c r="AA680" i="4"/>
  <c r="AB679" i="4"/>
  <c r="AA679" i="4"/>
  <c r="AB678" i="4"/>
  <c r="AA678" i="4"/>
  <c r="AB677" i="4"/>
  <c r="AA677" i="4"/>
  <c r="AB676" i="4"/>
  <c r="AA676" i="4"/>
  <c r="AB675" i="4"/>
  <c r="AA675" i="4"/>
  <c r="AB674" i="4"/>
  <c r="AA674" i="4"/>
  <c r="AB673" i="4"/>
  <c r="AA673" i="4"/>
  <c r="AB672" i="4"/>
  <c r="AA672" i="4"/>
  <c r="AB671" i="4"/>
  <c r="AA671" i="4"/>
  <c r="AB670" i="4"/>
  <c r="AA670" i="4"/>
  <c r="AB669" i="4"/>
  <c r="AA669" i="4"/>
  <c r="AB668" i="4"/>
  <c r="AA668" i="4"/>
  <c r="AB667" i="4"/>
  <c r="AA667" i="4"/>
  <c r="AB666" i="4"/>
  <c r="AA666" i="4"/>
  <c r="AB665" i="4"/>
  <c r="AA665" i="4"/>
  <c r="AB664" i="4"/>
  <c r="AA664" i="4"/>
  <c r="AB663" i="4"/>
  <c r="AA663" i="4"/>
  <c r="AB662" i="4"/>
  <c r="AA662" i="4"/>
  <c r="AB661" i="4"/>
  <c r="AA661" i="4"/>
  <c r="AB660" i="4"/>
  <c r="AA660" i="4"/>
  <c r="AB659" i="4"/>
  <c r="AA659" i="4"/>
  <c r="AB658" i="4"/>
  <c r="AA658" i="4"/>
  <c r="AB657" i="4"/>
  <c r="AA657" i="4"/>
  <c r="AB656" i="4"/>
  <c r="AA656" i="4"/>
  <c r="AB655" i="4"/>
  <c r="AA655" i="4"/>
  <c r="AB654" i="4"/>
  <c r="AA654" i="4"/>
  <c r="AB653" i="4"/>
  <c r="AA653" i="4"/>
  <c r="AB652" i="4"/>
  <c r="AA652" i="4"/>
  <c r="AB651" i="4"/>
  <c r="AA651" i="4"/>
  <c r="AB650" i="4"/>
  <c r="AA650" i="4"/>
  <c r="AB649" i="4"/>
  <c r="AA649" i="4"/>
  <c r="AB648" i="4"/>
  <c r="AA648" i="4"/>
  <c r="AB647" i="4"/>
  <c r="AA647" i="4"/>
  <c r="AB646" i="4"/>
  <c r="AA646" i="4"/>
  <c r="AB645" i="4"/>
  <c r="AA645" i="4"/>
  <c r="AB644" i="4"/>
  <c r="AA644" i="4"/>
  <c r="AB643" i="4"/>
  <c r="AA643" i="4"/>
  <c r="AB642" i="4"/>
  <c r="AA642" i="4"/>
  <c r="AB641" i="4"/>
  <c r="AA641" i="4"/>
  <c r="AB640" i="4"/>
  <c r="AA640" i="4"/>
  <c r="AB639" i="4"/>
  <c r="AA639" i="4"/>
  <c r="AB638" i="4"/>
  <c r="AA638" i="4"/>
  <c r="AB637" i="4"/>
  <c r="AA637" i="4"/>
  <c r="AB636" i="4"/>
  <c r="AA636" i="4"/>
  <c r="AB635" i="4"/>
  <c r="AA635" i="4"/>
  <c r="AB634" i="4"/>
  <c r="AA634" i="4"/>
  <c r="AB633" i="4"/>
  <c r="AA633" i="4"/>
  <c r="AB632" i="4"/>
  <c r="AA632" i="4"/>
  <c r="AB631" i="4"/>
  <c r="AA631" i="4"/>
  <c r="AB630" i="4"/>
  <c r="AA630" i="4"/>
  <c r="AB629" i="4"/>
  <c r="AA629" i="4"/>
  <c r="AB628" i="4"/>
  <c r="AA628" i="4"/>
  <c r="AB627" i="4"/>
  <c r="AA627" i="4"/>
  <c r="AB626" i="4"/>
  <c r="AA626" i="4"/>
  <c r="AB625" i="4"/>
  <c r="AA625" i="4"/>
  <c r="AB624" i="4"/>
  <c r="AA624" i="4"/>
  <c r="AB623" i="4"/>
  <c r="AA623" i="4"/>
  <c r="AB622" i="4"/>
  <c r="AA622" i="4"/>
  <c r="AB621" i="4"/>
  <c r="AA621" i="4"/>
  <c r="AB620" i="4"/>
  <c r="AA620" i="4"/>
  <c r="AB619" i="4"/>
  <c r="AA619" i="4"/>
  <c r="AB618" i="4"/>
  <c r="AA618" i="4"/>
  <c r="AB617" i="4"/>
  <c r="AA617" i="4"/>
  <c r="AB616" i="4"/>
  <c r="AA616" i="4"/>
  <c r="AB615" i="4"/>
  <c r="AA615" i="4"/>
  <c r="AB614" i="4"/>
  <c r="AA614" i="4"/>
  <c r="AB613" i="4"/>
  <c r="AA613" i="4"/>
  <c r="AB612" i="4"/>
  <c r="AA612" i="4"/>
  <c r="AB611" i="4"/>
  <c r="AA611" i="4"/>
  <c r="AB610" i="4"/>
  <c r="AA610" i="4"/>
  <c r="AB609" i="4"/>
  <c r="AA609" i="4"/>
  <c r="AB608" i="4"/>
  <c r="AA608" i="4"/>
  <c r="AB607" i="4"/>
  <c r="AA607" i="4"/>
  <c r="AB606" i="4"/>
  <c r="AA606" i="4"/>
  <c r="AB605" i="4"/>
  <c r="AA605" i="4"/>
  <c r="AB604" i="4"/>
  <c r="AA604" i="4"/>
  <c r="AB603" i="4"/>
  <c r="AA603" i="4"/>
  <c r="AB602" i="4"/>
  <c r="AA602" i="4"/>
  <c r="AB601" i="4"/>
  <c r="AA601" i="4"/>
  <c r="AB600" i="4"/>
  <c r="AA600" i="4"/>
  <c r="AB599" i="4"/>
  <c r="AA599" i="4"/>
  <c r="AB598" i="4"/>
  <c r="AA598" i="4"/>
  <c r="AB597" i="4"/>
  <c r="AA597" i="4"/>
  <c r="AB596" i="4"/>
  <c r="AA596" i="4"/>
  <c r="AB595" i="4"/>
  <c r="AA595" i="4"/>
  <c r="AB594" i="4"/>
  <c r="AA594" i="4"/>
  <c r="AB593" i="4"/>
  <c r="AA593" i="4"/>
  <c r="AB592" i="4"/>
  <c r="AA592" i="4"/>
  <c r="AB591" i="4"/>
  <c r="AA591" i="4"/>
  <c r="AB590" i="4"/>
  <c r="AA590" i="4"/>
  <c r="AB589" i="4"/>
  <c r="AA589" i="4"/>
  <c r="AB588" i="4"/>
  <c r="AA588" i="4"/>
  <c r="AB587" i="4"/>
  <c r="AA587" i="4"/>
  <c r="AB586" i="4"/>
  <c r="AA586" i="4"/>
  <c r="AB585" i="4"/>
  <c r="AA585" i="4"/>
  <c r="AB584" i="4"/>
  <c r="AA584" i="4"/>
  <c r="AB583" i="4"/>
  <c r="AA583" i="4"/>
  <c r="AB582" i="4"/>
  <c r="AA582" i="4"/>
  <c r="AB581" i="4"/>
  <c r="AA581" i="4"/>
  <c r="AB580" i="4"/>
  <c r="AA580" i="4"/>
  <c r="AB579" i="4"/>
  <c r="AA579" i="4"/>
  <c r="AB578" i="4"/>
  <c r="AA578" i="4"/>
  <c r="AB577" i="4"/>
  <c r="AA577" i="4"/>
  <c r="AB576" i="4"/>
  <c r="AA576" i="4"/>
  <c r="AB575" i="4"/>
  <c r="AA575" i="4"/>
  <c r="AB574" i="4"/>
  <c r="AA574" i="4"/>
  <c r="AB573" i="4"/>
  <c r="AA573" i="4"/>
  <c r="AB572" i="4"/>
  <c r="AA572" i="4"/>
  <c r="AB571" i="4"/>
  <c r="AA571" i="4"/>
  <c r="AB570" i="4"/>
  <c r="AA570" i="4"/>
  <c r="AB569" i="4"/>
  <c r="AA569" i="4"/>
  <c r="AB568" i="4"/>
  <c r="AA568" i="4"/>
  <c r="AB567" i="4"/>
  <c r="AA567" i="4"/>
  <c r="AB566" i="4"/>
  <c r="AA566" i="4"/>
  <c r="AB565" i="4"/>
  <c r="AA565" i="4"/>
  <c r="AB564" i="4"/>
  <c r="AA564" i="4"/>
  <c r="AB563" i="4"/>
  <c r="AA563" i="4"/>
  <c r="AB562" i="4"/>
  <c r="AA562" i="4"/>
  <c r="AB561" i="4"/>
  <c r="AA561" i="4"/>
  <c r="AB560" i="4"/>
  <c r="AA560" i="4"/>
  <c r="AB559" i="4"/>
  <c r="AA559" i="4"/>
  <c r="AB558" i="4"/>
  <c r="AA558" i="4"/>
  <c r="AB557" i="4"/>
  <c r="AA557" i="4"/>
  <c r="AB556" i="4"/>
  <c r="AA556" i="4"/>
  <c r="AB555" i="4"/>
  <c r="AA555" i="4"/>
  <c r="AB554" i="4"/>
  <c r="AA554" i="4"/>
  <c r="AB553" i="4"/>
  <c r="AA553" i="4"/>
  <c r="AB552" i="4"/>
  <c r="AA552" i="4"/>
  <c r="AB551" i="4"/>
  <c r="AA551" i="4"/>
  <c r="AB550" i="4"/>
  <c r="AA550" i="4"/>
  <c r="AB549" i="4"/>
  <c r="AA549" i="4"/>
  <c r="AB548" i="4"/>
  <c r="AA548" i="4"/>
  <c r="AB547" i="4"/>
  <c r="AA547" i="4"/>
  <c r="AB546" i="4"/>
  <c r="AA546" i="4"/>
  <c r="AB545" i="4"/>
  <c r="AA545" i="4"/>
  <c r="AB544" i="4"/>
  <c r="AA544" i="4"/>
  <c r="AB543" i="4"/>
  <c r="AA543" i="4"/>
  <c r="AB542" i="4"/>
  <c r="AA542" i="4"/>
  <c r="AB541" i="4"/>
  <c r="AA541" i="4"/>
  <c r="AB540" i="4"/>
  <c r="AA540" i="4"/>
  <c r="AB539" i="4"/>
  <c r="AA539" i="4"/>
  <c r="AE539" i="4"/>
  <c r="AB538" i="4"/>
  <c r="AA538" i="4"/>
  <c r="AE538" i="4"/>
  <c r="AB537" i="4"/>
  <c r="AA537" i="4"/>
  <c r="AE537" i="4"/>
  <c r="AB536" i="4"/>
  <c r="AA536" i="4"/>
  <c r="AB535" i="4"/>
  <c r="AA535" i="4"/>
  <c r="AE535" i="4"/>
  <c r="AB534" i="4"/>
  <c r="AA534" i="4"/>
  <c r="AB533" i="4"/>
  <c r="AA533" i="4"/>
  <c r="AB532" i="4"/>
  <c r="AA532" i="4"/>
  <c r="AB531" i="4"/>
  <c r="AA531" i="4"/>
  <c r="AB530" i="4"/>
  <c r="AA530" i="4"/>
  <c r="AB529" i="4"/>
  <c r="AA529" i="4"/>
  <c r="AB528" i="4"/>
  <c r="AA528" i="4"/>
  <c r="AB527" i="4"/>
  <c r="AA527" i="4"/>
  <c r="AB526" i="4"/>
  <c r="AA526" i="4"/>
  <c r="AB525" i="4"/>
  <c r="AA525" i="4"/>
  <c r="AB524" i="4"/>
  <c r="AA524" i="4"/>
  <c r="AB523" i="4"/>
  <c r="AA523" i="4"/>
  <c r="AB522" i="4"/>
  <c r="AA522" i="4"/>
  <c r="AE522" i="4"/>
  <c r="AB521" i="4"/>
  <c r="AA521" i="4"/>
  <c r="AE521" i="4"/>
  <c r="AB520" i="4"/>
  <c r="AA520" i="4"/>
  <c r="AB519" i="4"/>
  <c r="AA519" i="4"/>
  <c r="AB518" i="4"/>
  <c r="AA518" i="4"/>
  <c r="AB517" i="4"/>
  <c r="AA517" i="4"/>
  <c r="AB516" i="4"/>
  <c r="AA516" i="4"/>
  <c r="AB515" i="4"/>
  <c r="AA515" i="4"/>
  <c r="AB514" i="4"/>
  <c r="AA514" i="4"/>
  <c r="AB513" i="4"/>
  <c r="AA513" i="4"/>
  <c r="AB512" i="4"/>
  <c r="AA512" i="4"/>
  <c r="AB511" i="4"/>
  <c r="AA511" i="4"/>
  <c r="AB510" i="4"/>
  <c r="AA510" i="4"/>
  <c r="AB509" i="4"/>
  <c r="AA509" i="4"/>
  <c r="AE509" i="4"/>
  <c r="AB508" i="4"/>
  <c r="AA508" i="4"/>
  <c r="AB507" i="4"/>
  <c r="AA507" i="4"/>
  <c r="AB506" i="4"/>
  <c r="AA506" i="4"/>
  <c r="AE506" i="4"/>
  <c r="AB505" i="4"/>
  <c r="AA505" i="4"/>
  <c r="AB504" i="4"/>
  <c r="AA504" i="4"/>
  <c r="AB503" i="4"/>
  <c r="AA503" i="4"/>
  <c r="AB502" i="4"/>
  <c r="AA502" i="4"/>
  <c r="AB501" i="4"/>
  <c r="AA501" i="4"/>
  <c r="AB500" i="4"/>
  <c r="AA500" i="4"/>
  <c r="AB499" i="4"/>
  <c r="AA499" i="4"/>
  <c r="AB498" i="4"/>
  <c r="AA498" i="4"/>
  <c r="AB497" i="4"/>
  <c r="AA497" i="4"/>
  <c r="AB496" i="4"/>
  <c r="AA496" i="4"/>
  <c r="AE496" i="4"/>
  <c r="AB495" i="4"/>
  <c r="AA495" i="4"/>
  <c r="AB494" i="4"/>
  <c r="AA494" i="4"/>
  <c r="AB493" i="4"/>
  <c r="AA493" i="4"/>
  <c r="AB492" i="4"/>
  <c r="AA492" i="4"/>
  <c r="AB491" i="4"/>
  <c r="AA491" i="4"/>
  <c r="AB490" i="4"/>
  <c r="AA490" i="4"/>
  <c r="AB489" i="4"/>
  <c r="AA489" i="4"/>
  <c r="AB488" i="4"/>
  <c r="AA488" i="4"/>
  <c r="AB487" i="4"/>
  <c r="AA487" i="4"/>
  <c r="AB486" i="4"/>
  <c r="AA486" i="4"/>
  <c r="AB485" i="4"/>
  <c r="AA485" i="4"/>
  <c r="AB484" i="4"/>
  <c r="AA484" i="4"/>
  <c r="AB483" i="4"/>
  <c r="AA483" i="4"/>
  <c r="AB482" i="4"/>
  <c r="AA482" i="4"/>
  <c r="AB481" i="4"/>
  <c r="AA481" i="4"/>
  <c r="AB480" i="4"/>
  <c r="AA480" i="4"/>
  <c r="AB479" i="4"/>
  <c r="AA479" i="4"/>
  <c r="AB478" i="4"/>
  <c r="AA478" i="4"/>
  <c r="AB477" i="4"/>
  <c r="AA477" i="4"/>
  <c r="AB476" i="4"/>
  <c r="AA476" i="4"/>
  <c r="AB475" i="4"/>
  <c r="AA475" i="4"/>
  <c r="AB474" i="4"/>
  <c r="AA474" i="4"/>
  <c r="AB473" i="4"/>
  <c r="AA473" i="4"/>
  <c r="AB472" i="4"/>
  <c r="AA472" i="4"/>
  <c r="AB471" i="4"/>
  <c r="AA471" i="4"/>
  <c r="AB470" i="4"/>
  <c r="AA470" i="4"/>
  <c r="AB469" i="4"/>
  <c r="AA469" i="4"/>
  <c r="AB468" i="4"/>
  <c r="AA468" i="4"/>
  <c r="AB467" i="4"/>
  <c r="AA467" i="4"/>
  <c r="AB466" i="4"/>
  <c r="AA466" i="4"/>
  <c r="AB465" i="4"/>
  <c r="AA465" i="4"/>
  <c r="AB464" i="4"/>
  <c r="AA464" i="4"/>
  <c r="AB463" i="4"/>
  <c r="AA463" i="4"/>
  <c r="AB462" i="4"/>
  <c r="AA462" i="4"/>
  <c r="AB461" i="4"/>
  <c r="AA461" i="4"/>
  <c r="AB460" i="4"/>
  <c r="AA460" i="4"/>
  <c r="AB459" i="4"/>
  <c r="AA459" i="4"/>
  <c r="AB458" i="4"/>
  <c r="AA458" i="4"/>
  <c r="AB457" i="4"/>
  <c r="AA457" i="4"/>
  <c r="AB456" i="4"/>
  <c r="AA456" i="4"/>
  <c r="AB455" i="4"/>
  <c r="AA455" i="4"/>
  <c r="AB454" i="4"/>
  <c r="AA454" i="4"/>
  <c r="AB453" i="4"/>
  <c r="AA453" i="4"/>
  <c r="AB452" i="4"/>
  <c r="AA452" i="4"/>
  <c r="AB451" i="4"/>
  <c r="AA451" i="4"/>
  <c r="AB450" i="4"/>
  <c r="AA450" i="4"/>
  <c r="AB449" i="4"/>
  <c r="AA449" i="4"/>
  <c r="AB448" i="4"/>
  <c r="AA448" i="4"/>
  <c r="AB447" i="4"/>
  <c r="AA447" i="4"/>
  <c r="AB446" i="4"/>
  <c r="AA446" i="4"/>
  <c r="AB445" i="4"/>
  <c r="AA445" i="4"/>
  <c r="AB444" i="4"/>
  <c r="AA444" i="4"/>
  <c r="AB443" i="4"/>
  <c r="AA443" i="4"/>
  <c r="AB442" i="4"/>
  <c r="AA442" i="4"/>
  <c r="AB441" i="4"/>
  <c r="AA441" i="4"/>
  <c r="AB440" i="4"/>
  <c r="AA440" i="4"/>
  <c r="AB439" i="4"/>
  <c r="AA439" i="4"/>
  <c r="AB438" i="4"/>
  <c r="AA438" i="4"/>
  <c r="AB437" i="4"/>
  <c r="AA437" i="4"/>
  <c r="AB436" i="4"/>
  <c r="AA436" i="4"/>
  <c r="AB435" i="4"/>
  <c r="AA435" i="4"/>
  <c r="AB434" i="4"/>
  <c r="AA434" i="4"/>
  <c r="AB433" i="4"/>
  <c r="AA433" i="4"/>
  <c r="AB432" i="4"/>
  <c r="AA432" i="4"/>
  <c r="AB431" i="4"/>
  <c r="AA431" i="4"/>
  <c r="AB430" i="4"/>
  <c r="AA430" i="4"/>
  <c r="AB429" i="4"/>
  <c r="AA429" i="4"/>
  <c r="AB428" i="4"/>
  <c r="AA428" i="4"/>
  <c r="AB427" i="4"/>
  <c r="AA427" i="4"/>
  <c r="AB426" i="4"/>
  <c r="AA426" i="4"/>
  <c r="AB425" i="4"/>
  <c r="AA425" i="4"/>
  <c r="AB424" i="4"/>
  <c r="AA424" i="4"/>
  <c r="AB423" i="4"/>
  <c r="AA423" i="4"/>
  <c r="AB422" i="4"/>
  <c r="AA422" i="4"/>
  <c r="AB421" i="4"/>
  <c r="AA421" i="4"/>
  <c r="AB420" i="4"/>
  <c r="AA420" i="4"/>
  <c r="AB419" i="4"/>
  <c r="AA419" i="4"/>
  <c r="AB418" i="4"/>
  <c r="AA418" i="4"/>
  <c r="AB417" i="4"/>
  <c r="AA417" i="4"/>
  <c r="AB416" i="4"/>
  <c r="AA416" i="4"/>
  <c r="AB415" i="4"/>
  <c r="AA415" i="4"/>
  <c r="AB414" i="4"/>
  <c r="AA414" i="4"/>
  <c r="AB413" i="4"/>
  <c r="AA413" i="4"/>
  <c r="AB412" i="4"/>
  <c r="AA412" i="4"/>
  <c r="AB411" i="4"/>
  <c r="AA411" i="4"/>
  <c r="AB410" i="4"/>
  <c r="AA410" i="4"/>
  <c r="AB409" i="4"/>
  <c r="AA409" i="4"/>
  <c r="AB408" i="4"/>
  <c r="AA408" i="4"/>
  <c r="AB407" i="4"/>
  <c r="AA407" i="4"/>
  <c r="AB406" i="4"/>
  <c r="AA406" i="4"/>
  <c r="AB405" i="4"/>
  <c r="AA405" i="4"/>
  <c r="AB404" i="4"/>
  <c r="AA404" i="4"/>
  <c r="AB403" i="4"/>
  <c r="AA403" i="4"/>
  <c r="AB402" i="4"/>
  <c r="AA402" i="4"/>
  <c r="AB401" i="4"/>
  <c r="AA401" i="4"/>
  <c r="AB400" i="4"/>
  <c r="AA400" i="4"/>
  <c r="AB399" i="4"/>
  <c r="AA399" i="4"/>
  <c r="AB398" i="4"/>
  <c r="AA398" i="4"/>
  <c r="AB397" i="4"/>
  <c r="AA397" i="4"/>
  <c r="AB396" i="4"/>
  <c r="AA396" i="4"/>
  <c r="AB395" i="4"/>
  <c r="AA395" i="4"/>
  <c r="AB394" i="4"/>
  <c r="AA394" i="4"/>
  <c r="AB393" i="4"/>
  <c r="AA393" i="4"/>
  <c r="AB392" i="4"/>
  <c r="AA392" i="4"/>
  <c r="AB391" i="4"/>
  <c r="AA391" i="4"/>
  <c r="AB390" i="4"/>
  <c r="AA390" i="4"/>
  <c r="AB389" i="4"/>
  <c r="AA389" i="4"/>
  <c r="AB388" i="4"/>
  <c r="AA388" i="4"/>
  <c r="AB387" i="4"/>
  <c r="AA387" i="4"/>
  <c r="AB386" i="4"/>
  <c r="AA386" i="4"/>
  <c r="AB385" i="4"/>
  <c r="AA385" i="4"/>
  <c r="AB384" i="4"/>
  <c r="AA384" i="4"/>
  <c r="AB383" i="4"/>
  <c r="AA383" i="4"/>
  <c r="AB382" i="4"/>
  <c r="AA382" i="4"/>
  <c r="AB381" i="4"/>
  <c r="AA381" i="4"/>
  <c r="AB380" i="4"/>
  <c r="AA380" i="4"/>
  <c r="AB379" i="4"/>
  <c r="AA379" i="4"/>
  <c r="AB378" i="4"/>
  <c r="AA378" i="4"/>
  <c r="AB377" i="4"/>
  <c r="AA377" i="4"/>
  <c r="AB376" i="4"/>
  <c r="AA376" i="4"/>
  <c r="AB375" i="4"/>
  <c r="AA375" i="4"/>
  <c r="AB374" i="4"/>
  <c r="AA374" i="4"/>
  <c r="AB373" i="4"/>
  <c r="AA373" i="4"/>
  <c r="AB372" i="4"/>
  <c r="AA372" i="4"/>
  <c r="AB371" i="4"/>
  <c r="AA371" i="4"/>
  <c r="AB370" i="4"/>
  <c r="AA370" i="4"/>
  <c r="AB369" i="4"/>
  <c r="AA369" i="4"/>
  <c r="AB368" i="4"/>
  <c r="AA368" i="4"/>
  <c r="AB367" i="4"/>
  <c r="AA367" i="4"/>
  <c r="AB366" i="4"/>
  <c r="AA366" i="4"/>
  <c r="AB365" i="4"/>
  <c r="AA365" i="4"/>
  <c r="AB364" i="4"/>
  <c r="AA364" i="4"/>
  <c r="AB363" i="4"/>
  <c r="AA363" i="4"/>
  <c r="AB362" i="4"/>
  <c r="AA362" i="4"/>
  <c r="AB361" i="4"/>
  <c r="AA361" i="4"/>
  <c r="AB360" i="4"/>
  <c r="AA360" i="4"/>
  <c r="AB359" i="4"/>
  <c r="AA359" i="4"/>
  <c r="AB358" i="4"/>
  <c r="AA358" i="4"/>
  <c r="AB357" i="4"/>
  <c r="AA357" i="4"/>
  <c r="AB356" i="4"/>
  <c r="AA356" i="4"/>
  <c r="AB355" i="4"/>
  <c r="AA355" i="4"/>
  <c r="AB354" i="4"/>
  <c r="AA354" i="4"/>
  <c r="AB353" i="4"/>
  <c r="AA353" i="4"/>
  <c r="AB352" i="4"/>
  <c r="AA352" i="4"/>
  <c r="AB351" i="4"/>
  <c r="AA351" i="4"/>
  <c r="AB350" i="4"/>
  <c r="AA350" i="4"/>
  <c r="AB349" i="4"/>
  <c r="AA349" i="4"/>
  <c r="AB348" i="4"/>
  <c r="AA348" i="4"/>
  <c r="AB347" i="4"/>
  <c r="AA347" i="4"/>
  <c r="AB346" i="4"/>
  <c r="AA346" i="4"/>
  <c r="AB345" i="4"/>
  <c r="AA345" i="4"/>
  <c r="AB344" i="4"/>
  <c r="AA344" i="4"/>
  <c r="AB343" i="4"/>
  <c r="AA343" i="4"/>
  <c r="AB342" i="4"/>
  <c r="AA342" i="4"/>
  <c r="AB341" i="4"/>
  <c r="AA341" i="4"/>
  <c r="AB340" i="4"/>
  <c r="AA340" i="4"/>
  <c r="AB339" i="4"/>
  <c r="AA339" i="4"/>
  <c r="AB338" i="4"/>
  <c r="AA338" i="4"/>
  <c r="AB337" i="4"/>
  <c r="AA337" i="4"/>
  <c r="AB336" i="4"/>
  <c r="AA336" i="4"/>
  <c r="AB335" i="4"/>
  <c r="AA335" i="4"/>
  <c r="AB334" i="4"/>
  <c r="AA334" i="4"/>
  <c r="AB333" i="4"/>
  <c r="AA333" i="4"/>
  <c r="AB332" i="4"/>
  <c r="AA332" i="4"/>
  <c r="AB331" i="4"/>
  <c r="AA331" i="4"/>
  <c r="AB330" i="4"/>
  <c r="AA330" i="4"/>
  <c r="AB329" i="4"/>
  <c r="AA329" i="4"/>
  <c r="AB328" i="4"/>
  <c r="AA328" i="4"/>
  <c r="AB327" i="4"/>
  <c r="AA327" i="4"/>
  <c r="AB326" i="4"/>
  <c r="AA326" i="4"/>
  <c r="AB325" i="4"/>
  <c r="AA325" i="4"/>
  <c r="AB324" i="4"/>
  <c r="AA324" i="4"/>
  <c r="AB323" i="4"/>
  <c r="AA323" i="4"/>
  <c r="AB322" i="4"/>
  <c r="AA322" i="4"/>
  <c r="AB321" i="4"/>
  <c r="AA321" i="4"/>
  <c r="AB320" i="4"/>
  <c r="AA320" i="4"/>
  <c r="AB319" i="4"/>
  <c r="AA319" i="4"/>
  <c r="AB318" i="4"/>
  <c r="AA318" i="4"/>
  <c r="AB317" i="4"/>
  <c r="AA317" i="4"/>
  <c r="AB316" i="4"/>
  <c r="AA316" i="4"/>
  <c r="AB315" i="4"/>
  <c r="AA315" i="4"/>
  <c r="AB314" i="4"/>
  <c r="AA314" i="4"/>
  <c r="AB313" i="4"/>
  <c r="AA313" i="4"/>
  <c r="AB312" i="4"/>
  <c r="AA312" i="4"/>
  <c r="AB311" i="4"/>
  <c r="AA311" i="4"/>
  <c r="AB310" i="4"/>
  <c r="AA310" i="4"/>
  <c r="AB309" i="4"/>
  <c r="AA309" i="4"/>
  <c r="AB308" i="4"/>
  <c r="AA308" i="4"/>
  <c r="AB307" i="4"/>
  <c r="AA307" i="4"/>
  <c r="AB306" i="4"/>
  <c r="AA306" i="4"/>
  <c r="AB305" i="4"/>
  <c r="AA305" i="4"/>
  <c r="AB304" i="4"/>
  <c r="AA304" i="4"/>
  <c r="AB303" i="4"/>
  <c r="AA303" i="4"/>
  <c r="AB302" i="4"/>
  <c r="AA302" i="4"/>
  <c r="AB301" i="4"/>
  <c r="AA301" i="4"/>
  <c r="AB300" i="4"/>
  <c r="AA300" i="4"/>
  <c r="AB299" i="4"/>
  <c r="AA299" i="4"/>
  <c r="AB298" i="4"/>
  <c r="AA298" i="4"/>
  <c r="AB297" i="4"/>
  <c r="AA297" i="4"/>
  <c r="AB296" i="4"/>
  <c r="AA296" i="4"/>
  <c r="AB295" i="4"/>
  <c r="AA295" i="4"/>
  <c r="AB294" i="4"/>
  <c r="AA294" i="4"/>
  <c r="AB293" i="4"/>
  <c r="AA293" i="4"/>
  <c r="AB292" i="4"/>
  <c r="AA292" i="4"/>
  <c r="AB291" i="4"/>
  <c r="AA291" i="4"/>
  <c r="AB290" i="4"/>
  <c r="AA290" i="4"/>
  <c r="AB289" i="4"/>
  <c r="AA289" i="4"/>
  <c r="AB288" i="4"/>
  <c r="AA288" i="4"/>
  <c r="AB287" i="4"/>
  <c r="AA287" i="4"/>
  <c r="AB286" i="4"/>
  <c r="AA286" i="4"/>
  <c r="AB285" i="4"/>
  <c r="AA285" i="4"/>
  <c r="AB284" i="4"/>
  <c r="AA284" i="4"/>
  <c r="AB283" i="4"/>
  <c r="AA283" i="4"/>
  <c r="AB282" i="4"/>
  <c r="AA282" i="4"/>
  <c r="AB281" i="4"/>
  <c r="AA281" i="4"/>
  <c r="AB280" i="4"/>
  <c r="AA280" i="4"/>
  <c r="AB279" i="4"/>
  <c r="AA279" i="4"/>
  <c r="AB278" i="4"/>
  <c r="AA278" i="4"/>
  <c r="AB277" i="4"/>
  <c r="AA277" i="4"/>
  <c r="AB276" i="4"/>
  <c r="AA276" i="4"/>
  <c r="AB275" i="4"/>
  <c r="AA275" i="4"/>
  <c r="AB274" i="4"/>
  <c r="AA274" i="4"/>
  <c r="AB273" i="4"/>
  <c r="AA273" i="4"/>
  <c r="AB272" i="4"/>
  <c r="AA272" i="4"/>
  <c r="AB271" i="4"/>
  <c r="AA271" i="4"/>
  <c r="AB270" i="4"/>
  <c r="AA270" i="4"/>
  <c r="AB269" i="4"/>
  <c r="AA269" i="4"/>
  <c r="AB268" i="4"/>
  <c r="AA268" i="4"/>
  <c r="AB267" i="4"/>
  <c r="AA267" i="4"/>
  <c r="AB266" i="4"/>
  <c r="AA266" i="4"/>
  <c r="AB265" i="4"/>
  <c r="AA265" i="4"/>
  <c r="AB264" i="4"/>
  <c r="AA264" i="4"/>
  <c r="AB263" i="4"/>
  <c r="AA263" i="4"/>
  <c r="AB262" i="4"/>
  <c r="AA262" i="4"/>
  <c r="AB261" i="4"/>
  <c r="AA261" i="4"/>
  <c r="AB260" i="4"/>
  <c r="AA260" i="4"/>
  <c r="AB259" i="4"/>
  <c r="AA259" i="4"/>
  <c r="AB258" i="4"/>
  <c r="AA258" i="4"/>
  <c r="AB257" i="4"/>
  <c r="AA257" i="4"/>
  <c r="AB256" i="4"/>
  <c r="AA256" i="4"/>
  <c r="AB255" i="4"/>
  <c r="AA255" i="4"/>
  <c r="AB254" i="4"/>
  <c r="AA254" i="4"/>
  <c r="AB253" i="4"/>
  <c r="AA253" i="4"/>
  <c r="AB252" i="4"/>
  <c r="AA252" i="4"/>
  <c r="AB251" i="4"/>
  <c r="AA251" i="4"/>
  <c r="AB250" i="4"/>
  <c r="AA250" i="4"/>
  <c r="AB249" i="4"/>
  <c r="AA249" i="4"/>
  <c r="AB248" i="4"/>
  <c r="AA248" i="4"/>
  <c r="AB247" i="4"/>
  <c r="AA247" i="4"/>
  <c r="AB246" i="4"/>
  <c r="AA246" i="4"/>
  <c r="AB245" i="4"/>
  <c r="AA245" i="4"/>
  <c r="AB244" i="4"/>
  <c r="AA244" i="4"/>
  <c r="AB243" i="4"/>
  <c r="AA243" i="4"/>
  <c r="AB242" i="4"/>
  <c r="AA242" i="4"/>
  <c r="AB241" i="4"/>
  <c r="AA241" i="4"/>
  <c r="AB240" i="4"/>
  <c r="AA240" i="4"/>
  <c r="AB239" i="4"/>
  <c r="AA239" i="4"/>
  <c r="AB238" i="4"/>
  <c r="AA238" i="4"/>
  <c r="AB237" i="4"/>
  <c r="AA237" i="4"/>
  <c r="AB236" i="4"/>
  <c r="AA236" i="4"/>
  <c r="AB235" i="4"/>
  <c r="AA235" i="4"/>
  <c r="AB234" i="4"/>
  <c r="AA234" i="4"/>
  <c r="AB233" i="4"/>
  <c r="AA233" i="4"/>
  <c r="AB232" i="4"/>
  <c r="AA232" i="4"/>
  <c r="AB231" i="4"/>
  <c r="AA231" i="4"/>
  <c r="AB230" i="4"/>
  <c r="AA230" i="4"/>
  <c r="AB229" i="4"/>
  <c r="AA229" i="4"/>
  <c r="AB228" i="4"/>
  <c r="AA228" i="4"/>
  <c r="AB227" i="4"/>
  <c r="AA227" i="4"/>
  <c r="AB226" i="4"/>
  <c r="AA226" i="4"/>
  <c r="AB225" i="4"/>
  <c r="AA225" i="4"/>
  <c r="AE225" i="4"/>
  <c r="AB224" i="4"/>
  <c r="AA224" i="4"/>
  <c r="AB223" i="4"/>
  <c r="AA223" i="4"/>
  <c r="AB222" i="4"/>
  <c r="AA222" i="4"/>
  <c r="AB221" i="4"/>
  <c r="AA221" i="4"/>
  <c r="AB220" i="4"/>
  <c r="AA220" i="4"/>
  <c r="AB219" i="4"/>
  <c r="AA219" i="4"/>
  <c r="AB218" i="4"/>
  <c r="AA218" i="4"/>
  <c r="AB217" i="4"/>
  <c r="AA217" i="4"/>
  <c r="AB216" i="4"/>
  <c r="AA216" i="4"/>
  <c r="AB215" i="4"/>
  <c r="AA215" i="4"/>
  <c r="AB214" i="4"/>
  <c r="AA214" i="4"/>
  <c r="AB213" i="4"/>
  <c r="AA213" i="4"/>
  <c r="AB212" i="4"/>
  <c r="AA212" i="4"/>
  <c r="AB211" i="4"/>
  <c r="AA211" i="4"/>
  <c r="AB210" i="4"/>
  <c r="AA210" i="4"/>
  <c r="AB209" i="4"/>
  <c r="AA209" i="4"/>
  <c r="AB208" i="4"/>
  <c r="AA208" i="4"/>
  <c r="AB207" i="4"/>
  <c r="AA207" i="4"/>
  <c r="AB206" i="4"/>
  <c r="AA206" i="4"/>
  <c r="AB205" i="4"/>
  <c r="AA205" i="4"/>
  <c r="AB204" i="4"/>
  <c r="AA204" i="4"/>
  <c r="AB203" i="4"/>
  <c r="AA203" i="4"/>
  <c r="AB202" i="4"/>
  <c r="AA202" i="4"/>
  <c r="AB201" i="4"/>
  <c r="AA201" i="4"/>
  <c r="AB200" i="4"/>
  <c r="AA200" i="4"/>
  <c r="AB199" i="4"/>
  <c r="AA199" i="4"/>
  <c r="AB198" i="4"/>
  <c r="AA198" i="4"/>
  <c r="AB197" i="4"/>
  <c r="AA197" i="4"/>
  <c r="AB196" i="4"/>
  <c r="AA196" i="4"/>
  <c r="AB195" i="4"/>
  <c r="AA195" i="4"/>
  <c r="AB194" i="4"/>
  <c r="AA194" i="4"/>
  <c r="AB193" i="4"/>
  <c r="AA193" i="4"/>
  <c r="AB192" i="4"/>
  <c r="AA192" i="4"/>
  <c r="AB191" i="4"/>
  <c r="AA191" i="4"/>
  <c r="AB190" i="4"/>
  <c r="AA190" i="4"/>
  <c r="AB189" i="4"/>
  <c r="AA189" i="4"/>
  <c r="AB188" i="4"/>
  <c r="AA188" i="4"/>
  <c r="AB187" i="4"/>
  <c r="AA187" i="4"/>
  <c r="AB186" i="4"/>
  <c r="AA186" i="4"/>
  <c r="AB185" i="4"/>
  <c r="AA185" i="4"/>
  <c r="AB184" i="4"/>
  <c r="AA184" i="4"/>
  <c r="AB183" i="4"/>
  <c r="AA183" i="4"/>
  <c r="AB182" i="4"/>
  <c r="AA182" i="4"/>
  <c r="AB181" i="4"/>
  <c r="AA181" i="4"/>
  <c r="AB180" i="4"/>
  <c r="AA180" i="4"/>
  <c r="AB179" i="4"/>
  <c r="AA179" i="4"/>
  <c r="AB178" i="4"/>
  <c r="AA178" i="4"/>
  <c r="AB177" i="4"/>
  <c r="AA177" i="4"/>
  <c r="AB176" i="4"/>
  <c r="AA176" i="4"/>
  <c r="AB175" i="4"/>
  <c r="AA175" i="4"/>
  <c r="AB174" i="4"/>
  <c r="AA174" i="4"/>
  <c r="AB173" i="4"/>
  <c r="AA173" i="4"/>
  <c r="AB172" i="4"/>
  <c r="AA172" i="4"/>
  <c r="AB171" i="4"/>
  <c r="AA171" i="4"/>
  <c r="AB170" i="4"/>
  <c r="AA170" i="4"/>
  <c r="AB169" i="4"/>
  <c r="AA169" i="4"/>
  <c r="AB168" i="4"/>
  <c r="AA168" i="4"/>
  <c r="AB167" i="4"/>
  <c r="AA167" i="4"/>
  <c r="AB166" i="4"/>
  <c r="AA166" i="4"/>
  <c r="AB165" i="4"/>
  <c r="AA165" i="4"/>
  <c r="AB164" i="4"/>
  <c r="AA164" i="4"/>
  <c r="AB163" i="4"/>
  <c r="AA163" i="4"/>
  <c r="AB162" i="4"/>
  <c r="AA162" i="4"/>
  <c r="AB161" i="4"/>
  <c r="AA161" i="4"/>
  <c r="AB160" i="4"/>
  <c r="AA160" i="4"/>
  <c r="AB159" i="4"/>
  <c r="AA159" i="4"/>
  <c r="AB158" i="4"/>
  <c r="AA158" i="4"/>
  <c r="AB157" i="4"/>
  <c r="AA157" i="4"/>
  <c r="AB156" i="4"/>
  <c r="AA156" i="4"/>
  <c r="AB155" i="4"/>
  <c r="AA155" i="4"/>
  <c r="AB154" i="4"/>
  <c r="AA154" i="4"/>
  <c r="AB153" i="4"/>
  <c r="AA153" i="4"/>
  <c r="AB152" i="4"/>
  <c r="AA152" i="4"/>
  <c r="AB151" i="4"/>
  <c r="AA151" i="4"/>
  <c r="AB150" i="4"/>
  <c r="AA150" i="4"/>
  <c r="AB149" i="4"/>
  <c r="AA149" i="4"/>
  <c r="AB148" i="4"/>
  <c r="AA148" i="4"/>
  <c r="AB147" i="4"/>
  <c r="AA147" i="4"/>
  <c r="AB146" i="4"/>
  <c r="AA146" i="4"/>
  <c r="AB145" i="4"/>
  <c r="AA145" i="4"/>
  <c r="AB144" i="4"/>
  <c r="AA144" i="4"/>
  <c r="AB143" i="4"/>
  <c r="AA143" i="4"/>
  <c r="AB142" i="4"/>
  <c r="AA142" i="4"/>
  <c r="AB141" i="4"/>
  <c r="AA141" i="4"/>
  <c r="AB140" i="4"/>
  <c r="AA140" i="4"/>
  <c r="AB139" i="4"/>
  <c r="AA139" i="4"/>
  <c r="AB138" i="4"/>
  <c r="AA138" i="4"/>
  <c r="AB137" i="4"/>
  <c r="AA137" i="4"/>
  <c r="AB136" i="4"/>
  <c r="AA136" i="4"/>
  <c r="AB135" i="4"/>
  <c r="AA135" i="4"/>
  <c r="AB134" i="4"/>
  <c r="AA134" i="4"/>
  <c r="AB133" i="4"/>
  <c r="AA133" i="4"/>
  <c r="AB132" i="4"/>
  <c r="AA132" i="4"/>
  <c r="AB131" i="4"/>
  <c r="AA131" i="4"/>
  <c r="AB130" i="4"/>
  <c r="AA130" i="4"/>
  <c r="AB129" i="4"/>
  <c r="AA129" i="4"/>
  <c r="AB128" i="4"/>
  <c r="AA128" i="4"/>
  <c r="AB127" i="4"/>
  <c r="AA127" i="4"/>
  <c r="AB126" i="4"/>
  <c r="AA126" i="4"/>
  <c r="AB125" i="4"/>
  <c r="AA125" i="4"/>
  <c r="AB124" i="4"/>
  <c r="AA124" i="4"/>
  <c r="AB123" i="4"/>
  <c r="AA123" i="4"/>
  <c r="AB122" i="4"/>
  <c r="AA122" i="4"/>
  <c r="AB121" i="4"/>
  <c r="AA121" i="4"/>
  <c r="AB120" i="4"/>
  <c r="AA120" i="4"/>
  <c r="AB119" i="4"/>
  <c r="AA119" i="4"/>
  <c r="AB118" i="4"/>
  <c r="AA118" i="4"/>
  <c r="AB117" i="4"/>
  <c r="AA117" i="4"/>
  <c r="AB116" i="4"/>
  <c r="AA116" i="4"/>
  <c r="AB115" i="4"/>
  <c r="AA115" i="4"/>
  <c r="AB114" i="4"/>
  <c r="AA114" i="4"/>
  <c r="AB113" i="4"/>
  <c r="AA113" i="4"/>
  <c r="AB112" i="4"/>
  <c r="AA112" i="4"/>
  <c r="AB111" i="4"/>
  <c r="AA111" i="4"/>
  <c r="AB110" i="4"/>
  <c r="AA110" i="4"/>
  <c r="AB109" i="4"/>
  <c r="AA109" i="4"/>
  <c r="AB108" i="4"/>
  <c r="AA108" i="4"/>
  <c r="AB107" i="4"/>
  <c r="AA107" i="4"/>
  <c r="AB106" i="4"/>
  <c r="AA106" i="4"/>
  <c r="AB105" i="4"/>
  <c r="AA105" i="4"/>
  <c r="AB104" i="4"/>
  <c r="AA104" i="4"/>
  <c r="AB103" i="4"/>
  <c r="AA103" i="4"/>
  <c r="AJ35" i="10" l="1"/>
  <c r="AB40" i="10"/>
  <c r="S39" i="10"/>
  <c r="T39" i="10" s="1"/>
  <c r="AG37" i="10"/>
  <c r="AF37" i="10"/>
  <c r="Z39" i="10"/>
  <c r="AE38" i="10"/>
  <c r="AF36" i="10"/>
  <c r="AG36" i="10"/>
  <c r="P9" i="4"/>
  <c r="P11" i="4"/>
  <c r="P221" i="4"/>
  <c r="P219" i="4"/>
  <c r="P226" i="4"/>
  <c r="P3" i="4"/>
  <c r="P224" i="4"/>
  <c r="P220" i="4"/>
  <c r="P7" i="4"/>
  <c r="P225" i="4"/>
  <c r="P8" i="4"/>
  <c r="P6" i="4"/>
  <c r="P222" i="4"/>
  <c r="P4" i="4"/>
  <c r="N3" i="4"/>
  <c r="O3" i="4"/>
  <c r="I227" i="4"/>
  <c r="I12" i="4"/>
  <c r="K227" i="4"/>
  <c r="J227" i="4"/>
  <c r="K12" i="4"/>
  <c r="J12" i="4"/>
  <c r="AG227" i="4"/>
  <c r="AE227" i="4" s="1"/>
  <c r="R227" i="4"/>
  <c r="Q228" i="4"/>
  <c r="M228" i="4"/>
  <c r="V228" i="4"/>
  <c r="U228" i="4"/>
  <c r="AG12" i="4"/>
  <c r="R12" i="4"/>
  <c r="Q13" i="4"/>
  <c r="M13" i="4"/>
  <c r="V13" i="4"/>
  <c r="U13" i="4"/>
  <c r="AE570" i="4"/>
  <c r="AE465" i="4"/>
  <c r="AE789" i="4"/>
  <c r="AE514" i="4"/>
  <c r="AE610" i="4"/>
  <c r="AE454" i="4"/>
  <c r="AE924" i="4"/>
  <c r="AE578" i="4"/>
  <c r="AE735" i="4"/>
  <c r="AE622" i="4"/>
  <c r="AE530" i="4"/>
  <c r="AE594" i="4"/>
  <c r="AE734" i="4"/>
  <c r="AE869" i="4"/>
  <c r="AE640" i="4"/>
  <c r="AE708" i="4"/>
  <c r="AE905" i="4"/>
  <c r="AE907" i="4"/>
  <c r="AE448" i="4"/>
  <c r="AE508" i="4"/>
  <c r="AE689" i="4"/>
  <c r="AE438" i="4"/>
  <c r="AE659" i="4"/>
  <c r="AE669" i="4"/>
  <c r="AE984" i="4"/>
  <c r="AE435" i="4"/>
  <c r="AE460" i="4"/>
  <c r="AE517" i="4"/>
  <c r="AE582" i="4"/>
  <c r="AE606" i="4"/>
  <c r="AE464" i="4"/>
  <c r="AE520" i="4"/>
  <c r="AE536" i="4"/>
  <c r="AE440" i="4"/>
  <c r="AE442" i="4"/>
  <c r="AE598" i="4"/>
  <c r="AE529" i="4"/>
  <c r="AE488" i="4"/>
  <c r="AE492" i="4"/>
  <c r="AE502" i="4"/>
  <c r="AE526" i="4"/>
  <c r="AE618" i="4"/>
  <c r="AE480" i="4"/>
  <c r="AE491" i="4"/>
  <c r="AE525" i="4"/>
  <c r="AE575" i="4"/>
  <c r="AE450" i="4"/>
  <c r="AE481" i="4"/>
  <c r="AE563" i="4"/>
  <c r="AE568" i="4"/>
  <c r="AE633" i="4"/>
  <c r="AE656" i="4"/>
  <c r="AE593" i="4"/>
  <c r="AE600" i="4"/>
  <c r="AE625" i="4"/>
  <c r="AE872" i="4"/>
  <c r="AE677" i="4"/>
  <c r="AE777" i="4"/>
  <c r="AE804" i="4"/>
  <c r="AE873" i="4"/>
  <c r="AE621" i="4"/>
  <c r="AE652" i="4"/>
  <c r="AE702" i="4"/>
  <c r="AE733" i="4"/>
  <c r="AE899" i="4"/>
  <c r="AE617" i="4"/>
  <c r="AE641" i="4"/>
  <c r="AE783" i="4"/>
  <c r="AE639" i="4"/>
  <c r="AE685" i="4"/>
  <c r="AE713" i="4"/>
  <c r="AE813" i="4"/>
  <c r="AE684" i="4"/>
  <c r="AE741" i="4"/>
  <c r="AE769" i="4"/>
  <c r="AE781" i="4"/>
  <c r="AE776" i="4"/>
  <c r="AE896" i="4"/>
  <c r="AE714" i="4"/>
  <c r="AE725" i="4"/>
  <c r="AE747" i="4"/>
  <c r="AE848" i="4"/>
  <c r="AE856" i="4"/>
  <c r="AE770" i="4"/>
  <c r="AE824" i="4"/>
  <c r="AE895" i="4"/>
  <c r="AE925" i="4"/>
  <c r="AE766" i="4"/>
  <c r="AE768" i="4"/>
  <c r="AE844" i="4"/>
  <c r="AE936" i="4"/>
  <c r="AE780" i="4"/>
  <c r="AE826" i="4"/>
  <c r="AE906" i="4"/>
  <c r="AE877" i="4"/>
  <c r="AE871" i="4"/>
  <c r="AE953" i="4"/>
  <c r="AE885" i="4"/>
  <c r="AE910" i="4"/>
  <c r="AE859" i="4"/>
  <c r="AE870" i="4"/>
  <c r="AE888" i="4"/>
  <c r="AE902" i="4"/>
  <c r="AE945" i="4"/>
  <c r="AE927" i="4"/>
  <c r="AE944" i="4"/>
  <c r="AE965" i="4"/>
  <c r="AE941" i="4"/>
  <c r="AE952" i="4"/>
  <c r="AE968" i="4"/>
  <c r="AE1000" i="4"/>
  <c r="AE992" i="4"/>
  <c r="AE974" i="4"/>
  <c r="AE981" i="4"/>
  <c r="AE221" i="4"/>
  <c r="AE482" i="4"/>
  <c r="AE671" i="4"/>
  <c r="AE867" i="4"/>
  <c r="AE800" i="4"/>
  <c r="AE490" i="4"/>
  <c r="AE646" i="4"/>
  <c r="AE762" i="4"/>
  <c r="AE793" i="4"/>
  <c r="AE815" i="4"/>
  <c r="AE458" i="4"/>
  <c r="AE461" i="4"/>
  <c r="AE586" i="4"/>
  <c r="AE562" i="4"/>
  <c r="AE445" i="4"/>
  <c r="AE523" i="4"/>
  <c r="AE602" i="4"/>
  <c r="AE501" i="4"/>
  <c r="AE590" i="4"/>
  <c r="AE767" i="4"/>
  <c r="AE864" i="4"/>
  <c r="AE785" i="4"/>
  <c r="AE843" i="4"/>
  <c r="AE674" i="4"/>
  <c r="AE840" i="4"/>
  <c r="AE219" i="4"/>
  <c r="AE223" i="4"/>
  <c r="AE456" i="4"/>
  <c r="AE472" i="4"/>
  <c r="AE503" i="4"/>
  <c r="AE444" i="4"/>
  <c r="AE452" i="4"/>
  <c r="AE455" i="4"/>
  <c r="AE463" i="4"/>
  <c r="AE476" i="4"/>
  <c r="AE484" i="4"/>
  <c r="AE487" i="4"/>
  <c r="AE504" i="4"/>
  <c r="AE505" i="4"/>
  <c r="AE507" i="4"/>
  <c r="AE533" i="4"/>
  <c r="AE732" i="4"/>
  <c r="AE441" i="4"/>
  <c r="AE443" i="4"/>
  <c r="AE451" i="4"/>
  <c r="AE473" i="4"/>
  <c r="AE483" i="4"/>
  <c r="AE486" i="4"/>
  <c r="AE540" i="4"/>
  <c r="AE676" i="4"/>
  <c r="AE693" i="4"/>
  <c r="AE709" i="4"/>
  <c r="AE710" i="4"/>
  <c r="AE468" i="4"/>
  <c r="AE471" i="4"/>
  <c r="AE479" i="4"/>
  <c r="AE560" i="4"/>
  <c r="AE561" i="4"/>
  <c r="AE569" i="4"/>
  <c r="AE585" i="4"/>
  <c r="AE592" i="4"/>
  <c r="AE601" i="4"/>
  <c r="AE632" i="4"/>
  <c r="AE648" i="4"/>
  <c r="AE664" i="4"/>
  <c r="AE665" i="4"/>
  <c r="AE740" i="4"/>
  <c r="AE820" i="4"/>
  <c r="AE459" i="4"/>
  <c r="AE489" i="4"/>
  <c r="AE499" i="4"/>
  <c r="AE516" i="4"/>
  <c r="AE519" i="4"/>
  <c r="AE680" i="4"/>
  <c r="AE218" i="4"/>
  <c r="AE512" i="4"/>
  <c r="AE579" i="4"/>
  <c r="AE587" i="4"/>
  <c r="AE595" i="4"/>
  <c r="AE603" i="4"/>
  <c r="AE611" i="4"/>
  <c r="AE619" i="4"/>
  <c r="AE627" i="4"/>
  <c r="AE673" i="4"/>
  <c r="AE737" i="4"/>
  <c r="AE752" i="4"/>
  <c r="AE758" i="4"/>
  <c r="AE837" i="4"/>
  <c r="AE845" i="4"/>
  <c r="AE862" i="4"/>
  <c r="AE453" i="4"/>
  <c r="AE485" i="4"/>
  <c r="AE548" i="4"/>
  <c r="AE549" i="4"/>
  <c r="AE556" i="4"/>
  <c r="AE565" i="4"/>
  <c r="AE580" i="4"/>
  <c r="AE581" i="4"/>
  <c r="AE589" i="4"/>
  <c r="AE596" i="4"/>
  <c r="AE605" i="4"/>
  <c r="AE612" i="4"/>
  <c r="AE628" i="4"/>
  <c r="AE636" i="4"/>
  <c r="AE644" i="4"/>
  <c r="AE653" i="4"/>
  <c r="AE660" i="4"/>
  <c r="AE678" i="4"/>
  <c r="AE697" i="4"/>
  <c r="AE707" i="4"/>
  <c r="AE742" i="4"/>
  <c r="AE756" i="4"/>
  <c r="AE761" i="4"/>
  <c r="AE939" i="4"/>
  <c r="AE543" i="4"/>
  <c r="AE551" i="4"/>
  <c r="AE559" i="4"/>
  <c r="AE567" i="4"/>
  <c r="AE583" i="4"/>
  <c r="AE599" i="4"/>
  <c r="AE607" i="4"/>
  <c r="AE691" i="4"/>
  <c r="AE745" i="4"/>
  <c r="AE760" i="4"/>
  <c r="AE874" i="4"/>
  <c r="AE446" i="4"/>
  <c r="AE462" i="4"/>
  <c r="AE478" i="4"/>
  <c r="AE494" i="4"/>
  <c r="AE528" i="4"/>
  <c r="AE791" i="4"/>
  <c r="AE807" i="4"/>
  <c r="AE836" i="4"/>
  <c r="AE853" i="4"/>
  <c r="AE861" i="4"/>
  <c r="AE931" i="4"/>
  <c r="AE805" i="4"/>
  <c r="AE822" i="4"/>
  <c r="AE823" i="4"/>
  <c r="AE825" i="4"/>
  <c r="AE852" i="4"/>
  <c r="AE891" i="4"/>
  <c r="AE923" i="4"/>
  <c r="AE711" i="4"/>
  <c r="AE727" i="4"/>
  <c r="AE743" i="4"/>
  <c r="AE759" i="4"/>
  <c r="AE773" i="4"/>
  <c r="AE788" i="4"/>
  <c r="AE795" i="4"/>
  <c r="AE839" i="4"/>
  <c r="AE893" i="4"/>
  <c r="AE915" i="4"/>
  <c r="AE715" i="4"/>
  <c r="AE763" i="4"/>
  <c r="AE922" i="4"/>
  <c r="AE938" i="4"/>
  <c r="AE961" i="4"/>
  <c r="AE962" i="4"/>
  <c r="AE969" i="4"/>
  <c r="AE985" i="4"/>
  <c r="AE993" i="4"/>
  <c r="AE994" i="4"/>
  <c r="AE1001" i="4"/>
  <c r="AE890" i="4"/>
  <c r="AE881" i="4"/>
  <c r="AE892" i="4"/>
  <c r="AE901" i="4"/>
  <c r="AE926" i="4"/>
  <c r="AE933" i="4"/>
  <c r="AE934" i="4"/>
  <c r="AE957" i="4"/>
  <c r="AE989" i="4"/>
  <c r="AE998" i="4"/>
  <c r="AE860" i="4"/>
  <c r="AE904" i="4"/>
  <c r="AE908" i="4"/>
  <c r="AE912" i="4"/>
  <c r="AE940" i="4"/>
  <c r="AE960" i="4"/>
  <c r="AE996" i="4"/>
  <c r="M7" i="4"/>
  <c r="M6" i="4"/>
  <c r="M5" i="4"/>
  <c r="M4" i="4"/>
  <c r="AB102" i="4"/>
  <c r="AA102" i="4"/>
  <c r="AB101" i="4"/>
  <c r="AA101" i="4"/>
  <c r="AB100" i="4"/>
  <c r="AA100" i="4"/>
  <c r="AB99" i="4"/>
  <c r="AA99" i="4"/>
  <c r="AB98" i="4"/>
  <c r="AA98" i="4"/>
  <c r="AB97" i="4"/>
  <c r="AA97" i="4"/>
  <c r="AB96" i="4"/>
  <c r="AA96" i="4"/>
  <c r="AB95" i="4"/>
  <c r="AA95" i="4"/>
  <c r="AB94" i="4"/>
  <c r="AA94" i="4"/>
  <c r="AB93" i="4"/>
  <c r="AA93" i="4"/>
  <c r="AB92" i="4"/>
  <c r="AA92" i="4"/>
  <c r="AB91" i="4"/>
  <c r="AA91" i="4"/>
  <c r="AB90" i="4"/>
  <c r="AA90" i="4"/>
  <c r="AB89" i="4"/>
  <c r="AA89" i="4"/>
  <c r="AB88" i="4"/>
  <c r="AA88" i="4"/>
  <c r="AB87" i="4"/>
  <c r="AA87" i="4"/>
  <c r="AB86" i="4"/>
  <c r="AA86" i="4"/>
  <c r="AB85" i="4"/>
  <c r="AA85" i="4"/>
  <c r="AB84" i="4"/>
  <c r="AA84" i="4"/>
  <c r="AB83" i="4"/>
  <c r="AA83" i="4"/>
  <c r="AB82" i="4"/>
  <c r="AA82" i="4"/>
  <c r="AB81" i="4"/>
  <c r="AA81" i="4"/>
  <c r="AB80" i="4"/>
  <c r="AA80" i="4"/>
  <c r="AB79" i="4"/>
  <c r="AA79" i="4"/>
  <c r="AB78" i="4"/>
  <c r="AA78" i="4"/>
  <c r="AB77" i="4"/>
  <c r="AA77" i="4"/>
  <c r="AB76" i="4"/>
  <c r="AA76" i="4"/>
  <c r="AB75" i="4"/>
  <c r="AA75" i="4"/>
  <c r="AB74" i="4"/>
  <c r="AA74" i="4"/>
  <c r="AB73" i="4"/>
  <c r="AA73" i="4"/>
  <c r="AB72" i="4"/>
  <c r="AA72" i="4"/>
  <c r="AB71" i="4"/>
  <c r="AA71" i="4"/>
  <c r="AB70" i="4"/>
  <c r="AA70" i="4"/>
  <c r="AB69" i="4"/>
  <c r="AA69" i="4"/>
  <c r="AB68" i="4"/>
  <c r="AA68" i="4"/>
  <c r="AB67" i="4"/>
  <c r="AA67" i="4"/>
  <c r="AB66" i="4"/>
  <c r="AA66" i="4"/>
  <c r="AB65" i="4"/>
  <c r="AA65" i="4"/>
  <c r="AB64" i="4"/>
  <c r="AA64" i="4"/>
  <c r="AB63" i="4"/>
  <c r="AA63" i="4"/>
  <c r="AB62" i="4"/>
  <c r="AA62" i="4"/>
  <c r="AB61" i="4"/>
  <c r="AA61" i="4"/>
  <c r="AB60" i="4"/>
  <c r="AA60" i="4"/>
  <c r="AB59" i="4"/>
  <c r="AA59" i="4"/>
  <c r="AB58" i="4"/>
  <c r="AA58" i="4"/>
  <c r="AB57" i="4"/>
  <c r="AA57" i="4"/>
  <c r="AB56" i="4"/>
  <c r="AA56" i="4"/>
  <c r="AB55" i="4"/>
  <c r="AA55" i="4"/>
  <c r="AB54" i="4"/>
  <c r="AA54" i="4"/>
  <c r="AB53" i="4"/>
  <c r="AA53" i="4"/>
  <c r="AB52" i="4"/>
  <c r="AA52" i="4"/>
  <c r="AB51" i="4"/>
  <c r="AA51" i="4"/>
  <c r="AB50" i="4"/>
  <c r="AA50" i="4"/>
  <c r="AB49" i="4"/>
  <c r="AA49" i="4"/>
  <c r="AB48" i="4"/>
  <c r="AA48" i="4"/>
  <c r="AB47" i="4"/>
  <c r="AA47" i="4"/>
  <c r="AB46" i="4"/>
  <c r="AA46" i="4"/>
  <c r="AB45" i="4"/>
  <c r="AA45" i="4"/>
  <c r="AB44" i="4"/>
  <c r="AA44" i="4"/>
  <c r="AB43" i="4"/>
  <c r="AA43" i="4"/>
  <c r="AB42" i="4"/>
  <c r="AA42" i="4"/>
  <c r="AB41" i="4"/>
  <c r="AA41" i="4"/>
  <c r="AB40" i="4"/>
  <c r="AA40" i="4"/>
  <c r="AB39" i="4"/>
  <c r="AA39" i="4"/>
  <c r="AB38" i="4"/>
  <c r="AA38" i="4"/>
  <c r="AB37" i="4"/>
  <c r="AA37" i="4"/>
  <c r="AB36" i="4"/>
  <c r="AA36" i="4"/>
  <c r="AB35" i="4"/>
  <c r="AA35" i="4"/>
  <c r="AB34" i="4"/>
  <c r="AA34" i="4"/>
  <c r="AB33" i="4"/>
  <c r="AA33" i="4"/>
  <c r="AB32" i="4"/>
  <c r="AA32" i="4"/>
  <c r="AB31" i="4"/>
  <c r="AA31" i="4"/>
  <c r="AB30" i="4"/>
  <c r="AA30" i="4"/>
  <c r="AB29" i="4"/>
  <c r="AA29" i="4"/>
  <c r="AB28" i="4"/>
  <c r="AA28" i="4"/>
  <c r="AB27" i="4"/>
  <c r="AA27" i="4"/>
  <c r="AB26" i="4"/>
  <c r="AA26" i="4"/>
  <c r="AB25" i="4"/>
  <c r="AA25" i="4"/>
  <c r="AB24" i="4"/>
  <c r="AA24" i="4"/>
  <c r="AB23" i="4"/>
  <c r="AA23" i="4"/>
  <c r="AB22" i="4"/>
  <c r="AA22" i="4"/>
  <c r="AB21" i="4"/>
  <c r="AA21" i="4"/>
  <c r="AB20" i="4"/>
  <c r="AA20" i="4"/>
  <c r="AB19" i="4"/>
  <c r="AA19" i="4"/>
  <c r="AB18" i="4"/>
  <c r="AA18" i="4"/>
  <c r="AB17" i="4"/>
  <c r="AA17" i="4"/>
  <c r="AB16" i="4"/>
  <c r="AA16" i="4"/>
  <c r="AB15" i="4"/>
  <c r="AA15" i="4"/>
  <c r="AB14" i="4"/>
  <c r="AA14" i="4"/>
  <c r="AB13" i="4"/>
  <c r="AA13" i="4"/>
  <c r="AB12" i="4"/>
  <c r="AA12" i="4"/>
  <c r="AB11" i="4"/>
  <c r="AA11" i="4"/>
  <c r="AB10" i="4"/>
  <c r="AA10" i="4"/>
  <c r="AB9" i="4"/>
  <c r="AA9" i="4"/>
  <c r="AB8" i="4"/>
  <c r="AA8" i="4"/>
  <c r="AB7" i="4"/>
  <c r="AA7" i="4"/>
  <c r="AB6" i="4"/>
  <c r="AA6" i="4"/>
  <c r="AB5" i="4"/>
  <c r="AA5" i="4"/>
  <c r="AB4" i="4"/>
  <c r="AA4" i="4"/>
  <c r="AJ37" i="10" l="1"/>
  <c r="AB41" i="10"/>
  <c r="S40" i="10"/>
  <c r="T40" i="10" s="1"/>
  <c r="AJ36" i="10"/>
  <c r="AG38" i="10"/>
  <c r="AF38" i="10"/>
  <c r="AD39" i="10"/>
  <c r="Z40" i="10"/>
  <c r="AD40" i="10" s="1"/>
  <c r="O218" i="4"/>
  <c r="N218" i="4"/>
  <c r="O223" i="4"/>
  <c r="N223" i="4"/>
  <c r="O221" i="4"/>
  <c r="N221" i="4"/>
  <c r="O225" i="4"/>
  <c r="N219" i="4"/>
  <c r="O219" i="4"/>
  <c r="I228" i="4"/>
  <c r="I13" i="4"/>
  <c r="K13" i="4"/>
  <c r="J13" i="4"/>
  <c r="J228" i="4"/>
  <c r="K228" i="4"/>
  <c r="R228" i="4"/>
  <c r="Q229" i="4"/>
  <c r="M229" i="4"/>
  <c r="V229" i="4"/>
  <c r="U229" i="4"/>
  <c r="AJ227" i="4"/>
  <c r="AI227" i="4"/>
  <c r="AK227" i="4"/>
  <c r="AG228" i="4"/>
  <c r="R13" i="4"/>
  <c r="Q14" i="4"/>
  <c r="M14" i="4"/>
  <c r="V14" i="4"/>
  <c r="U14" i="4"/>
  <c r="AG13" i="4"/>
  <c r="AJ12" i="4"/>
  <c r="AK12" i="4"/>
  <c r="AI12" i="4"/>
  <c r="AE457" i="4"/>
  <c r="AE226" i="4"/>
  <c r="AE729" i="4"/>
  <c r="AE608" i="4"/>
  <c r="AE552" i="4"/>
  <c r="AE436" i="4"/>
  <c r="AE541" i="4"/>
  <c r="AE966" i="4"/>
  <c r="AE437" i="4"/>
  <c r="AE694" i="4"/>
  <c r="AE616" i="4"/>
  <c r="AE942" i="4"/>
  <c r="AE917" i="4"/>
  <c r="AE779" i="4"/>
  <c r="AE731" i="4"/>
  <c r="AE555" i="4"/>
  <c r="AE650" i="4"/>
  <c r="AE817" i="4"/>
  <c r="AE518" i="4"/>
  <c r="AE447" i="4"/>
  <c r="AE884" i="4"/>
  <c r="AE855" i="4"/>
  <c r="AE557" i="4"/>
  <c r="AE798" i="4"/>
  <c r="AE681" i="4"/>
  <c r="AE937" i="4"/>
  <c r="AE547" i="4"/>
  <c r="AE500" i="4"/>
  <c r="AE434" i="4"/>
  <c r="AE775" i="4"/>
  <c r="AE645" i="4"/>
  <c r="AE683" i="4"/>
  <c r="AE850" i="4"/>
  <c r="AE772" i="4"/>
  <c r="AE576" i="4"/>
  <c r="AE816" i="4"/>
  <c r="AE654" i="4"/>
  <c r="AE792" i="4"/>
  <c r="AE712" i="4"/>
  <c r="AE801" i="4"/>
  <c r="AE748" i="4"/>
  <c r="AE544" i="4"/>
  <c r="AE950" i="4"/>
  <c r="AE882" i="4"/>
  <c r="AE949" i="4"/>
  <c r="AE726" i="4"/>
  <c r="AE692" i="4"/>
  <c r="AE672" i="4"/>
  <c r="AE838" i="4"/>
  <c r="AE972" i="4"/>
  <c r="AE951" i="4"/>
  <c r="AE919" i="4"/>
  <c r="AE983" i="4"/>
  <c r="AE814" i="4"/>
  <c r="AE679" i="4"/>
  <c r="AE808" i="4"/>
  <c r="AE704" i="4"/>
  <c r="AE687" i="4"/>
  <c r="AE670" i="4"/>
  <c r="AE643" i="4"/>
  <c r="AE812" i="4"/>
  <c r="AE554" i="4"/>
  <c r="AE477" i="4"/>
  <c r="AE475" i="4"/>
  <c r="AE913" i="4"/>
  <c r="AE531" i="4"/>
  <c r="AE637" i="4"/>
  <c r="AE545" i="4"/>
  <c r="AE220" i="4"/>
  <c r="AE753" i="4"/>
  <c r="AE744" i="4"/>
  <c r="AE668" i="4"/>
  <c r="AE524" i="4"/>
  <c r="AE470" i="4"/>
  <c r="AE624" i="4"/>
  <c r="AE474" i="4"/>
  <c r="AE663" i="4"/>
  <c r="AE810" i="4"/>
  <c r="AE771" i="4"/>
  <c r="AE700" i="4"/>
  <c r="AE716" i="4"/>
  <c r="AE224" i="4"/>
  <c r="AE778" i="4"/>
  <c r="AE614" i="4"/>
  <c r="AE928" i="4"/>
  <c r="AE970" i="4"/>
  <c r="AE703" i="4"/>
  <c r="AE574" i="4"/>
  <c r="AE932" i="4"/>
  <c r="AE982" i="4"/>
  <c r="AE977" i="4"/>
  <c r="AE695" i="4"/>
  <c r="AE615" i="4"/>
  <c r="AE469" i="4"/>
  <c r="AE609" i="4"/>
  <c r="AE662" i="4"/>
  <c r="AE980" i="4"/>
  <c r="AE963" i="4"/>
  <c r="AE675" i="4"/>
  <c r="AE511" i="4"/>
  <c r="AE686" i="4"/>
  <c r="AE828" i="4"/>
  <c r="AE947" i="4"/>
  <c r="AE631" i="4"/>
  <c r="AE620" i="4"/>
  <c r="AE571" i="4"/>
  <c r="AE997" i="4"/>
  <c r="AE894" i="4"/>
  <c r="AE818" i="4"/>
  <c r="AE647" i="4"/>
  <c r="AE623" i="4"/>
  <c r="AE736" i="4"/>
  <c r="AE573" i="4"/>
  <c r="AE723" i="4"/>
  <c r="AE667" i="4"/>
  <c r="AE515" i="4"/>
  <c r="AE909" i="4"/>
  <c r="AE964" i="4"/>
  <c r="AE958" i="4"/>
  <c r="AE898" i="4"/>
  <c r="AE849" i="4"/>
  <c r="AE834" i="4"/>
  <c r="AE887" i="4"/>
  <c r="AE782" i="4"/>
  <c r="AE764" i="4"/>
  <c r="AE883" i="4"/>
  <c r="AE988" i="4"/>
  <c r="AE921" i="4"/>
  <c r="AE995" i="4"/>
  <c r="AE705" i="4"/>
  <c r="AE865" i="4"/>
  <c r="AE467" i="4"/>
  <c r="AE558" i="4"/>
  <c r="AE797" i="4"/>
  <c r="AE955" i="4"/>
  <c r="AE990" i="4"/>
  <c r="AE1002" i="4"/>
  <c r="AE857" i="4"/>
  <c r="AE721" i="4"/>
  <c r="AE629" i="4"/>
  <c r="AE724" i="4"/>
  <c r="AE916" i="4"/>
  <c r="AE841" i="4"/>
  <c r="AE832" i="4"/>
  <c r="AE577" i="4"/>
  <c r="AE794" i="4"/>
  <c r="AE532" i="4"/>
  <c r="AE566" i="4"/>
  <c r="AE638" i="4"/>
  <c r="AE929" i="4"/>
  <c r="AE829" i="4"/>
  <c r="AE842" i="4"/>
  <c r="AE564" i="4"/>
  <c r="AE886" i="4"/>
  <c r="AE666" i="4"/>
  <c r="AE588" i="4"/>
  <c r="AE806" i="4"/>
  <c r="AE878" i="4"/>
  <c r="AE720" i="4"/>
  <c r="AE649" i="4"/>
  <c r="AE900" i="4"/>
  <c r="AE717" i="4"/>
  <c r="AE572" i="4"/>
  <c r="AE971" i="4"/>
  <c r="AE897" i="4"/>
  <c r="AE765" i="4"/>
  <c r="AE495" i="4"/>
  <c r="AE542" i="4"/>
  <c r="AE920" i="4"/>
  <c r="AE946" i="4"/>
  <c r="AE854" i="4"/>
  <c r="AE889" i="4"/>
  <c r="AE866" i="4"/>
  <c r="AE655" i="4"/>
  <c r="AE497" i="4"/>
  <c r="AE948" i="4"/>
  <c r="AE821" i="4"/>
  <c r="AE831" i="4"/>
  <c r="AE790" i="4"/>
  <c r="AE802" i="4"/>
  <c r="AE803" i="4"/>
  <c r="AE688" i="4"/>
  <c r="AE527" i="4"/>
  <c r="AE597" i="4"/>
  <c r="AE973" i="4"/>
  <c r="AE954" i="4"/>
  <c r="AE868" i="4"/>
  <c r="AE784" i="4"/>
  <c r="AE591" i="4"/>
  <c r="AE728" i="4"/>
  <c r="AE739" i="4"/>
  <c r="AE550" i="4"/>
  <c r="AE956" i="4"/>
  <c r="AE975" i="4"/>
  <c r="AE827" i="4"/>
  <c r="AE847" i="4"/>
  <c r="AE701" i="4"/>
  <c r="AE634" i="4"/>
  <c r="AE493" i="4"/>
  <c r="AE991" i="4"/>
  <c r="AE851" i="4"/>
  <c r="AE979" i="4"/>
  <c r="AE630" i="4"/>
  <c r="AE978" i="4"/>
  <c r="AE809" i="4"/>
  <c r="AE699" i="4"/>
  <c r="AE787" i="4"/>
  <c r="AE604" i="4"/>
  <c r="AE757" i="4"/>
  <c r="AE690" i="4"/>
  <c r="AE626" i="4"/>
  <c r="AE914" i="4"/>
  <c r="AE959" i="4"/>
  <c r="AE943" i="4"/>
  <c r="AE746" i="4"/>
  <c r="AE718" i="4"/>
  <c r="AE706" i="4"/>
  <c r="AE719" i="4"/>
  <c r="AE661" i="4"/>
  <c r="AE976" i="4"/>
  <c r="AE880" i="4"/>
  <c r="AE738" i="4"/>
  <c r="AE835" i="4"/>
  <c r="AE546" i="4"/>
  <c r="AE879" i="4"/>
  <c r="AE903" i="4"/>
  <c r="AE863" i="4"/>
  <c r="AE786" i="4"/>
  <c r="AE858" i="4"/>
  <c r="AE796" i="4"/>
  <c r="AE987" i="4"/>
  <c r="AE755" i="4"/>
  <c r="AE613" i="4"/>
  <c r="AE553" i="4"/>
  <c r="AE730" i="4"/>
  <c r="AE967" i="4"/>
  <c r="AE999" i="4"/>
  <c r="AE918" i="4"/>
  <c r="AE750" i="4"/>
  <c r="AE651" i="4"/>
  <c r="AE439" i="4"/>
  <c r="AE534" i="4"/>
  <c r="AE930" i="4"/>
  <c r="AE754" i="4"/>
  <c r="AE833" i="4"/>
  <c r="AE584" i="4"/>
  <c r="AE642" i="4"/>
  <c r="AE696" i="4"/>
  <c r="AE635" i="4"/>
  <c r="AE657" i="4"/>
  <c r="AE846" i="4"/>
  <c r="AE876" i="4"/>
  <c r="AE819" i="4"/>
  <c r="AE433" i="4"/>
  <c r="AE510" i="4"/>
  <c r="AE222" i="4"/>
  <c r="AE986" i="4"/>
  <c r="AE811" i="4"/>
  <c r="AE498" i="4"/>
  <c r="AE698" i="4"/>
  <c r="AE658" i="4"/>
  <c r="AE774" i="4"/>
  <c r="AE799" i="4"/>
  <c r="AE466" i="4"/>
  <c r="AE513" i="4"/>
  <c r="AE722" i="4"/>
  <c r="AE449" i="4"/>
  <c r="D32" i="3"/>
  <c r="D31" i="3"/>
  <c r="D30" i="3"/>
  <c r="D25" i="3"/>
  <c r="C39" i="3" s="1"/>
  <c r="D24" i="3"/>
  <c r="G39" i="3" s="1"/>
  <c r="D23" i="3"/>
  <c r="E18" i="3"/>
  <c r="D18" i="3"/>
  <c r="E17" i="3"/>
  <c r="AF511" i="4" s="1"/>
  <c r="D17" i="3"/>
  <c r="E15" i="3"/>
  <c r="D15" i="3"/>
  <c r="D39" i="3" s="1"/>
  <c r="E14" i="3"/>
  <c r="D14" i="3"/>
  <c r="D11" i="3"/>
  <c r="D10" i="3"/>
  <c r="E9" i="3"/>
  <c r="AD966" i="4" s="1"/>
  <c r="D9" i="3"/>
  <c r="D7" i="3"/>
  <c r="D6" i="3"/>
  <c r="E5" i="3"/>
  <c r="F5" i="3"/>
  <c r="D5" i="3"/>
  <c r="AD927" i="4" l="1"/>
  <c r="AF617" i="4"/>
  <c r="AD697" i="4"/>
  <c r="AD618" i="4"/>
  <c r="AF859" i="4"/>
  <c r="AF902" i="4"/>
  <c r="AF914" i="4"/>
  <c r="AD978" i="4"/>
  <c r="AF769" i="4"/>
  <c r="AF553" i="4"/>
  <c r="AF607" i="4"/>
  <c r="AD747" i="4"/>
  <c r="AD563" i="4"/>
  <c r="AF571" i="4"/>
  <c r="AF865" i="4"/>
  <c r="AD971" i="4"/>
  <c r="AF588" i="4"/>
  <c r="AD666" i="4"/>
  <c r="AF829" i="4"/>
  <c r="AF861" i="4"/>
  <c r="AD518" i="4"/>
  <c r="AF781" i="4"/>
  <c r="AD637" i="4"/>
  <c r="AD477" i="4"/>
  <c r="AD990" i="4"/>
  <c r="AD702" i="4"/>
  <c r="AD448" i="4"/>
  <c r="AD982" i="4"/>
  <c r="AF771" i="4"/>
  <c r="AF536" i="4"/>
  <c r="F39" i="3"/>
  <c r="B39" i="3"/>
  <c r="C19" i="9" s="1"/>
  <c r="AD958" i="4"/>
  <c r="AD944" i="4"/>
  <c r="AD811" i="4"/>
  <c r="AF699" i="4"/>
  <c r="AF534" i="4"/>
  <c r="AF918" i="4"/>
  <c r="AF952" i="4"/>
  <c r="AF976" i="4"/>
  <c r="AF910" i="4"/>
  <c r="AF809" i="4"/>
  <c r="AD553" i="4"/>
  <c r="AD607" i="4"/>
  <c r="AF747" i="4"/>
  <c r="AD895" i="4"/>
  <c r="AD492" i="4"/>
  <c r="AF783" i="4"/>
  <c r="AD897" i="4"/>
  <c r="AF564" i="4"/>
  <c r="AF868" i="4"/>
  <c r="AD977" i="4"/>
  <c r="AF723" i="4"/>
  <c r="AD710" i="4"/>
  <c r="AD941" i="4"/>
  <c r="AF643" i="4"/>
  <c r="AF475" i="4"/>
  <c r="AD614" i="4"/>
  <c r="AF679" i="4"/>
  <c r="AF454" i="4"/>
  <c r="AF725" i="4"/>
  <c r="AD729" i="4"/>
  <c r="AD437" i="4"/>
  <c r="AD622" i="4"/>
  <c r="AF722" i="4"/>
  <c r="AD774" i="4"/>
  <c r="AF944" i="4"/>
  <c r="AF633" i="4"/>
  <c r="AD597" i="4"/>
  <c r="AF987" i="4"/>
  <c r="AD984" i="4"/>
  <c r="AF770" i="4"/>
  <c r="AF877" i="4"/>
  <c r="AF965" i="4"/>
  <c r="AF659" i="4"/>
  <c r="AF546" i="4"/>
  <c r="AD739" i="4"/>
  <c r="AF718" i="4"/>
  <c r="AF943" i="4"/>
  <c r="AD699" i="4"/>
  <c r="AD630" i="4"/>
  <c r="AD684" i="4"/>
  <c r="AF975" i="4"/>
  <c r="AF974" i="4"/>
  <c r="AF597" i="4"/>
  <c r="AF688" i="4"/>
  <c r="AD790" i="4"/>
  <c r="AF895" i="4"/>
  <c r="AD817" i="4"/>
  <c r="AF568" i="4"/>
  <c r="AF873" i="4"/>
  <c r="AD717" i="4"/>
  <c r="AD886" i="4"/>
  <c r="AF806" i="4"/>
  <c r="AD577" i="4"/>
  <c r="AD724" i="4"/>
  <c r="AF953" i="4"/>
  <c r="AD986" i="4"/>
  <c r="AD970" i="4"/>
  <c r="AF980" i="4"/>
  <c r="AF525" i="4"/>
  <c r="AF492" i="4"/>
  <c r="AD668" i="4"/>
  <c r="AD700" i="4"/>
  <c r="AD808" i="4"/>
  <c r="AD849" i="4"/>
  <c r="AF789" i="4"/>
  <c r="AD654" i="4"/>
  <c r="AF491" i="4"/>
  <c r="AD925" i="4"/>
  <c r="AD641" i="4"/>
  <c r="AD885" i="4"/>
  <c r="AD725" i="4"/>
  <c r="AD972" i="4"/>
  <c r="AD983" i="4"/>
  <c r="AD812" i="4"/>
  <c r="AD582" i="4"/>
  <c r="AD899" i="4"/>
  <c r="AD686" i="4"/>
  <c r="AD438" i="4"/>
  <c r="AD458" i="4"/>
  <c r="AD782" i="4"/>
  <c r="AD500" i="4"/>
  <c r="AD733" i="4"/>
  <c r="AD650" i="4"/>
  <c r="AD598" i="4"/>
  <c r="AD464" i="4"/>
  <c r="AD568" i="4"/>
  <c r="AD942" i="4"/>
  <c r="AD525" i="4"/>
  <c r="AD951" i="4"/>
  <c r="AD866" i="4"/>
  <c r="AD643" i="4"/>
  <c r="AD981" i="4"/>
  <c r="AD460" i="4"/>
  <c r="AD1002" i="4"/>
  <c r="AD434" i="4"/>
  <c r="AD794" i="4"/>
  <c r="AF669" i="4"/>
  <c r="AF593" i="4"/>
  <c r="AF808" i="4"/>
  <c r="AF670" i="4"/>
  <c r="AF826" i="4"/>
  <c r="AF708" i="4"/>
  <c r="AF753" i="4"/>
  <c r="AF997" i="4"/>
  <c r="AF898" i="4"/>
  <c r="AF526" i="4"/>
  <c r="AF533" i="4"/>
  <c r="AF502" i="4"/>
  <c r="AF631" i="4"/>
  <c r="AF733" i="4"/>
  <c r="AF921" i="4"/>
  <c r="AF745" i="4"/>
  <c r="AF752" i="4"/>
  <c r="AF614" i="4"/>
  <c r="AF909" i="4"/>
  <c r="AF716" i="4"/>
  <c r="AF885" i="4"/>
  <c r="AF561" i="4"/>
  <c r="AF798" i="4"/>
  <c r="AF818" i="4"/>
  <c r="AF495" i="4"/>
  <c r="AF466" i="4"/>
  <c r="AF844" i="4"/>
  <c r="AF498" i="4"/>
  <c r="AD433" i="4"/>
  <c r="AD755" i="4"/>
  <c r="AD642" i="4"/>
  <c r="AF930" i="4"/>
  <c r="AF879" i="4"/>
  <c r="AD976" i="4"/>
  <c r="AD639" i="4"/>
  <c r="AD635" i="4"/>
  <c r="AF634" i="4"/>
  <c r="AD827" i="4"/>
  <c r="AD973" i="4"/>
  <c r="AD703" i="4"/>
  <c r="AF450" i="4"/>
  <c r="AD868" i="4"/>
  <c r="AF529" i="4"/>
  <c r="AD640" i="4"/>
  <c r="AD752" i="4"/>
  <c r="AF925" i="4"/>
  <c r="AD776" i="4"/>
  <c r="AF591" i="4"/>
  <c r="AF775" i="4"/>
  <c r="AF658" i="4"/>
  <c r="AF527" i="4"/>
  <c r="AD550" i="4"/>
  <c r="AD617" i="4"/>
  <c r="AF863" i="4"/>
  <c r="AF884" i="4"/>
  <c r="AF906" i="4"/>
  <c r="AD575" i="4"/>
  <c r="AD959" i="4"/>
  <c r="AD870" i="4"/>
  <c r="AD497" i="4"/>
  <c r="AF851" i="4"/>
  <c r="AF684" i="4"/>
  <c r="AD974" i="4"/>
  <c r="AF802" i="4"/>
  <c r="AF831" i="4"/>
  <c r="AD713" i="4"/>
  <c r="AD588" i="4"/>
  <c r="AF666" i="4"/>
  <c r="AD638" i="4"/>
  <c r="AD731" i="4"/>
  <c r="AF640" i="4"/>
  <c r="AD963" i="4"/>
  <c r="AF932" i="4"/>
  <c r="AD905" i="4"/>
  <c r="AD593" i="4"/>
  <c r="AF744" i="4"/>
  <c r="AD227" i="4"/>
  <c r="AF869" i="4"/>
  <c r="AD844" i="4"/>
  <c r="AF1000" i="4"/>
  <c r="AF510" i="4"/>
  <c r="AD917" i="4"/>
  <c r="AF984" i="4"/>
  <c r="AF697" i="4"/>
  <c r="AD770" i="4"/>
  <c r="AD967" i="4"/>
  <c r="AD604" i="4"/>
  <c r="AD517" i="4"/>
  <c r="AD738" i="4"/>
  <c r="AD719" i="4"/>
  <c r="AF639" i="4"/>
  <c r="AD746" i="4"/>
  <c r="AD802" i="4"/>
  <c r="AD621" i="4"/>
  <c r="AD858" i="4"/>
  <c r="AF635" i="4"/>
  <c r="AF847" i="4"/>
  <c r="AD720" i="4"/>
  <c r="AD889" i="4"/>
  <c r="AD527" i="4"/>
  <c r="AF728" i="4"/>
  <c r="AF563" i="4"/>
  <c r="AF480" i="4"/>
  <c r="AD557" i="4"/>
  <c r="AD949" i="4"/>
  <c r="AF946" i="4"/>
  <c r="AF765" i="4"/>
  <c r="AD450" i="4"/>
  <c r="AF900" i="4"/>
  <c r="AF842" i="4"/>
  <c r="AF713" i="4"/>
  <c r="AF532" i="4"/>
  <c r="AF702" i="4"/>
  <c r="AD705" i="4"/>
  <c r="AD883" i="4"/>
  <c r="AF515" i="4"/>
  <c r="AF220" i="4"/>
  <c r="AF663" i="4"/>
  <c r="AD888" i="4"/>
  <c r="AF624" i="4"/>
  <c r="AD792" i="4"/>
  <c r="AD656" i="4"/>
  <c r="AD600" i="4"/>
  <c r="AD226" i="4"/>
  <c r="AD633" i="4"/>
  <c r="AD694" i="4"/>
  <c r="AD669" i="4"/>
  <c r="AF825" i="4"/>
  <c r="AF449" i="4"/>
  <c r="AD992" i="4"/>
  <c r="AD968" i="4"/>
  <c r="AD698" i="4"/>
  <c r="AD936" i="4"/>
  <c r="AF687" i="4"/>
  <c r="AD442" i="4"/>
  <c r="AF433" i="4"/>
  <c r="AD876" i="4"/>
  <c r="AD754" i="4"/>
  <c r="AF772" i="4"/>
  <c r="AD613" i="4"/>
  <c r="AD809" i="4"/>
  <c r="AF903" i="4"/>
  <c r="AD851" i="4"/>
  <c r="AF754" i="4"/>
  <c r="AD833" i="4"/>
  <c r="AF439" i="4"/>
  <c r="AF824" i="4"/>
  <c r="AD999" i="4"/>
  <c r="AD962" i="4"/>
  <c r="AD757" i="4"/>
  <c r="AF696" i="4"/>
  <c r="AF730" i="4"/>
  <c r="AD903" i="4"/>
  <c r="AD979" i="4"/>
  <c r="AD659" i="4"/>
  <c r="AF618" i="4"/>
  <c r="AD835" i="4"/>
  <c r="AD859" i="4"/>
  <c r="AD796" i="4"/>
  <c r="AF738" i="4"/>
  <c r="AD880" i="4"/>
  <c r="AF719" i="4"/>
  <c r="AD706" i="4"/>
  <c r="AD718" i="4"/>
  <c r="AD626" i="4"/>
  <c r="AD965" i="4"/>
  <c r="AF621" i="4"/>
  <c r="AF978" i="4"/>
  <c r="AF768" i="4"/>
  <c r="AF896" i="4"/>
  <c r="AD991" i="4"/>
  <c r="AF813" i="4"/>
  <c r="AD701" i="4"/>
  <c r="AD847" i="4"/>
  <c r="AF956" i="4"/>
  <c r="AD652" i="4"/>
  <c r="AF871" i="4"/>
  <c r="AD803" i="4"/>
  <c r="AD954" i="4"/>
  <c r="AF652" i="4"/>
  <c r="AD690" i="4"/>
  <c r="AF848" i="4"/>
  <c r="AD529" i="4"/>
  <c r="AD873" i="4"/>
  <c r="AF948" i="4"/>
  <c r="AF656" i="4"/>
  <c r="AF655" i="4"/>
  <c r="AD695" i="4"/>
  <c r="AD920" i="4"/>
  <c r="AD566" i="4"/>
  <c r="AD784" i="4"/>
  <c r="AF572" i="4"/>
  <c r="AF606" i="4"/>
  <c r="AF878" i="4"/>
  <c r="AF945" i="4"/>
  <c r="AD542" i="4"/>
  <c r="AF577" i="4"/>
  <c r="AD495" i="4"/>
  <c r="AF841" i="4"/>
  <c r="AD916" i="4"/>
  <c r="AF764" i="4"/>
  <c r="AD988" i="4"/>
  <c r="AF641" i="4"/>
  <c r="AD937" i="4"/>
  <c r="AF854" i="4"/>
  <c r="AD679" i="4"/>
  <c r="AF983" i="4"/>
  <c r="AD855" i="4"/>
  <c r="AD947" i="4"/>
  <c r="AD834" i="4"/>
  <c r="AD520" i="4"/>
  <c r="AD662" i="4"/>
  <c r="AF828" i="4"/>
  <c r="AF555" i="4"/>
  <c r="AD789" i="4"/>
  <c r="AD454" i="4"/>
  <c r="AD625" i="4"/>
  <c r="AF913" i="4"/>
  <c r="AF981" i="4"/>
  <c r="AF524" i="4"/>
  <c r="AD544" i="4"/>
  <c r="AD435" i="4"/>
  <c r="AD744" i="4"/>
  <c r="AD716" i="4"/>
  <c r="AD826" i="4"/>
  <c r="AD909" i="4"/>
  <c r="AF625" i="4"/>
  <c r="AD913" i="4"/>
  <c r="AF554" i="4"/>
  <c r="AD558" i="4"/>
  <c r="AD677" i="4"/>
  <c r="AF866" i="4"/>
  <c r="AD474" i="4"/>
  <c r="AF619" i="4"/>
  <c r="AD721" i="4"/>
  <c r="AF870" i="4"/>
  <c r="AD531" i="4"/>
  <c r="AF927" i="4"/>
  <c r="AD741" i="4"/>
  <c r="AD950" i="4"/>
  <c r="AD674" i="4"/>
  <c r="AF748" i="4"/>
  <c r="AD645" i="4"/>
  <c r="AD581" i="4"/>
  <c r="AF683" i="4"/>
  <c r="AF576" i="4"/>
  <c r="AF838" i="4"/>
  <c r="AD562" i="4"/>
  <c r="AF692" i="4"/>
  <c r="AD574" i="4"/>
  <c r="AF899" i="4"/>
  <c r="AD508" i="4"/>
  <c r="AD850" i="4"/>
  <c r="AD795" i="4"/>
  <c r="AD689" i="4"/>
  <c r="AD783" i="4"/>
  <c r="AD657" i="4"/>
  <c r="AF776" i="4"/>
  <c r="AD609" i="4"/>
  <c r="AD801" i="4"/>
  <c r="AD781" i="4"/>
  <c r="AD228" i="4"/>
  <c r="AU51" i="10"/>
  <c r="AU57" i="10"/>
  <c r="AU37" i="10"/>
  <c r="AU15" i="10"/>
  <c r="AU45" i="10"/>
  <c r="AU43" i="10"/>
  <c r="AU14" i="10"/>
  <c r="AU53" i="10"/>
  <c r="AU16" i="10"/>
  <c r="AU41" i="10"/>
  <c r="AU17" i="10"/>
  <c r="AU10" i="10"/>
  <c r="AU9" i="10"/>
  <c r="AU55" i="10"/>
  <c r="AU20" i="10"/>
  <c r="AU19" i="10"/>
  <c r="AU48" i="10"/>
  <c r="AU54" i="10"/>
  <c r="AU42" i="10"/>
  <c r="AU44" i="10"/>
  <c r="AU35" i="10"/>
  <c r="AU46" i="10"/>
  <c r="AU11" i="10"/>
  <c r="AU50" i="10"/>
  <c r="AU49" i="10"/>
  <c r="AU13" i="10"/>
  <c r="AU47" i="10"/>
  <c r="AU52" i="10"/>
  <c r="AU36" i="10"/>
  <c r="AU39" i="10"/>
  <c r="AU18" i="10"/>
  <c r="AU38" i="10"/>
  <c r="AU40" i="10"/>
  <c r="AU34" i="10"/>
  <c r="AU21" i="10"/>
  <c r="AU56" i="10"/>
  <c r="AU8" i="10"/>
  <c r="AU12" i="10"/>
  <c r="AU22" i="10"/>
  <c r="AU23" i="10"/>
  <c r="AU24" i="10"/>
  <c r="AU25" i="10"/>
  <c r="AU26" i="10"/>
  <c r="AU27" i="10"/>
  <c r="AU28" i="10"/>
  <c r="AU29" i="10"/>
  <c r="AU30" i="10"/>
  <c r="AU31" i="10"/>
  <c r="AU32" i="10"/>
  <c r="AU33" i="10"/>
  <c r="AD890" i="4"/>
  <c r="AD627" i="4"/>
  <c r="AD603" i="4"/>
  <c r="AD583" i="4"/>
  <c r="AD567" i="4"/>
  <c r="AD445" i="4"/>
  <c r="AD599" i="4"/>
  <c r="AD587" i="4"/>
  <c r="AD479" i="4"/>
  <c r="AD892" i="4"/>
  <c r="AD551" i="4"/>
  <c r="AD611" i="4"/>
  <c r="AD579" i="4"/>
  <c r="AD543" i="4"/>
  <c r="AD559" i="4"/>
  <c r="AD461" i="4"/>
  <c r="AD3" i="4"/>
  <c r="AD595" i="4"/>
  <c r="AD539" i="4"/>
  <c r="AD225" i="4"/>
  <c r="N225" i="4" s="1"/>
  <c r="AD763" i="4"/>
  <c r="AD478" i="4"/>
  <c r="AD843" i="4"/>
  <c r="AD647" i="4"/>
  <c r="AD616" i="4"/>
  <c r="AD665" i="4"/>
  <c r="AD513" i="4"/>
  <c r="AD631" i="4"/>
  <c r="AD511" i="4"/>
  <c r="AD494" i="4"/>
  <c r="AD469" i="4"/>
  <c r="AD576" i="4"/>
  <c r="AD498" i="4"/>
  <c r="AD547" i="4"/>
  <c r="AD745" i="4"/>
  <c r="AD667" i="4"/>
  <c r="AD861" i="4"/>
  <c r="AD615" i="4"/>
  <c r="AD675" i="4"/>
  <c r="AD932" i="4"/>
  <c r="AD714" i="4"/>
  <c r="AD900" i="4"/>
  <c r="AD764" i="4"/>
  <c r="AD825" i="4"/>
  <c r="AD878" i="4"/>
  <c r="AD946" i="4"/>
  <c r="AD987" i="4"/>
  <c r="AD980" i="4"/>
  <c r="AD453" i="4"/>
  <c r="AD485" i="4"/>
  <c r="AD218" i="4"/>
  <c r="AD904" i="4"/>
  <c r="AD778" i="4"/>
  <c r="AD501" i="4"/>
  <c r="AD535" i="4"/>
  <c r="AD503" i="4"/>
  <c r="AD455" i="4"/>
  <c r="AD476" i="4"/>
  <c r="AD504" i="4"/>
  <c r="AD473" i="4"/>
  <c r="AD483" i="4"/>
  <c r="AD540" i="4"/>
  <c r="AD709" i="4"/>
  <c r="AD221" i="4"/>
  <c r="AD446" i="4"/>
  <c r="AD524" i="4"/>
  <c r="AD447" i="4"/>
  <c r="AD456" i="4"/>
  <c r="AD561" i="4"/>
  <c r="AD681" i="4"/>
  <c r="AD728" i="4"/>
  <c r="AD591" i="4"/>
  <c r="AD634" i="4"/>
  <c r="AD882" i="4"/>
  <c r="AD692" i="4"/>
  <c r="AD712" i="4"/>
  <c r="AD838" i="4"/>
  <c r="AD726" i="4"/>
  <c r="AD772" i="4"/>
  <c r="AD730" i="4"/>
  <c r="AD799" i="4"/>
  <c r="AD857" i="4"/>
  <c r="AD821" i="4"/>
  <c r="AD854" i="4"/>
  <c r="AD879" i="4"/>
  <c r="AD865" i="4"/>
  <c r="AD943" i="4"/>
  <c r="AD975" i="4"/>
  <c r="AD898" i="4"/>
  <c r="AD875" i="4"/>
  <c r="AD671" i="4"/>
  <c r="AD762" i="4"/>
  <c r="AD867" i="4"/>
  <c r="AD523" i="4"/>
  <c r="AD912" i="4"/>
  <c r="AD767" i="4"/>
  <c r="AD996" i="4"/>
  <c r="AD219" i="4"/>
  <c r="AD452" i="4"/>
  <c r="AD512" i="4"/>
  <c r="AD676" i="4"/>
  <c r="AD439" i="4"/>
  <c r="AD601" i="4"/>
  <c r="AD632" i="4"/>
  <c r="AD735" i="4"/>
  <c r="AD620" i="4"/>
  <c r="AD828" i="4"/>
  <c r="AD661" i="4"/>
  <c r="AD449" i="4"/>
  <c r="AD564" i="4"/>
  <c r="AD457" i="4"/>
  <c r="AD541" i="4"/>
  <c r="AD470" i="4"/>
  <c r="AD584" i="4"/>
  <c r="AD723" i="4"/>
  <c r="AD658" i="4"/>
  <c r="AD779" i="4"/>
  <c r="AD960" i="4"/>
  <c r="AD914" i="4"/>
  <c r="AD860" i="4"/>
  <c r="AD490" i="4"/>
  <c r="AD462" i="4"/>
  <c r="AD509" i="4"/>
  <c r="AD472" i="4"/>
  <c r="AD444" i="4"/>
  <c r="AD484" i="4"/>
  <c r="AD451" i="4"/>
  <c r="AD486" i="4"/>
  <c r="AD592" i="4"/>
  <c r="AD648" i="4"/>
  <c r="AD489" i="4"/>
  <c r="AD516" i="4"/>
  <c r="AD530" i="4"/>
  <c r="AD481" i="4"/>
  <c r="AD572" i="4"/>
  <c r="AD612" i="4"/>
  <c r="AD628" i="4"/>
  <c r="AD756" i="4"/>
  <c r="AD534" i="4"/>
  <c r="AD691" i="4"/>
  <c r="AD773" i="4"/>
  <c r="AD807" i="4"/>
  <c r="AD853" i="4"/>
  <c r="AD931" i="4"/>
  <c r="AD578" i="4"/>
  <c r="AD602" i="4"/>
  <c r="AD766" i="4"/>
  <c r="AD552" i="4"/>
  <c r="AD863" i="4"/>
  <c r="AD623" i="4"/>
  <c r="AD619" i="4"/>
  <c r="AD655" i="4"/>
  <c r="AD683" i="4"/>
  <c r="AD670" i="4"/>
  <c r="AD771" i="4"/>
  <c r="AD829" i="4"/>
  <c r="AD787" i="4"/>
  <c r="AD918" i="4"/>
  <c r="AD884" i="4"/>
  <c r="AD919" i="4"/>
  <c r="AD997" i="4"/>
  <c r="AD223" i="4"/>
  <c r="AD502" i="4"/>
  <c r="AD673" i="4"/>
  <c r="AD482" i="4"/>
  <c r="AD537" i="4"/>
  <c r="AD536" i="4"/>
  <c r="AD549" i="4"/>
  <c r="AD580" i="4"/>
  <c r="AD589" i="4"/>
  <c r="AD653" i="4"/>
  <c r="AD749" i="4"/>
  <c r="AD939" i="4"/>
  <c r="AD760" i="4"/>
  <c r="AD791" i="4"/>
  <c r="AD836" i="4"/>
  <c r="AD586" i="4"/>
  <c r="AD610" i="4"/>
  <c r="AD822" i="4"/>
  <c r="AD869" i="4"/>
  <c r="AD923" i="4"/>
  <c r="AD777" i="4"/>
  <c r="AD839" i="4"/>
  <c r="AD893" i="4"/>
  <c r="AD743" i="4"/>
  <c r="AD922" i="4"/>
  <c r="AD993" i="4"/>
  <c r="AD800" i="4"/>
  <c r="AD682" i="4"/>
  <c r="AD466" i="4"/>
  <c r="AD533" i="4"/>
  <c r="AD663" i="4"/>
  <c r="AD748" i="4"/>
  <c r="AD940" i="4"/>
  <c r="AD569" i="4"/>
  <c r="AD820" i="4"/>
  <c r="AD845" i="4"/>
  <c r="AD465" i="4"/>
  <c r="AD528" i="4"/>
  <c r="AD556" i="4"/>
  <c r="AD596" i="4"/>
  <c r="AD678" i="4"/>
  <c r="AD707" i="4"/>
  <c r="AD646" i="4"/>
  <c r="AD891" i="4"/>
  <c r="AD788" i="4"/>
  <c r="AD727" i="4"/>
  <c r="AD815" i="4"/>
  <c r="AD887" i="4"/>
  <c r="AD911" i="4"/>
  <c r="AD901" i="4"/>
  <c r="AD998" i="4"/>
  <c r="AD818" i="4"/>
  <c r="AD921" i="4"/>
  <c r="AD505" i="4"/>
  <c r="AD468" i="4"/>
  <c r="AD463" i="4"/>
  <c r="AD758" i="4"/>
  <c r="AD761" i="4"/>
  <c r="AD994" i="4"/>
  <c r="AD848" i="4"/>
  <c r="AD935" i="4"/>
  <c r="AD693" i="4"/>
  <c r="AD842" i="4"/>
  <c r="AD908" i="4"/>
  <c r="AD840" i="4"/>
  <c r="AD740" i="4"/>
  <c r="AD496" i="4"/>
  <c r="AD644" i="4"/>
  <c r="AD805" i="4"/>
  <c r="AD830" i="4"/>
  <c r="AD881" i="4"/>
  <c r="AD624" i="4"/>
  <c r="AD222" i="4"/>
  <c r="AD510" i="4"/>
  <c r="AD220" i="4"/>
  <c r="AD545" i="4"/>
  <c r="AD930" i="4"/>
  <c r="AD696" i="4"/>
  <c r="AD750" i="4"/>
  <c r="AD798" i="4"/>
  <c r="AD780" i="4"/>
  <c r="AD956" i="4"/>
  <c r="AD715" i="4"/>
  <c r="AD506" i="4"/>
  <c r="AD872" i="4"/>
  <c r="AD488" i="4"/>
  <c r="AD507" i="4"/>
  <c r="AD732" i="4"/>
  <c r="AD443" i="4"/>
  <c r="AD471" i="4"/>
  <c r="AD560" i="4"/>
  <c r="AD499" i="4"/>
  <c r="AD519" i="4"/>
  <c r="AD522" i="4"/>
  <c r="AD837" i="4"/>
  <c r="AD862" i="4"/>
  <c r="AD548" i="4"/>
  <c r="AD636" i="4"/>
  <c r="AD570" i="4"/>
  <c r="AD734" i="4"/>
  <c r="AD852" i="4"/>
  <c r="AD759" i="4"/>
  <c r="AD938" i="4"/>
  <c r="AD961" i="4"/>
  <c r="AD969" i="4"/>
  <c r="AD1001" i="4"/>
  <c r="AD816" i="4"/>
  <c r="AD926" i="4"/>
  <c r="AD933" i="4"/>
  <c r="AD571" i="4"/>
  <c r="AD555" i="4"/>
  <c r="AD649" i="4"/>
  <c r="AD948" i="4"/>
  <c r="AD704" i="4"/>
  <c r="AD441" i="4"/>
  <c r="AD585" i="4"/>
  <c r="AD521" i="4"/>
  <c r="AD565" i="4"/>
  <c r="AD605" i="4"/>
  <c r="AD660" i="4"/>
  <c r="AD742" i="4"/>
  <c r="AD590" i="4"/>
  <c r="AD711" i="4"/>
  <c r="AD785" i="4"/>
  <c r="AD934" i="4"/>
  <c r="AD775" i="4"/>
  <c r="AD608" i="4"/>
  <c r="AD515" i="4"/>
  <c r="AD846" i="4"/>
  <c r="AD751" i="4"/>
  <c r="AD487" i="4"/>
  <c r="AD664" i="4"/>
  <c r="AD459" i="4"/>
  <c r="AD680" i="4"/>
  <c r="AD538" i="4"/>
  <c r="AD737" i="4"/>
  <c r="AD874" i="4"/>
  <c r="AD871" i="4"/>
  <c r="AD594" i="4"/>
  <c r="AD823" i="4"/>
  <c r="AD915" i="4"/>
  <c r="AD985" i="4"/>
  <c r="AD793" i="4"/>
  <c r="AD864" i="4"/>
  <c r="AD989" i="4"/>
  <c r="H39" i="3"/>
  <c r="F20" i="9" s="1"/>
  <c r="AW14" i="10"/>
  <c r="AW51" i="10"/>
  <c r="AW53" i="10"/>
  <c r="AW15" i="10"/>
  <c r="AW37" i="10"/>
  <c r="AW45" i="10"/>
  <c r="AW43" i="10"/>
  <c r="AW57" i="10"/>
  <c r="AW50" i="10"/>
  <c r="AW39" i="10"/>
  <c r="AW13" i="10"/>
  <c r="AW40" i="10"/>
  <c r="AW42" i="10"/>
  <c r="AW34" i="10"/>
  <c r="AW52" i="10"/>
  <c r="AW56" i="10"/>
  <c r="AW8" i="10"/>
  <c r="AW16" i="10"/>
  <c r="AW49" i="10"/>
  <c r="AW38" i="10"/>
  <c r="AW21" i="10"/>
  <c r="AW36" i="10"/>
  <c r="AW9" i="10"/>
  <c r="AW55" i="10"/>
  <c r="AW18" i="10"/>
  <c r="AW19" i="10"/>
  <c r="AW48" i="10"/>
  <c r="AW17" i="10"/>
  <c r="AW35" i="10"/>
  <c r="AW46" i="10"/>
  <c r="AW12" i="10"/>
  <c r="AW10" i="10"/>
  <c r="AW41" i="10"/>
  <c r="AW20" i="10"/>
  <c r="AW54" i="10"/>
  <c r="AW47" i="10"/>
  <c r="AW44" i="10"/>
  <c r="AW11" i="10"/>
  <c r="AW22" i="10"/>
  <c r="AW23" i="10"/>
  <c r="AW24" i="10"/>
  <c r="AW25" i="10"/>
  <c r="AW26" i="10"/>
  <c r="AW27" i="10"/>
  <c r="AW28" i="10"/>
  <c r="AW29" i="10"/>
  <c r="AW30" i="10"/>
  <c r="AW31" i="10"/>
  <c r="AW32" i="10"/>
  <c r="AW33" i="10"/>
  <c r="AF3" i="4"/>
  <c r="AF994" i="4"/>
  <c r="AF926" i="4"/>
  <c r="AF843" i="4"/>
  <c r="AF785" i="4"/>
  <c r="AF734" i="4"/>
  <c r="AF711" i="4"/>
  <c r="AF610" i="4"/>
  <c r="AF578" i="4"/>
  <c r="AF549" i="4"/>
  <c r="AF501" i="4"/>
  <c r="AF465" i="4"/>
  <c r="AF759" i="4"/>
  <c r="AF482" i="4"/>
  <c r="AF998" i="4"/>
  <c r="AF934" i="4"/>
  <c r="AF840" i="4"/>
  <c r="AF602" i="4"/>
  <c r="AF483" i="4"/>
  <c r="AF451" i="4"/>
  <c r="AF938" i="4"/>
  <c r="AF922" i="4"/>
  <c r="AF788" i="4"/>
  <c r="AF737" i="4"/>
  <c r="AF589" i="4"/>
  <c r="AF586" i="4"/>
  <c r="AF570" i="4"/>
  <c r="AF565" i="4"/>
  <c r="AF499" i="4"/>
  <c r="AF481" i="4"/>
  <c r="AF468" i="4"/>
  <c r="AF218" i="4"/>
  <c r="AF673" i="4"/>
  <c r="AF594" i="4"/>
  <c r="AF523" i="4"/>
  <c r="AF221" i="4"/>
  <c r="AF780" i="4"/>
  <c r="AF727" i="4"/>
  <c r="AF653" i="4"/>
  <c r="AF605" i="4"/>
  <c r="AF516" i="4"/>
  <c r="AF462" i="4"/>
  <c r="AF539" i="4"/>
  <c r="AF224" i="4"/>
  <c r="AF729" i="4"/>
  <c r="AF917" i="4"/>
  <c r="AF446" i="4"/>
  <c r="AF795" i="4"/>
  <c r="AF645" i="4"/>
  <c r="AF637" i="4"/>
  <c r="AF521" i="4"/>
  <c r="AF654" i="4"/>
  <c r="AF736" i="4"/>
  <c r="AF763" i="4"/>
  <c r="AF695" i="4"/>
  <c r="AF703" i="4"/>
  <c r="AF721" i="4"/>
  <c r="AF720" i="4"/>
  <c r="AF757" i="4"/>
  <c r="AF774" i="4"/>
  <c r="AF817" i="4"/>
  <c r="AF810" i="4"/>
  <c r="AF949" i="4"/>
  <c r="AF855" i="4"/>
  <c r="AF929" i="4"/>
  <c r="AF1002" i="4"/>
  <c r="AF999" i="4"/>
  <c r="AF967" i="4"/>
  <c r="AF947" i="4"/>
  <c r="AF964" i="4"/>
  <c r="AF800" i="4"/>
  <c r="AF646" i="4"/>
  <c r="AF912" i="4"/>
  <c r="AF767" i="4"/>
  <c r="AF996" i="4"/>
  <c r="AF219" i="4"/>
  <c r="AF223" i="4"/>
  <c r="AF444" i="4"/>
  <c r="AF507" i="4"/>
  <c r="AF443" i="4"/>
  <c r="AF544" i="4"/>
  <c r="AF735" i="4"/>
  <c r="AF226" i="4"/>
  <c r="AF436" i="4"/>
  <c r="AF437" i="4"/>
  <c r="AF531" i="4"/>
  <c r="AF581" i="4"/>
  <c r="AF500" i="4"/>
  <c r="AF542" i="4"/>
  <c r="AF803" i="4"/>
  <c r="AF778" i="4"/>
  <c r="AF674" i="4"/>
  <c r="AF662" i="4"/>
  <c r="AF889" i="4"/>
  <c r="AF651" i="4"/>
  <c r="AF698" i="4"/>
  <c r="AF850" i="4"/>
  <c r="AF686" i="4"/>
  <c r="AF790" i="4"/>
  <c r="AF782" i="4"/>
  <c r="AF886" i="4"/>
  <c r="AF951" i="4"/>
  <c r="AF942" i="4"/>
  <c r="AF950" i="4"/>
  <c r="AF988" i="4"/>
  <c r="AF955" i="4"/>
  <c r="AF453" i="4"/>
  <c r="AF485" i="4"/>
  <c r="AF867" i="4"/>
  <c r="AF490" i="4"/>
  <c r="AF815" i="4"/>
  <c r="AF514" i="4"/>
  <c r="AF924" i="4"/>
  <c r="AF472" i="4"/>
  <c r="AF503" i="4"/>
  <c r="AF455" i="4"/>
  <c r="AF505" i="4"/>
  <c r="AF732" i="4"/>
  <c r="AF441" i="4"/>
  <c r="AF448" i="4"/>
  <c r="AF486" i="4"/>
  <c r="AF540" i="4"/>
  <c r="AF479" i="4"/>
  <c r="AF585" i="4"/>
  <c r="AF664" i="4"/>
  <c r="AF474" i="4"/>
  <c r="AF743" i="4"/>
  <c r="AF434" i="4"/>
  <c r="AF786" i="4"/>
  <c r="AF573" i="4"/>
  <c r="AF794" i="4"/>
  <c r="AF467" i="4"/>
  <c r="AF626" i="4"/>
  <c r="AF613" i="4"/>
  <c r="AF672" i="4"/>
  <c r="AF731" i="4"/>
  <c r="AF710" i="4"/>
  <c r="AF819" i="4"/>
  <c r="AF832" i="4"/>
  <c r="AF937" i="4"/>
  <c r="AF883" i="4"/>
  <c r="AF957" i="4"/>
  <c r="AF995" i="4"/>
  <c r="AF986" i="4"/>
  <c r="AF537" i="4"/>
  <c r="AF590" i="4"/>
  <c r="AF487" i="4"/>
  <c r="AF709" i="4"/>
  <c r="AF601" i="4"/>
  <c r="AF740" i="4"/>
  <c r="AF438" i="4"/>
  <c r="AF496" i="4"/>
  <c r="AF519" i="4"/>
  <c r="AF627" i="4"/>
  <c r="AF758" i="4"/>
  <c r="AF862" i="4"/>
  <c r="AF535" i="4"/>
  <c r="AF528" i="4"/>
  <c r="AF548" i="4"/>
  <c r="AF644" i="4"/>
  <c r="AF678" i="4"/>
  <c r="AF742" i="4"/>
  <c r="AF761" i="4"/>
  <c r="AF551" i="4"/>
  <c r="AF567" i="4"/>
  <c r="AF599" i="4"/>
  <c r="AF836" i="4"/>
  <c r="AF977" i="4"/>
  <c r="AF509" i="4"/>
  <c r="AF518" i="4"/>
  <c r="AF557" i="4"/>
  <c r="AF494" i="4"/>
  <c r="AF562" i="4"/>
  <c r="AF493" i="4"/>
  <c r="AF604" i="4"/>
  <c r="AF811" i="4"/>
  <c r="AF550" i="4"/>
  <c r="AF657" i="4"/>
  <c r="AF834" i="4"/>
  <c r="AF966" i="4"/>
  <c r="AF801" i="4"/>
  <c r="AF701" i="4"/>
  <c r="AF894" i="4"/>
  <c r="AF973" i="4"/>
  <c r="AF958" i="4"/>
  <c r="AF982" i="4"/>
  <c r="AF671" i="4"/>
  <c r="AF908" i="4"/>
  <c r="AF622" i="4"/>
  <c r="AF904" i="4"/>
  <c r="AF445" i="4"/>
  <c r="AF940" i="4"/>
  <c r="AF463" i="4"/>
  <c r="AF676" i="4"/>
  <c r="AF560" i="4"/>
  <c r="AF569" i="4"/>
  <c r="AF608" i="4"/>
  <c r="AF820" i="4"/>
  <c r="AF452" i="4"/>
  <c r="AF522" i="4"/>
  <c r="AF538" i="4"/>
  <c r="AF579" i="4"/>
  <c r="AF595" i="4"/>
  <c r="AF611" i="4"/>
  <c r="AF845" i="4"/>
  <c r="AF556" i="4"/>
  <c r="AF596" i="4"/>
  <c r="AF636" i="4"/>
  <c r="AF660" i="4"/>
  <c r="AF712" i="4"/>
  <c r="AF756" i="4"/>
  <c r="AF874" i="4"/>
  <c r="AF853" i="4"/>
  <c r="AF931" i="4"/>
  <c r="AF779" i="4"/>
  <c r="AF830" i="4"/>
  <c r="AF746" i="4"/>
  <c r="AF985" i="4"/>
  <c r="AF1001" i="4"/>
  <c r="AF225" i="4"/>
  <c r="AF816" i="4"/>
  <c r="AF694" i="4"/>
  <c r="AF739" i="4"/>
  <c r="AF887" i="4"/>
  <c r="AF928" i="4"/>
  <c r="AF970" i="4"/>
  <c r="AF963" i="4"/>
  <c r="AF715" i="4"/>
  <c r="AF506" i="4"/>
  <c r="AF476" i="4"/>
  <c r="AF473" i="4"/>
  <c r="AF541" i="4"/>
  <c r="AF552" i="4"/>
  <c r="AF632" i="4"/>
  <c r="AF459" i="4"/>
  <c r="AF680" i="4"/>
  <c r="AF547" i="4"/>
  <c r="AF628" i="4"/>
  <c r="AF749" i="4"/>
  <c r="AF939" i="4"/>
  <c r="AF681" i="4"/>
  <c r="AF791" i="4"/>
  <c r="AF805" i="4"/>
  <c r="AF852" i="4"/>
  <c r="AF682" i="4"/>
  <c r="AF839" i="4"/>
  <c r="AF915" i="4"/>
  <c r="AF961" i="4"/>
  <c r="AF969" i="4"/>
  <c r="AF892" i="4"/>
  <c r="AF933" i="4"/>
  <c r="AF751" i="4"/>
  <c r="AF864" i="4"/>
  <c r="AF512" i="4"/>
  <c r="AF489" i="4"/>
  <c r="AF837" i="4"/>
  <c r="AF620" i="4"/>
  <c r="AF773" i="4"/>
  <c r="AF822" i="4"/>
  <c r="AF923" i="4"/>
  <c r="AF762" i="4"/>
  <c r="AF893" i="4"/>
  <c r="AF989" i="4"/>
  <c r="AF792" i="4"/>
  <c r="AF456" i="4"/>
  <c r="AF484" i="4"/>
  <c r="AF587" i="4"/>
  <c r="AF901" i="4"/>
  <c r="AF574" i="4"/>
  <c r="AF609" i="4"/>
  <c r="AF872" i="4"/>
  <c r="AF629" i="4"/>
  <c r="AF876" i="4"/>
  <c r="AF849" i="4"/>
  <c r="AF959" i="4"/>
  <c r="AF897" i="4"/>
  <c r="AF979" i="4"/>
  <c r="AF793" i="4"/>
  <c r="AF461" i="4"/>
  <c r="AF504" i="4"/>
  <c r="AF447" i="4"/>
  <c r="AF592" i="4"/>
  <c r="AF580" i="4"/>
  <c r="AF612" i="4"/>
  <c r="AF583" i="4"/>
  <c r="AF691" i="4"/>
  <c r="AF823" i="4"/>
  <c r="AF993" i="4"/>
  <c r="AF911" i="4"/>
  <c r="AF875" i="4"/>
  <c r="AF458" i="4"/>
  <c r="AF650" i="4"/>
  <c r="AF705" i="4"/>
  <c r="AF766" i="4"/>
  <c r="AF797" i="4"/>
  <c r="AF960" i="4"/>
  <c r="AF990" i="4"/>
  <c r="AF860" i="4"/>
  <c r="AF469" i="4"/>
  <c r="AF471" i="4"/>
  <c r="AF648" i="4"/>
  <c r="AF508" i="4"/>
  <c r="AF530" i="4"/>
  <c r="AF603" i="4"/>
  <c r="AF559" i="4"/>
  <c r="AF760" i="4"/>
  <c r="AF807" i="4"/>
  <c r="AF714" i="4"/>
  <c r="AF478" i="4"/>
  <c r="AF755" i="4"/>
  <c r="AF724" i="4"/>
  <c r="AF890" i="4"/>
  <c r="AF520" i="4"/>
  <c r="AF707" i="4"/>
  <c r="AF543" i="4"/>
  <c r="AF726" i="4"/>
  <c r="AF814" i="4"/>
  <c r="AF891" i="4"/>
  <c r="AF905" i="4"/>
  <c r="AF935" i="4"/>
  <c r="AF881" i="4"/>
  <c r="AD722" i="4"/>
  <c r="AF992" i="4"/>
  <c r="AF513" i="4"/>
  <c r="AF799" i="4"/>
  <c r="AF968" i="4"/>
  <c r="AF936" i="4"/>
  <c r="AD1000" i="4"/>
  <c r="AF222" i="4"/>
  <c r="AF442" i="4"/>
  <c r="AD819" i="4"/>
  <c r="AF846" i="4"/>
  <c r="AF600" i="4"/>
  <c r="AF741" i="4"/>
  <c r="AD877" i="4"/>
  <c r="AF991" i="4"/>
  <c r="AF642" i="4"/>
  <c r="AF787" i="4"/>
  <c r="AF833" i="4"/>
  <c r="AD651" i="4"/>
  <c r="AF750" i="4"/>
  <c r="AD824" i="4"/>
  <c r="AF962" i="4"/>
  <c r="AD688" i="4"/>
  <c r="AD786" i="4"/>
  <c r="AF880" i="4"/>
  <c r="AF517" i="4"/>
  <c r="AD546" i="4"/>
  <c r="AF835" i="4"/>
  <c r="AD952" i="4"/>
  <c r="AF796" i="4"/>
  <c r="AD906" i="4"/>
  <c r="AF661" i="4"/>
  <c r="AF575" i="4"/>
  <c r="AF706" i="4"/>
  <c r="AD910" i="4"/>
  <c r="AD902" i="4"/>
  <c r="AD769" i="4"/>
  <c r="AF858" i="4"/>
  <c r="AD768" i="4"/>
  <c r="AF630" i="4"/>
  <c r="AD896" i="4"/>
  <c r="AD493" i="4"/>
  <c r="AD813" i="4"/>
  <c r="AF827" i="4"/>
  <c r="AF584" i="4"/>
  <c r="AD831" i="4"/>
  <c r="AF954" i="4"/>
  <c r="AD907" i="4"/>
  <c r="AF497" i="4"/>
  <c r="AF690" i="4"/>
  <c r="AD440" i="4"/>
  <c r="AF615" i="4"/>
  <c r="AD554" i="4"/>
  <c r="AF440" i="4"/>
  <c r="AD491" i="4"/>
  <c r="AF857" i="4"/>
  <c r="AD797" i="4"/>
  <c r="AF920" i="4"/>
  <c r="AD765" i="4"/>
  <c r="AF784" i="4"/>
  <c r="AF971" i="4"/>
  <c r="AF717" i="4"/>
  <c r="AD832" i="4"/>
  <c r="AD806" i="4"/>
  <c r="AF649" i="4"/>
  <c r="AD606" i="4"/>
  <c r="AF916" i="4"/>
  <c r="AF638" i="4"/>
  <c r="AF566" i="4"/>
  <c r="AD475" i="4"/>
  <c r="AD945" i="4"/>
  <c r="AD532" i="4"/>
  <c r="AD841" i="4"/>
  <c r="AD928" i="4"/>
  <c r="AF821" i="4"/>
  <c r="AF623" i="4"/>
  <c r="AD955" i="4"/>
  <c r="AF856" i="4"/>
  <c r="AD929" i="4"/>
  <c r="AD953" i="4"/>
  <c r="AF675" i="4"/>
  <c r="AD736" i="4"/>
  <c r="AF647" i="4"/>
  <c r="AF777" i="4"/>
  <c r="AD924" i="4"/>
  <c r="AF616" i="4"/>
  <c r="AF667" i="4"/>
  <c r="AD573" i="4"/>
  <c r="AD894" i="4"/>
  <c r="AD856" i="4"/>
  <c r="AF693" i="4"/>
  <c r="AD708" i="4"/>
  <c r="AD629" i="4"/>
  <c r="AF941" i="4"/>
  <c r="AF460" i="4"/>
  <c r="AF668" i="4"/>
  <c r="AF545" i="4"/>
  <c r="AF435" i="4"/>
  <c r="AD753" i="4"/>
  <c r="AF888" i="4"/>
  <c r="AF582" i="4"/>
  <c r="AF470" i="4"/>
  <c r="AF477" i="4"/>
  <c r="AF700" i="4"/>
  <c r="AF812" i="4"/>
  <c r="AF558" i="4"/>
  <c r="AF677" i="4"/>
  <c r="AD687" i="4"/>
  <c r="AF704" i="4"/>
  <c r="AD814" i="4"/>
  <c r="AF919" i="4"/>
  <c r="AF972" i="4"/>
  <c r="AD964" i="4"/>
  <c r="AD810" i="4"/>
  <c r="AF804" i="4"/>
  <c r="AF882" i="4"/>
  <c r="AD957" i="4"/>
  <c r="AD224" i="4"/>
  <c r="AD480" i="4"/>
  <c r="AF464" i="4"/>
  <c r="AD685" i="4"/>
  <c r="AF488" i="4"/>
  <c r="AD467" i="4"/>
  <c r="AF685" i="4"/>
  <c r="AF598" i="4"/>
  <c r="AD526" i="4"/>
  <c r="AD436" i="4"/>
  <c r="AF457" i="4"/>
  <c r="AD672" i="4"/>
  <c r="AF689" i="4"/>
  <c r="AF907" i="4"/>
  <c r="AF665" i="4"/>
  <c r="AD514" i="4"/>
  <c r="AD995" i="4"/>
  <c r="AD804" i="4"/>
  <c r="AF227" i="4"/>
  <c r="AE39" i="10"/>
  <c r="AG39" i="10" s="1"/>
  <c r="AB42" i="10"/>
  <c r="S41" i="10"/>
  <c r="T41" i="10" s="1"/>
  <c r="AJ38" i="10"/>
  <c r="Z41" i="10"/>
  <c r="AD41" i="10" s="1"/>
  <c r="AE40" i="10"/>
  <c r="O220" i="4"/>
  <c r="N220" i="4"/>
  <c r="N227" i="4"/>
  <c r="O227" i="4"/>
  <c r="P12" i="4"/>
  <c r="P227" i="4"/>
  <c r="N224" i="4"/>
  <c r="O224" i="4"/>
  <c r="O222" i="4"/>
  <c r="N222" i="4"/>
  <c r="N226" i="4"/>
  <c r="O226" i="4"/>
  <c r="I14" i="4"/>
  <c r="I229" i="4"/>
  <c r="J229" i="4"/>
  <c r="K229" i="4"/>
  <c r="J14" i="4"/>
  <c r="K14" i="4"/>
  <c r="AG229" i="4"/>
  <c r="AI229" i="4" s="1"/>
  <c r="AJ228" i="4"/>
  <c r="AK228" i="4"/>
  <c r="AI228" i="4"/>
  <c r="AE228" i="4"/>
  <c r="AF228" i="4"/>
  <c r="R229" i="4"/>
  <c r="Q230" i="4"/>
  <c r="M230" i="4"/>
  <c r="U230" i="4"/>
  <c r="V230" i="4"/>
  <c r="R14" i="4"/>
  <c r="AJ13" i="4"/>
  <c r="AI13" i="4"/>
  <c r="AK13" i="4"/>
  <c r="Q15" i="4"/>
  <c r="M15" i="4"/>
  <c r="V15" i="4"/>
  <c r="U15" i="4"/>
  <c r="AG14" i="4"/>
  <c r="AE4" i="4"/>
  <c r="M23" i="10" l="1"/>
  <c r="N23" i="10"/>
  <c r="M19" i="10"/>
  <c r="N19" i="10"/>
  <c r="M22" i="10"/>
  <c r="N22" i="10"/>
  <c r="N18" i="10"/>
  <c r="M18" i="10"/>
  <c r="M11" i="10"/>
  <c r="N11" i="10"/>
  <c r="M20" i="10"/>
  <c r="N20" i="10"/>
  <c r="N14" i="10"/>
  <c r="M14" i="10"/>
  <c r="N29" i="10"/>
  <c r="M29" i="10"/>
  <c r="M28" i="10"/>
  <c r="N28" i="10"/>
  <c r="N8" i="10"/>
  <c r="M8" i="10"/>
  <c r="N9" i="10"/>
  <c r="M9" i="10"/>
  <c r="M27" i="10"/>
  <c r="N27" i="10"/>
  <c r="N10" i="10"/>
  <c r="M10" i="10"/>
  <c r="N15" i="10"/>
  <c r="M15" i="10"/>
  <c r="N26" i="10"/>
  <c r="M26" i="10"/>
  <c r="M21" i="10"/>
  <c r="N21" i="10"/>
  <c r="M17" i="10"/>
  <c r="N17" i="10"/>
  <c r="N12" i="10"/>
  <c r="M12" i="10"/>
  <c r="M25" i="10"/>
  <c r="N25" i="10"/>
  <c r="N13" i="10"/>
  <c r="M13" i="10"/>
  <c r="M24" i="10"/>
  <c r="N24" i="10"/>
  <c r="N16" i="10"/>
  <c r="M16" i="10"/>
  <c r="F19" i="9"/>
  <c r="C20" i="9"/>
  <c r="AF39" i="10"/>
  <c r="AJ39" i="10" s="1"/>
  <c r="AB43" i="10"/>
  <c r="S42" i="10"/>
  <c r="T42" i="10" s="1"/>
  <c r="AE41" i="10"/>
  <c r="AF41" i="10" s="1"/>
  <c r="AF40" i="10"/>
  <c r="AG40" i="10"/>
  <c r="Z42" i="10"/>
  <c r="P13" i="4"/>
  <c r="P228" i="4"/>
  <c r="O228" i="4"/>
  <c r="N228" i="4"/>
  <c r="I15" i="4"/>
  <c r="I230" i="4"/>
  <c r="J230" i="4"/>
  <c r="K230" i="4"/>
  <c r="J15" i="4"/>
  <c r="K15" i="4"/>
  <c r="AK229" i="4"/>
  <c r="AE229" i="4"/>
  <c r="AG230" i="4"/>
  <c r="AK230" i="4" s="1"/>
  <c r="AF229" i="4"/>
  <c r="AJ229" i="4"/>
  <c r="AD229" i="4"/>
  <c r="R230" i="4"/>
  <c r="Q231" i="4"/>
  <c r="M231" i="4"/>
  <c r="U231" i="4"/>
  <c r="V231" i="4"/>
  <c r="R15" i="4"/>
  <c r="AJ14" i="4"/>
  <c r="AK14" i="4"/>
  <c r="AI14" i="4"/>
  <c r="AG15" i="4"/>
  <c r="Q16" i="4"/>
  <c r="M16" i="4"/>
  <c r="V16" i="4"/>
  <c r="U16" i="4"/>
  <c r="AD4" i="4"/>
  <c r="AF4" i="4"/>
  <c r="AB44" i="10" l="1"/>
  <c r="S43" i="10"/>
  <c r="T43" i="10" s="1"/>
  <c r="AG41" i="10"/>
  <c r="AJ41" i="10" s="1"/>
  <c r="AJ40" i="10"/>
  <c r="AD42" i="10"/>
  <c r="Z43" i="10"/>
  <c r="N4" i="4"/>
  <c r="O4" i="4"/>
  <c r="P14" i="4"/>
  <c r="P229" i="4"/>
  <c r="O229" i="4"/>
  <c r="N229" i="4"/>
  <c r="I16" i="4"/>
  <c r="I231" i="4"/>
  <c r="K16" i="4"/>
  <c r="J16" i="4"/>
  <c r="J231" i="4"/>
  <c r="K231" i="4"/>
  <c r="AD230" i="4"/>
  <c r="AJ230" i="4"/>
  <c r="AI230" i="4"/>
  <c r="AF230" i="4"/>
  <c r="R231" i="4"/>
  <c r="AE230" i="4"/>
  <c r="AG231" i="4"/>
  <c r="Q232" i="4"/>
  <c r="M232" i="4"/>
  <c r="V232" i="4"/>
  <c r="U232" i="4"/>
  <c r="AG16" i="4"/>
  <c r="AJ16" i="4" s="1"/>
  <c r="R16" i="4"/>
  <c r="M17" i="4"/>
  <c r="Q17" i="4"/>
  <c r="V17" i="4"/>
  <c r="U17" i="4"/>
  <c r="AJ15" i="4"/>
  <c r="AI15" i="4"/>
  <c r="AK15" i="4"/>
  <c r="AF5" i="4"/>
  <c r="AE6" i="4"/>
  <c r="AB45" i="10" l="1"/>
  <c r="S44" i="10"/>
  <c r="T44" i="10" s="1"/>
  <c r="AD43" i="10"/>
  <c r="Z44" i="10"/>
  <c r="AE42" i="10"/>
  <c r="P15" i="4"/>
  <c r="P230" i="4"/>
  <c r="O230" i="4"/>
  <c r="N230" i="4"/>
  <c r="I17" i="4"/>
  <c r="I232" i="4"/>
  <c r="J17" i="4"/>
  <c r="K17" i="4"/>
  <c r="K232" i="4"/>
  <c r="J232" i="4"/>
  <c r="AK16" i="4"/>
  <c r="AG232" i="4"/>
  <c r="AJ232" i="4" s="1"/>
  <c r="AI16" i="4"/>
  <c r="P16" i="4" s="1"/>
  <c r="AJ231" i="4"/>
  <c r="AK231" i="4"/>
  <c r="AI231" i="4"/>
  <c r="AE231" i="4"/>
  <c r="AF231" i="4"/>
  <c r="AD231" i="4"/>
  <c r="R17" i="4"/>
  <c r="R232" i="4"/>
  <c r="Q233" i="4"/>
  <c r="M233" i="4"/>
  <c r="V233" i="4"/>
  <c r="U233" i="4"/>
  <c r="AG17" i="4"/>
  <c r="Q18" i="4"/>
  <c r="M18" i="4"/>
  <c r="V18" i="4"/>
  <c r="U18" i="4"/>
  <c r="AD5" i="4"/>
  <c r="AE5" i="4"/>
  <c r="AD6" i="4"/>
  <c r="AF6" i="4"/>
  <c r="O6" i="4" s="1"/>
  <c r="AB46" i="10" l="1"/>
  <c r="S45" i="10"/>
  <c r="T45" i="10" s="1"/>
  <c r="AE43" i="10"/>
  <c r="AF42" i="10"/>
  <c r="AG42" i="10"/>
  <c r="AD44" i="10"/>
  <c r="Z45" i="10"/>
  <c r="N6" i="4"/>
  <c r="O5" i="4"/>
  <c r="N5" i="4"/>
  <c r="O231" i="4"/>
  <c r="N231" i="4"/>
  <c r="I233" i="4"/>
  <c r="P233" i="4"/>
  <c r="N233" i="4"/>
  <c r="O233" i="4"/>
  <c r="P231" i="4"/>
  <c r="I18" i="4"/>
  <c r="K233" i="4"/>
  <c r="J233" i="4"/>
  <c r="J18" i="4"/>
  <c r="K18" i="4"/>
  <c r="AD232" i="4"/>
  <c r="AE232" i="4"/>
  <c r="AI232" i="4"/>
  <c r="AK232" i="4"/>
  <c r="AG233" i="4"/>
  <c r="AJ233" i="4" s="1"/>
  <c r="AF232" i="4"/>
  <c r="R233" i="4"/>
  <c r="Q234" i="4"/>
  <c r="M234" i="4"/>
  <c r="U234" i="4"/>
  <c r="V234" i="4"/>
  <c r="AG18" i="4"/>
  <c r="AK18" i="4" s="1"/>
  <c r="R18" i="4"/>
  <c r="M19" i="4"/>
  <c r="Q19" i="4"/>
  <c r="U19" i="4"/>
  <c r="V19" i="4"/>
  <c r="AJ17" i="4"/>
  <c r="AI17" i="4"/>
  <c r="AK17" i="4"/>
  <c r="AD7" i="4"/>
  <c r="AE7" i="4"/>
  <c r="AF7" i="4"/>
  <c r="AE44" i="10" l="1"/>
  <c r="AF44" i="10" s="1"/>
  <c r="AB47" i="10"/>
  <c r="S46" i="10"/>
  <c r="T46" i="10" s="1"/>
  <c r="AJ42" i="10"/>
  <c r="AD45" i="10"/>
  <c r="Z46" i="10"/>
  <c r="AG43" i="10"/>
  <c r="AF43" i="10"/>
  <c r="O7" i="4"/>
  <c r="N7" i="4"/>
  <c r="O232" i="4"/>
  <c r="N232" i="4"/>
  <c r="I234" i="4"/>
  <c r="N234" i="4"/>
  <c r="O234" i="4"/>
  <c r="P234" i="4"/>
  <c r="P232" i="4"/>
  <c r="P17" i="4"/>
  <c r="I19" i="4"/>
  <c r="J234" i="4"/>
  <c r="K234" i="4"/>
  <c r="K19" i="4"/>
  <c r="J19" i="4"/>
  <c r="AF233" i="4"/>
  <c r="AI18" i="4"/>
  <c r="AJ18" i="4"/>
  <c r="AK233" i="4"/>
  <c r="AD233" i="4"/>
  <c r="AI233" i="4"/>
  <c r="AE233" i="4"/>
  <c r="AG234" i="4"/>
  <c r="R234" i="4"/>
  <c r="Q235" i="4"/>
  <c r="M235" i="4"/>
  <c r="U235" i="4"/>
  <c r="V235" i="4"/>
  <c r="AG19" i="4"/>
  <c r="AJ19" i="4" s="1"/>
  <c r="R19" i="4"/>
  <c r="Q20" i="4"/>
  <c r="M20" i="4"/>
  <c r="V20" i="4"/>
  <c r="U20" i="4"/>
  <c r="AD8" i="4"/>
  <c r="AE8" i="4"/>
  <c r="AF8" i="4"/>
  <c r="AG44" i="10" l="1"/>
  <c r="AJ44" i="10" s="1"/>
  <c r="AB48" i="10"/>
  <c r="S47" i="10"/>
  <c r="T47" i="10" s="1"/>
  <c r="AJ43" i="10"/>
  <c r="AE45" i="10"/>
  <c r="AD46" i="10"/>
  <c r="Z47" i="10"/>
  <c r="P18" i="4"/>
  <c r="I235" i="4"/>
  <c r="N235" i="4"/>
  <c r="P235" i="4"/>
  <c r="O235" i="4"/>
  <c r="O8" i="4"/>
  <c r="N8" i="4"/>
  <c r="I20" i="4"/>
  <c r="K20" i="4"/>
  <c r="J20" i="4"/>
  <c r="J235" i="4"/>
  <c r="K235" i="4"/>
  <c r="AG235" i="4"/>
  <c r="AJ235" i="4" s="1"/>
  <c r="AJ234" i="4"/>
  <c r="AI234" i="4"/>
  <c r="AK234" i="4"/>
  <c r="AF234" i="4"/>
  <c r="AE234" i="4"/>
  <c r="AD234" i="4"/>
  <c r="R235" i="4"/>
  <c r="M236" i="4"/>
  <c r="Q236" i="4"/>
  <c r="V236" i="4"/>
  <c r="U236" i="4"/>
  <c r="AK19" i="4"/>
  <c r="AI19" i="4"/>
  <c r="P19" i="4" s="1"/>
  <c r="Q21" i="4"/>
  <c r="M21" i="4"/>
  <c r="V21" i="4"/>
  <c r="U21" i="4"/>
  <c r="AG20" i="4"/>
  <c r="R20" i="4"/>
  <c r="AD9" i="4"/>
  <c r="AE9" i="4"/>
  <c r="AF9" i="4"/>
  <c r="AE46" i="10" l="1"/>
  <c r="AG46" i="10" s="1"/>
  <c r="AB49" i="10"/>
  <c r="S48" i="10"/>
  <c r="T48" i="10" s="1"/>
  <c r="AD47" i="10"/>
  <c r="Z48" i="10"/>
  <c r="AD48" i="10" s="1"/>
  <c r="AF45" i="10"/>
  <c r="AG45" i="10"/>
  <c r="I236" i="4"/>
  <c r="P236" i="4"/>
  <c r="O236" i="4"/>
  <c r="N236" i="4"/>
  <c r="O9" i="4"/>
  <c r="N9" i="4"/>
  <c r="I21" i="4"/>
  <c r="K21" i="4"/>
  <c r="J21" i="4"/>
  <c r="K236" i="4"/>
  <c r="J236" i="4"/>
  <c r="AI235" i="4"/>
  <c r="AE235" i="4"/>
  <c r="R236" i="4"/>
  <c r="AF235" i="4"/>
  <c r="AK235" i="4"/>
  <c r="AD235" i="4"/>
  <c r="Q237" i="4"/>
  <c r="M237" i="4"/>
  <c r="V237" i="4"/>
  <c r="U237" i="4"/>
  <c r="AG236" i="4"/>
  <c r="R21" i="4"/>
  <c r="AJ20" i="4"/>
  <c r="AK20" i="4"/>
  <c r="AI20" i="4"/>
  <c r="AG21" i="4"/>
  <c r="Q22" i="4"/>
  <c r="M22" i="4"/>
  <c r="V22" i="4"/>
  <c r="U22" i="4"/>
  <c r="AF10" i="4"/>
  <c r="AE10" i="4"/>
  <c r="AD10" i="4"/>
  <c r="AE11" i="4"/>
  <c r="AE12" i="4"/>
  <c r="AF46" i="10" l="1"/>
  <c r="AJ46" i="10" s="1"/>
  <c r="AE47" i="10"/>
  <c r="AF47" i="10" s="1"/>
  <c r="AB50" i="10"/>
  <c r="S49" i="10"/>
  <c r="T49" i="10" s="1"/>
  <c r="AE48" i="10"/>
  <c r="AF48" i="10" s="1"/>
  <c r="AJ45" i="10"/>
  <c r="Z49" i="10"/>
  <c r="AD49" i="10" s="1"/>
  <c r="O10" i="4"/>
  <c r="N10" i="4"/>
  <c r="I237" i="4"/>
  <c r="N237" i="4"/>
  <c r="O237" i="4"/>
  <c r="P237" i="4"/>
  <c r="P20" i="4"/>
  <c r="I22" i="4"/>
  <c r="K22" i="4"/>
  <c r="J22" i="4"/>
  <c r="K237" i="4"/>
  <c r="J237" i="4"/>
  <c r="AG237" i="4"/>
  <c r="AI237" i="4" s="1"/>
  <c r="R237" i="4"/>
  <c r="Q238" i="4"/>
  <c r="M238" i="4"/>
  <c r="U238" i="4"/>
  <c r="V238" i="4"/>
  <c r="AJ236" i="4"/>
  <c r="AI236" i="4"/>
  <c r="AK236" i="4"/>
  <c r="AD236" i="4"/>
  <c r="AF236" i="4"/>
  <c r="AE236" i="4"/>
  <c r="R22" i="4"/>
  <c r="AJ21" i="4"/>
  <c r="AK21" i="4"/>
  <c r="AI21" i="4"/>
  <c r="AG22" i="4"/>
  <c r="M23" i="4"/>
  <c r="Q23" i="4"/>
  <c r="V23" i="4"/>
  <c r="U23" i="4"/>
  <c r="AD11" i="4"/>
  <c r="AF11" i="4"/>
  <c r="AG47" i="10" l="1"/>
  <c r="AJ47" i="10" s="1"/>
  <c r="AB51" i="10"/>
  <c r="S50" i="10"/>
  <c r="T50" i="10" s="1"/>
  <c r="AE49" i="10"/>
  <c r="AG49" i="10" s="1"/>
  <c r="AG48" i="10"/>
  <c r="AJ48" i="10" s="1"/>
  <c r="Z50" i="10"/>
  <c r="N11" i="4"/>
  <c r="I238" i="4"/>
  <c r="O238" i="4"/>
  <c r="P238" i="4"/>
  <c r="N238" i="4"/>
  <c r="P21" i="4"/>
  <c r="O11" i="4"/>
  <c r="I23" i="4"/>
  <c r="J23" i="4"/>
  <c r="K23" i="4"/>
  <c r="K238" i="4"/>
  <c r="J238" i="4"/>
  <c r="AD237" i="4"/>
  <c r="AK237" i="4"/>
  <c r="AE237" i="4"/>
  <c r="AJ237" i="4"/>
  <c r="AF237" i="4"/>
  <c r="R23" i="4"/>
  <c r="Q239" i="4"/>
  <c r="M239" i="4"/>
  <c r="U239" i="4"/>
  <c r="V239" i="4"/>
  <c r="AG238" i="4"/>
  <c r="R238" i="4"/>
  <c r="AG23" i="4"/>
  <c r="Q24" i="4"/>
  <c r="M24" i="4"/>
  <c r="V24" i="4"/>
  <c r="U24" i="4"/>
  <c r="AJ22" i="4"/>
  <c r="AI22" i="4"/>
  <c r="AK22" i="4"/>
  <c r="AE13" i="4"/>
  <c r="AE14" i="4"/>
  <c r="AD12" i="4"/>
  <c r="AF12" i="4"/>
  <c r="AF49" i="10" l="1"/>
  <c r="AJ49" i="10" s="1"/>
  <c r="AB52" i="10"/>
  <c r="S51" i="10"/>
  <c r="T51" i="10" s="1"/>
  <c r="Z51" i="10"/>
  <c r="AD51" i="10" s="1"/>
  <c r="AD50" i="10"/>
  <c r="I239" i="4"/>
  <c r="N239" i="4"/>
  <c r="P239" i="4"/>
  <c r="O239" i="4"/>
  <c r="O12" i="4"/>
  <c r="N12" i="4"/>
  <c r="N13" i="4"/>
  <c r="P22" i="4"/>
  <c r="I24" i="4"/>
  <c r="K239" i="4"/>
  <c r="J239" i="4"/>
  <c r="K24" i="4"/>
  <c r="J24" i="4"/>
  <c r="R239" i="4"/>
  <c r="AJ238" i="4"/>
  <c r="AI238" i="4"/>
  <c r="AK238" i="4"/>
  <c r="AE238" i="4"/>
  <c r="AF238" i="4"/>
  <c r="AD238" i="4"/>
  <c r="AG239" i="4"/>
  <c r="Q240" i="4"/>
  <c r="M240" i="4"/>
  <c r="V240" i="4"/>
  <c r="U240" i="4"/>
  <c r="M25" i="4"/>
  <c r="Q25" i="4"/>
  <c r="V25" i="4"/>
  <c r="U25" i="4"/>
  <c r="AG24" i="4"/>
  <c r="AJ23" i="4"/>
  <c r="AK23" i="4"/>
  <c r="AI23" i="4"/>
  <c r="R24" i="4"/>
  <c r="AD13" i="4"/>
  <c r="AF13" i="4"/>
  <c r="O13" i="4" s="1"/>
  <c r="AE15" i="4"/>
  <c r="AF14" i="4"/>
  <c r="AD14" i="4"/>
  <c r="AB53" i="10" l="1"/>
  <c r="S52" i="10"/>
  <c r="T52" i="10" s="1"/>
  <c r="AE51" i="10"/>
  <c r="AE50" i="10"/>
  <c r="Z52" i="10"/>
  <c r="O14" i="4"/>
  <c r="P23" i="4"/>
  <c r="N14" i="4"/>
  <c r="I240" i="4"/>
  <c r="N240" i="4"/>
  <c r="P240" i="4"/>
  <c r="O240" i="4"/>
  <c r="I25" i="4"/>
  <c r="K240" i="4"/>
  <c r="J240" i="4"/>
  <c r="J25" i="4"/>
  <c r="K25" i="4"/>
  <c r="AG240" i="4"/>
  <c r="AI240" i="4" s="1"/>
  <c r="Q241" i="4"/>
  <c r="M241" i="4"/>
  <c r="V241" i="4"/>
  <c r="U241" i="4"/>
  <c r="AJ239" i="4"/>
  <c r="AI239" i="4"/>
  <c r="AK239" i="4"/>
  <c r="AE239" i="4"/>
  <c r="AD239" i="4"/>
  <c r="AF239" i="4"/>
  <c r="AG25" i="4"/>
  <c r="AK25" i="4" s="1"/>
  <c r="R240" i="4"/>
  <c r="AJ24" i="4"/>
  <c r="AK24" i="4"/>
  <c r="AI24" i="4"/>
  <c r="R25" i="4"/>
  <c r="Q26" i="4"/>
  <c r="M26" i="4"/>
  <c r="V26" i="4"/>
  <c r="U26" i="4"/>
  <c r="AE16" i="4"/>
  <c r="AD15" i="4"/>
  <c r="AF15" i="4"/>
  <c r="N15" i="4" s="1"/>
  <c r="AB54" i="10" l="1"/>
  <c r="S53" i="10"/>
  <c r="T53" i="10" s="1"/>
  <c r="AF51" i="10"/>
  <c r="AG51" i="10"/>
  <c r="AD52" i="10"/>
  <c r="Z53" i="10"/>
  <c r="AD53" i="10" s="1"/>
  <c r="AF50" i="10"/>
  <c r="AG50" i="10"/>
  <c r="O15" i="4"/>
  <c r="P24" i="4"/>
  <c r="I241" i="4"/>
  <c r="N241" i="4"/>
  <c r="P241" i="4"/>
  <c r="O241" i="4"/>
  <c r="I26" i="4"/>
  <c r="K26" i="4"/>
  <c r="J26" i="4"/>
  <c r="J241" i="4"/>
  <c r="K241" i="4"/>
  <c r="AJ25" i="4"/>
  <c r="AE240" i="4"/>
  <c r="AK240" i="4"/>
  <c r="AD240" i="4"/>
  <c r="AJ240" i="4"/>
  <c r="AF240" i="4"/>
  <c r="AI25" i="4"/>
  <c r="AG241" i="4"/>
  <c r="AJ241" i="4" s="1"/>
  <c r="AG26" i="4"/>
  <c r="AI26" i="4" s="1"/>
  <c r="Q242" i="4"/>
  <c r="M242" i="4"/>
  <c r="U242" i="4"/>
  <c r="V242" i="4"/>
  <c r="R241" i="4"/>
  <c r="M27" i="4"/>
  <c r="Q27" i="4"/>
  <c r="U27" i="4"/>
  <c r="V27" i="4"/>
  <c r="R26" i="4"/>
  <c r="AE17" i="4"/>
  <c r="AB55" i="10" l="1"/>
  <c r="S54" i="10"/>
  <c r="T54" i="10" s="1"/>
  <c r="AJ50" i="10"/>
  <c r="AE53" i="10"/>
  <c r="AG53" i="10" s="1"/>
  <c r="AJ51" i="10"/>
  <c r="Z54" i="10"/>
  <c r="AD54" i="10" s="1"/>
  <c r="AE52" i="10"/>
  <c r="I242" i="4"/>
  <c r="N242" i="4"/>
  <c r="P242" i="4"/>
  <c r="O242" i="4"/>
  <c r="P25" i="4"/>
  <c r="I27" i="4"/>
  <c r="K27" i="4"/>
  <c r="J27" i="4"/>
  <c r="K242" i="4"/>
  <c r="J242" i="4"/>
  <c r="AJ26" i="4"/>
  <c r="R242" i="4"/>
  <c r="AK26" i="4"/>
  <c r="AD241" i="4"/>
  <c r="AK241" i="4"/>
  <c r="AF241" i="4"/>
  <c r="AI241" i="4"/>
  <c r="AE241" i="4"/>
  <c r="AG242" i="4"/>
  <c r="AK242" i="4" s="1"/>
  <c r="Q243" i="4"/>
  <c r="M243" i="4"/>
  <c r="U243" i="4"/>
  <c r="V243" i="4"/>
  <c r="AG27" i="4"/>
  <c r="AK27" i="4" s="1"/>
  <c r="Q28" i="4"/>
  <c r="M28" i="4"/>
  <c r="V28" i="4"/>
  <c r="U28" i="4"/>
  <c r="R27" i="4"/>
  <c r="AF18" i="4"/>
  <c r="AF16" i="4"/>
  <c r="AD16" i="4"/>
  <c r="AD17" i="4"/>
  <c r="AF17" i="4"/>
  <c r="AE54" i="10" l="1"/>
  <c r="AG54" i="10" s="1"/>
  <c r="AB56" i="10"/>
  <c r="S55" i="10"/>
  <c r="T55" i="10" s="1"/>
  <c r="AF53" i="10"/>
  <c r="AJ53" i="10" s="1"/>
  <c r="AG52" i="10"/>
  <c r="AF52" i="10"/>
  <c r="Z55" i="10"/>
  <c r="AD55" i="10" s="1"/>
  <c r="N17" i="4"/>
  <c r="N16" i="4"/>
  <c r="O16" i="4"/>
  <c r="P243" i="4"/>
  <c r="N243" i="4"/>
  <c r="O243" i="4"/>
  <c r="P26" i="4"/>
  <c r="O17" i="4"/>
  <c r="I243" i="4"/>
  <c r="I28" i="4"/>
  <c r="K243" i="4"/>
  <c r="J243" i="4"/>
  <c r="K28" i="4"/>
  <c r="J28" i="4"/>
  <c r="AJ27" i="4"/>
  <c r="AF242" i="4"/>
  <c r="AJ242" i="4"/>
  <c r="AI242" i="4"/>
  <c r="AE242" i="4"/>
  <c r="AD242" i="4"/>
  <c r="AG243" i="4"/>
  <c r="AJ243" i="4" s="1"/>
  <c r="R243" i="4"/>
  <c r="M244" i="4"/>
  <c r="Q244" i="4"/>
  <c r="V244" i="4"/>
  <c r="U244" i="4"/>
  <c r="AI27" i="4"/>
  <c r="AG28" i="4"/>
  <c r="AK28" i="4" s="1"/>
  <c r="Q29" i="4"/>
  <c r="M29" i="4"/>
  <c r="V29" i="4"/>
  <c r="U29" i="4"/>
  <c r="R28" i="4"/>
  <c r="AE19" i="4"/>
  <c r="AE18" i="4"/>
  <c r="AD18" i="4"/>
  <c r="AF54" i="10" l="1"/>
  <c r="AJ54" i="10" s="1"/>
  <c r="AB57" i="10"/>
  <c r="S57" i="10" s="1"/>
  <c r="T57" i="10" s="1"/>
  <c r="S56" i="10"/>
  <c r="T56" i="10" s="1"/>
  <c r="AJ52" i="10"/>
  <c r="AE55" i="10"/>
  <c r="Z56" i="10"/>
  <c r="AD56" i="10" s="1"/>
  <c r="O18" i="4"/>
  <c r="N18" i="4"/>
  <c r="I244" i="4"/>
  <c r="O244" i="4"/>
  <c r="N244" i="4"/>
  <c r="P244" i="4"/>
  <c r="P27" i="4"/>
  <c r="I29" i="4"/>
  <c r="J244" i="4"/>
  <c r="K244" i="4"/>
  <c r="K29" i="4"/>
  <c r="J29" i="4"/>
  <c r="AF243" i="4"/>
  <c r="AD243" i="4"/>
  <c r="R244" i="4"/>
  <c r="AK243" i="4"/>
  <c r="AI243" i="4"/>
  <c r="AE243" i="4"/>
  <c r="AG244" i="4"/>
  <c r="Q245" i="4"/>
  <c r="M245" i="4"/>
  <c r="V245" i="4"/>
  <c r="U245" i="4"/>
  <c r="R29" i="4"/>
  <c r="AI28" i="4"/>
  <c r="AJ28" i="4"/>
  <c r="AG29" i="4"/>
  <c r="AK29" i="4" s="1"/>
  <c r="Q30" i="4"/>
  <c r="M30" i="4"/>
  <c r="V30" i="4"/>
  <c r="U30" i="4"/>
  <c r="AF19" i="4"/>
  <c r="AD19" i="4"/>
  <c r="Z57" i="10" l="1"/>
  <c r="AD57" i="10" s="1"/>
  <c r="AG55" i="10"/>
  <c r="AF55" i="10"/>
  <c r="AE56" i="10"/>
  <c r="P28" i="4"/>
  <c r="N19" i="4"/>
  <c r="O19" i="4"/>
  <c r="I245" i="4"/>
  <c r="P245" i="4"/>
  <c r="O245" i="4"/>
  <c r="N245" i="4"/>
  <c r="I30" i="4"/>
  <c r="K245" i="4"/>
  <c r="J245" i="4"/>
  <c r="K30" i="4"/>
  <c r="J30" i="4"/>
  <c r="R245" i="4"/>
  <c r="AJ29" i="4"/>
  <c r="AG245" i="4"/>
  <c r="AF245" i="4" s="1"/>
  <c r="AJ244" i="4"/>
  <c r="AI244" i="4"/>
  <c r="AK244" i="4"/>
  <c r="AD244" i="4"/>
  <c r="AF244" i="4"/>
  <c r="AE244" i="4"/>
  <c r="Q246" i="4"/>
  <c r="M246" i="4"/>
  <c r="U246" i="4"/>
  <c r="V246" i="4"/>
  <c r="AI29" i="4"/>
  <c r="AG30" i="4"/>
  <c r="AJ30" i="4" s="1"/>
  <c r="R30" i="4"/>
  <c r="M31" i="4"/>
  <c r="Q31" i="4"/>
  <c r="V31" i="4"/>
  <c r="U31" i="4"/>
  <c r="AE20" i="4"/>
  <c r="AJ55" i="10" l="1"/>
  <c r="AE57" i="10"/>
  <c r="AG57" i="10" s="1"/>
  <c r="AF56" i="10"/>
  <c r="AG56" i="10"/>
  <c r="I246" i="4"/>
  <c r="N246" i="4"/>
  <c r="P246" i="4"/>
  <c r="O246" i="4"/>
  <c r="P29" i="4"/>
  <c r="I31" i="4"/>
  <c r="K31" i="4"/>
  <c r="J31" i="4"/>
  <c r="K246" i="4"/>
  <c r="J246" i="4"/>
  <c r="AE245" i="4"/>
  <c r="AI245" i="4"/>
  <c r="R246" i="4"/>
  <c r="AJ245" i="4"/>
  <c r="AD245" i="4"/>
  <c r="AK245" i="4"/>
  <c r="AG246" i="4"/>
  <c r="Q247" i="4"/>
  <c r="M247" i="4"/>
  <c r="U247" i="4"/>
  <c r="V247" i="4"/>
  <c r="AG31" i="4"/>
  <c r="AI31" i="4" s="1"/>
  <c r="AK30" i="4"/>
  <c r="AI30" i="4"/>
  <c r="P30" i="4" s="1"/>
  <c r="Q32" i="4"/>
  <c r="M32" i="4"/>
  <c r="V32" i="4"/>
  <c r="U32" i="4"/>
  <c r="R31" i="4"/>
  <c r="AE21" i="4"/>
  <c r="AD22" i="4"/>
  <c r="AD20" i="4"/>
  <c r="AF20" i="4"/>
  <c r="AF57" i="10" l="1"/>
  <c r="AJ57" i="10" s="1"/>
  <c r="AJ56" i="10"/>
  <c r="N20" i="4"/>
  <c r="O20" i="4"/>
  <c r="I247" i="4"/>
  <c r="N247" i="4"/>
  <c r="P247" i="4"/>
  <c r="O247" i="4"/>
  <c r="I32" i="4"/>
  <c r="K32" i="4"/>
  <c r="J32" i="4"/>
  <c r="K247" i="4"/>
  <c r="J247" i="4"/>
  <c r="AJ31" i="4"/>
  <c r="AK31" i="4"/>
  <c r="R32" i="4"/>
  <c r="AG247" i="4"/>
  <c r="R247" i="4"/>
  <c r="Q248" i="4"/>
  <c r="M248" i="4"/>
  <c r="V248" i="4"/>
  <c r="U248" i="4"/>
  <c r="AJ246" i="4"/>
  <c r="AI246" i="4"/>
  <c r="AK246" i="4"/>
  <c r="AE246" i="4"/>
  <c r="AF246" i="4"/>
  <c r="AD246" i="4"/>
  <c r="AG32" i="4"/>
  <c r="Q33" i="4"/>
  <c r="M33" i="4"/>
  <c r="V33" i="4"/>
  <c r="U33" i="4"/>
  <c r="AE22" i="4"/>
  <c r="AD21" i="4"/>
  <c r="AF21" i="4"/>
  <c r="AF22" i="4"/>
  <c r="N21" i="4" l="1"/>
  <c r="O22" i="4"/>
  <c r="N22" i="4"/>
  <c r="I248" i="4"/>
  <c r="P248" i="4"/>
  <c r="O248" i="4"/>
  <c r="N248" i="4"/>
  <c r="O21" i="4"/>
  <c r="P31" i="4"/>
  <c r="I33" i="4"/>
  <c r="K248" i="4"/>
  <c r="J248" i="4"/>
  <c r="J33" i="4"/>
  <c r="K33" i="4"/>
  <c r="R248" i="4"/>
  <c r="AG248" i="4"/>
  <c r="AE248" i="4" s="1"/>
  <c r="Q249" i="4"/>
  <c r="M249" i="4"/>
  <c r="V249" i="4"/>
  <c r="U249" i="4"/>
  <c r="AJ247" i="4"/>
  <c r="AI247" i="4"/>
  <c r="AK247" i="4"/>
  <c r="AF247" i="4"/>
  <c r="AD247" i="4"/>
  <c r="AE247" i="4"/>
  <c r="R33" i="4"/>
  <c r="AG33" i="4"/>
  <c r="Q34" i="4"/>
  <c r="M34" i="4"/>
  <c r="V34" i="4"/>
  <c r="U34" i="4"/>
  <c r="AJ32" i="4"/>
  <c r="AI32" i="4"/>
  <c r="AK32" i="4"/>
  <c r="AD23" i="4"/>
  <c r="AE24" i="4"/>
  <c r="P32" i="4" l="1"/>
  <c r="I249" i="4"/>
  <c r="I34" i="4"/>
  <c r="J249" i="4"/>
  <c r="K249" i="4"/>
  <c r="K34" i="4"/>
  <c r="J34" i="4"/>
  <c r="R249" i="4"/>
  <c r="AK248" i="4"/>
  <c r="AD248" i="4"/>
  <c r="AI248" i="4"/>
  <c r="AF248" i="4"/>
  <c r="AJ248" i="4"/>
  <c r="AG249" i="4"/>
  <c r="AJ249" i="4" s="1"/>
  <c r="Q250" i="4"/>
  <c r="M250" i="4"/>
  <c r="U250" i="4"/>
  <c r="V250" i="4"/>
  <c r="R34" i="4"/>
  <c r="Q35" i="4"/>
  <c r="M35" i="4"/>
  <c r="U35" i="4"/>
  <c r="V35" i="4"/>
  <c r="AG34" i="4"/>
  <c r="AJ33" i="4"/>
  <c r="AK33" i="4"/>
  <c r="AI33" i="4"/>
  <c r="AE23" i="4"/>
  <c r="AF23" i="4"/>
  <c r="P33" i="4" l="1"/>
  <c r="N23" i="4"/>
  <c r="O23" i="4"/>
  <c r="I35" i="4"/>
  <c r="I250" i="4"/>
  <c r="J35" i="4"/>
  <c r="K35" i="4"/>
  <c r="K250" i="4"/>
  <c r="J250" i="4"/>
  <c r="AE249" i="4"/>
  <c r="AK249" i="4"/>
  <c r="AF249" i="4"/>
  <c r="AI249" i="4"/>
  <c r="AD249" i="4"/>
  <c r="AG250" i="4"/>
  <c r="R250" i="4"/>
  <c r="Q251" i="4"/>
  <c r="M251" i="4"/>
  <c r="U251" i="4"/>
  <c r="V251" i="4"/>
  <c r="AG35" i="4"/>
  <c r="AI35" i="4" s="1"/>
  <c r="AJ34" i="4"/>
  <c r="AK34" i="4"/>
  <c r="AI34" i="4"/>
  <c r="R35" i="4"/>
  <c r="Q36" i="4"/>
  <c r="M36" i="4"/>
  <c r="V36" i="4"/>
  <c r="U36" i="4"/>
  <c r="AE25" i="4"/>
  <c r="AE26" i="4"/>
  <c r="AD24" i="4"/>
  <c r="AF24" i="4"/>
  <c r="P249" i="4" l="1"/>
  <c r="P34" i="4"/>
  <c r="O24" i="4"/>
  <c r="N24" i="4"/>
  <c r="N249" i="4"/>
  <c r="O249" i="4"/>
  <c r="I36" i="4"/>
  <c r="I251" i="4"/>
  <c r="K36" i="4"/>
  <c r="J36" i="4"/>
  <c r="J251" i="4"/>
  <c r="K251" i="4"/>
  <c r="AG36" i="4"/>
  <c r="AK36" i="4" s="1"/>
  <c r="AK35" i="4"/>
  <c r="AJ35" i="4"/>
  <c r="AG251" i="4"/>
  <c r="AI251" i="4" s="1"/>
  <c r="AJ250" i="4"/>
  <c r="AI250" i="4"/>
  <c r="AK250" i="4"/>
  <c r="AF250" i="4"/>
  <c r="AD250" i="4"/>
  <c r="AE250" i="4"/>
  <c r="R251" i="4"/>
  <c r="M252" i="4"/>
  <c r="Q252" i="4"/>
  <c r="V252" i="4"/>
  <c r="U252" i="4"/>
  <c r="Q37" i="4"/>
  <c r="M37" i="4"/>
  <c r="V37" i="4"/>
  <c r="U37" i="4"/>
  <c r="R36" i="4"/>
  <c r="AE27" i="4"/>
  <c r="AF26" i="4"/>
  <c r="AD26" i="4"/>
  <c r="AF25" i="4"/>
  <c r="AD25" i="4"/>
  <c r="N26" i="4" l="1"/>
  <c r="O25" i="4"/>
  <c r="N25" i="4"/>
  <c r="I252" i="4"/>
  <c r="O250" i="4"/>
  <c r="N250" i="4"/>
  <c r="O26" i="4"/>
  <c r="P250" i="4"/>
  <c r="P35" i="4"/>
  <c r="I37" i="4"/>
  <c r="K37" i="4"/>
  <c r="J37" i="4"/>
  <c r="J252" i="4"/>
  <c r="K252" i="4"/>
  <c r="AJ36" i="4"/>
  <c r="AI36" i="4"/>
  <c r="AF251" i="4"/>
  <c r="AK251" i="4"/>
  <c r="AJ251" i="4"/>
  <c r="AD251" i="4"/>
  <c r="AE251" i="4"/>
  <c r="R252" i="4"/>
  <c r="AG252" i="4"/>
  <c r="Q253" i="4"/>
  <c r="M253" i="4"/>
  <c r="V253" i="4"/>
  <c r="U253" i="4"/>
  <c r="R37" i="4"/>
  <c r="AG37" i="4"/>
  <c r="Q38" i="4"/>
  <c r="M38" i="4"/>
  <c r="V38" i="4"/>
  <c r="U38" i="4"/>
  <c r="AD27" i="4"/>
  <c r="AF27" i="4"/>
  <c r="P251" i="4" l="1"/>
  <c r="P36" i="4"/>
  <c r="N27" i="4"/>
  <c r="O251" i="4"/>
  <c r="N251" i="4"/>
  <c r="O27" i="4"/>
  <c r="I38" i="4"/>
  <c r="I253" i="4"/>
  <c r="K38" i="4"/>
  <c r="J38" i="4"/>
  <c r="J253" i="4"/>
  <c r="K253" i="4"/>
  <c r="AG38" i="4"/>
  <c r="AI38" i="4" s="1"/>
  <c r="R253" i="4"/>
  <c r="AG253" i="4"/>
  <c r="AE253" i="4" s="1"/>
  <c r="Q254" i="4"/>
  <c r="M254" i="4"/>
  <c r="U254" i="4"/>
  <c r="V254" i="4"/>
  <c r="AJ252" i="4"/>
  <c r="AK252" i="4"/>
  <c r="AI252" i="4"/>
  <c r="AE252" i="4"/>
  <c r="AF252" i="4"/>
  <c r="AD252" i="4"/>
  <c r="R38" i="4"/>
  <c r="M39" i="4"/>
  <c r="Q39" i="4"/>
  <c r="V39" i="4"/>
  <c r="U39" i="4"/>
  <c r="AJ37" i="4"/>
  <c r="AK37" i="4"/>
  <c r="AI37" i="4"/>
  <c r="AE28" i="4"/>
  <c r="P37" i="4" l="1"/>
  <c r="P252" i="4"/>
  <c r="N252" i="4"/>
  <c r="O252" i="4"/>
  <c r="I254" i="4"/>
  <c r="I39" i="4"/>
  <c r="J254" i="4"/>
  <c r="K254" i="4"/>
  <c r="K39" i="4"/>
  <c r="J39" i="4"/>
  <c r="AK38" i="4"/>
  <c r="AJ38" i="4"/>
  <c r="P38" i="4" s="1"/>
  <c r="AK253" i="4"/>
  <c r="R254" i="4"/>
  <c r="AD253" i="4"/>
  <c r="AI253" i="4"/>
  <c r="AF253" i="4"/>
  <c r="AJ253" i="4"/>
  <c r="Q255" i="4"/>
  <c r="M255" i="4"/>
  <c r="U255" i="4"/>
  <c r="V255" i="4"/>
  <c r="R39" i="4"/>
  <c r="AG254" i="4"/>
  <c r="AG39" i="4"/>
  <c r="Q40" i="4"/>
  <c r="M40" i="4"/>
  <c r="V40" i="4"/>
  <c r="U40" i="4"/>
  <c r="AF28" i="4"/>
  <c r="O28" i="4" s="1"/>
  <c r="AD28" i="4"/>
  <c r="AE29" i="4"/>
  <c r="AE30" i="4"/>
  <c r="N28" i="4" l="1"/>
  <c r="P253" i="4"/>
  <c r="N253" i="4"/>
  <c r="O253" i="4"/>
  <c r="I40" i="4"/>
  <c r="I255" i="4"/>
  <c r="J40" i="4"/>
  <c r="K40" i="4"/>
  <c r="J255" i="4"/>
  <c r="K255" i="4"/>
  <c r="R255" i="4"/>
  <c r="AJ254" i="4"/>
  <c r="AK254" i="4"/>
  <c r="AI254" i="4"/>
  <c r="AD254" i="4"/>
  <c r="AF254" i="4"/>
  <c r="AE254" i="4"/>
  <c r="Q256" i="4"/>
  <c r="M256" i="4"/>
  <c r="V256" i="4"/>
  <c r="U256" i="4"/>
  <c r="AG255" i="4"/>
  <c r="AG40" i="4"/>
  <c r="AI40" i="4" s="1"/>
  <c r="Q41" i="4"/>
  <c r="M41" i="4"/>
  <c r="V41" i="4"/>
  <c r="U41" i="4"/>
  <c r="AJ39" i="4"/>
  <c r="AK39" i="4"/>
  <c r="AI39" i="4"/>
  <c r="R40" i="4"/>
  <c r="AD29" i="4"/>
  <c r="N29" i="4" s="1"/>
  <c r="AF29" i="4"/>
  <c r="AE31" i="4"/>
  <c r="P254" i="4" l="1"/>
  <c r="P39" i="4"/>
  <c r="O254" i="4"/>
  <c r="N254" i="4"/>
  <c r="O29" i="4"/>
  <c r="I256" i="4"/>
  <c r="I41" i="4"/>
  <c r="J256" i="4"/>
  <c r="K256" i="4"/>
  <c r="J41" i="4"/>
  <c r="K41" i="4"/>
  <c r="R256" i="4"/>
  <c r="AJ40" i="4"/>
  <c r="AK40" i="4"/>
  <c r="AG41" i="4"/>
  <c r="AK41" i="4" s="1"/>
  <c r="AJ255" i="4"/>
  <c r="AK255" i="4"/>
  <c r="AI255" i="4"/>
  <c r="AD255" i="4"/>
  <c r="AE255" i="4"/>
  <c r="AF255" i="4"/>
  <c r="AG256" i="4"/>
  <c r="Q257" i="4"/>
  <c r="M257" i="4"/>
  <c r="V257" i="4"/>
  <c r="U257" i="4"/>
  <c r="R41" i="4"/>
  <c r="Q42" i="4"/>
  <c r="M42" i="4"/>
  <c r="V42" i="4"/>
  <c r="U42" i="4"/>
  <c r="AD32" i="4"/>
  <c r="AF31" i="4"/>
  <c r="AD30" i="4"/>
  <c r="AF30" i="4"/>
  <c r="AD31" i="4"/>
  <c r="O31" i="4" l="1"/>
  <c r="N31" i="4"/>
  <c r="P255" i="4"/>
  <c r="P40" i="4"/>
  <c r="O255" i="4"/>
  <c r="N255" i="4"/>
  <c r="O30" i="4"/>
  <c r="N30" i="4"/>
  <c r="I257" i="4"/>
  <c r="I42" i="4"/>
  <c r="K42" i="4"/>
  <c r="J42" i="4"/>
  <c r="J257" i="4"/>
  <c r="K257" i="4"/>
  <c r="R257" i="4"/>
  <c r="AI41" i="4"/>
  <c r="AJ41" i="4"/>
  <c r="P41" i="4" s="1"/>
  <c r="AG42" i="4"/>
  <c r="AI42" i="4" s="1"/>
  <c r="Q258" i="4"/>
  <c r="M258" i="4"/>
  <c r="U258" i="4"/>
  <c r="V258" i="4"/>
  <c r="AG257" i="4"/>
  <c r="AJ256" i="4"/>
  <c r="AI256" i="4"/>
  <c r="AK256" i="4"/>
  <c r="AD256" i="4"/>
  <c r="AE256" i="4"/>
  <c r="AF256" i="4"/>
  <c r="M43" i="4"/>
  <c r="Q43" i="4"/>
  <c r="U43" i="4"/>
  <c r="V43" i="4"/>
  <c r="R42" i="4"/>
  <c r="AE32" i="4"/>
  <c r="AE33" i="4"/>
  <c r="AF32" i="4"/>
  <c r="O32" i="4" l="1"/>
  <c r="N32" i="4"/>
  <c r="P256" i="4"/>
  <c r="O256" i="4"/>
  <c r="N256" i="4"/>
  <c r="I258" i="4"/>
  <c r="I43" i="4"/>
  <c r="J258" i="4"/>
  <c r="K258" i="4"/>
  <c r="J43" i="4"/>
  <c r="K43" i="4"/>
  <c r="AK42" i="4"/>
  <c r="AJ42" i="4"/>
  <c r="P42" i="4" s="1"/>
  <c r="R258" i="4"/>
  <c r="AG258" i="4"/>
  <c r="Q259" i="4"/>
  <c r="M259" i="4"/>
  <c r="U259" i="4"/>
  <c r="V259" i="4"/>
  <c r="AJ257" i="4"/>
  <c r="AK257" i="4"/>
  <c r="AI257" i="4"/>
  <c r="AF257" i="4"/>
  <c r="AE257" i="4"/>
  <c r="AD257" i="4"/>
  <c r="R43" i="4"/>
  <c r="AG43" i="4"/>
  <c r="AJ43" i="4" s="1"/>
  <c r="Q44" i="4"/>
  <c r="M44" i="4"/>
  <c r="V44" i="4"/>
  <c r="U44" i="4"/>
  <c r="AF33" i="4"/>
  <c r="AE34" i="4"/>
  <c r="AD33" i="4"/>
  <c r="N33" i="4" l="1"/>
  <c r="P257" i="4"/>
  <c r="O33" i="4"/>
  <c r="O257" i="4"/>
  <c r="N257" i="4"/>
  <c r="I44" i="4"/>
  <c r="I259" i="4"/>
  <c r="K44" i="4"/>
  <c r="J44" i="4"/>
  <c r="J259" i="4"/>
  <c r="K259" i="4"/>
  <c r="AI43" i="4"/>
  <c r="AK43" i="4"/>
  <c r="R259" i="4"/>
  <c r="M260" i="4"/>
  <c r="Q260" i="4"/>
  <c r="V260" i="4"/>
  <c r="U260" i="4"/>
  <c r="AJ258" i="4"/>
  <c r="AI258" i="4"/>
  <c r="AK258" i="4"/>
  <c r="AD258" i="4"/>
  <c r="AF258" i="4"/>
  <c r="AE258" i="4"/>
  <c r="AG259" i="4"/>
  <c r="R44" i="4"/>
  <c r="Q45" i="4"/>
  <c r="M45" i="4"/>
  <c r="V45" i="4"/>
  <c r="U45" i="4"/>
  <c r="AG44" i="4"/>
  <c r="AD35" i="4"/>
  <c r="P43" i="4" l="1"/>
  <c r="P258" i="4"/>
  <c r="O258" i="4"/>
  <c r="N258" i="4"/>
  <c r="I260" i="4"/>
  <c r="I45" i="4"/>
  <c r="J45" i="4"/>
  <c r="K45" i="4"/>
  <c r="K260" i="4"/>
  <c r="J260" i="4"/>
  <c r="R260" i="4"/>
  <c r="R45" i="4"/>
  <c r="AJ259" i="4"/>
  <c r="AK259" i="4"/>
  <c r="AI259" i="4"/>
  <c r="AD259" i="4"/>
  <c r="AF259" i="4"/>
  <c r="AE259" i="4"/>
  <c r="AG260" i="4"/>
  <c r="Q261" i="4"/>
  <c r="M261" i="4"/>
  <c r="V261" i="4"/>
  <c r="U261" i="4"/>
  <c r="AJ44" i="4"/>
  <c r="AI44" i="4"/>
  <c r="AK44" i="4"/>
  <c r="AG45" i="4"/>
  <c r="Q46" i="4"/>
  <c r="M46" i="4"/>
  <c r="V46" i="4"/>
  <c r="U46" i="4"/>
  <c r="AE35" i="4"/>
  <c r="AF35" i="4"/>
  <c r="AE36" i="4"/>
  <c r="AF34" i="4"/>
  <c r="AD34" i="4"/>
  <c r="N35" i="4" l="1"/>
  <c r="O35" i="4"/>
  <c r="P44" i="4"/>
  <c r="P259" i="4"/>
  <c r="O34" i="4"/>
  <c r="N34" i="4"/>
  <c r="O259" i="4"/>
  <c r="N259" i="4"/>
  <c r="I46" i="4"/>
  <c r="I261" i="4"/>
  <c r="K46" i="4"/>
  <c r="J46" i="4"/>
  <c r="J261" i="4"/>
  <c r="K261" i="4"/>
  <c r="AG261" i="4"/>
  <c r="AJ261" i="4" s="1"/>
  <c r="R261" i="4"/>
  <c r="Q262" i="4"/>
  <c r="M262" i="4"/>
  <c r="U262" i="4"/>
  <c r="V262" i="4"/>
  <c r="AJ260" i="4"/>
  <c r="AK260" i="4"/>
  <c r="AI260" i="4"/>
  <c r="AF260" i="4"/>
  <c r="AE260" i="4"/>
  <c r="AD260" i="4"/>
  <c r="AG46" i="4"/>
  <c r="AI46" i="4" s="1"/>
  <c r="M47" i="4"/>
  <c r="Q47" i="4"/>
  <c r="V47" i="4"/>
  <c r="U47" i="4"/>
  <c r="AJ45" i="4"/>
  <c r="AI45" i="4"/>
  <c r="AK45" i="4"/>
  <c r="R46" i="4"/>
  <c r="AE37" i="4"/>
  <c r="AD36" i="4"/>
  <c r="AF36" i="4"/>
  <c r="N36" i="4" l="1"/>
  <c r="O36" i="4"/>
  <c r="P260" i="4"/>
  <c r="O260" i="4"/>
  <c r="N260" i="4"/>
  <c r="P45" i="4"/>
  <c r="I262" i="4"/>
  <c r="I47" i="4"/>
  <c r="K262" i="4"/>
  <c r="J262" i="4"/>
  <c r="J47" i="4"/>
  <c r="K47" i="4"/>
  <c r="AE261" i="4"/>
  <c r="AK261" i="4"/>
  <c r="AD261" i="4"/>
  <c r="AI261" i="4"/>
  <c r="P261" i="4" s="1"/>
  <c r="AF261" i="4"/>
  <c r="R262" i="4"/>
  <c r="AK46" i="4"/>
  <c r="AJ46" i="4"/>
  <c r="M263" i="4"/>
  <c r="Q263" i="4"/>
  <c r="U263" i="4"/>
  <c r="V263" i="4"/>
  <c r="AG262" i="4"/>
  <c r="R47" i="4"/>
  <c r="Q48" i="4"/>
  <c r="M48" i="4"/>
  <c r="V48" i="4"/>
  <c r="U48" i="4"/>
  <c r="AG47" i="4"/>
  <c r="AF37" i="4"/>
  <c r="AD37" i="4"/>
  <c r="N37" i="4" s="1"/>
  <c r="AE38" i="4"/>
  <c r="AE39" i="4"/>
  <c r="O37" i="4" l="1"/>
  <c r="P46" i="4"/>
  <c r="N261" i="4"/>
  <c r="O261" i="4"/>
  <c r="I48" i="4"/>
  <c r="I263" i="4"/>
  <c r="K48" i="4"/>
  <c r="J48" i="4"/>
  <c r="K263" i="4"/>
  <c r="J263" i="4"/>
  <c r="AG48" i="4"/>
  <c r="AK48" i="4" s="1"/>
  <c r="AG263" i="4"/>
  <c r="R263" i="4"/>
  <c r="M264" i="4"/>
  <c r="Q264" i="4"/>
  <c r="V264" i="4"/>
  <c r="U264" i="4"/>
  <c r="AJ262" i="4"/>
  <c r="AK262" i="4"/>
  <c r="AI262" i="4"/>
  <c r="AF262" i="4"/>
  <c r="AE262" i="4"/>
  <c r="AD262" i="4"/>
  <c r="R48" i="4"/>
  <c r="AJ47" i="4"/>
  <c r="AI47" i="4"/>
  <c r="AK47" i="4"/>
  <c r="Q49" i="4"/>
  <c r="M49" i="4"/>
  <c r="V49" i="4"/>
  <c r="U49" i="4"/>
  <c r="AD38" i="4"/>
  <c r="AF38" i="4"/>
  <c r="AE40" i="4"/>
  <c r="AD39" i="4"/>
  <c r="AF39" i="4"/>
  <c r="O38" i="4" l="1"/>
  <c r="N39" i="4"/>
  <c r="N38" i="4"/>
  <c r="N262" i="4"/>
  <c r="O262" i="4"/>
  <c r="O39" i="4"/>
  <c r="I49" i="4"/>
  <c r="P262" i="4"/>
  <c r="P47" i="4"/>
  <c r="I264" i="4"/>
  <c r="K49" i="4"/>
  <c r="J49" i="4"/>
  <c r="J264" i="4"/>
  <c r="K264" i="4"/>
  <c r="AI48" i="4"/>
  <c r="AJ48" i="4"/>
  <c r="AG49" i="4"/>
  <c r="AJ49" i="4" s="1"/>
  <c r="R264" i="4"/>
  <c r="AG264" i="4"/>
  <c r="AJ264" i="4" s="1"/>
  <c r="AJ263" i="4"/>
  <c r="AK263" i="4"/>
  <c r="AI263" i="4"/>
  <c r="AF263" i="4"/>
  <c r="AE263" i="4"/>
  <c r="AD263" i="4"/>
  <c r="Q265" i="4"/>
  <c r="M265" i="4"/>
  <c r="V265" i="4"/>
  <c r="U265" i="4"/>
  <c r="Q50" i="4"/>
  <c r="M50" i="4"/>
  <c r="V50" i="4"/>
  <c r="U50" i="4"/>
  <c r="R49" i="4"/>
  <c r="AE41" i="4"/>
  <c r="AF40" i="4"/>
  <c r="AD40" i="4"/>
  <c r="O40" i="4" s="1"/>
  <c r="O263" i="4" l="1"/>
  <c r="N263" i="4"/>
  <c r="P48" i="4"/>
  <c r="P263" i="4"/>
  <c r="N40" i="4"/>
  <c r="I50" i="4"/>
  <c r="I265" i="4"/>
  <c r="K265" i="4"/>
  <c r="J265" i="4"/>
  <c r="J50" i="4"/>
  <c r="K50" i="4"/>
  <c r="AK49" i="4"/>
  <c r="AI49" i="4"/>
  <c r="P49" i="4" s="1"/>
  <c r="AE264" i="4"/>
  <c r="AI264" i="4"/>
  <c r="AF264" i="4"/>
  <c r="AK264" i="4"/>
  <c r="AD264" i="4"/>
  <c r="R265" i="4"/>
  <c r="AG265" i="4"/>
  <c r="AI265" i="4" s="1"/>
  <c r="AG50" i="4"/>
  <c r="AJ50" i="4" s="1"/>
  <c r="M266" i="4"/>
  <c r="Q266" i="4"/>
  <c r="U266" i="4"/>
  <c r="V266" i="4"/>
  <c r="R50" i="4"/>
  <c r="M51" i="4"/>
  <c r="Q51" i="4"/>
  <c r="U51" i="4"/>
  <c r="V51" i="4"/>
  <c r="AE42" i="4"/>
  <c r="AD41" i="4"/>
  <c r="AF41" i="4"/>
  <c r="O41" i="4" l="1"/>
  <c r="P264" i="4"/>
  <c r="N41" i="4"/>
  <c r="O264" i="4"/>
  <c r="N264" i="4"/>
  <c r="I51" i="4"/>
  <c r="I266" i="4"/>
  <c r="J51" i="4"/>
  <c r="K51" i="4"/>
  <c r="K266" i="4"/>
  <c r="J266" i="4"/>
  <c r="AJ265" i="4"/>
  <c r="AE265" i="4"/>
  <c r="AD265" i="4"/>
  <c r="AK265" i="4"/>
  <c r="AF265" i="4"/>
  <c r="AK50" i="4"/>
  <c r="Q267" i="4"/>
  <c r="M267" i="4"/>
  <c r="U267" i="4"/>
  <c r="V267" i="4"/>
  <c r="AI50" i="4"/>
  <c r="AG266" i="4"/>
  <c r="R266" i="4"/>
  <c r="AG51" i="4"/>
  <c r="R51" i="4"/>
  <c r="Q52" i="4"/>
  <c r="M52" i="4"/>
  <c r="V52" i="4"/>
  <c r="U52" i="4"/>
  <c r="AE43" i="4"/>
  <c r="AD42" i="4"/>
  <c r="AF42" i="4"/>
  <c r="N42" i="4" l="1"/>
  <c r="O42" i="4"/>
  <c r="P50" i="4"/>
  <c r="N265" i="4"/>
  <c r="O265" i="4"/>
  <c r="P265" i="4"/>
  <c r="I52" i="4"/>
  <c r="I267" i="4"/>
  <c r="J52" i="4"/>
  <c r="K52" i="4"/>
  <c r="J267" i="4"/>
  <c r="K267" i="4"/>
  <c r="R267" i="4"/>
  <c r="Q268" i="4"/>
  <c r="M268" i="4"/>
  <c r="V268" i="4"/>
  <c r="U268" i="4"/>
  <c r="AJ266" i="4"/>
  <c r="AK266" i="4"/>
  <c r="AI266" i="4"/>
  <c r="AE266" i="4"/>
  <c r="AF266" i="4"/>
  <c r="AD266" i="4"/>
  <c r="AG267" i="4"/>
  <c r="AG52" i="4"/>
  <c r="AK52" i="4" s="1"/>
  <c r="R52" i="4"/>
  <c r="Q53" i="4"/>
  <c r="M53" i="4"/>
  <c r="V53" i="4"/>
  <c r="U53" i="4"/>
  <c r="AJ51" i="4"/>
  <c r="AI51" i="4"/>
  <c r="AK51" i="4"/>
  <c r="AF43" i="4"/>
  <c r="AD43" i="4"/>
  <c r="AE44" i="4"/>
  <c r="O43" i="4" l="1"/>
  <c r="P51" i="4"/>
  <c r="N43" i="4"/>
  <c r="O266" i="4"/>
  <c r="N266" i="4"/>
  <c r="P266" i="4"/>
  <c r="I268" i="4"/>
  <c r="I53" i="4"/>
  <c r="J268" i="4"/>
  <c r="K268" i="4"/>
  <c r="K53" i="4"/>
  <c r="J53" i="4"/>
  <c r="AI52" i="4"/>
  <c r="AJ52" i="4"/>
  <c r="R53" i="4"/>
  <c r="AG268" i="4"/>
  <c r="AJ268" i="4" s="1"/>
  <c r="R268" i="4"/>
  <c r="Q269" i="4"/>
  <c r="M269" i="4"/>
  <c r="V269" i="4"/>
  <c r="U269" i="4"/>
  <c r="AJ267" i="4"/>
  <c r="P267" i="4" s="1"/>
  <c r="AK267" i="4"/>
  <c r="AI267" i="4"/>
  <c r="AD267" i="4"/>
  <c r="AE267" i="4"/>
  <c r="AF267" i="4"/>
  <c r="AG53" i="4"/>
  <c r="AK53" i="4" s="1"/>
  <c r="Q54" i="4"/>
  <c r="M54" i="4"/>
  <c r="V54" i="4"/>
  <c r="U54" i="4"/>
  <c r="AE45" i="4"/>
  <c r="AD44" i="4"/>
  <c r="O44" i="4" s="1"/>
  <c r="AF44" i="4"/>
  <c r="N44" i="4" l="1"/>
  <c r="P52" i="4"/>
  <c r="O267" i="4"/>
  <c r="N267" i="4"/>
  <c r="I269" i="4"/>
  <c r="I54" i="4"/>
  <c r="J269" i="4"/>
  <c r="K269" i="4"/>
  <c r="K54" i="4"/>
  <c r="J54" i="4"/>
  <c r="AD268" i="4"/>
  <c r="AK268" i="4"/>
  <c r="AF268" i="4"/>
  <c r="AI268" i="4"/>
  <c r="P268" i="4" s="1"/>
  <c r="AE268" i="4"/>
  <c r="AI53" i="4"/>
  <c r="AG54" i="4"/>
  <c r="AK54" i="4" s="1"/>
  <c r="AG269" i="4"/>
  <c r="R54" i="4"/>
  <c r="R269" i="4"/>
  <c r="M270" i="4"/>
  <c r="Q270" i="4"/>
  <c r="U270" i="4"/>
  <c r="V270" i="4"/>
  <c r="AJ53" i="4"/>
  <c r="M55" i="4"/>
  <c r="Q55" i="4"/>
  <c r="V55" i="4"/>
  <c r="U55" i="4"/>
  <c r="AE46" i="4"/>
  <c r="AF45" i="4"/>
  <c r="AD45" i="4"/>
  <c r="N45" i="4" s="1"/>
  <c r="N268" i="4" l="1"/>
  <c r="O268" i="4"/>
  <c r="O45" i="4"/>
  <c r="P53" i="4"/>
  <c r="I270" i="4"/>
  <c r="I55" i="4"/>
  <c r="K270" i="4"/>
  <c r="J270" i="4"/>
  <c r="J55" i="4"/>
  <c r="K55" i="4"/>
  <c r="AI54" i="4"/>
  <c r="AJ54" i="4"/>
  <c r="P54" i="4" s="1"/>
  <c r="R270" i="4"/>
  <c r="Q271" i="4"/>
  <c r="M271" i="4"/>
  <c r="U271" i="4"/>
  <c r="V271" i="4"/>
  <c r="AJ269" i="4"/>
  <c r="AI269" i="4"/>
  <c r="AK269" i="4"/>
  <c r="AE269" i="4"/>
  <c r="AD269" i="4"/>
  <c r="AF269" i="4"/>
  <c r="AG270" i="4"/>
  <c r="AG55" i="4"/>
  <c r="AJ55" i="4" s="1"/>
  <c r="R55" i="4"/>
  <c r="Q56" i="4"/>
  <c r="M56" i="4"/>
  <c r="V56" i="4"/>
  <c r="U56" i="4"/>
  <c r="AD46" i="4"/>
  <c r="AF46" i="4"/>
  <c r="O46" i="4" s="1"/>
  <c r="AE47" i="4"/>
  <c r="AE48" i="4"/>
  <c r="N46" i="4" l="1"/>
  <c r="N269" i="4"/>
  <c r="O269" i="4"/>
  <c r="P269" i="4"/>
  <c r="I271" i="4"/>
  <c r="I56" i="4"/>
  <c r="K271" i="4"/>
  <c r="J271" i="4"/>
  <c r="J56" i="4"/>
  <c r="K56" i="4"/>
  <c r="AI55" i="4"/>
  <c r="AG271" i="4"/>
  <c r="AK55" i="4"/>
  <c r="AJ270" i="4"/>
  <c r="AK270" i="4"/>
  <c r="AI270" i="4"/>
  <c r="AF270" i="4"/>
  <c r="AD270" i="4"/>
  <c r="AE270" i="4"/>
  <c r="R271" i="4"/>
  <c r="Q272" i="4"/>
  <c r="M272" i="4"/>
  <c r="V272" i="4"/>
  <c r="U272" i="4"/>
  <c r="R56" i="4"/>
  <c r="Q57" i="4"/>
  <c r="M57" i="4"/>
  <c r="V57" i="4"/>
  <c r="U57" i="4"/>
  <c r="AG56" i="4"/>
  <c r="AD47" i="4"/>
  <c r="AF47" i="4"/>
  <c r="AF48" i="4"/>
  <c r="AE49" i="4"/>
  <c r="AD48" i="4"/>
  <c r="O47" i="4" l="1"/>
  <c r="N48" i="4"/>
  <c r="N47" i="4"/>
  <c r="P55" i="4"/>
  <c r="O270" i="4"/>
  <c r="N270" i="4"/>
  <c r="O48" i="4"/>
  <c r="P270" i="4"/>
  <c r="I272" i="4"/>
  <c r="I57" i="4"/>
  <c r="K272" i="4"/>
  <c r="J272" i="4"/>
  <c r="J57" i="4"/>
  <c r="K57" i="4"/>
  <c r="R272" i="4"/>
  <c r="AG272" i="4"/>
  <c r="AK272" i="4" s="1"/>
  <c r="Q273" i="4"/>
  <c r="M273" i="4"/>
  <c r="V273" i="4"/>
  <c r="U273" i="4"/>
  <c r="AJ271" i="4"/>
  <c r="AK271" i="4"/>
  <c r="AI271" i="4"/>
  <c r="AF271" i="4"/>
  <c r="AD271" i="4"/>
  <c r="AE271" i="4"/>
  <c r="R57" i="4"/>
  <c r="AJ56" i="4"/>
  <c r="AI56" i="4"/>
  <c r="AK56" i="4"/>
  <c r="AG57" i="4"/>
  <c r="Q58" i="4"/>
  <c r="M58" i="4"/>
  <c r="V58" i="4"/>
  <c r="U58" i="4"/>
  <c r="AE50" i="4"/>
  <c r="AF49" i="4"/>
  <c r="AD49" i="4"/>
  <c r="O49" i="4" s="1"/>
  <c r="N49" i="4" l="1"/>
  <c r="N271" i="4"/>
  <c r="O271" i="4"/>
  <c r="I58" i="4"/>
  <c r="P271" i="4"/>
  <c r="P56" i="4"/>
  <c r="I273" i="4"/>
  <c r="J58" i="4"/>
  <c r="K58" i="4"/>
  <c r="J273" i="4"/>
  <c r="K273" i="4"/>
  <c r="AI272" i="4"/>
  <c r="AJ272" i="4"/>
  <c r="P272" i="4" s="1"/>
  <c r="AF272" i="4"/>
  <c r="AD272" i="4"/>
  <c r="AE272" i="4"/>
  <c r="AG273" i="4"/>
  <c r="AK273" i="4" s="1"/>
  <c r="Q274" i="4"/>
  <c r="M274" i="4"/>
  <c r="U274" i="4"/>
  <c r="V274" i="4"/>
  <c r="R273" i="4"/>
  <c r="R58" i="4"/>
  <c r="M59" i="4"/>
  <c r="Q59" i="4"/>
  <c r="U59" i="4"/>
  <c r="V59" i="4"/>
  <c r="AG58" i="4"/>
  <c r="AJ57" i="4"/>
  <c r="AK57" i="4"/>
  <c r="AI57" i="4"/>
  <c r="AE51" i="4"/>
  <c r="AD50" i="4"/>
  <c r="AF50" i="4"/>
  <c r="O50" i="4" l="1"/>
  <c r="P57" i="4"/>
  <c r="N50" i="4"/>
  <c r="O272" i="4"/>
  <c r="N272" i="4"/>
  <c r="I59" i="4"/>
  <c r="I274" i="4"/>
  <c r="J59" i="4"/>
  <c r="K59" i="4"/>
  <c r="K274" i="4"/>
  <c r="J274" i="4"/>
  <c r="AJ273" i="4"/>
  <c r="AD273" i="4"/>
  <c r="AF273" i="4"/>
  <c r="AI273" i="4"/>
  <c r="AE273" i="4"/>
  <c r="R274" i="4"/>
  <c r="M275" i="4"/>
  <c r="Q275" i="4"/>
  <c r="U275" i="4"/>
  <c r="V275" i="4"/>
  <c r="AG274" i="4"/>
  <c r="AG59" i="4"/>
  <c r="AJ59" i="4" s="1"/>
  <c r="Q60" i="4"/>
  <c r="M60" i="4"/>
  <c r="V60" i="4"/>
  <c r="U60" i="4"/>
  <c r="R59" i="4"/>
  <c r="AJ58" i="4"/>
  <c r="AK58" i="4"/>
  <c r="AI58" i="4"/>
  <c r="AD52" i="4"/>
  <c r="P273" i="4" l="1"/>
  <c r="I60" i="4"/>
  <c r="N273" i="4"/>
  <c r="O273" i="4"/>
  <c r="P58" i="4"/>
  <c r="I275" i="4"/>
  <c r="K60" i="4"/>
  <c r="J60" i="4"/>
  <c r="J275" i="4"/>
  <c r="K275" i="4"/>
  <c r="R275" i="4"/>
  <c r="AI59" i="4"/>
  <c r="M276" i="4"/>
  <c r="Q276" i="4"/>
  <c r="V276" i="4"/>
  <c r="U276" i="4"/>
  <c r="AK59" i="4"/>
  <c r="AJ274" i="4"/>
  <c r="AF274" i="4"/>
  <c r="AK274" i="4"/>
  <c r="AI274" i="4"/>
  <c r="AD274" i="4"/>
  <c r="AE274" i="4"/>
  <c r="AG275" i="4"/>
  <c r="R60" i="4"/>
  <c r="Q61" i="4"/>
  <c r="M61" i="4"/>
  <c r="V61" i="4"/>
  <c r="U61" i="4"/>
  <c r="AG60" i="4"/>
  <c r="AE52" i="4"/>
  <c r="AE53" i="4"/>
  <c r="AF52" i="4"/>
  <c r="AD51" i="4"/>
  <c r="AF51" i="4"/>
  <c r="P59" i="4" l="1"/>
  <c r="O52" i="4"/>
  <c r="N52" i="4"/>
  <c r="O274" i="4"/>
  <c r="N274" i="4"/>
  <c r="N51" i="4"/>
  <c r="O51" i="4"/>
  <c r="P274" i="4"/>
  <c r="I276" i="4"/>
  <c r="I61" i="4"/>
  <c r="K276" i="4"/>
  <c r="J276" i="4"/>
  <c r="K61" i="4"/>
  <c r="J61" i="4"/>
  <c r="AG276" i="4"/>
  <c r="AJ276" i="4" s="1"/>
  <c r="R276" i="4"/>
  <c r="Q277" i="4"/>
  <c r="M277" i="4"/>
  <c r="V277" i="4"/>
  <c r="U277" i="4"/>
  <c r="AJ275" i="4"/>
  <c r="AI275" i="4"/>
  <c r="AK275" i="4"/>
  <c r="AD275" i="4"/>
  <c r="AE275" i="4"/>
  <c r="AF275" i="4"/>
  <c r="AG61" i="4"/>
  <c r="AJ61" i="4" s="1"/>
  <c r="Q62" i="4"/>
  <c r="M62" i="4"/>
  <c r="V62" i="4"/>
  <c r="U62" i="4"/>
  <c r="AJ60" i="4"/>
  <c r="AI60" i="4"/>
  <c r="AK60" i="4"/>
  <c r="R61" i="4"/>
  <c r="AE54" i="4"/>
  <c r="AF53" i="4"/>
  <c r="AD53" i="4"/>
  <c r="N53" i="4" s="1"/>
  <c r="P60" i="4" l="1"/>
  <c r="P275" i="4"/>
  <c r="O53" i="4"/>
  <c r="O275" i="4"/>
  <c r="N275" i="4"/>
  <c r="I277" i="4"/>
  <c r="I62" i="4"/>
  <c r="J277" i="4"/>
  <c r="K277" i="4"/>
  <c r="K62" i="4"/>
  <c r="J62" i="4"/>
  <c r="AE276" i="4"/>
  <c r="AD276" i="4"/>
  <c r="AK276" i="4"/>
  <c r="AF276" i="4"/>
  <c r="AI276" i="4"/>
  <c r="AK61" i="4"/>
  <c r="AI61" i="4"/>
  <c r="P61" i="4" s="1"/>
  <c r="R277" i="4"/>
  <c r="AG277" i="4"/>
  <c r="M278" i="4"/>
  <c r="Q278" i="4"/>
  <c r="U278" i="4"/>
  <c r="V278" i="4"/>
  <c r="R62" i="4"/>
  <c r="M63" i="4"/>
  <c r="Q63" i="4"/>
  <c r="V63" i="4"/>
  <c r="U63" i="4"/>
  <c r="AG62" i="4"/>
  <c r="AE55" i="4"/>
  <c r="AF54" i="4"/>
  <c r="AD54" i="4"/>
  <c r="N54" i="4" l="1"/>
  <c r="P276" i="4"/>
  <c r="O276" i="4"/>
  <c r="N276" i="4"/>
  <c r="O54" i="4"/>
  <c r="I278" i="4"/>
  <c r="I63" i="4"/>
  <c r="K278" i="4"/>
  <c r="J278" i="4"/>
  <c r="K63" i="4"/>
  <c r="J63" i="4"/>
  <c r="R278" i="4"/>
  <c r="Q279" i="4"/>
  <c r="M279" i="4"/>
  <c r="U279" i="4"/>
  <c r="V279" i="4"/>
  <c r="AJ277" i="4"/>
  <c r="AD277" i="4"/>
  <c r="AK277" i="4"/>
  <c r="AI277" i="4"/>
  <c r="AF277" i="4"/>
  <c r="AE277" i="4"/>
  <c r="AG278" i="4"/>
  <c r="R63" i="4"/>
  <c r="Q64" i="4"/>
  <c r="M64" i="4"/>
  <c r="V64" i="4"/>
  <c r="U64" i="4"/>
  <c r="AJ62" i="4"/>
  <c r="AI62" i="4"/>
  <c r="AK62" i="4"/>
  <c r="AG63" i="4"/>
  <c r="AE56" i="4"/>
  <c r="AD55" i="4"/>
  <c r="AF55" i="4"/>
  <c r="P62" i="4" l="1"/>
  <c r="O55" i="4"/>
  <c r="N277" i="4"/>
  <c r="O277" i="4"/>
  <c r="N55" i="4"/>
  <c r="P277" i="4"/>
  <c r="I279" i="4"/>
  <c r="I64" i="4"/>
  <c r="K64" i="4"/>
  <c r="J64" i="4"/>
  <c r="J279" i="4"/>
  <c r="K279" i="4"/>
  <c r="AJ278" i="4"/>
  <c r="AK278" i="4"/>
  <c r="AI278" i="4"/>
  <c r="AF278" i="4"/>
  <c r="AD278" i="4"/>
  <c r="AE278" i="4"/>
  <c r="AG279" i="4"/>
  <c r="R279" i="4"/>
  <c r="Q280" i="4"/>
  <c r="M280" i="4"/>
  <c r="V280" i="4"/>
  <c r="U280" i="4"/>
  <c r="AG64" i="4"/>
  <c r="AI64" i="4" s="1"/>
  <c r="R64" i="4"/>
  <c r="AJ63" i="4"/>
  <c r="AI63" i="4"/>
  <c r="AK63" i="4"/>
  <c r="M65" i="4"/>
  <c r="Q65" i="4"/>
  <c r="V65" i="4"/>
  <c r="U65" i="4"/>
  <c r="AD56" i="4"/>
  <c r="AE57" i="4"/>
  <c r="AF56" i="4"/>
  <c r="O56" i="4" l="1"/>
  <c r="P278" i="4"/>
  <c r="N56" i="4"/>
  <c r="I65" i="4"/>
  <c r="P63" i="4"/>
  <c r="O278" i="4"/>
  <c r="N278" i="4"/>
  <c r="I280" i="4"/>
  <c r="K65" i="4"/>
  <c r="J65" i="4"/>
  <c r="J280" i="4"/>
  <c r="K280" i="4"/>
  <c r="AJ64" i="4"/>
  <c r="AK64" i="4"/>
  <c r="R280" i="4"/>
  <c r="AG280" i="4"/>
  <c r="AJ280" i="4" s="1"/>
  <c r="Q281" i="4"/>
  <c r="M281" i="4"/>
  <c r="V281" i="4"/>
  <c r="U281" i="4"/>
  <c r="AJ279" i="4"/>
  <c r="AK279" i="4"/>
  <c r="AI279" i="4"/>
  <c r="AD279" i="4"/>
  <c r="AF279" i="4"/>
  <c r="AE279" i="4"/>
  <c r="AG65" i="4"/>
  <c r="AK65" i="4" s="1"/>
  <c r="Q66" i="4"/>
  <c r="M66" i="4"/>
  <c r="V66" i="4"/>
  <c r="U66" i="4"/>
  <c r="R65" i="4"/>
  <c r="AD57" i="4"/>
  <c r="AF57" i="4"/>
  <c r="AE58" i="4"/>
  <c r="O57" i="4" l="1"/>
  <c r="N57" i="4"/>
  <c r="P279" i="4"/>
  <c r="P64" i="4"/>
  <c r="N279" i="4"/>
  <c r="O279" i="4"/>
  <c r="I66" i="4"/>
  <c r="I281" i="4"/>
  <c r="K281" i="4"/>
  <c r="J281" i="4"/>
  <c r="J66" i="4"/>
  <c r="K66" i="4"/>
  <c r="R281" i="4"/>
  <c r="AI65" i="4"/>
  <c r="AJ65" i="4"/>
  <c r="AE280" i="4"/>
  <c r="AI280" i="4"/>
  <c r="AD280" i="4"/>
  <c r="AK280" i="4"/>
  <c r="AF280" i="4"/>
  <c r="AG281" i="4"/>
  <c r="Q282" i="4"/>
  <c r="M282" i="4"/>
  <c r="U282" i="4"/>
  <c r="V282" i="4"/>
  <c r="R66" i="4"/>
  <c r="M67" i="4"/>
  <c r="Q67" i="4"/>
  <c r="U67" i="4"/>
  <c r="V67" i="4"/>
  <c r="AG66" i="4"/>
  <c r="AE59" i="4"/>
  <c r="AF58" i="4"/>
  <c r="AD58" i="4"/>
  <c r="N58" i="4" s="1"/>
  <c r="P280" i="4" l="1"/>
  <c r="O58" i="4"/>
  <c r="N280" i="4"/>
  <c r="O280" i="4"/>
  <c r="P65" i="4"/>
  <c r="I67" i="4"/>
  <c r="I282" i="4"/>
  <c r="J67" i="4"/>
  <c r="K67" i="4"/>
  <c r="K282" i="4"/>
  <c r="J282" i="4"/>
  <c r="Q283" i="4"/>
  <c r="M283" i="4"/>
  <c r="U283" i="4"/>
  <c r="V283" i="4"/>
  <c r="AG282" i="4"/>
  <c r="AJ281" i="4"/>
  <c r="AF281" i="4"/>
  <c r="AI281" i="4"/>
  <c r="AK281" i="4"/>
  <c r="AE281" i="4"/>
  <c r="AD281" i="4"/>
  <c r="R67" i="4"/>
  <c r="R282" i="4"/>
  <c r="AJ66" i="4"/>
  <c r="AI66" i="4"/>
  <c r="AK66" i="4"/>
  <c r="AG67" i="4"/>
  <c r="Q68" i="4"/>
  <c r="M68" i="4"/>
  <c r="V68" i="4"/>
  <c r="U68" i="4"/>
  <c r="AE60" i="4"/>
  <c r="I68" i="4" l="1"/>
  <c r="O281" i="4"/>
  <c r="N281" i="4"/>
  <c r="P66" i="4"/>
  <c r="P281" i="4"/>
  <c r="I283" i="4"/>
  <c r="J68" i="4"/>
  <c r="K68" i="4"/>
  <c r="J283" i="4"/>
  <c r="K283" i="4"/>
  <c r="AG68" i="4"/>
  <c r="AI68" i="4" s="1"/>
  <c r="AG283" i="4"/>
  <c r="AJ283" i="4" s="1"/>
  <c r="R283" i="4"/>
  <c r="M284" i="4"/>
  <c r="Q284" i="4"/>
  <c r="V284" i="4"/>
  <c r="U284" i="4"/>
  <c r="AJ282" i="4"/>
  <c r="AI282" i="4"/>
  <c r="AK282" i="4"/>
  <c r="AF282" i="4"/>
  <c r="AD282" i="4"/>
  <c r="AE282" i="4"/>
  <c r="R68" i="4"/>
  <c r="Q69" i="4"/>
  <c r="M69" i="4"/>
  <c r="V69" i="4"/>
  <c r="U69" i="4"/>
  <c r="AJ67" i="4"/>
  <c r="AI67" i="4"/>
  <c r="AK67" i="4"/>
  <c r="AD59" i="4"/>
  <c r="AF59" i="4"/>
  <c r="P282" i="4" l="1"/>
  <c r="P67" i="4"/>
  <c r="N59" i="4"/>
  <c r="O59" i="4"/>
  <c r="O282" i="4"/>
  <c r="N282" i="4"/>
  <c r="I284" i="4"/>
  <c r="I69" i="4"/>
  <c r="K69" i="4"/>
  <c r="J69" i="4"/>
  <c r="J284" i="4"/>
  <c r="K284" i="4"/>
  <c r="AJ68" i="4"/>
  <c r="AK68" i="4"/>
  <c r="AF283" i="4"/>
  <c r="AD283" i="4"/>
  <c r="AI283" i="4"/>
  <c r="AK283" i="4"/>
  <c r="AE283" i="4"/>
  <c r="R284" i="4"/>
  <c r="R69" i="4"/>
  <c r="AG284" i="4"/>
  <c r="Q285" i="4"/>
  <c r="M285" i="4"/>
  <c r="V285" i="4"/>
  <c r="U285" i="4"/>
  <c r="AG69" i="4"/>
  <c r="Q70" i="4"/>
  <c r="M70" i="4"/>
  <c r="V70" i="4"/>
  <c r="U70" i="4"/>
  <c r="AE61" i="4"/>
  <c r="AE62" i="4"/>
  <c r="AD60" i="4"/>
  <c r="AF60" i="4"/>
  <c r="P283" i="4" l="1"/>
  <c r="P68" i="4"/>
  <c r="O283" i="4"/>
  <c r="N283" i="4"/>
  <c r="O60" i="4"/>
  <c r="N60" i="4"/>
  <c r="I285" i="4"/>
  <c r="I70" i="4"/>
  <c r="K285" i="4"/>
  <c r="J285" i="4"/>
  <c r="J70" i="4"/>
  <c r="K70" i="4"/>
  <c r="AG285" i="4"/>
  <c r="AI285" i="4" s="1"/>
  <c r="AJ284" i="4"/>
  <c r="AI284" i="4"/>
  <c r="AK284" i="4"/>
  <c r="AF284" i="4"/>
  <c r="AE284" i="4"/>
  <c r="AD284" i="4"/>
  <c r="R285" i="4"/>
  <c r="Q286" i="4"/>
  <c r="M286" i="4"/>
  <c r="U286" i="4"/>
  <c r="V286" i="4"/>
  <c r="M71" i="4"/>
  <c r="Q71" i="4"/>
  <c r="V71" i="4"/>
  <c r="U71" i="4"/>
  <c r="AG70" i="4"/>
  <c r="AJ69" i="4"/>
  <c r="AK69" i="4"/>
  <c r="AI69" i="4"/>
  <c r="R70" i="4"/>
  <c r="AF62" i="4"/>
  <c r="AD63" i="4"/>
  <c r="AD62" i="4"/>
  <c r="AF61" i="4"/>
  <c r="AD61" i="4"/>
  <c r="O61" i="4" s="1"/>
  <c r="N62" i="4" l="1"/>
  <c r="N61" i="4"/>
  <c r="O62" i="4"/>
  <c r="O284" i="4"/>
  <c r="N284" i="4"/>
  <c r="P69" i="4"/>
  <c r="P284" i="4"/>
  <c r="I286" i="4"/>
  <c r="I71" i="4"/>
  <c r="J286" i="4"/>
  <c r="K286" i="4"/>
  <c r="J71" i="4"/>
  <c r="K71" i="4"/>
  <c r="AJ285" i="4"/>
  <c r="P285" i="4" s="1"/>
  <c r="AD285" i="4"/>
  <c r="AF285" i="4"/>
  <c r="AK285" i="4"/>
  <c r="AE285" i="4"/>
  <c r="AG286" i="4"/>
  <c r="AK286" i="4" s="1"/>
  <c r="R286" i="4"/>
  <c r="AG71" i="4"/>
  <c r="AI71" i="4" s="1"/>
  <c r="M287" i="4"/>
  <c r="Q287" i="4"/>
  <c r="U287" i="4"/>
  <c r="V287" i="4"/>
  <c r="AJ70" i="4"/>
  <c r="AK70" i="4"/>
  <c r="AI70" i="4"/>
  <c r="R71" i="4"/>
  <c r="Q72" i="4"/>
  <c r="M72" i="4"/>
  <c r="V72" i="4"/>
  <c r="U72" i="4"/>
  <c r="AE63" i="4"/>
  <c r="AF63" i="4"/>
  <c r="AE64" i="4"/>
  <c r="P70" i="4" l="1"/>
  <c r="N63" i="4"/>
  <c r="O63" i="4"/>
  <c r="N285" i="4"/>
  <c r="O285" i="4"/>
  <c r="I287" i="4"/>
  <c r="I72" i="4"/>
  <c r="K287" i="4"/>
  <c r="J287" i="4"/>
  <c r="K72" i="4"/>
  <c r="J72" i="4"/>
  <c r="AF286" i="4"/>
  <c r="AJ286" i="4"/>
  <c r="AD286" i="4"/>
  <c r="AI286" i="4"/>
  <c r="AE286" i="4"/>
  <c r="AJ71" i="4"/>
  <c r="AG287" i="4"/>
  <c r="AK71" i="4"/>
  <c r="R287" i="4"/>
  <c r="M288" i="4"/>
  <c r="Q288" i="4"/>
  <c r="V288" i="4"/>
  <c r="U288" i="4"/>
  <c r="R72" i="4"/>
  <c r="Q73" i="4"/>
  <c r="M73" i="4"/>
  <c r="V73" i="4"/>
  <c r="U73" i="4"/>
  <c r="AG72" i="4"/>
  <c r="AE65" i="4"/>
  <c r="AE66" i="4"/>
  <c r="AD64" i="4"/>
  <c r="AF64" i="4"/>
  <c r="P286" i="4" l="1"/>
  <c r="N64" i="4"/>
  <c r="O64" i="4"/>
  <c r="P71" i="4"/>
  <c r="O286" i="4"/>
  <c r="N286" i="4"/>
  <c r="I288" i="4"/>
  <c r="I73" i="4"/>
  <c r="J288" i="4"/>
  <c r="K288" i="4"/>
  <c r="K73" i="4"/>
  <c r="L73" i="4"/>
  <c r="J73" i="4"/>
  <c r="R288" i="4"/>
  <c r="AG288" i="4"/>
  <c r="Q289" i="4"/>
  <c r="M289" i="4"/>
  <c r="V289" i="4"/>
  <c r="U289" i="4"/>
  <c r="AJ287" i="4"/>
  <c r="AI287" i="4"/>
  <c r="AK287" i="4"/>
  <c r="AE287" i="4"/>
  <c r="AD287" i="4"/>
  <c r="AF287" i="4"/>
  <c r="AG73" i="4"/>
  <c r="AK73" i="4" s="1"/>
  <c r="Q74" i="4"/>
  <c r="M74" i="4"/>
  <c r="V74" i="4"/>
  <c r="U74" i="4"/>
  <c r="AJ72" i="4"/>
  <c r="AK72" i="4"/>
  <c r="AI72" i="4"/>
  <c r="R73" i="4"/>
  <c r="AF65" i="4"/>
  <c r="AD65" i="4"/>
  <c r="O65" i="4" s="1"/>
  <c r="P72" i="4" l="1"/>
  <c r="P287" i="4"/>
  <c r="O287" i="4"/>
  <c r="N287" i="4"/>
  <c r="N65" i="4"/>
  <c r="I289" i="4"/>
  <c r="I74" i="4"/>
  <c r="K289" i="4"/>
  <c r="J289" i="4"/>
  <c r="K74" i="4"/>
  <c r="J74" i="4"/>
  <c r="L74" i="4"/>
  <c r="AG74" i="4"/>
  <c r="AK74" i="4" s="1"/>
  <c r="R289" i="4"/>
  <c r="AI73" i="4"/>
  <c r="AJ73" i="4"/>
  <c r="AG289" i="4"/>
  <c r="AI289" i="4" s="1"/>
  <c r="M290" i="4"/>
  <c r="Q290" i="4"/>
  <c r="U290" i="4"/>
  <c r="V290" i="4"/>
  <c r="AJ288" i="4"/>
  <c r="AI288" i="4"/>
  <c r="AK288" i="4"/>
  <c r="AE288" i="4"/>
  <c r="AF288" i="4"/>
  <c r="AD288" i="4"/>
  <c r="R74" i="4"/>
  <c r="M75" i="4"/>
  <c r="Q75" i="4"/>
  <c r="U75" i="4"/>
  <c r="V75" i="4"/>
  <c r="AE67" i="4"/>
  <c r="AE68" i="4"/>
  <c r="AD66" i="4"/>
  <c r="AF66" i="4"/>
  <c r="N288" i="4" l="1"/>
  <c r="O288" i="4"/>
  <c r="P73" i="4"/>
  <c r="P288" i="4"/>
  <c r="O66" i="4"/>
  <c r="N66" i="4"/>
  <c r="I290" i="4"/>
  <c r="I75" i="4"/>
  <c r="J75" i="4"/>
  <c r="L75" i="4"/>
  <c r="K75" i="4"/>
  <c r="K290" i="4"/>
  <c r="J290" i="4"/>
  <c r="AJ74" i="4"/>
  <c r="AI74" i="4"/>
  <c r="AK289" i="4"/>
  <c r="AD289" i="4"/>
  <c r="AE289" i="4"/>
  <c r="AF289" i="4"/>
  <c r="AJ289" i="4"/>
  <c r="AG290" i="4"/>
  <c r="AI290" i="4" s="1"/>
  <c r="R290" i="4"/>
  <c r="Q291" i="4"/>
  <c r="M291" i="4"/>
  <c r="U291" i="4"/>
  <c r="V291" i="4"/>
  <c r="R75" i="4"/>
  <c r="Q76" i="4"/>
  <c r="M76" i="4"/>
  <c r="V76" i="4"/>
  <c r="U76" i="4"/>
  <c r="AG75" i="4"/>
  <c r="AF67" i="4"/>
  <c r="AD67" i="4"/>
  <c r="AE69" i="4"/>
  <c r="AD68" i="4"/>
  <c r="AF68" i="4"/>
  <c r="N67" i="4" l="1"/>
  <c r="N68" i="4"/>
  <c r="P289" i="4"/>
  <c r="N289" i="4"/>
  <c r="O289" i="4"/>
  <c r="O68" i="4"/>
  <c r="O67" i="4"/>
  <c r="P74" i="4"/>
  <c r="I291" i="4"/>
  <c r="I76" i="4"/>
  <c r="J291" i="4"/>
  <c r="K291" i="4"/>
  <c r="L76" i="4"/>
  <c r="K76" i="4"/>
  <c r="J76" i="4"/>
  <c r="AD290" i="4"/>
  <c r="R291" i="4"/>
  <c r="AF290" i="4"/>
  <c r="AK290" i="4"/>
  <c r="AE290" i="4"/>
  <c r="AJ290" i="4"/>
  <c r="P290" i="4" s="1"/>
  <c r="AG291" i="4"/>
  <c r="Q292" i="4"/>
  <c r="M292" i="4"/>
  <c r="V292" i="4"/>
  <c r="U292" i="4"/>
  <c r="AJ75" i="4"/>
  <c r="AI75" i="4"/>
  <c r="AK75" i="4"/>
  <c r="AG76" i="4"/>
  <c r="R76" i="4"/>
  <c r="Q77" i="4"/>
  <c r="M77" i="4"/>
  <c r="V77" i="4"/>
  <c r="U77" i="4"/>
  <c r="AD70" i="4"/>
  <c r="AF69" i="4"/>
  <c r="AD69" i="4"/>
  <c r="O69" i="4" s="1"/>
  <c r="O290" i="4" l="1"/>
  <c r="N290" i="4"/>
  <c r="N69" i="4"/>
  <c r="P75" i="4"/>
  <c r="I77" i="4"/>
  <c r="I292" i="4"/>
  <c r="J77" i="4"/>
  <c r="L77" i="4"/>
  <c r="K77" i="4"/>
  <c r="J292" i="4"/>
  <c r="K292" i="4"/>
  <c r="R292" i="4"/>
  <c r="Q293" i="4"/>
  <c r="M293" i="4"/>
  <c r="V293" i="4"/>
  <c r="U293" i="4"/>
  <c r="AJ291" i="4"/>
  <c r="AI291" i="4"/>
  <c r="AK291" i="4"/>
  <c r="AE291" i="4"/>
  <c r="AF291" i="4"/>
  <c r="AD291" i="4"/>
  <c r="AG292" i="4"/>
  <c r="R77" i="4"/>
  <c r="AJ76" i="4"/>
  <c r="AK76" i="4"/>
  <c r="AI76" i="4"/>
  <c r="AG77" i="4"/>
  <c r="Q78" i="4"/>
  <c r="M78" i="4"/>
  <c r="V78" i="4"/>
  <c r="U78" i="4"/>
  <c r="AE70" i="4"/>
  <c r="AD71" i="4"/>
  <c r="AF70" i="4"/>
  <c r="N70" i="4" l="1"/>
  <c r="O70" i="4"/>
  <c r="O291" i="4"/>
  <c r="N291" i="4"/>
  <c r="P76" i="4"/>
  <c r="P291" i="4"/>
  <c r="I78" i="4"/>
  <c r="I293" i="4"/>
  <c r="J293" i="4"/>
  <c r="K293" i="4"/>
  <c r="J78" i="4"/>
  <c r="L78" i="4"/>
  <c r="K78" i="4"/>
  <c r="R293" i="4"/>
  <c r="AJ292" i="4"/>
  <c r="AK292" i="4"/>
  <c r="AI292" i="4"/>
  <c r="AE292" i="4"/>
  <c r="AF292" i="4"/>
  <c r="AD292" i="4"/>
  <c r="M294" i="4"/>
  <c r="Q294" i="4"/>
  <c r="U294" i="4"/>
  <c r="V294" i="4"/>
  <c r="AG293" i="4"/>
  <c r="R78" i="4"/>
  <c r="M79" i="4"/>
  <c r="Q79" i="4"/>
  <c r="V79" i="4"/>
  <c r="U79" i="4"/>
  <c r="AG78" i="4"/>
  <c r="AJ77" i="4"/>
  <c r="AI77" i="4"/>
  <c r="AK77" i="4"/>
  <c r="AE71" i="4"/>
  <c r="AE72" i="4"/>
  <c r="AF71" i="4"/>
  <c r="P77" i="4" l="1"/>
  <c r="P292" i="4"/>
  <c r="N71" i="4"/>
  <c r="O71" i="4"/>
  <c r="O292" i="4"/>
  <c r="N292" i="4"/>
  <c r="I294" i="4"/>
  <c r="I79" i="4"/>
  <c r="K79" i="4"/>
  <c r="J79" i="4"/>
  <c r="L79" i="4"/>
  <c r="K294" i="4"/>
  <c r="J294" i="4"/>
  <c r="R294" i="4"/>
  <c r="Q295" i="4"/>
  <c r="M295" i="4"/>
  <c r="U295" i="4"/>
  <c r="V295" i="4"/>
  <c r="AJ293" i="4"/>
  <c r="AI293" i="4"/>
  <c r="AK293" i="4"/>
  <c r="AD293" i="4"/>
  <c r="AE293" i="4"/>
  <c r="AF293" i="4"/>
  <c r="AG294" i="4"/>
  <c r="R79" i="4"/>
  <c r="AJ78" i="4"/>
  <c r="AI78" i="4"/>
  <c r="AK78" i="4"/>
  <c r="Q80" i="4"/>
  <c r="M80" i="4"/>
  <c r="V80" i="4"/>
  <c r="U80" i="4"/>
  <c r="AG79" i="4"/>
  <c r="AE73" i="4"/>
  <c r="AD72" i="4"/>
  <c r="AF72" i="4"/>
  <c r="N72" i="4" l="1"/>
  <c r="N293" i="4"/>
  <c r="O293" i="4"/>
  <c r="O72" i="4"/>
  <c r="P78" i="4"/>
  <c r="P293" i="4"/>
  <c r="I295" i="4"/>
  <c r="I80" i="4"/>
  <c r="J80" i="4"/>
  <c r="L80" i="4"/>
  <c r="K80" i="4"/>
  <c r="K295" i="4"/>
  <c r="J295" i="4"/>
  <c r="AG295" i="4"/>
  <c r="AK295" i="4" s="1"/>
  <c r="R295" i="4"/>
  <c r="M296" i="4"/>
  <c r="Q296" i="4"/>
  <c r="V296" i="4"/>
  <c r="U296" i="4"/>
  <c r="AG80" i="4"/>
  <c r="AJ80" i="4" s="1"/>
  <c r="AJ294" i="4"/>
  <c r="AK294" i="4"/>
  <c r="AI294" i="4"/>
  <c r="AF294" i="4"/>
  <c r="AD294" i="4"/>
  <c r="AE294" i="4"/>
  <c r="AJ79" i="4"/>
  <c r="AI79" i="4"/>
  <c r="AK79" i="4"/>
  <c r="R80" i="4"/>
  <c r="Q81" i="4"/>
  <c r="M81" i="4"/>
  <c r="V81" i="4"/>
  <c r="U81" i="4"/>
  <c r="AF73" i="4"/>
  <c r="AD73" i="4"/>
  <c r="O73" i="4" l="1"/>
  <c r="P79" i="4"/>
  <c r="O294" i="4"/>
  <c r="N294" i="4"/>
  <c r="I81" i="4"/>
  <c r="P294" i="4"/>
  <c r="N73" i="4"/>
  <c r="I296" i="4"/>
  <c r="L81" i="4"/>
  <c r="J81" i="4"/>
  <c r="K81" i="4"/>
  <c r="J296" i="4"/>
  <c r="K296" i="4"/>
  <c r="AK80" i="4"/>
  <c r="AJ295" i="4"/>
  <c r="AF295" i="4"/>
  <c r="AE295" i="4"/>
  <c r="AG296" i="4"/>
  <c r="AK296" i="4" s="1"/>
  <c r="AI295" i="4"/>
  <c r="AD295" i="4"/>
  <c r="Q297" i="4"/>
  <c r="M297" i="4"/>
  <c r="V297" i="4"/>
  <c r="U297" i="4"/>
  <c r="AI80" i="4"/>
  <c r="R296" i="4"/>
  <c r="AG81" i="4"/>
  <c r="AJ81" i="4" s="1"/>
  <c r="Q82" i="4"/>
  <c r="M82" i="4"/>
  <c r="V82" i="4"/>
  <c r="U82" i="4"/>
  <c r="R81" i="4"/>
  <c r="AE74" i="4"/>
  <c r="AE75" i="4"/>
  <c r="P295" i="4" l="1"/>
  <c r="P80" i="4"/>
  <c r="I297" i="4"/>
  <c r="N295" i="4"/>
  <c r="O295" i="4"/>
  <c r="I82" i="4"/>
  <c r="J82" i="4"/>
  <c r="L82" i="4"/>
  <c r="K82" i="4"/>
  <c r="J297" i="4"/>
  <c r="K297" i="4"/>
  <c r="AD296" i="4"/>
  <c r="AI296" i="4"/>
  <c r="AF296" i="4"/>
  <c r="AJ296" i="4"/>
  <c r="AE296" i="4"/>
  <c r="AG297" i="4"/>
  <c r="AD297" i="4" s="1"/>
  <c r="AI81" i="4"/>
  <c r="AK81" i="4"/>
  <c r="R297" i="4"/>
  <c r="M298" i="4"/>
  <c r="Q298" i="4"/>
  <c r="U298" i="4"/>
  <c r="V298" i="4"/>
  <c r="R82" i="4"/>
  <c r="AG82" i="4"/>
  <c r="M83" i="4"/>
  <c r="Q83" i="4"/>
  <c r="U83" i="4"/>
  <c r="V83" i="4"/>
  <c r="AF74" i="4"/>
  <c r="AD74" i="4"/>
  <c r="O74" i="4" l="1"/>
  <c r="P81" i="4"/>
  <c r="O296" i="4"/>
  <c r="N296" i="4"/>
  <c r="N74" i="4"/>
  <c r="P296" i="4"/>
  <c r="I298" i="4"/>
  <c r="I83" i="4"/>
  <c r="L83" i="4"/>
  <c r="K83" i="4"/>
  <c r="J83" i="4"/>
  <c r="J298" i="4"/>
  <c r="K298" i="4"/>
  <c r="R298" i="4"/>
  <c r="AK297" i="4"/>
  <c r="AF297" i="4"/>
  <c r="AI297" i="4"/>
  <c r="AE297" i="4"/>
  <c r="AJ297" i="4"/>
  <c r="R83" i="4"/>
  <c r="Q299" i="4"/>
  <c r="M299" i="4"/>
  <c r="U299" i="4"/>
  <c r="V299" i="4"/>
  <c r="AG298" i="4"/>
  <c r="Q84" i="4"/>
  <c r="M84" i="4"/>
  <c r="V84" i="4"/>
  <c r="U84" i="4"/>
  <c r="AG83" i="4"/>
  <c r="AJ82" i="4"/>
  <c r="AI82" i="4"/>
  <c r="AK82" i="4"/>
  <c r="AE76" i="4"/>
  <c r="AE77" i="4"/>
  <c r="AF75" i="4"/>
  <c r="AD75" i="4"/>
  <c r="O75" i="4" l="1"/>
  <c r="N75" i="4"/>
  <c r="N297" i="4"/>
  <c r="O297" i="4"/>
  <c r="P82" i="4"/>
  <c r="P297" i="4"/>
  <c r="I299" i="4"/>
  <c r="I84" i="4"/>
  <c r="K299" i="4"/>
  <c r="J299" i="4"/>
  <c r="J84" i="4"/>
  <c r="L84" i="4"/>
  <c r="K84" i="4"/>
  <c r="R299" i="4"/>
  <c r="AG299" i="4"/>
  <c r="AJ298" i="4"/>
  <c r="AI298" i="4"/>
  <c r="AK298" i="4"/>
  <c r="AD298" i="4"/>
  <c r="AF298" i="4"/>
  <c r="AE298" i="4"/>
  <c r="Q300" i="4"/>
  <c r="M300" i="4"/>
  <c r="V300" i="4"/>
  <c r="U300" i="4"/>
  <c r="R84" i="4"/>
  <c r="AJ83" i="4"/>
  <c r="AK83" i="4"/>
  <c r="AI83" i="4"/>
  <c r="Q85" i="4"/>
  <c r="M85" i="4"/>
  <c r="V85" i="4"/>
  <c r="U85" i="4"/>
  <c r="AG84" i="4"/>
  <c r="AF76" i="4"/>
  <c r="AE78" i="4"/>
  <c r="AD76" i="4"/>
  <c r="N76" i="4" s="1"/>
  <c r="P83" i="4" l="1"/>
  <c r="P298" i="4"/>
  <c r="O76" i="4"/>
  <c r="O298" i="4"/>
  <c r="N298" i="4"/>
  <c r="I85" i="4"/>
  <c r="I300" i="4"/>
  <c r="K85" i="4"/>
  <c r="L85" i="4"/>
  <c r="J85" i="4"/>
  <c r="K300" i="4"/>
  <c r="J300" i="4"/>
  <c r="Q301" i="4"/>
  <c r="M301" i="4"/>
  <c r="V301" i="4"/>
  <c r="U301" i="4"/>
  <c r="AG300" i="4"/>
  <c r="R300" i="4"/>
  <c r="AJ299" i="4"/>
  <c r="AI299" i="4"/>
  <c r="AK299" i="4"/>
  <c r="AD299" i="4"/>
  <c r="AE299" i="4"/>
  <c r="AF299" i="4"/>
  <c r="R85" i="4"/>
  <c r="AJ84" i="4"/>
  <c r="AK84" i="4"/>
  <c r="AI84" i="4"/>
  <c r="AG85" i="4"/>
  <c r="Q86" i="4"/>
  <c r="M86" i="4"/>
  <c r="V86" i="4"/>
  <c r="U86" i="4"/>
  <c r="AD77" i="4"/>
  <c r="AF77" i="4"/>
  <c r="P84" i="4" l="1"/>
  <c r="P299" i="4"/>
  <c r="O77" i="4"/>
  <c r="N77" i="4"/>
  <c r="N299" i="4"/>
  <c r="O299" i="4"/>
  <c r="I86" i="4"/>
  <c r="I301" i="4"/>
  <c r="J86" i="4"/>
  <c r="K86" i="4"/>
  <c r="L86" i="4"/>
  <c r="K301" i="4"/>
  <c r="J301" i="4"/>
  <c r="R301" i="4"/>
  <c r="AG86" i="4"/>
  <c r="AK86" i="4" s="1"/>
  <c r="AJ300" i="4"/>
  <c r="AI300" i="4"/>
  <c r="AK300" i="4"/>
  <c r="AD300" i="4"/>
  <c r="AF300" i="4"/>
  <c r="AE300" i="4"/>
  <c r="AG301" i="4"/>
  <c r="M302" i="4"/>
  <c r="Q302" i="4"/>
  <c r="U302" i="4"/>
  <c r="V302" i="4"/>
  <c r="R86" i="4"/>
  <c r="M87" i="4"/>
  <c r="Q87" i="4"/>
  <c r="V87" i="4"/>
  <c r="U87" i="4"/>
  <c r="AJ85" i="4"/>
  <c r="AK85" i="4"/>
  <c r="AI85" i="4"/>
  <c r="AE79" i="4"/>
  <c r="AE80" i="4"/>
  <c r="AD78" i="4"/>
  <c r="AF78" i="4"/>
  <c r="P300" i="4" l="1"/>
  <c r="P85" i="4"/>
  <c r="O300" i="4"/>
  <c r="N300" i="4"/>
  <c r="N78" i="4"/>
  <c r="O78" i="4"/>
  <c r="I302" i="4"/>
  <c r="I87" i="4"/>
  <c r="K302" i="4"/>
  <c r="J302" i="4"/>
  <c r="L87" i="4"/>
  <c r="J87" i="4"/>
  <c r="K87" i="4"/>
  <c r="AJ86" i="4"/>
  <c r="AI86" i="4"/>
  <c r="R302" i="4"/>
  <c r="M303" i="4"/>
  <c r="Q303" i="4"/>
  <c r="U303" i="4"/>
  <c r="V303" i="4"/>
  <c r="AJ301" i="4"/>
  <c r="AI301" i="4"/>
  <c r="AF301" i="4"/>
  <c r="AK301" i="4"/>
  <c r="AD301" i="4"/>
  <c r="AE301" i="4"/>
  <c r="AG302" i="4"/>
  <c r="AG87" i="4"/>
  <c r="AJ87" i="4" s="1"/>
  <c r="R87" i="4"/>
  <c r="Q88" i="4"/>
  <c r="M88" i="4"/>
  <c r="V88" i="4"/>
  <c r="U88" i="4"/>
  <c r="AE81" i="4"/>
  <c r="AD79" i="4"/>
  <c r="AF79" i="4"/>
  <c r="AF80" i="4"/>
  <c r="AD80" i="4"/>
  <c r="O80" i="4" l="1"/>
  <c r="P301" i="4"/>
  <c r="N80" i="4"/>
  <c r="O79" i="4"/>
  <c r="P86" i="4"/>
  <c r="N79" i="4"/>
  <c r="N301" i="4"/>
  <c r="O301" i="4"/>
  <c r="I303" i="4"/>
  <c r="I88" i="4"/>
  <c r="K303" i="4"/>
  <c r="J303" i="4"/>
  <c r="K88" i="4"/>
  <c r="J88" i="4"/>
  <c r="L88" i="4"/>
  <c r="AK87" i="4"/>
  <c r="R303" i="4"/>
  <c r="R88" i="4"/>
  <c r="AI87" i="4"/>
  <c r="M304" i="4"/>
  <c r="Q304" i="4"/>
  <c r="V304" i="4"/>
  <c r="U304" i="4"/>
  <c r="AJ302" i="4"/>
  <c r="AI302" i="4"/>
  <c r="AK302" i="4"/>
  <c r="AD302" i="4"/>
  <c r="AF302" i="4"/>
  <c r="AE302" i="4"/>
  <c r="AG303" i="4"/>
  <c r="Q89" i="4"/>
  <c r="M89" i="4"/>
  <c r="V89" i="4"/>
  <c r="U89" i="4"/>
  <c r="AG88" i="4"/>
  <c r="AE82" i="4"/>
  <c r="AD81" i="4"/>
  <c r="AF81" i="4"/>
  <c r="O81" i="4" s="1"/>
  <c r="P87" i="4" l="1"/>
  <c r="N81" i="4"/>
  <c r="P302" i="4"/>
  <c r="I89" i="4"/>
  <c r="N302" i="4"/>
  <c r="O302" i="4"/>
  <c r="I304" i="4"/>
  <c r="L89" i="4"/>
  <c r="J89" i="4"/>
  <c r="K89" i="4"/>
  <c r="K304" i="4"/>
  <c r="J304" i="4"/>
  <c r="AG89" i="4"/>
  <c r="AK89" i="4" s="1"/>
  <c r="R304" i="4"/>
  <c r="AG304" i="4"/>
  <c r="AJ304" i="4" s="1"/>
  <c r="AJ303" i="4"/>
  <c r="AI303" i="4"/>
  <c r="AK303" i="4"/>
  <c r="AE303" i="4"/>
  <c r="AD303" i="4"/>
  <c r="AF303" i="4"/>
  <c r="Q305" i="4"/>
  <c r="M305" i="4"/>
  <c r="V305" i="4"/>
  <c r="U305" i="4"/>
  <c r="Q90" i="4"/>
  <c r="M90" i="4"/>
  <c r="V90" i="4"/>
  <c r="U90" i="4"/>
  <c r="AJ88" i="4"/>
  <c r="AI88" i="4"/>
  <c r="AK88" i="4"/>
  <c r="R89" i="4"/>
  <c r="AF82" i="4"/>
  <c r="AD82" i="4"/>
  <c r="O82" i="4" s="1"/>
  <c r="P303" i="4" l="1"/>
  <c r="P88" i="4"/>
  <c r="O303" i="4"/>
  <c r="N303" i="4"/>
  <c r="N82" i="4"/>
  <c r="I90" i="4"/>
  <c r="I305" i="4"/>
  <c r="K305" i="4"/>
  <c r="J305" i="4"/>
  <c r="L90" i="4"/>
  <c r="K90" i="4"/>
  <c r="J90" i="4"/>
  <c r="AJ89" i="4"/>
  <c r="AI89" i="4"/>
  <c r="AF304" i="4"/>
  <c r="AK304" i="4"/>
  <c r="AD304" i="4"/>
  <c r="AI304" i="4"/>
  <c r="P304" i="4" s="1"/>
  <c r="AE304" i="4"/>
  <c r="AG305" i="4"/>
  <c r="AK305" i="4" s="1"/>
  <c r="Q306" i="4"/>
  <c r="M306" i="4"/>
  <c r="U306" i="4"/>
  <c r="V306" i="4"/>
  <c r="R305" i="4"/>
  <c r="AG90" i="4"/>
  <c r="AJ90" i="4" s="1"/>
  <c r="R90" i="4"/>
  <c r="M91" i="4"/>
  <c r="Q91" i="4"/>
  <c r="U91" i="4"/>
  <c r="V91" i="4"/>
  <c r="AE83" i="4"/>
  <c r="AD84" i="4"/>
  <c r="N304" i="4" l="1"/>
  <c r="O304" i="4"/>
  <c r="P89" i="4"/>
  <c r="I91" i="4"/>
  <c r="I306" i="4"/>
  <c r="J91" i="4"/>
  <c r="L91" i="4"/>
  <c r="K91" i="4"/>
  <c r="K306" i="4"/>
  <c r="J306" i="4"/>
  <c r="AJ305" i="4"/>
  <c r="AK90" i="4"/>
  <c r="R306" i="4"/>
  <c r="AI90" i="4"/>
  <c r="P90" i="4" s="1"/>
  <c r="AE305" i="4"/>
  <c r="AF305" i="4"/>
  <c r="AI305" i="4"/>
  <c r="AD305" i="4"/>
  <c r="M307" i="4"/>
  <c r="Q307" i="4"/>
  <c r="U307" i="4"/>
  <c r="V307" i="4"/>
  <c r="AG306" i="4"/>
  <c r="AG91" i="4"/>
  <c r="R91" i="4"/>
  <c r="Q92" i="4"/>
  <c r="M92" i="4"/>
  <c r="V92" i="4"/>
  <c r="U92" i="4"/>
  <c r="AD83" i="4"/>
  <c r="O83" i="4" s="1"/>
  <c r="AF83" i="4"/>
  <c r="AE84" i="4"/>
  <c r="AE85" i="4"/>
  <c r="AF84" i="4"/>
  <c r="P305" i="4" l="1"/>
  <c r="O84" i="4"/>
  <c r="N84" i="4"/>
  <c r="N83" i="4"/>
  <c r="N305" i="4"/>
  <c r="O305" i="4"/>
  <c r="I307" i="4"/>
  <c r="I92" i="4"/>
  <c r="L92" i="4"/>
  <c r="J92" i="4"/>
  <c r="K92" i="4"/>
  <c r="K307" i="4"/>
  <c r="J307" i="4"/>
  <c r="R307" i="4"/>
  <c r="M308" i="4"/>
  <c r="Q308" i="4"/>
  <c r="V308" i="4"/>
  <c r="U308" i="4"/>
  <c r="R92" i="4"/>
  <c r="AJ306" i="4"/>
  <c r="AI306" i="4"/>
  <c r="AK306" i="4"/>
  <c r="AF306" i="4"/>
  <c r="AE306" i="4"/>
  <c r="AD306" i="4"/>
  <c r="AG307" i="4"/>
  <c r="Q93" i="4"/>
  <c r="M93" i="4"/>
  <c r="V93" i="4"/>
  <c r="U93" i="4"/>
  <c r="AJ91" i="4"/>
  <c r="AK91" i="4"/>
  <c r="AI91" i="4"/>
  <c r="AG92" i="4"/>
  <c r="AE86" i="4"/>
  <c r="AD85" i="4"/>
  <c r="AF85" i="4"/>
  <c r="O85" i="4" s="1"/>
  <c r="N85" i="4" l="1"/>
  <c r="O306" i="4"/>
  <c r="N306" i="4"/>
  <c r="P91" i="4"/>
  <c r="P306" i="4"/>
  <c r="I308" i="4"/>
  <c r="I93" i="4"/>
  <c r="K308" i="4"/>
  <c r="J308" i="4"/>
  <c r="K93" i="4"/>
  <c r="L93" i="4"/>
  <c r="J93" i="4"/>
  <c r="R308" i="4"/>
  <c r="R93" i="4"/>
  <c r="AG308" i="4"/>
  <c r="Q309" i="4"/>
  <c r="M309" i="4"/>
  <c r="V309" i="4"/>
  <c r="U309" i="4"/>
  <c r="AJ307" i="4"/>
  <c r="AI307" i="4"/>
  <c r="AK307" i="4"/>
  <c r="AE307" i="4"/>
  <c r="AD307" i="4"/>
  <c r="AF307" i="4"/>
  <c r="AJ92" i="4"/>
  <c r="AK92" i="4"/>
  <c r="AI92" i="4"/>
  <c r="Q94" i="4"/>
  <c r="M94" i="4"/>
  <c r="V94" i="4"/>
  <c r="U94" i="4"/>
  <c r="AG93" i="4"/>
  <c r="AE87" i="4"/>
  <c r="N307" i="4" l="1"/>
  <c r="O307" i="4"/>
  <c r="P307" i="4"/>
  <c r="P92" i="4"/>
  <c r="I94" i="4"/>
  <c r="I309" i="4"/>
  <c r="J94" i="4"/>
  <c r="K94" i="4"/>
  <c r="L94" i="4"/>
  <c r="J309" i="4"/>
  <c r="K309" i="4"/>
  <c r="AG309" i="4"/>
  <c r="AI309" i="4" s="1"/>
  <c r="AJ308" i="4"/>
  <c r="AK308" i="4"/>
  <c r="AI308" i="4"/>
  <c r="AD308" i="4"/>
  <c r="AE308" i="4"/>
  <c r="AF308" i="4"/>
  <c r="R309" i="4"/>
  <c r="R94" i="4"/>
  <c r="M310" i="4"/>
  <c r="Q310" i="4"/>
  <c r="U310" i="4"/>
  <c r="V310" i="4"/>
  <c r="AJ93" i="4"/>
  <c r="AK93" i="4"/>
  <c r="AI93" i="4"/>
  <c r="M95" i="4"/>
  <c r="Q95" i="4"/>
  <c r="V95" i="4"/>
  <c r="U95" i="4"/>
  <c r="AG94" i="4"/>
  <c r="AE88" i="4"/>
  <c r="AD87" i="4"/>
  <c r="AD86" i="4"/>
  <c r="AF86" i="4"/>
  <c r="P308" i="4" l="1"/>
  <c r="O308" i="4"/>
  <c r="N308" i="4"/>
  <c r="P93" i="4"/>
  <c r="N86" i="4"/>
  <c r="O86" i="4"/>
  <c r="I95" i="4"/>
  <c r="I310" i="4"/>
  <c r="L95" i="4"/>
  <c r="J95" i="4"/>
  <c r="K95" i="4"/>
  <c r="J310" i="4"/>
  <c r="K310" i="4"/>
  <c r="AJ309" i="4"/>
  <c r="AF309" i="4"/>
  <c r="AE309" i="4"/>
  <c r="AD309" i="4"/>
  <c r="AK309" i="4"/>
  <c r="AG310" i="4"/>
  <c r="R310" i="4"/>
  <c r="Q311" i="4"/>
  <c r="M311" i="4"/>
  <c r="U311" i="4"/>
  <c r="V311" i="4"/>
  <c r="AG95" i="4"/>
  <c r="AJ95" i="4" s="1"/>
  <c r="R95" i="4"/>
  <c r="Q96" i="4"/>
  <c r="M96" i="4"/>
  <c r="V96" i="4"/>
  <c r="U96" i="4"/>
  <c r="AJ94" i="4"/>
  <c r="AK94" i="4"/>
  <c r="AI94" i="4"/>
  <c r="AE89" i="4"/>
  <c r="AF87" i="4"/>
  <c r="N87" i="4" s="1"/>
  <c r="AF88" i="4"/>
  <c r="AD88" i="4"/>
  <c r="O88" i="4" l="1"/>
  <c r="O87" i="4"/>
  <c r="N309" i="4"/>
  <c r="O309" i="4"/>
  <c r="N88" i="4"/>
  <c r="P94" i="4"/>
  <c r="P309" i="4"/>
  <c r="I311" i="4"/>
  <c r="I96" i="4"/>
  <c r="J311" i="4"/>
  <c r="K311" i="4"/>
  <c r="J96" i="4"/>
  <c r="K96" i="4"/>
  <c r="L96" i="4"/>
  <c r="AG311" i="4"/>
  <c r="AK311" i="4" s="1"/>
  <c r="AK95" i="4"/>
  <c r="R311" i="4"/>
  <c r="Q312" i="4"/>
  <c r="M312" i="4"/>
  <c r="V312" i="4"/>
  <c r="U312" i="4"/>
  <c r="AJ310" i="4"/>
  <c r="AK310" i="4"/>
  <c r="AI310" i="4"/>
  <c r="AF310" i="4"/>
  <c r="AE310" i="4"/>
  <c r="AD310" i="4"/>
  <c r="AI95" i="4"/>
  <c r="P95" i="4" s="1"/>
  <c r="R96" i="4"/>
  <c r="AG96" i="4"/>
  <c r="AJ96" i="4" s="1"/>
  <c r="M97" i="4"/>
  <c r="Q97" i="4"/>
  <c r="V97" i="4"/>
  <c r="U97" i="4"/>
  <c r="AD89" i="4"/>
  <c r="AF89" i="4"/>
  <c r="N89" i="4" l="1"/>
  <c r="P310" i="4"/>
  <c r="O89" i="4"/>
  <c r="N310" i="4"/>
  <c r="O310" i="4"/>
  <c r="I312" i="4"/>
  <c r="I97" i="4"/>
  <c r="J312" i="4"/>
  <c r="K312" i="4"/>
  <c r="L97" i="4"/>
  <c r="J97" i="4"/>
  <c r="K97" i="4"/>
  <c r="AJ311" i="4"/>
  <c r="AE311" i="4"/>
  <c r="AF311" i="4"/>
  <c r="AI311" i="4"/>
  <c r="AD311" i="4"/>
  <c r="AI96" i="4"/>
  <c r="AK96" i="4"/>
  <c r="R312" i="4"/>
  <c r="Q313" i="4"/>
  <c r="M313" i="4"/>
  <c r="V313" i="4"/>
  <c r="U313" i="4"/>
  <c r="AG312" i="4"/>
  <c r="R97" i="4"/>
  <c r="AG97" i="4"/>
  <c r="Q98" i="4"/>
  <c r="M98" i="4"/>
  <c r="V98" i="4"/>
  <c r="U98" i="4"/>
  <c r="AE90" i="4"/>
  <c r="P96" i="4" l="1"/>
  <c r="O311" i="4"/>
  <c r="N311" i="4"/>
  <c r="P311" i="4"/>
  <c r="I313" i="4"/>
  <c r="I98" i="4"/>
  <c r="K98" i="4"/>
  <c r="J98" i="4"/>
  <c r="L98" i="4"/>
  <c r="J313" i="4"/>
  <c r="K313" i="4"/>
  <c r="R313" i="4"/>
  <c r="AJ312" i="4"/>
  <c r="AK312" i="4"/>
  <c r="AI312" i="4"/>
  <c r="AF312" i="4"/>
  <c r="AD312" i="4"/>
  <c r="AE312" i="4"/>
  <c r="AG313" i="4"/>
  <c r="Q314" i="4"/>
  <c r="M314" i="4"/>
  <c r="U314" i="4"/>
  <c r="V314" i="4"/>
  <c r="R98" i="4"/>
  <c r="M99" i="4"/>
  <c r="Q99" i="4"/>
  <c r="U99" i="4"/>
  <c r="V99" i="4"/>
  <c r="AG98" i="4"/>
  <c r="AJ97" i="4"/>
  <c r="AK97" i="4"/>
  <c r="AI97" i="4"/>
  <c r="AE91" i="4"/>
  <c r="AD90" i="4"/>
  <c r="AF90" i="4"/>
  <c r="N90" i="4" l="1"/>
  <c r="P97" i="4"/>
  <c r="O90" i="4"/>
  <c r="P312" i="4"/>
  <c r="O312" i="4"/>
  <c r="N312" i="4"/>
  <c r="I314" i="4"/>
  <c r="I99" i="4"/>
  <c r="J314" i="4"/>
  <c r="K314" i="4"/>
  <c r="L99" i="4"/>
  <c r="K99" i="4"/>
  <c r="J99" i="4"/>
  <c r="Q315" i="4"/>
  <c r="M315" i="4"/>
  <c r="U315" i="4"/>
  <c r="V315" i="4"/>
  <c r="AG314" i="4"/>
  <c r="AJ313" i="4"/>
  <c r="AI313" i="4"/>
  <c r="AK313" i="4"/>
  <c r="AD313" i="4"/>
  <c r="AE313" i="4"/>
  <c r="AF313" i="4"/>
  <c r="R314" i="4"/>
  <c r="AG99" i="4"/>
  <c r="AJ99" i="4" s="1"/>
  <c r="R99" i="4"/>
  <c r="Q100" i="4"/>
  <c r="M100" i="4"/>
  <c r="V100" i="4"/>
  <c r="U100" i="4"/>
  <c r="AJ98" i="4"/>
  <c r="AI98" i="4"/>
  <c r="AK98" i="4"/>
  <c r="AF91" i="4"/>
  <c r="AE92" i="4"/>
  <c r="AE93" i="4"/>
  <c r="AD91" i="4"/>
  <c r="N91" i="4" l="1"/>
  <c r="P98" i="4"/>
  <c r="N313" i="4"/>
  <c r="O313" i="4"/>
  <c r="O91" i="4"/>
  <c r="P313" i="4"/>
  <c r="I100" i="4"/>
  <c r="I315" i="4"/>
  <c r="J315" i="4"/>
  <c r="K315" i="4"/>
  <c r="K100" i="4"/>
  <c r="J100" i="4"/>
  <c r="L100" i="4"/>
  <c r="R315" i="4"/>
  <c r="AK99" i="4"/>
  <c r="AG315" i="4"/>
  <c r="AI315" i="4" s="1"/>
  <c r="AI99" i="4"/>
  <c r="AG100" i="4"/>
  <c r="AK100" i="4" s="1"/>
  <c r="Q316" i="4"/>
  <c r="M316" i="4"/>
  <c r="V316" i="4"/>
  <c r="U316" i="4"/>
  <c r="AJ314" i="4"/>
  <c r="AI314" i="4"/>
  <c r="AK314" i="4"/>
  <c r="AE314" i="4"/>
  <c r="AF314" i="4"/>
  <c r="AD314" i="4"/>
  <c r="R100" i="4"/>
  <c r="Q101" i="4"/>
  <c r="M101" i="4"/>
  <c r="V101" i="4"/>
  <c r="U101" i="4"/>
  <c r="AD92" i="4"/>
  <c r="AF92" i="4"/>
  <c r="AE94" i="4"/>
  <c r="AF93" i="4"/>
  <c r="N92" i="4" l="1"/>
  <c r="P99" i="4"/>
  <c r="O314" i="4"/>
  <c r="N314" i="4"/>
  <c r="O92" i="4"/>
  <c r="P314" i="4"/>
  <c r="I101" i="4"/>
  <c r="I316" i="4"/>
  <c r="J101" i="4"/>
  <c r="K101" i="4"/>
  <c r="L101" i="4"/>
  <c r="J316" i="4"/>
  <c r="K316" i="4"/>
  <c r="AJ315" i="4"/>
  <c r="AI100" i="4"/>
  <c r="AK315" i="4"/>
  <c r="AD315" i="4"/>
  <c r="AF315" i="4"/>
  <c r="AE315" i="4"/>
  <c r="AJ100" i="4"/>
  <c r="R316" i="4"/>
  <c r="AG316" i="4"/>
  <c r="Q317" i="4"/>
  <c r="M317" i="4"/>
  <c r="V317" i="4"/>
  <c r="U317" i="4"/>
  <c r="AG101" i="4"/>
  <c r="AJ101" i="4" s="1"/>
  <c r="Q102" i="4"/>
  <c r="M102" i="4"/>
  <c r="V102" i="4"/>
  <c r="U102" i="4"/>
  <c r="R101" i="4"/>
  <c r="AE95" i="4"/>
  <c r="AD93" i="4"/>
  <c r="AD94" i="4"/>
  <c r="AF94" i="4"/>
  <c r="O94" i="4" l="1"/>
  <c r="N94" i="4"/>
  <c r="P315" i="4"/>
  <c r="O93" i="4"/>
  <c r="N93" i="4"/>
  <c r="P100" i="4"/>
  <c r="N315" i="4"/>
  <c r="O315" i="4"/>
  <c r="I102" i="4"/>
  <c r="I317" i="4"/>
  <c r="K317" i="4"/>
  <c r="J317" i="4"/>
  <c r="K102" i="4"/>
  <c r="J102" i="4"/>
  <c r="L102" i="4"/>
  <c r="AK101" i="4"/>
  <c r="R317" i="4"/>
  <c r="AJ316" i="4"/>
  <c r="AK316" i="4"/>
  <c r="AI316" i="4"/>
  <c r="AE316" i="4"/>
  <c r="AD316" i="4"/>
  <c r="AF316" i="4"/>
  <c r="AI101" i="4"/>
  <c r="P101" i="4" s="1"/>
  <c r="M318" i="4"/>
  <c r="Q318" i="4"/>
  <c r="U318" i="4"/>
  <c r="V318" i="4"/>
  <c r="AG317" i="4"/>
  <c r="AG102" i="4"/>
  <c r="AK102" i="4" s="1"/>
  <c r="M103" i="4"/>
  <c r="Q103" i="4"/>
  <c r="V103" i="4"/>
  <c r="U103" i="4"/>
  <c r="R102" i="4"/>
  <c r="AE96" i="4"/>
  <c r="AD95" i="4"/>
  <c r="AF95" i="4"/>
  <c r="O95" i="4" s="1"/>
  <c r="N95" i="4" l="1"/>
  <c r="P316" i="4"/>
  <c r="O316" i="4"/>
  <c r="N316" i="4"/>
  <c r="I318" i="4"/>
  <c r="I103" i="4"/>
  <c r="K103" i="4"/>
  <c r="L103" i="4"/>
  <c r="J103" i="4"/>
  <c r="K318" i="4"/>
  <c r="J318" i="4"/>
  <c r="AI102" i="4"/>
  <c r="AG318" i="4"/>
  <c r="AK318" i="4" s="1"/>
  <c r="AJ317" i="4"/>
  <c r="AI317" i="4"/>
  <c r="AK317" i="4"/>
  <c r="AF317" i="4"/>
  <c r="AD317" i="4"/>
  <c r="AE317" i="4"/>
  <c r="R318" i="4"/>
  <c r="Q319" i="4"/>
  <c r="M319" i="4"/>
  <c r="U319" i="4"/>
  <c r="V319" i="4"/>
  <c r="R103" i="4"/>
  <c r="AJ102" i="4"/>
  <c r="AG103" i="4"/>
  <c r="Q104" i="4"/>
  <c r="M104" i="4"/>
  <c r="V104" i="4"/>
  <c r="U104" i="4"/>
  <c r="AE97" i="4"/>
  <c r="AD96" i="4"/>
  <c r="AF96" i="4"/>
  <c r="O96" i="4" l="1"/>
  <c r="P317" i="4"/>
  <c r="O317" i="4"/>
  <c r="N317" i="4"/>
  <c r="P102" i="4"/>
  <c r="N96" i="4"/>
  <c r="I104" i="4"/>
  <c r="I319" i="4"/>
  <c r="K104" i="4"/>
  <c r="J104" i="4"/>
  <c r="L104" i="4"/>
  <c r="J319" i="4"/>
  <c r="K319" i="4"/>
  <c r="AJ318" i="4"/>
  <c r="P318" i="4" s="1"/>
  <c r="AF318" i="4"/>
  <c r="AE318" i="4"/>
  <c r="AI318" i="4"/>
  <c r="R319" i="4"/>
  <c r="AD318" i="4"/>
  <c r="AG319" i="4"/>
  <c r="AJ319" i="4" s="1"/>
  <c r="Q320" i="4"/>
  <c r="M320" i="4"/>
  <c r="V320" i="4"/>
  <c r="U320" i="4"/>
  <c r="R104" i="4"/>
  <c r="Q105" i="4"/>
  <c r="M105" i="4"/>
  <c r="V105" i="4"/>
  <c r="U105" i="4"/>
  <c r="AG104" i="4"/>
  <c r="AJ103" i="4"/>
  <c r="AK103" i="4"/>
  <c r="AI103" i="4"/>
  <c r="AD103" i="4"/>
  <c r="AE103" i="4"/>
  <c r="AF103" i="4"/>
  <c r="AD97" i="4"/>
  <c r="AF97" i="4"/>
  <c r="N97" i="4" l="1"/>
  <c r="P103" i="4"/>
  <c r="O318" i="4"/>
  <c r="N318" i="4"/>
  <c r="O97" i="4"/>
  <c r="N103" i="4"/>
  <c r="O103" i="4"/>
  <c r="I320" i="4"/>
  <c r="I105" i="4"/>
  <c r="K105" i="4"/>
  <c r="J105" i="4"/>
  <c r="L105" i="4"/>
  <c r="J320" i="4"/>
  <c r="K320" i="4"/>
  <c r="R320" i="4"/>
  <c r="AF319" i="4"/>
  <c r="AK319" i="4"/>
  <c r="AD319" i="4"/>
  <c r="AI319" i="4"/>
  <c r="AE319" i="4"/>
  <c r="Q321" i="4"/>
  <c r="M321" i="4"/>
  <c r="V321" i="4"/>
  <c r="U321" i="4"/>
  <c r="AG320" i="4"/>
  <c r="AG105" i="4"/>
  <c r="Q106" i="4"/>
  <c r="M106" i="4"/>
  <c r="V106" i="4"/>
  <c r="U106" i="4"/>
  <c r="AJ104" i="4"/>
  <c r="AK104" i="4"/>
  <c r="AI104" i="4"/>
  <c r="AD104" i="4"/>
  <c r="AE104" i="4"/>
  <c r="AF104" i="4"/>
  <c r="R105" i="4"/>
  <c r="AE98" i="4"/>
  <c r="AE99" i="4"/>
  <c r="P104" i="4" l="1"/>
  <c r="N319" i="4"/>
  <c r="O319" i="4"/>
  <c r="N104" i="4"/>
  <c r="O104" i="4"/>
  <c r="P319" i="4"/>
  <c r="I106" i="4"/>
  <c r="I321" i="4"/>
  <c r="K321" i="4"/>
  <c r="J321" i="4"/>
  <c r="J106" i="4"/>
  <c r="K106" i="4"/>
  <c r="L106" i="4"/>
  <c r="R321" i="4"/>
  <c r="AG321" i="4"/>
  <c r="AK321" i="4" s="1"/>
  <c r="Q322" i="4"/>
  <c r="M322" i="4"/>
  <c r="U322" i="4"/>
  <c r="V322" i="4"/>
  <c r="AJ320" i="4"/>
  <c r="AI320" i="4"/>
  <c r="AK320" i="4"/>
  <c r="AF320" i="4"/>
  <c r="AD320" i="4"/>
  <c r="AE320" i="4"/>
  <c r="R106" i="4"/>
  <c r="M107" i="4"/>
  <c r="Q107" i="4"/>
  <c r="U107" i="4"/>
  <c r="V107" i="4"/>
  <c r="AG106" i="4"/>
  <c r="AJ105" i="4"/>
  <c r="AK105" i="4"/>
  <c r="AD105" i="4"/>
  <c r="AI105" i="4"/>
  <c r="AF105" i="4"/>
  <c r="AE105" i="4"/>
  <c r="AF98" i="4"/>
  <c r="AD98" i="4"/>
  <c r="P320" i="4" l="1"/>
  <c r="O98" i="4"/>
  <c r="N320" i="4"/>
  <c r="O320" i="4"/>
  <c r="O105" i="4"/>
  <c r="N105" i="4"/>
  <c r="N98" i="4"/>
  <c r="P105" i="4"/>
  <c r="I322" i="4"/>
  <c r="I107" i="4"/>
  <c r="J322" i="4"/>
  <c r="K322" i="4"/>
  <c r="L107" i="4"/>
  <c r="K107" i="4"/>
  <c r="J107" i="4"/>
  <c r="AJ321" i="4"/>
  <c r="AD321" i="4"/>
  <c r="AI321" i="4"/>
  <c r="AE321" i="4"/>
  <c r="AF321" i="4"/>
  <c r="M323" i="4"/>
  <c r="Q323" i="4"/>
  <c r="U323" i="4"/>
  <c r="V323" i="4"/>
  <c r="AG322" i="4"/>
  <c r="R322" i="4"/>
  <c r="R107" i="4"/>
  <c r="AJ106" i="4"/>
  <c r="AI106" i="4"/>
  <c r="AK106" i="4"/>
  <c r="AD106" i="4"/>
  <c r="AF106" i="4"/>
  <c r="AE106" i="4"/>
  <c r="Q108" i="4"/>
  <c r="M108" i="4"/>
  <c r="V108" i="4"/>
  <c r="U108" i="4"/>
  <c r="AG107" i="4"/>
  <c r="AE100" i="4"/>
  <c r="AE101" i="4"/>
  <c r="AF99" i="4"/>
  <c r="AD99" i="4"/>
  <c r="O106" i="4" l="1"/>
  <c r="N106" i="4"/>
  <c r="P321" i="4"/>
  <c r="P106" i="4"/>
  <c r="O99" i="4"/>
  <c r="N99" i="4"/>
  <c r="O321" i="4"/>
  <c r="N321" i="4"/>
  <c r="I108" i="4"/>
  <c r="L323" i="4"/>
  <c r="I323" i="4"/>
  <c r="K108" i="4"/>
  <c r="J108" i="4"/>
  <c r="L108" i="4"/>
  <c r="K323" i="4"/>
  <c r="J323" i="4"/>
  <c r="AG323" i="4"/>
  <c r="AI323" i="4" s="1"/>
  <c r="AJ322" i="4"/>
  <c r="AI322" i="4"/>
  <c r="AK322" i="4"/>
  <c r="AF322" i="4"/>
  <c r="AD322" i="4"/>
  <c r="AE322" i="4"/>
  <c r="R323" i="4"/>
  <c r="R108" i="4"/>
  <c r="M324" i="4"/>
  <c r="Q324" i="4"/>
  <c r="V324" i="4"/>
  <c r="U324" i="4"/>
  <c r="Q109" i="4"/>
  <c r="M109" i="4"/>
  <c r="V109" i="4"/>
  <c r="U109" i="4"/>
  <c r="AJ107" i="4"/>
  <c r="AK107" i="4"/>
  <c r="AI107" i="4"/>
  <c r="AE107" i="4"/>
  <c r="AD107" i="4"/>
  <c r="AF107" i="4"/>
  <c r="AG108" i="4"/>
  <c r="AF100" i="4"/>
  <c r="AE102" i="4"/>
  <c r="AD100" i="4"/>
  <c r="AF101" i="4"/>
  <c r="O100" i="4" l="1"/>
  <c r="P322" i="4"/>
  <c r="P107" i="4"/>
  <c r="N322" i="4"/>
  <c r="O322" i="4"/>
  <c r="N100" i="4"/>
  <c r="N107" i="4"/>
  <c r="O107" i="4"/>
  <c r="I324" i="4"/>
  <c r="I109" i="4"/>
  <c r="K324" i="4"/>
  <c r="L324" i="4"/>
  <c r="J324" i="4"/>
  <c r="K109" i="4"/>
  <c r="J109" i="4"/>
  <c r="L109" i="4"/>
  <c r="AE323" i="4"/>
  <c r="AK323" i="4"/>
  <c r="AD323" i="4"/>
  <c r="AJ323" i="4"/>
  <c r="P323" i="4" s="1"/>
  <c r="AF323" i="4"/>
  <c r="R324" i="4"/>
  <c r="AG324" i="4"/>
  <c r="Q325" i="4"/>
  <c r="M325" i="4"/>
  <c r="V325" i="4"/>
  <c r="U325" i="4"/>
  <c r="R109" i="4"/>
  <c r="Q110" i="4"/>
  <c r="M110" i="4"/>
  <c r="V110" i="4"/>
  <c r="U110" i="4"/>
  <c r="AJ108" i="4"/>
  <c r="AI108" i="4"/>
  <c r="AK108" i="4"/>
  <c r="AD108" i="4"/>
  <c r="AE108" i="4"/>
  <c r="AF108" i="4"/>
  <c r="AG109" i="4"/>
  <c r="AF102" i="4"/>
  <c r="AD101" i="4"/>
  <c r="AD102" i="4"/>
  <c r="N102" i="4" l="1"/>
  <c r="N101" i="4"/>
  <c r="O101" i="4"/>
  <c r="P108" i="4"/>
  <c r="O323" i="4"/>
  <c r="N323" i="4"/>
  <c r="O108" i="4"/>
  <c r="N108" i="4"/>
  <c r="O102" i="4"/>
  <c r="I325" i="4"/>
  <c r="I110" i="4"/>
  <c r="J110" i="4"/>
  <c r="K110" i="4"/>
  <c r="L110" i="4"/>
  <c r="J325" i="4"/>
  <c r="K325" i="4"/>
  <c r="L325" i="4"/>
  <c r="R325" i="4"/>
  <c r="AG325" i="4"/>
  <c r="AI325" i="4" s="1"/>
  <c r="M326" i="4"/>
  <c r="Q326" i="4"/>
  <c r="U326" i="4"/>
  <c r="V326" i="4"/>
  <c r="AJ324" i="4"/>
  <c r="AK324" i="4"/>
  <c r="AI324" i="4"/>
  <c r="AD324" i="4"/>
  <c r="AF324" i="4"/>
  <c r="AE324" i="4"/>
  <c r="AG110" i="4"/>
  <c r="AD110" i="4" s="1"/>
  <c r="AJ109" i="4"/>
  <c r="AK109" i="4"/>
  <c r="AI109" i="4"/>
  <c r="AD109" i="4"/>
  <c r="AF109" i="4"/>
  <c r="AE109" i="4"/>
  <c r="R110" i="4"/>
  <c r="M111" i="4"/>
  <c r="Q111" i="4"/>
  <c r="V111" i="4"/>
  <c r="U111" i="4"/>
  <c r="P324" i="4" l="1"/>
  <c r="P109" i="4"/>
  <c r="O324" i="4"/>
  <c r="N324" i="4"/>
  <c r="N109" i="4"/>
  <c r="O109" i="4"/>
  <c r="I111" i="4"/>
  <c r="I326" i="4"/>
  <c r="L111" i="4"/>
  <c r="J111" i="4"/>
  <c r="K111" i="4"/>
  <c r="L326" i="4"/>
  <c r="J326" i="4"/>
  <c r="K326" i="4"/>
  <c r="AJ325" i="4"/>
  <c r="AF325" i="4"/>
  <c r="AK325" i="4"/>
  <c r="R326" i="4"/>
  <c r="AE325" i="4"/>
  <c r="AD325" i="4"/>
  <c r="AG326" i="4"/>
  <c r="AD326" i="4" s="1"/>
  <c r="AI110" i="4"/>
  <c r="Q327" i="4"/>
  <c r="M327" i="4"/>
  <c r="U327" i="4"/>
  <c r="V327" i="4"/>
  <c r="AF110" i="4"/>
  <c r="AJ110" i="4"/>
  <c r="AE110" i="4"/>
  <c r="AK110" i="4"/>
  <c r="AG111" i="4"/>
  <c r="AF111" i="4" s="1"/>
  <c r="R111" i="4"/>
  <c r="Q112" i="4"/>
  <c r="M112" i="4"/>
  <c r="V112" i="4"/>
  <c r="U112" i="4"/>
  <c r="P325" i="4" l="1"/>
  <c r="N110" i="4"/>
  <c r="O110" i="4"/>
  <c r="P110" i="4"/>
  <c r="N325" i="4"/>
  <c r="O325" i="4"/>
  <c r="I327" i="4"/>
  <c r="I112" i="4"/>
  <c r="K327" i="4"/>
  <c r="J327" i="4"/>
  <c r="L327" i="4"/>
  <c r="L112" i="4"/>
  <c r="K112" i="4"/>
  <c r="J112" i="4"/>
  <c r="AI326" i="4"/>
  <c r="AF326" i="4"/>
  <c r="AK326" i="4"/>
  <c r="AE326" i="4"/>
  <c r="AJ326" i="4"/>
  <c r="AK111" i="4"/>
  <c r="AD111" i="4"/>
  <c r="AI111" i="4"/>
  <c r="AE111" i="4"/>
  <c r="AJ111" i="4"/>
  <c r="AG327" i="4"/>
  <c r="R327" i="4"/>
  <c r="Q328" i="4"/>
  <c r="M328" i="4"/>
  <c r="V328" i="4"/>
  <c r="U328" i="4"/>
  <c r="AG112" i="4"/>
  <c r="AK112" i="4" s="1"/>
  <c r="R112" i="4"/>
  <c r="Q113" i="4"/>
  <c r="M113" i="4"/>
  <c r="V113" i="4"/>
  <c r="U113" i="4"/>
  <c r="P111" i="4" l="1"/>
  <c r="O111" i="4"/>
  <c r="N111" i="4"/>
  <c r="P326" i="4"/>
  <c r="N326" i="4"/>
  <c r="O326" i="4"/>
  <c r="I328" i="4"/>
  <c r="I113" i="4"/>
  <c r="K328" i="4"/>
  <c r="J328" i="4"/>
  <c r="L328" i="4"/>
  <c r="K113" i="4"/>
  <c r="L113" i="4"/>
  <c r="J113" i="4"/>
  <c r="AE112" i="4"/>
  <c r="AI112" i="4"/>
  <c r="R328" i="4"/>
  <c r="AG113" i="4"/>
  <c r="AE113" i="4" s="1"/>
  <c r="AG328" i="4"/>
  <c r="AD328" i="4" s="1"/>
  <c r="AF112" i="4"/>
  <c r="AJ112" i="4"/>
  <c r="Q329" i="4"/>
  <c r="M329" i="4"/>
  <c r="V329" i="4"/>
  <c r="U329" i="4"/>
  <c r="AD112" i="4"/>
  <c r="AJ327" i="4"/>
  <c r="AK327" i="4"/>
  <c r="AI327" i="4"/>
  <c r="AE327" i="4"/>
  <c r="AF327" i="4"/>
  <c r="AD327" i="4"/>
  <c r="R113" i="4"/>
  <c r="Q114" i="4"/>
  <c r="M114" i="4"/>
  <c r="V114" i="4"/>
  <c r="U114" i="4"/>
  <c r="O112" i="4" l="1"/>
  <c r="N112" i="4"/>
  <c r="P112" i="4"/>
  <c r="N327" i="4"/>
  <c r="O327" i="4"/>
  <c r="P327" i="4"/>
  <c r="I329" i="4"/>
  <c r="I114" i="4"/>
  <c r="L329" i="4"/>
  <c r="K329" i="4"/>
  <c r="J329" i="4"/>
  <c r="L114" i="4"/>
  <c r="J114" i="4"/>
  <c r="K114" i="4"/>
  <c r="AE328" i="4"/>
  <c r="AK328" i="4"/>
  <c r="AF113" i="4"/>
  <c r="AK113" i="4"/>
  <c r="AG329" i="4"/>
  <c r="AK329" i="4" s="1"/>
  <c r="AJ113" i="4"/>
  <c r="AI113" i="4"/>
  <c r="AI328" i="4"/>
  <c r="AD113" i="4"/>
  <c r="AF328" i="4"/>
  <c r="AJ328" i="4"/>
  <c r="R329" i="4"/>
  <c r="Q330" i="4"/>
  <c r="M330" i="4"/>
  <c r="U330" i="4"/>
  <c r="V330" i="4"/>
  <c r="R114" i="4"/>
  <c r="M115" i="4"/>
  <c r="Q115" i="4"/>
  <c r="U115" i="4"/>
  <c r="V115" i="4"/>
  <c r="AG114" i="4"/>
  <c r="N113" i="4" l="1"/>
  <c r="O113" i="4"/>
  <c r="P113" i="4"/>
  <c r="P328" i="4"/>
  <c r="N328" i="4"/>
  <c r="O328" i="4"/>
  <c r="I330" i="4"/>
  <c r="I115" i="4"/>
  <c r="K115" i="4"/>
  <c r="J115" i="4"/>
  <c r="L115" i="4"/>
  <c r="J330" i="4"/>
  <c r="K330" i="4"/>
  <c r="L330" i="4"/>
  <c r="AJ329" i="4"/>
  <c r="AI329" i="4"/>
  <c r="AD329" i="4"/>
  <c r="AF329" i="4"/>
  <c r="AE329" i="4"/>
  <c r="AG330" i="4"/>
  <c r="Q331" i="4"/>
  <c r="M331" i="4"/>
  <c r="U331" i="4"/>
  <c r="V331" i="4"/>
  <c r="R330" i="4"/>
  <c r="Q116" i="4"/>
  <c r="M116" i="4"/>
  <c r="V116" i="4"/>
  <c r="U116" i="4"/>
  <c r="AJ114" i="4"/>
  <c r="AI114" i="4"/>
  <c r="AK114" i="4"/>
  <c r="AF114" i="4"/>
  <c r="AE114" i="4"/>
  <c r="AD114" i="4"/>
  <c r="AG115" i="4"/>
  <c r="R115" i="4"/>
  <c r="P329" i="4" l="1"/>
  <c r="O114" i="4"/>
  <c r="N114" i="4"/>
  <c r="P114" i="4"/>
  <c r="I331" i="4"/>
  <c r="O329" i="4"/>
  <c r="N329" i="4"/>
  <c r="I116" i="4"/>
  <c r="J331" i="4"/>
  <c r="K331" i="4"/>
  <c r="L331" i="4"/>
  <c r="L116" i="4"/>
  <c r="K116" i="4"/>
  <c r="J116" i="4"/>
  <c r="M332" i="4"/>
  <c r="Q332" i="4"/>
  <c r="V332" i="4"/>
  <c r="U332" i="4"/>
  <c r="AJ330" i="4"/>
  <c r="AK330" i="4"/>
  <c r="AI330" i="4"/>
  <c r="AF330" i="4"/>
  <c r="AE330" i="4"/>
  <c r="AD330" i="4"/>
  <c r="AG331" i="4"/>
  <c r="R331" i="4"/>
  <c r="R116" i="4"/>
  <c r="AG116" i="4"/>
  <c r="Q117" i="4"/>
  <c r="M117" i="4"/>
  <c r="V117" i="4"/>
  <c r="U117" i="4"/>
  <c r="AJ115" i="4"/>
  <c r="AK115" i="4"/>
  <c r="AI115" i="4"/>
  <c r="AE115" i="4"/>
  <c r="AD115" i="4"/>
  <c r="AF115" i="4"/>
  <c r="P115" i="4" l="1"/>
  <c r="O330" i="4"/>
  <c r="N330" i="4"/>
  <c r="P330" i="4"/>
  <c r="N115" i="4"/>
  <c r="O115" i="4"/>
  <c r="I117" i="4"/>
  <c r="I332" i="4"/>
  <c r="K117" i="4"/>
  <c r="J117" i="4"/>
  <c r="L117" i="4"/>
  <c r="K332" i="4"/>
  <c r="J332" i="4"/>
  <c r="L332" i="4"/>
  <c r="R332" i="4"/>
  <c r="AG332" i="4"/>
  <c r="Q333" i="4"/>
  <c r="M333" i="4"/>
  <c r="V333" i="4"/>
  <c r="U333" i="4"/>
  <c r="AJ331" i="4"/>
  <c r="AI331" i="4"/>
  <c r="AK331" i="4"/>
  <c r="AF331" i="4"/>
  <c r="AE331" i="4"/>
  <c r="AD331" i="4"/>
  <c r="R117" i="4"/>
  <c r="Q118" i="4"/>
  <c r="M118" i="4"/>
  <c r="V118" i="4"/>
  <c r="U118" i="4"/>
  <c r="AG117" i="4"/>
  <c r="AJ116" i="4"/>
  <c r="AI116" i="4"/>
  <c r="AK116" i="4"/>
  <c r="AF116" i="4"/>
  <c r="AD116" i="4"/>
  <c r="AE116" i="4"/>
  <c r="P116" i="4" l="1"/>
  <c r="I333" i="4"/>
  <c r="O116" i="4"/>
  <c r="N116" i="4"/>
  <c r="N331" i="4"/>
  <c r="O331" i="4"/>
  <c r="P331" i="4"/>
  <c r="I118" i="4"/>
  <c r="K333" i="4"/>
  <c r="J333" i="4"/>
  <c r="L333" i="4"/>
  <c r="K118" i="4"/>
  <c r="J118" i="4"/>
  <c r="L118" i="4"/>
  <c r="R333" i="4"/>
  <c r="M334" i="4"/>
  <c r="Q334" i="4"/>
  <c r="U334" i="4"/>
  <c r="V334" i="4"/>
  <c r="AG333" i="4"/>
  <c r="AJ332" i="4"/>
  <c r="AK332" i="4"/>
  <c r="AI332" i="4"/>
  <c r="AD332" i="4"/>
  <c r="AF332" i="4"/>
  <c r="AE332" i="4"/>
  <c r="AG118" i="4"/>
  <c r="AF118" i="4" s="1"/>
  <c r="Q119" i="4"/>
  <c r="M119" i="4"/>
  <c r="V119" i="4"/>
  <c r="U119" i="4"/>
  <c r="AJ117" i="4"/>
  <c r="AI117" i="4"/>
  <c r="AK117" i="4"/>
  <c r="AE117" i="4"/>
  <c r="AD117" i="4"/>
  <c r="AF117" i="4"/>
  <c r="R118" i="4"/>
  <c r="P332" i="4" l="1"/>
  <c r="O117" i="4"/>
  <c r="N117" i="4"/>
  <c r="P117" i="4"/>
  <c r="N332" i="4"/>
  <c r="O332" i="4"/>
  <c r="I334" i="4"/>
  <c r="I119" i="4"/>
  <c r="L334" i="4"/>
  <c r="K334" i="4"/>
  <c r="J334" i="4"/>
  <c r="L119" i="4"/>
  <c r="K119" i="4"/>
  <c r="J119" i="4"/>
  <c r="AK118" i="4"/>
  <c r="R334" i="4"/>
  <c r="AJ333" i="4"/>
  <c r="AI333" i="4"/>
  <c r="AK333" i="4"/>
  <c r="AE333" i="4"/>
  <c r="AF333" i="4"/>
  <c r="AD333" i="4"/>
  <c r="AD118" i="4"/>
  <c r="AI118" i="4"/>
  <c r="AG334" i="4"/>
  <c r="AE118" i="4"/>
  <c r="AJ118" i="4"/>
  <c r="Q335" i="4"/>
  <c r="M335" i="4"/>
  <c r="U335" i="4"/>
  <c r="V335" i="4"/>
  <c r="AG119" i="4"/>
  <c r="AJ119" i="4" s="1"/>
  <c r="Q120" i="4"/>
  <c r="M120" i="4"/>
  <c r="V120" i="4"/>
  <c r="U120" i="4"/>
  <c r="R119" i="4"/>
  <c r="P333" i="4" l="1"/>
  <c r="O333" i="4"/>
  <c r="N333" i="4"/>
  <c r="P118" i="4"/>
  <c r="N118" i="4"/>
  <c r="O118" i="4"/>
  <c r="AD119" i="4"/>
  <c r="I335" i="4"/>
  <c r="I120" i="4"/>
  <c r="K335" i="4"/>
  <c r="L335" i="4"/>
  <c r="J335" i="4"/>
  <c r="J120" i="4"/>
  <c r="K120" i="4"/>
  <c r="L120" i="4"/>
  <c r="AI119" i="4"/>
  <c r="AF119" i="4"/>
  <c r="AK119" i="4"/>
  <c r="AE119" i="4"/>
  <c r="M336" i="4"/>
  <c r="Q336" i="4"/>
  <c r="V336" i="4"/>
  <c r="U336" i="4"/>
  <c r="AG120" i="4"/>
  <c r="AJ120" i="4" s="1"/>
  <c r="AJ334" i="4"/>
  <c r="AK334" i="4"/>
  <c r="AI334" i="4"/>
  <c r="AF334" i="4"/>
  <c r="AD334" i="4"/>
  <c r="AE334" i="4"/>
  <c r="AG335" i="4"/>
  <c r="R335" i="4"/>
  <c r="Q121" i="4"/>
  <c r="M121" i="4"/>
  <c r="V121" i="4"/>
  <c r="U121" i="4"/>
  <c r="R120" i="4"/>
  <c r="P119" i="4" l="1"/>
  <c r="O334" i="4"/>
  <c r="N334" i="4"/>
  <c r="O119" i="4"/>
  <c r="N119" i="4"/>
  <c r="P334" i="4"/>
  <c r="I336" i="4"/>
  <c r="I121" i="4"/>
  <c r="K121" i="4"/>
  <c r="J121" i="4"/>
  <c r="L121" i="4"/>
  <c r="K336" i="4"/>
  <c r="J336" i="4"/>
  <c r="L336" i="4"/>
  <c r="R336" i="4"/>
  <c r="AE120" i="4"/>
  <c r="AK120" i="4"/>
  <c r="AF120" i="4"/>
  <c r="AI120" i="4"/>
  <c r="AG336" i="4"/>
  <c r="AK336" i="4" s="1"/>
  <c r="AD120" i="4"/>
  <c r="Q337" i="4"/>
  <c r="M337" i="4"/>
  <c r="V337" i="4"/>
  <c r="U337" i="4"/>
  <c r="AJ335" i="4"/>
  <c r="AI335" i="4"/>
  <c r="AK335" i="4"/>
  <c r="AD335" i="4"/>
  <c r="AE335" i="4"/>
  <c r="AF335" i="4"/>
  <c r="Q122" i="4"/>
  <c r="M122" i="4"/>
  <c r="V122" i="4"/>
  <c r="U122" i="4"/>
  <c r="AG121" i="4"/>
  <c r="R121" i="4"/>
  <c r="P120" i="4" l="1"/>
  <c r="O120" i="4"/>
  <c r="N120" i="4"/>
  <c r="N335" i="4"/>
  <c r="O335" i="4"/>
  <c r="P335" i="4"/>
  <c r="I337" i="4"/>
  <c r="I122" i="4"/>
  <c r="J337" i="4"/>
  <c r="L337" i="4"/>
  <c r="K337" i="4"/>
  <c r="J122" i="4"/>
  <c r="K122" i="4"/>
  <c r="L122" i="4"/>
  <c r="AF336" i="4"/>
  <c r="R337" i="4"/>
  <c r="AI336" i="4"/>
  <c r="AD336" i="4"/>
  <c r="AE336" i="4"/>
  <c r="AJ336" i="4"/>
  <c r="AG337" i="4"/>
  <c r="Q338" i="4"/>
  <c r="M338" i="4"/>
  <c r="U338" i="4"/>
  <c r="V338" i="4"/>
  <c r="R122" i="4"/>
  <c r="M123" i="4"/>
  <c r="Q123" i="4"/>
  <c r="U123" i="4"/>
  <c r="V123" i="4"/>
  <c r="AJ121" i="4"/>
  <c r="AK121" i="4"/>
  <c r="AI121" i="4"/>
  <c r="AD121" i="4"/>
  <c r="AE121" i="4"/>
  <c r="AF121" i="4"/>
  <c r="AG122" i="4"/>
  <c r="P121" i="4" l="1"/>
  <c r="P336" i="4"/>
  <c r="O121" i="4"/>
  <c r="N121" i="4"/>
  <c r="O336" i="4"/>
  <c r="N336" i="4"/>
  <c r="I338" i="4"/>
  <c r="I123" i="4"/>
  <c r="J123" i="4"/>
  <c r="K123" i="4"/>
  <c r="L123" i="4"/>
  <c r="L338" i="4"/>
  <c r="J338" i="4"/>
  <c r="K338" i="4"/>
  <c r="R338" i="4"/>
  <c r="AG123" i="4"/>
  <c r="AE123" i="4" s="1"/>
  <c r="M339" i="4"/>
  <c r="Q339" i="4"/>
  <c r="U339" i="4"/>
  <c r="V339" i="4"/>
  <c r="AG338" i="4"/>
  <c r="AJ337" i="4"/>
  <c r="AI337" i="4"/>
  <c r="AK337" i="4"/>
  <c r="AE337" i="4"/>
  <c r="AF337" i="4"/>
  <c r="AD337" i="4"/>
  <c r="R123" i="4"/>
  <c r="AJ122" i="4"/>
  <c r="AK122" i="4"/>
  <c r="AI122" i="4"/>
  <c r="AF122" i="4"/>
  <c r="AD122" i="4"/>
  <c r="AE122" i="4"/>
  <c r="Q124" i="4"/>
  <c r="M124" i="4"/>
  <c r="V124" i="4"/>
  <c r="U124" i="4"/>
  <c r="P337" i="4" l="1"/>
  <c r="P122" i="4"/>
  <c r="O122" i="4"/>
  <c r="N122" i="4"/>
  <c r="O337" i="4"/>
  <c r="N337" i="4"/>
  <c r="I124" i="4"/>
  <c r="I339" i="4"/>
  <c r="L339" i="4"/>
  <c r="K339" i="4"/>
  <c r="J339" i="4"/>
  <c r="K124" i="4"/>
  <c r="L124" i="4"/>
  <c r="J124" i="4"/>
  <c r="AJ123" i="4"/>
  <c r="AI123" i="4"/>
  <c r="AF123" i="4"/>
  <c r="AD123" i="4"/>
  <c r="N123" i="4" s="1"/>
  <c r="AK123" i="4"/>
  <c r="R339" i="4"/>
  <c r="M340" i="4"/>
  <c r="Q340" i="4"/>
  <c r="V340" i="4"/>
  <c r="U340" i="4"/>
  <c r="AJ338" i="4"/>
  <c r="AK338" i="4"/>
  <c r="AI338" i="4"/>
  <c r="AE338" i="4"/>
  <c r="AD338" i="4"/>
  <c r="AF338" i="4"/>
  <c r="AG339" i="4"/>
  <c r="R124" i="4"/>
  <c r="Q125" i="4"/>
  <c r="M125" i="4"/>
  <c r="V125" i="4"/>
  <c r="U125" i="4"/>
  <c r="AG124" i="4"/>
  <c r="O338" i="4" l="1"/>
  <c r="N338" i="4"/>
  <c r="P338" i="4"/>
  <c r="O123" i="4"/>
  <c r="P123" i="4"/>
  <c r="I340" i="4"/>
  <c r="I125" i="4"/>
  <c r="L125" i="4"/>
  <c r="J125" i="4"/>
  <c r="K125" i="4"/>
  <c r="L340" i="4"/>
  <c r="J340" i="4"/>
  <c r="K340" i="4"/>
  <c r="AG340" i="4"/>
  <c r="AE340" i="4" s="1"/>
  <c r="AJ339" i="4"/>
  <c r="AI339" i="4"/>
  <c r="AK339" i="4"/>
  <c r="AD339" i="4"/>
  <c r="AF339" i="4"/>
  <c r="AE339" i="4"/>
  <c r="Q341" i="4"/>
  <c r="M341" i="4"/>
  <c r="V341" i="4"/>
  <c r="U341" i="4"/>
  <c r="R340" i="4"/>
  <c r="R125" i="4"/>
  <c r="AG125" i="4"/>
  <c r="Q126" i="4"/>
  <c r="M126" i="4"/>
  <c r="V126" i="4"/>
  <c r="U126" i="4"/>
  <c r="AJ124" i="4"/>
  <c r="AK124" i="4"/>
  <c r="AI124" i="4"/>
  <c r="AF124" i="4"/>
  <c r="AD124" i="4"/>
  <c r="AE124" i="4"/>
  <c r="P124" i="4" l="1"/>
  <c r="P339" i="4"/>
  <c r="O124" i="4"/>
  <c r="N124" i="4"/>
  <c r="I126" i="4"/>
  <c r="O339" i="4"/>
  <c r="N339" i="4"/>
  <c r="I341" i="4"/>
  <c r="L126" i="4"/>
  <c r="J126" i="4"/>
  <c r="K126" i="4"/>
  <c r="K341" i="4"/>
  <c r="J341" i="4"/>
  <c r="L341" i="4"/>
  <c r="AF340" i="4"/>
  <c r="AI340" i="4"/>
  <c r="AK340" i="4"/>
  <c r="AD340" i="4"/>
  <c r="AJ340" i="4"/>
  <c r="R126" i="4"/>
  <c r="R341" i="4"/>
  <c r="AG341" i="4"/>
  <c r="M342" i="4"/>
  <c r="Q342" i="4"/>
  <c r="U342" i="4"/>
  <c r="V342" i="4"/>
  <c r="M127" i="4"/>
  <c r="Q127" i="4"/>
  <c r="V127" i="4"/>
  <c r="U127" i="4"/>
  <c r="AG126" i="4"/>
  <c r="AJ125" i="4"/>
  <c r="AK125" i="4"/>
  <c r="AI125" i="4"/>
  <c r="AF125" i="4"/>
  <c r="AE125" i="4"/>
  <c r="AD125" i="4"/>
  <c r="P125" i="4" l="1"/>
  <c r="N125" i="4"/>
  <c r="O125" i="4"/>
  <c r="P340" i="4"/>
  <c r="O340" i="4"/>
  <c r="N340" i="4"/>
  <c r="I342" i="4"/>
  <c r="I127" i="4"/>
  <c r="K342" i="4"/>
  <c r="L342" i="4"/>
  <c r="J342" i="4"/>
  <c r="J127" i="4"/>
  <c r="L127" i="4"/>
  <c r="K127" i="4"/>
  <c r="R342" i="4"/>
  <c r="AJ341" i="4"/>
  <c r="AK341" i="4"/>
  <c r="AI341" i="4"/>
  <c r="AD341" i="4"/>
  <c r="AE341" i="4"/>
  <c r="AF341" i="4"/>
  <c r="AG342" i="4"/>
  <c r="Q343" i="4"/>
  <c r="M343" i="4"/>
  <c r="U343" i="4"/>
  <c r="V343" i="4"/>
  <c r="AG127" i="4"/>
  <c r="AI127" i="4" s="1"/>
  <c r="Q128" i="4"/>
  <c r="M128" i="4"/>
  <c r="V128" i="4"/>
  <c r="U128" i="4"/>
  <c r="AJ126" i="4"/>
  <c r="AK126" i="4"/>
  <c r="AI126" i="4"/>
  <c r="AD126" i="4"/>
  <c r="AF126" i="4"/>
  <c r="AE126" i="4"/>
  <c r="R127" i="4"/>
  <c r="P126" i="4" l="1"/>
  <c r="P341" i="4"/>
  <c r="O126" i="4"/>
  <c r="N126" i="4"/>
  <c r="N341" i="4"/>
  <c r="O341" i="4"/>
  <c r="I343" i="4"/>
  <c r="I128" i="4"/>
  <c r="K128" i="4"/>
  <c r="L128" i="4"/>
  <c r="J128" i="4"/>
  <c r="K343" i="4"/>
  <c r="J343" i="4"/>
  <c r="L343" i="4"/>
  <c r="R343" i="4"/>
  <c r="AK127" i="4"/>
  <c r="AJ342" i="4"/>
  <c r="AI342" i="4"/>
  <c r="AK342" i="4"/>
  <c r="AD342" i="4"/>
  <c r="AE342" i="4"/>
  <c r="AF342" i="4"/>
  <c r="AD127" i="4"/>
  <c r="AG343" i="4"/>
  <c r="AF127" i="4"/>
  <c r="Q344" i="4"/>
  <c r="M344" i="4"/>
  <c r="V344" i="4"/>
  <c r="U344" i="4"/>
  <c r="AE127" i="4"/>
  <c r="AJ127" i="4"/>
  <c r="R128" i="4"/>
  <c r="AG128" i="4"/>
  <c r="M129" i="4"/>
  <c r="Q129" i="4"/>
  <c r="V129" i="4"/>
  <c r="U129" i="4"/>
  <c r="P127" i="4" l="1"/>
  <c r="O127" i="4"/>
  <c r="N127" i="4"/>
  <c r="O342" i="4"/>
  <c r="N342" i="4"/>
  <c r="P342" i="4"/>
  <c r="I129" i="4"/>
  <c r="I344" i="4"/>
  <c r="L129" i="4"/>
  <c r="J129" i="4"/>
  <c r="K129" i="4"/>
  <c r="K344" i="4"/>
  <c r="L344" i="4"/>
  <c r="J344" i="4"/>
  <c r="R344" i="4"/>
  <c r="AG344" i="4"/>
  <c r="AK344" i="4" s="1"/>
  <c r="Q345" i="4"/>
  <c r="M345" i="4"/>
  <c r="V345" i="4"/>
  <c r="U345" i="4"/>
  <c r="AJ343" i="4"/>
  <c r="AK343" i="4"/>
  <c r="AI343" i="4"/>
  <c r="AF343" i="4"/>
  <c r="AE343" i="4"/>
  <c r="AD343" i="4"/>
  <c r="R129" i="4"/>
  <c r="AJ128" i="4"/>
  <c r="AI128" i="4"/>
  <c r="AK128" i="4"/>
  <c r="AD128" i="4"/>
  <c r="AF128" i="4"/>
  <c r="AE128" i="4"/>
  <c r="AG129" i="4"/>
  <c r="Q130" i="4"/>
  <c r="M130" i="4"/>
  <c r="V130" i="4"/>
  <c r="U130" i="4"/>
  <c r="P343" i="4" l="1"/>
  <c r="P128" i="4"/>
  <c r="O128" i="4"/>
  <c r="N128" i="4"/>
  <c r="N343" i="4"/>
  <c r="O343" i="4"/>
  <c r="I345" i="4"/>
  <c r="I130" i="4"/>
  <c r="K345" i="4"/>
  <c r="J345" i="4"/>
  <c r="L345" i="4"/>
  <c r="K130" i="4"/>
  <c r="J130" i="4"/>
  <c r="L130" i="4"/>
  <c r="AJ344" i="4"/>
  <c r="AF344" i="4"/>
  <c r="AI344" i="4"/>
  <c r="AE344" i="4"/>
  <c r="R345" i="4"/>
  <c r="AD344" i="4"/>
  <c r="AG345" i="4"/>
  <c r="Q346" i="4"/>
  <c r="M346" i="4"/>
  <c r="U346" i="4"/>
  <c r="V346" i="4"/>
  <c r="M131" i="4"/>
  <c r="Q131" i="4"/>
  <c r="U131" i="4"/>
  <c r="V131" i="4"/>
  <c r="AG130" i="4"/>
  <c r="AJ129" i="4"/>
  <c r="AK129" i="4"/>
  <c r="AI129" i="4"/>
  <c r="AF129" i="4"/>
  <c r="AE129" i="4"/>
  <c r="AD129" i="4"/>
  <c r="R130" i="4"/>
  <c r="P344" i="4" l="1"/>
  <c r="P129" i="4"/>
  <c r="O129" i="4"/>
  <c r="N129" i="4"/>
  <c r="N344" i="4"/>
  <c r="O344" i="4"/>
  <c r="I346" i="4"/>
  <c r="I131" i="4"/>
  <c r="J131" i="4"/>
  <c r="L131" i="4"/>
  <c r="K131" i="4"/>
  <c r="L346" i="4"/>
  <c r="J346" i="4"/>
  <c r="K346" i="4"/>
  <c r="R346" i="4"/>
  <c r="Q347" i="4"/>
  <c r="M347" i="4"/>
  <c r="U347" i="4"/>
  <c r="V347" i="4"/>
  <c r="AJ345" i="4"/>
  <c r="AI345" i="4"/>
  <c r="AK345" i="4"/>
  <c r="AE345" i="4"/>
  <c r="AD345" i="4"/>
  <c r="AF345" i="4"/>
  <c r="AG346" i="4"/>
  <c r="AG131" i="4"/>
  <c r="Q132" i="4"/>
  <c r="M132" i="4"/>
  <c r="V132" i="4"/>
  <c r="U132" i="4"/>
  <c r="AJ130" i="4"/>
  <c r="AI130" i="4"/>
  <c r="AK130" i="4"/>
  <c r="AE130" i="4"/>
  <c r="AF130" i="4"/>
  <c r="AD130" i="4"/>
  <c r="R131" i="4"/>
  <c r="P130" i="4" l="1"/>
  <c r="N130" i="4"/>
  <c r="O130" i="4"/>
  <c r="N345" i="4"/>
  <c r="O345" i="4"/>
  <c r="P345" i="4"/>
  <c r="I347" i="4"/>
  <c r="I132" i="4"/>
  <c r="K347" i="4"/>
  <c r="L347" i="4"/>
  <c r="J347" i="4"/>
  <c r="K132" i="4"/>
  <c r="L132" i="4"/>
  <c r="J132" i="4"/>
  <c r="AG347" i="4"/>
  <c r="AK347" i="4" s="1"/>
  <c r="R347" i="4"/>
  <c r="R132" i="4"/>
  <c r="M348" i="4"/>
  <c r="Q348" i="4"/>
  <c r="V348" i="4"/>
  <c r="U348" i="4"/>
  <c r="AJ346" i="4"/>
  <c r="AI346" i="4"/>
  <c r="AK346" i="4"/>
  <c r="AD346" i="4"/>
  <c r="AE346" i="4"/>
  <c r="AF346" i="4"/>
  <c r="Q133" i="4"/>
  <c r="M133" i="4"/>
  <c r="V133" i="4"/>
  <c r="U133" i="4"/>
  <c r="AG132" i="4"/>
  <c r="AJ131" i="4"/>
  <c r="AI131" i="4"/>
  <c r="AK131" i="4"/>
  <c r="AD131" i="4"/>
  <c r="AE131" i="4"/>
  <c r="AF131" i="4"/>
  <c r="P346" i="4" l="1"/>
  <c r="O131" i="4"/>
  <c r="N131" i="4"/>
  <c r="N346" i="4"/>
  <c r="O346" i="4"/>
  <c r="P131" i="4"/>
  <c r="I348" i="4"/>
  <c r="I133" i="4"/>
  <c r="L348" i="4"/>
  <c r="K348" i="4"/>
  <c r="J348" i="4"/>
  <c r="K133" i="4"/>
  <c r="J133" i="4"/>
  <c r="L133" i="4"/>
  <c r="AJ347" i="4"/>
  <c r="AD347" i="4"/>
  <c r="AI347" i="4"/>
  <c r="AE347" i="4"/>
  <c r="AF347" i="4"/>
  <c r="AG348" i="4"/>
  <c r="AF348" i="4" s="1"/>
  <c r="Q349" i="4"/>
  <c r="M349" i="4"/>
  <c r="V349" i="4"/>
  <c r="U349" i="4"/>
  <c r="R348" i="4"/>
  <c r="R133" i="4"/>
  <c r="AG133" i="4"/>
  <c r="Q134" i="4"/>
  <c r="M134" i="4"/>
  <c r="V134" i="4"/>
  <c r="U134" i="4"/>
  <c r="AJ132" i="4"/>
  <c r="AI132" i="4"/>
  <c r="AK132" i="4"/>
  <c r="AF132" i="4"/>
  <c r="AE132" i="4"/>
  <c r="AD132" i="4"/>
  <c r="P132" i="4" l="1"/>
  <c r="P347" i="4"/>
  <c r="N132" i="4"/>
  <c r="O132" i="4"/>
  <c r="O347" i="4"/>
  <c r="N347" i="4"/>
  <c r="I349" i="4"/>
  <c r="I134" i="4"/>
  <c r="J134" i="4"/>
  <c r="L134" i="4"/>
  <c r="K134" i="4"/>
  <c r="J349" i="4"/>
  <c r="K349" i="4"/>
  <c r="L349" i="4"/>
  <c r="AJ348" i="4"/>
  <c r="AE348" i="4"/>
  <c r="AI348" i="4"/>
  <c r="AG349" i="4"/>
  <c r="AE349" i="4" s="1"/>
  <c r="AK348" i="4"/>
  <c r="AD348" i="4"/>
  <c r="R134" i="4"/>
  <c r="R349" i="4"/>
  <c r="M350" i="4"/>
  <c r="Q350" i="4"/>
  <c r="U350" i="4"/>
  <c r="V350" i="4"/>
  <c r="Q135" i="4"/>
  <c r="M135" i="4"/>
  <c r="V135" i="4"/>
  <c r="U135" i="4"/>
  <c r="AG134" i="4"/>
  <c r="AJ133" i="4"/>
  <c r="AK133" i="4"/>
  <c r="AD133" i="4"/>
  <c r="AI133" i="4"/>
  <c r="AE133" i="4"/>
  <c r="AF133" i="4"/>
  <c r="P133" i="4" l="1"/>
  <c r="P348" i="4"/>
  <c r="N348" i="4"/>
  <c r="O348" i="4"/>
  <c r="N133" i="4"/>
  <c r="O133" i="4"/>
  <c r="I350" i="4"/>
  <c r="I135" i="4"/>
  <c r="L350" i="4"/>
  <c r="J350" i="4"/>
  <c r="K350" i="4"/>
  <c r="J135" i="4"/>
  <c r="L135" i="4"/>
  <c r="K135" i="4"/>
  <c r="AK349" i="4"/>
  <c r="AF349" i="4"/>
  <c r="AI349" i="4"/>
  <c r="AD349" i="4"/>
  <c r="AJ349" i="4"/>
  <c r="R135" i="4"/>
  <c r="AG350" i="4"/>
  <c r="AK350" i="4" s="1"/>
  <c r="R350" i="4"/>
  <c r="M351" i="4"/>
  <c r="Q351" i="4"/>
  <c r="U351" i="4"/>
  <c r="V351" i="4"/>
  <c r="Q136" i="4"/>
  <c r="M136" i="4"/>
  <c r="V136" i="4"/>
  <c r="U136" i="4"/>
  <c r="AG135" i="4"/>
  <c r="AJ134" i="4"/>
  <c r="AI134" i="4"/>
  <c r="AK134" i="4"/>
  <c r="AE134" i="4"/>
  <c r="AF134" i="4"/>
  <c r="AD134" i="4"/>
  <c r="P134" i="4" l="1"/>
  <c r="O134" i="4"/>
  <c r="N134" i="4"/>
  <c r="P349" i="4"/>
  <c r="N349" i="4"/>
  <c r="O349" i="4"/>
  <c r="I351" i="4"/>
  <c r="I136" i="4"/>
  <c r="K351" i="4"/>
  <c r="L351" i="4"/>
  <c r="J351" i="4"/>
  <c r="J136" i="4"/>
  <c r="L136" i="4"/>
  <c r="K136" i="4"/>
  <c r="AD350" i="4"/>
  <c r="AF350" i="4"/>
  <c r="AJ350" i="4"/>
  <c r="AI350" i="4"/>
  <c r="AG351" i="4"/>
  <c r="AI351" i="4" s="1"/>
  <c r="AE350" i="4"/>
  <c r="R351" i="4"/>
  <c r="M352" i="4"/>
  <c r="Q352" i="4"/>
  <c r="V352" i="4"/>
  <c r="U352" i="4"/>
  <c r="AG136" i="4"/>
  <c r="AI136" i="4" s="1"/>
  <c r="R136" i="4"/>
  <c r="Q137" i="4"/>
  <c r="M137" i="4"/>
  <c r="V137" i="4"/>
  <c r="U137" i="4"/>
  <c r="AJ135" i="4"/>
  <c r="AI135" i="4"/>
  <c r="AK135" i="4"/>
  <c r="AE135" i="4"/>
  <c r="AF135" i="4"/>
  <c r="AD135" i="4"/>
  <c r="P135" i="4" l="1"/>
  <c r="O350" i="4"/>
  <c r="N350" i="4"/>
  <c r="O135" i="4"/>
  <c r="N135" i="4"/>
  <c r="P350" i="4"/>
  <c r="I352" i="4"/>
  <c r="I137" i="4"/>
  <c r="J352" i="4"/>
  <c r="L352" i="4"/>
  <c r="K352" i="4"/>
  <c r="J137" i="4"/>
  <c r="L137" i="4"/>
  <c r="K137" i="4"/>
  <c r="AD351" i="4"/>
  <c r="AF351" i="4"/>
  <c r="AD136" i="4"/>
  <c r="AK351" i="4"/>
  <c r="AJ351" i="4"/>
  <c r="AK136" i="4"/>
  <c r="R352" i="4"/>
  <c r="AE351" i="4"/>
  <c r="AF136" i="4"/>
  <c r="AJ136" i="4"/>
  <c r="AE136" i="4"/>
  <c r="AG352" i="4"/>
  <c r="Q353" i="4"/>
  <c r="M353" i="4"/>
  <c r="V353" i="4"/>
  <c r="U353" i="4"/>
  <c r="R137" i="4"/>
  <c r="Q138" i="4"/>
  <c r="M138" i="4"/>
  <c r="V138" i="4"/>
  <c r="U138" i="4"/>
  <c r="AG137" i="4"/>
  <c r="P351" i="4" l="1"/>
  <c r="P136" i="4"/>
  <c r="N136" i="4"/>
  <c r="O136" i="4"/>
  <c r="N351" i="4"/>
  <c r="O351" i="4"/>
  <c r="I138" i="4"/>
  <c r="I353" i="4"/>
  <c r="L138" i="4"/>
  <c r="J138" i="4"/>
  <c r="K138" i="4"/>
  <c r="J353" i="4"/>
  <c r="K353" i="4"/>
  <c r="L353" i="4"/>
  <c r="R353" i="4"/>
  <c r="AJ352" i="4"/>
  <c r="AK352" i="4"/>
  <c r="AI352" i="4"/>
  <c r="AF352" i="4"/>
  <c r="AE352" i="4"/>
  <c r="AD352" i="4"/>
  <c r="AG353" i="4"/>
  <c r="M354" i="4"/>
  <c r="Q354" i="4"/>
  <c r="U354" i="4"/>
  <c r="V354" i="4"/>
  <c r="R138" i="4"/>
  <c r="AJ137" i="4"/>
  <c r="AI137" i="4"/>
  <c r="AE137" i="4"/>
  <c r="AK137" i="4"/>
  <c r="AD137" i="4"/>
  <c r="AF137" i="4"/>
  <c r="M139" i="4"/>
  <c r="Q139" i="4"/>
  <c r="U139" i="4"/>
  <c r="V139" i="4"/>
  <c r="AG138" i="4"/>
  <c r="P352" i="4" l="1"/>
  <c r="P137" i="4"/>
  <c r="N352" i="4"/>
  <c r="O352" i="4"/>
  <c r="O137" i="4"/>
  <c r="N137" i="4"/>
  <c r="I139" i="4"/>
  <c r="I354" i="4"/>
  <c r="K139" i="4"/>
  <c r="J139" i="4"/>
  <c r="L139" i="4"/>
  <c r="L354" i="4"/>
  <c r="J354" i="4"/>
  <c r="K354" i="4"/>
  <c r="R354" i="4"/>
  <c r="Q355" i="4"/>
  <c r="M355" i="4"/>
  <c r="U355" i="4"/>
  <c r="V355" i="4"/>
  <c r="AG354" i="4"/>
  <c r="AJ353" i="4"/>
  <c r="AD353" i="4"/>
  <c r="AK353" i="4"/>
  <c r="AI353" i="4"/>
  <c r="AF353" i="4"/>
  <c r="AE353" i="4"/>
  <c r="R139" i="4"/>
  <c r="AG139" i="4"/>
  <c r="AJ139" i="4" s="1"/>
  <c r="Q140" i="4"/>
  <c r="M140" i="4"/>
  <c r="V140" i="4"/>
  <c r="U140" i="4"/>
  <c r="AJ138" i="4"/>
  <c r="AK138" i="4"/>
  <c r="AI138" i="4"/>
  <c r="AD138" i="4"/>
  <c r="AE138" i="4"/>
  <c r="AF138" i="4"/>
  <c r="P138" i="4" l="1"/>
  <c r="P353" i="4"/>
  <c r="N138" i="4"/>
  <c r="O138" i="4"/>
  <c r="N353" i="4"/>
  <c r="O353" i="4"/>
  <c r="I140" i="4"/>
  <c r="I355" i="4"/>
  <c r="K140" i="4"/>
  <c r="J140" i="4"/>
  <c r="L140" i="4"/>
  <c r="L355" i="4"/>
  <c r="J355" i="4"/>
  <c r="K355" i="4"/>
  <c r="R355" i="4"/>
  <c r="AD139" i="4"/>
  <c r="AG355" i="4"/>
  <c r="AK355" i="4" s="1"/>
  <c r="AJ354" i="4"/>
  <c r="AK354" i="4"/>
  <c r="AI354" i="4"/>
  <c r="AF354" i="4"/>
  <c r="AE354" i="4"/>
  <c r="AD354" i="4"/>
  <c r="M356" i="4"/>
  <c r="Q356" i="4"/>
  <c r="V356" i="4"/>
  <c r="U356" i="4"/>
  <c r="AK139" i="4"/>
  <c r="R140" i="4"/>
  <c r="AF139" i="4"/>
  <c r="AI139" i="4"/>
  <c r="AE139" i="4"/>
  <c r="AG140" i="4"/>
  <c r="Q141" i="4"/>
  <c r="M141" i="4"/>
  <c r="V141" i="4"/>
  <c r="U141" i="4"/>
  <c r="P139" i="4" l="1"/>
  <c r="O354" i="4"/>
  <c r="N354" i="4"/>
  <c r="O139" i="4"/>
  <c r="N139" i="4"/>
  <c r="P354" i="4"/>
  <c r="I356" i="4"/>
  <c r="I141" i="4"/>
  <c r="L356" i="4"/>
  <c r="J356" i="4"/>
  <c r="K356" i="4"/>
  <c r="K141" i="4"/>
  <c r="L141" i="4"/>
  <c r="J141" i="4"/>
  <c r="AF355" i="4"/>
  <c r="AE355" i="4"/>
  <c r="AJ355" i="4"/>
  <c r="AD355" i="4"/>
  <c r="AI355" i="4"/>
  <c r="AG356" i="4"/>
  <c r="AI356" i="4" s="1"/>
  <c r="Q357" i="4"/>
  <c r="M357" i="4"/>
  <c r="V357" i="4"/>
  <c r="U357" i="4"/>
  <c r="R141" i="4"/>
  <c r="R356" i="4"/>
  <c r="Q142" i="4"/>
  <c r="M142" i="4"/>
  <c r="V142" i="4"/>
  <c r="U142" i="4"/>
  <c r="AG141" i="4"/>
  <c r="AJ140" i="4"/>
  <c r="AI140" i="4"/>
  <c r="AK140" i="4"/>
  <c r="AF140" i="4"/>
  <c r="AE140" i="4"/>
  <c r="AD140" i="4"/>
  <c r="P355" i="4" l="1"/>
  <c r="P140" i="4"/>
  <c r="N355" i="4"/>
  <c r="O355" i="4"/>
  <c r="O140" i="4"/>
  <c r="N140" i="4"/>
  <c r="I142" i="4"/>
  <c r="I357" i="4"/>
  <c r="K142" i="4"/>
  <c r="L142" i="4"/>
  <c r="J142" i="4"/>
  <c r="J357" i="4"/>
  <c r="K357" i="4"/>
  <c r="L357" i="4"/>
  <c r="R357" i="4"/>
  <c r="AE356" i="4"/>
  <c r="AD356" i="4"/>
  <c r="AK356" i="4"/>
  <c r="AF356" i="4"/>
  <c r="AJ356" i="4"/>
  <c r="AG357" i="4"/>
  <c r="AD357" i="4" s="1"/>
  <c r="M358" i="4"/>
  <c r="Q358" i="4"/>
  <c r="U358" i="4"/>
  <c r="V358" i="4"/>
  <c r="R142" i="4"/>
  <c r="AG142" i="4"/>
  <c r="AD142" i="4" s="1"/>
  <c r="AJ141" i="4"/>
  <c r="AK141" i="4"/>
  <c r="AF141" i="4"/>
  <c r="AI141" i="4"/>
  <c r="AE141" i="4"/>
  <c r="AD141" i="4"/>
  <c r="M143" i="4"/>
  <c r="Q143" i="4"/>
  <c r="V143" i="4"/>
  <c r="U143" i="4"/>
  <c r="P356" i="4" l="1"/>
  <c r="N356" i="4"/>
  <c r="O356" i="4"/>
  <c r="N141" i="4"/>
  <c r="O141" i="4"/>
  <c r="P141" i="4"/>
  <c r="I358" i="4"/>
  <c r="I143" i="4"/>
  <c r="K358" i="4"/>
  <c r="J358" i="4"/>
  <c r="L358" i="4"/>
  <c r="L143" i="4"/>
  <c r="J143" i="4"/>
  <c r="K143" i="4"/>
  <c r="AJ142" i="4"/>
  <c r="AK357" i="4"/>
  <c r="AE357" i="4"/>
  <c r="AJ357" i="4"/>
  <c r="AF357" i="4"/>
  <c r="AI357" i="4"/>
  <c r="R358" i="4"/>
  <c r="AG358" i="4"/>
  <c r="AK358" i="4" s="1"/>
  <c r="AF142" i="4"/>
  <c r="Q359" i="4"/>
  <c r="M359" i="4"/>
  <c r="U359" i="4"/>
  <c r="V359" i="4"/>
  <c r="AI142" i="4"/>
  <c r="AE142" i="4"/>
  <c r="AK142" i="4"/>
  <c r="R143" i="4"/>
  <c r="Q144" i="4"/>
  <c r="M144" i="4"/>
  <c r="V144" i="4"/>
  <c r="U144" i="4"/>
  <c r="AG143" i="4"/>
  <c r="O357" i="4" l="1"/>
  <c r="N357" i="4"/>
  <c r="O142" i="4"/>
  <c r="N142" i="4"/>
  <c r="P142" i="4"/>
  <c r="P357" i="4"/>
  <c r="I144" i="4"/>
  <c r="I359" i="4"/>
  <c r="J144" i="4"/>
  <c r="L144" i="4"/>
  <c r="K144" i="4"/>
  <c r="J359" i="4"/>
  <c r="L359" i="4"/>
  <c r="K359" i="4"/>
  <c r="AE358" i="4"/>
  <c r="AD358" i="4"/>
  <c r="AJ358" i="4"/>
  <c r="AI358" i="4"/>
  <c r="AF358" i="4"/>
  <c r="AG359" i="4"/>
  <c r="AD359" i="4" s="1"/>
  <c r="R359" i="4"/>
  <c r="R144" i="4"/>
  <c r="M360" i="4"/>
  <c r="Q360" i="4"/>
  <c r="V360" i="4"/>
  <c r="U360" i="4"/>
  <c r="AJ143" i="4"/>
  <c r="AK143" i="4"/>
  <c r="AI143" i="4"/>
  <c r="AE143" i="4"/>
  <c r="AD143" i="4"/>
  <c r="AF143" i="4"/>
  <c r="AG144" i="4"/>
  <c r="Q145" i="4"/>
  <c r="M145" i="4"/>
  <c r="V145" i="4"/>
  <c r="U145" i="4"/>
  <c r="N143" i="4" l="1"/>
  <c r="O143" i="4"/>
  <c r="P143" i="4"/>
  <c r="O358" i="4"/>
  <c r="N358" i="4"/>
  <c r="P358" i="4"/>
  <c r="I145" i="4"/>
  <c r="I360" i="4"/>
  <c r="L145" i="4"/>
  <c r="J145" i="4"/>
  <c r="K145" i="4"/>
  <c r="J360" i="4"/>
  <c r="K360" i="4"/>
  <c r="L360" i="4"/>
  <c r="AE359" i="4"/>
  <c r="AJ359" i="4"/>
  <c r="AF359" i="4"/>
  <c r="AI359" i="4"/>
  <c r="AK359" i="4"/>
  <c r="R145" i="4"/>
  <c r="R360" i="4"/>
  <c r="AG360" i="4"/>
  <c r="Q361" i="4"/>
  <c r="M361" i="4"/>
  <c r="V361" i="4"/>
  <c r="U361" i="4"/>
  <c r="AG145" i="4"/>
  <c r="Q146" i="4"/>
  <c r="M146" i="4"/>
  <c r="V146" i="4"/>
  <c r="U146" i="4"/>
  <c r="AJ144" i="4"/>
  <c r="AK144" i="4"/>
  <c r="AI144" i="4"/>
  <c r="AF144" i="4"/>
  <c r="AD144" i="4"/>
  <c r="AE144" i="4"/>
  <c r="P144" i="4" l="1"/>
  <c r="P359" i="4"/>
  <c r="O359" i="4"/>
  <c r="N359" i="4"/>
  <c r="N144" i="4"/>
  <c r="O144" i="4"/>
  <c r="I146" i="4"/>
  <c r="I361" i="4"/>
  <c r="J361" i="4"/>
  <c r="K361" i="4"/>
  <c r="L361" i="4"/>
  <c r="L146" i="4"/>
  <c r="K146" i="4"/>
  <c r="J146" i="4"/>
  <c r="R361" i="4"/>
  <c r="AG146" i="4"/>
  <c r="AF146" i="4" s="1"/>
  <c r="M362" i="4"/>
  <c r="Q362" i="4"/>
  <c r="U362" i="4"/>
  <c r="V362" i="4"/>
  <c r="AG361" i="4"/>
  <c r="AJ360" i="4"/>
  <c r="AI360" i="4"/>
  <c r="AK360" i="4"/>
  <c r="AE360" i="4"/>
  <c r="AF360" i="4"/>
  <c r="AD360" i="4"/>
  <c r="M147" i="4"/>
  <c r="Q147" i="4"/>
  <c r="U147" i="4"/>
  <c r="V147" i="4"/>
  <c r="R146" i="4"/>
  <c r="AJ145" i="4"/>
  <c r="AE145" i="4"/>
  <c r="AK145" i="4"/>
  <c r="AI145" i="4"/>
  <c r="AD145" i="4"/>
  <c r="AF145" i="4"/>
  <c r="P145" i="4" l="1"/>
  <c r="O360" i="4"/>
  <c r="N360" i="4"/>
  <c r="O145" i="4"/>
  <c r="N145" i="4"/>
  <c r="P360" i="4"/>
  <c r="I362" i="4"/>
  <c r="I147" i="4"/>
  <c r="L362" i="4"/>
  <c r="K362" i="4"/>
  <c r="J362" i="4"/>
  <c r="J147" i="4"/>
  <c r="K147" i="4"/>
  <c r="L147" i="4"/>
  <c r="AJ146" i="4"/>
  <c r="R362" i="4"/>
  <c r="AD146" i="4"/>
  <c r="AE146" i="4"/>
  <c r="AI146" i="4"/>
  <c r="Q363" i="4"/>
  <c r="M363" i="4"/>
  <c r="U363" i="4"/>
  <c r="V363" i="4"/>
  <c r="AJ361" i="4"/>
  <c r="AI361" i="4"/>
  <c r="AK361" i="4"/>
  <c r="AF361" i="4"/>
  <c r="AE361" i="4"/>
  <c r="AD361" i="4"/>
  <c r="AK146" i="4"/>
  <c r="AG362" i="4"/>
  <c r="R147" i="4"/>
  <c r="Q148" i="4"/>
  <c r="M148" i="4"/>
  <c r="V148" i="4"/>
  <c r="U148" i="4"/>
  <c r="AG147" i="4"/>
  <c r="P146" i="4" l="1"/>
  <c r="P361" i="4"/>
  <c r="O361" i="4"/>
  <c r="N361" i="4"/>
  <c r="N146" i="4"/>
  <c r="O146" i="4"/>
  <c r="I363" i="4"/>
  <c r="I148" i="4"/>
  <c r="L363" i="4"/>
  <c r="J363" i="4"/>
  <c r="K363" i="4"/>
  <c r="K148" i="4"/>
  <c r="L148" i="4"/>
  <c r="J148" i="4"/>
  <c r="R363" i="4"/>
  <c r="AJ362" i="4"/>
  <c r="AK362" i="4"/>
  <c r="AI362" i="4"/>
  <c r="AF362" i="4"/>
  <c r="AE362" i="4"/>
  <c r="AD362" i="4"/>
  <c r="M364" i="4"/>
  <c r="Q364" i="4"/>
  <c r="V364" i="4"/>
  <c r="U364" i="4"/>
  <c r="AG363" i="4"/>
  <c r="AG148" i="4"/>
  <c r="AI148" i="4" s="1"/>
  <c r="Q149" i="4"/>
  <c r="M149" i="4"/>
  <c r="V149" i="4"/>
  <c r="U149" i="4"/>
  <c r="AJ147" i="4"/>
  <c r="AI147" i="4"/>
  <c r="AK147" i="4"/>
  <c r="AE147" i="4"/>
  <c r="AF147" i="4"/>
  <c r="AD147" i="4"/>
  <c r="R148" i="4"/>
  <c r="P147" i="4" l="1"/>
  <c r="P362" i="4"/>
  <c r="O362" i="4"/>
  <c r="N362" i="4"/>
  <c r="O147" i="4"/>
  <c r="N147" i="4"/>
  <c r="I364" i="4"/>
  <c r="I149" i="4"/>
  <c r="J364" i="4"/>
  <c r="K364" i="4"/>
  <c r="L364" i="4"/>
  <c r="J149" i="4"/>
  <c r="L149" i="4"/>
  <c r="K149" i="4"/>
  <c r="AJ148" i="4"/>
  <c r="AF148" i="4"/>
  <c r="AK148" i="4"/>
  <c r="AD148" i="4"/>
  <c r="AE148" i="4"/>
  <c r="R364" i="4"/>
  <c r="AJ363" i="4"/>
  <c r="AI363" i="4"/>
  <c r="AK363" i="4"/>
  <c r="AD363" i="4"/>
  <c r="AF363" i="4"/>
  <c r="AE363" i="4"/>
  <c r="AG364" i="4"/>
  <c r="Q365" i="4"/>
  <c r="M365" i="4"/>
  <c r="V365" i="4"/>
  <c r="U365" i="4"/>
  <c r="AG149" i="4"/>
  <c r="AJ149" i="4" s="1"/>
  <c r="R149" i="4"/>
  <c r="Q150" i="4"/>
  <c r="M150" i="4"/>
  <c r="V150" i="4"/>
  <c r="U150" i="4"/>
  <c r="P148" i="4" l="1"/>
  <c r="N148" i="4"/>
  <c r="O148" i="4"/>
  <c r="P363" i="4"/>
  <c r="O363" i="4"/>
  <c r="N363" i="4"/>
  <c r="I150" i="4"/>
  <c r="I365" i="4"/>
  <c r="L150" i="4"/>
  <c r="J150" i="4"/>
  <c r="K150" i="4"/>
  <c r="L365" i="4"/>
  <c r="K365" i="4"/>
  <c r="J365" i="4"/>
  <c r="R365" i="4"/>
  <c r="AE149" i="4"/>
  <c r="AG365" i="4"/>
  <c r="M366" i="4"/>
  <c r="Q366" i="4"/>
  <c r="U366" i="4"/>
  <c r="V366" i="4"/>
  <c r="AI149" i="4"/>
  <c r="AF149" i="4"/>
  <c r="AJ364" i="4"/>
  <c r="AI364" i="4"/>
  <c r="AK364" i="4"/>
  <c r="AF364" i="4"/>
  <c r="AD364" i="4"/>
  <c r="AE364" i="4"/>
  <c r="AK149" i="4"/>
  <c r="AG150" i="4"/>
  <c r="AI150" i="4" s="1"/>
  <c r="AD149" i="4"/>
  <c r="Q151" i="4"/>
  <c r="M151" i="4"/>
  <c r="V151" i="4"/>
  <c r="U151" i="4"/>
  <c r="R150" i="4"/>
  <c r="P149" i="4" l="1"/>
  <c r="P364" i="4"/>
  <c r="N364" i="4"/>
  <c r="O364" i="4"/>
  <c r="N149" i="4"/>
  <c r="O149" i="4"/>
  <c r="I366" i="4"/>
  <c r="I151" i="4"/>
  <c r="K366" i="4"/>
  <c r="J366" i="4"/>
  <c r="L366" i="4"/>
  <c r="L151" i="4"/>
  <c r="K151" i="4"/>
  <c r="J151" i="4"/>
  <c r="AJ150" i="4"/>
  <c r="AE150" i="4"/>
  <c r="R366" i="4"/>
  <c r="R151" i="4"/>
  <c r="AJ365" i="4"/>
  <c r="AK365" i="4"/>
  <c r="AI365" i="4"/>
  <c r="AF365" i="4"/>
  <c r="AE365" i="4"/>
  <c r="AD365" i="4"/>
  <c r="AF150" i="4"/>
  <c r="AG366" i="4"/>
  <c r="AK150" i="4"/>
  <c r="AD150" i="4"/>
  <c r="Q367" i="4"/>
  <c r="M367" i="4"/>
  <c r="U367" i="4"/>
  <c r="V367" i="4"/>
  <c r="AG151" i="4"/>
  <c r="Q152" i="4"/>
  <c r="M152" i="4"/>
  <c r="V152" i="4"/>
  <c r="U152" i="4"/>
  <c r="P150" i="4" l="1"/>
  <c r="I367" i="4"/>
  <c r="O365" i="4"/>
  <c r="N365" i="4"/>
  <c r="N150" i="4"/>
  <c r="O150" i="4"/>
  <c r="P365" i="4"/>
  <c r="I152" i="4"/>
  <c r="K367" i="4"/>
  <c r="J367" i="4"/>
  <c r="L367" i="4"/>
  <c r="K152" i="4"/>
  <c r="J152" i="4"/>
  <c r="L152" i="4"/>
  <c r="R367" i="4"/>
  <c r="AG367" i="4"/>
  <c r="AK367" i="4" s="1"/>
  <c r="M368" i="4"/>
  <c r="Q368" i="4"/>
  <c r="V368" i="4"/>
  <c r="U368" i="4"/>
  <c r="AJ366" i="4"/>
  <c r="AK366" i="4"/>
  <c r="AF366" i="4"/>
  <c r="AI366" i="4"/>
  <c r="AD366" i="4"/>
  <c r="AE366" i="4"/>
  <c r="R152" i="4"/>
  <c r="AJ151" i="4"/>
  <c r="AI151" i="4"/>
  <c r="AK151" i="4"/>
  <c r="AF151" i="4"/>
  <c r="AE151" i="4"/>
  <c r="AD151" i="4"/>
  <c r="AG152" i="4"/>
  <c r="Q153" i="4"/>
  <c r="M153" i="4"/>
  <c r="V153" i="4"/>
  <c r="U153" i="4"/>
  <c r="N151" i="4" l="1"/>
  <c r="O151" i="4"/>
  <c r="P151" i="4"/>
  <c r="P366" i="4"/>
  <c r="O366" i="4"/>
  <c r="N366" i="4"/>
  <c r="I368" i="4"/>
  <c r="I153" i="4"/>
  <c r="J368" i="4"/>
  <c r="L368" i="4"/>
  <c r="K368" i="4"/>
  <c r="J153" i="4"/>
  <c r="K153" i="4"/>
  <c r="L153" i="4"/>
  <c r="AE367" i="4"/>
  <c r="AF367" i="4"/>
  <c r="AD367" i="4"/>
  <c r="AI367" i="4"/>
  <c r="AJ367" i="4"/>
  <c r="R368" i="4"/>
  <c r="AG368" i="4"/>
  <c r="AI368" i="4" s="1"/>
  <c r="Q369" i="4"/>
  <c r="M369" i="4"/>
  <c r="V369" i="4"/>
  <c r="U369" i="4"/>
  <c r="R153" i="4"/>
  <c r="Q154" i="4"/>
  <c r="M154" i="4"/>
  <c r="V154" i="4"/>
  <c r="U154" i="4"/>
  <c r="AG153" i="4"/>
  <c r="AJ152" i="4"/>
  <c r="AI152" i="4"/>
  <c r="AK152" i="4"/>
  <c r="AE152" i="4"/>
  <c r="AD152" i="4"/>
  <c r="AF152" i="4"/>
  <c r="P367" i="4" l="1"/>
  <c r="P152" i="4"/>
  <c r="O367" i="4"/>
  <c r="N367" i="4"/>
  <c r="N152" i="4"/>
  <c r="O152" i="4"/>
  <c r="I154" i="4"/>
  <c r="I369" i="4"/>
  <c r="L154" i="4"/>
  <c r="J154" i="4"/>
  <c r="K154" i="4"/>
  <c r="K369" i="4"/>
  <c r="L369" i="4"/>
  <c r="J369" i="4"/>
  <c r="AJ368" i="4"/>
  <c r="AK368" i="4"/>
  <c r="AE368" i="4"/>
  <c r="AD368" i="4"/>
  <c r="AF368" i="4"/>
  <c r="R369" i="4"/>
  <c r="M370" i="4"/>
  <c r="Q370" i="4"/>
  <c r="U370" i="4"/>
  <c r="V370" i="4"/>
  <c r="R154" i="4"/>
  <c r="AG369" i="4"/>
  <c r="M155" i="4"/>
  <c r="Q155" i="4"/>
  <c r="U155" i="4"/>
  <c r="V155" i="4"/>
  <c r="AJ153" i="4"/>
  <c r="AK153" i="4"/>
  <c r="AI153" i="4"/>
  <c r="AE153" i="4"/>
  <c r="AF153" i="4"/>
  <c r="AD153" i="4"/>
  <c r="AG154" i="4"/>
  <c r="P368" i="4" l="1"/>
  <c r="P153" i="4"/>
  <c r="O368" i="4"/>
  <c r="N368" i="4"/>
  <c r="N153" i="4"/>
  <c r="O153" i="4"/>
  <c r="I370" i="4"/>
  <c r="I155" i="4"/>
  <c r="J155" i="4"/>
  <c r="L155" i="4"/>
  <c r="K155" i="4"/>
  <c r="J370" i="4"/>
  <c r="L370" i="4"/>
  <c r="K370" i="4"/>
  <c r="AG370" i="4"/>
  <c r="AI370" i="4" s="1"/>
  <c r="AJ369" i="4"/>
  <c r="AK369" i="4"/>
  <c r="AI369" i="4"/>
  <c r="AD369" i="4"/>
  <c r="AE369" i="4"/>
  <c r="AF369" i="4"/>
  <c r="R370" i="4"/>
  <c r="Q371" i="4"/>
  <c r="M371" i="4"/>
  <c r="U371" i="4"/>
  <c r="V371" i="4"/>
  <c r="R155" i="4"/>
  <c r="Q156" i="4"/>
  <c r="M156" i="4"/>
  <c r="V156" i="4"/>
  <c r="U156" i="4"/>
  <c r="AG155" i="4"/>
  <c r="AJ154" i="4"/>
  <c r="AK154" i="4"/>
  <c r="AI154" i="4"/>
  <c r="AF154" i="4"/>
  <c r="AD154" i="4"/>
  <c r="AE154" i="4"/>
  <c r="P154" i="4" l="1"/>
  <c r="P369" i="4"/>
  <c r="O154" i="4"/>
  <c r="N154" i="4"/>
  <c r="N369" i="4"/>
  <c r="O369" i="4"/>
  <c r="I371" i="4"/>
  <c r="I156" i="4"/>
  <c r="K371" i="4"/>
  <c r="L371" i="4"/>
  <c r="J371" i="4"/>
  <c r="K156" i="4"/>
  <c r="L156" i="4"/>
  <c r="J156" i="4"/>
  <c r="AJ370" i="4"/>
  <c r="P370" i="4" s="1"/>
  <c r="AF370" i="4"/>
  <c r="AD370" i="4"/>
  <c r="R371" i="4"/>
  <c r="AK370" i="4"/>
  <c r="AE370" i="4"/>
  <c r="AG371" i="4"/>
  <c r="Q372" i="4"/>
  <c r="M372" i="4"/>
  <c r="V372" i="4"/>
  <c r="U372" i="4"/>
  <c r="R156" i="4"/>
  <c r="AG156" i="4"/>
  <c r="Q157" i="4"/>
  <c r="M157" i="4"/>
  <c r="V157" i="4"/>
  <c r="U157" i="4"/>
  <c r="AJ155" i="4"/>
  <c r="AK155" i="4"/>
  <c r="AI155" i="4"/>
  <c r="AF155" i="4"/>
  <c r="AD155" i="4"/>
  <c r="AE155" i="4"/>
  <c r="N370" i="4" l="1"/>
  <c r="O370" i="4"/>
  <c r="P155" i="4"/>
  <c r="N155" i="4"/>
  <c r="O155" i="4"/>
  <c r="I157" i="4"/>
  <c r="I372" i="4"/>
  <c r="K157" i="4"/>
  <c r="J157" i="4"/>
  <c r="L157" i="4"/>
  <c r="L372" i="4"/>
  <c r="J372" i="4"/>
  <c r="K372" i="4"/>
  <c r="R372" i="4"/>
  <c r="AG372" i="4"/>
  <c r="Q373" i="4"/>
  <c r="M373" i="4"/>
  <c r="V373" i="4"/>
  <c r="U373" i="4"/>
  <c r="AJ371" i="4"/>
  <c r="AI371" i="4"/>
  <c r="AK371" i="4"/>
  <c r="AF371" i="4"/>
  <c r="AE371" i="4"/>
  <c r="AD371" i="4"/>
  <c r="R157" i="4"/>
  <c r="Q158" i="4"/>
  <c r="M158" i="4"/>
  <c r="V158" i="4"/>
  <c r="U158" i="4"/>
  <c r="AG157" i="4"/>
  <c r="AJ156" i="4"/>
  <c r="AK156" i="4"/>
  <c r="AI156" i="4"/>
  <c r="AD156" i="4"/>
  <c r="AF156" i="4"/>
  <c r="AE156" i="4"/>
  <c r="P156" i="4" l="1"/>
  <c r="O371" i="4"/>
  <c r="N371" i="4"/>
  <c r="N156" i="4"/>
  <c r="O156" i="4"/>
  <c r="P371" i="4"/>
  <c r="I373" i="4"/>
  <c r="I158" i="4"/>
  <c r="L373" i="4"/>
  <c r="J373" i="4"/>
  <c r="K373" i="4"/>
  <c r="K158" i="4"/>
  <c r="J158" i="4"/>
  <c r="L158" i="4"/>
  <c r="AG373" i="4"/>
  <c r="AK373" i="4" s="1"/>
  <c r="AJ372" i="4"/>
  <c r="AI372" i="4"/>
  <c r="AK372" i="4"/>
  <c r="AF372" i="4"/>
  <c r="AE372" i="4"/>
  <c r="AD372" i="4"/>
  <c r="R373" i="4"/>
  <c r="M374" i="4"/>
  <c r="Q374" i="4"/>
  <c r="U374" i="4"/>
  <c r="V374" i="4"/>
  <c r="R158" i="4"/>
  <c r="AJ157" i="4"/>
  <c r="AF157" i="4"/>
  <c r="AK157" i="4"/>
  <c r="AI157" i="4"/>
  <c r="AD157" i="4"/>
  <c r="AE157" i="4"/>
  <c r="M159" i="4"/>
  <c r="Q159" i="4"/>
  <c r="V159" i="4"/>
  <c r="U159" i="4"/>
  <c r="AG158" i="4"/>
  <c r="P372" i="4" l="1"/>
  <c r="O157" i="4"/>
  <c r="N157" i="4"/>
  <c r="N372" i="4"/>
  <c r="O372" i="4"/>
  <c r="P157" i="4"/>
  <c r="I374" i="4"/>
  <c r="I159" i="4"/>
  <c r="J374" i="4"/>
  <c r="L374" i="4"/>
  <c r="K374" i="4"/>
  <c r="L159" i="4"/>
  <c r="K159" i="4"/>
  <c r="J159" i="4"/>
  <c r="AE373" i="4"/>
  <c r="AF373" i="4"/>
  <c r="AJ373" i="4"/>
  <c r="AD373" i="4"/>
  <c r="AI373" i="4"/>
  <c r="R374" i="4"/>
  <c r="Q375" i="4"/>
  <c r="M375" i="4"/>
  <c r="U375" i="4"/>
  <c r="V375" i="4"/>
  <c r="R159" i="4"/>
  <c r="AG374" i="4"/>
  <c r="AG159" i="4"/>
  <c r="Q160" i="4"/>
  <c r="M160" i="4"/>
  <c r="V160" i="4"/>
  <c r="U160" i="4"/>
  <c r="AJ158" i="4"/>
  <c r="AI158" i="4"/>
  <c r="AK158" i="4"/>
  <c r="AF158" i="4"/>
  <c r="AD158" i="4"/>
  <c r="AE158" i="4"/>
  <c r="P158" i="4" l="1"/>
  <c r="N373" i="4"/>
  <c r="O373" i="4"/>
  <c r="N158" i="4"/>
  <c r="O158" i="4"/>
  <c r="P373" i="4"/>
  <c r="I160" i="4"/>
  <c r="I375" i="4"/>
  <c r="J160" i="4"/>
  <c r="K160" i="4"/>
  <c r="L160" i="4"/>
  <c r="J375" i="4"/>
  <c r="L375" i="4"/>
  <c r="K375" i="4"/>
  <c r="AG375" i="4"/>
  <c r="AD375" i="4" s="1"/>
  <c r="M376" i="4"/>
  <c r="Q376" i="4"/>
  <c r="V376" i="4"/>
  <c r="U376" i="4"/>
  <c r="AJ374" i="4"/>
  <c r="AI374" i="4"/>
  <c r="AK374" i="4"/>
  <c r="AF374" i="4"/>
  <c r="AE374" i="4"/>
  <c r="AD374" i="4"/>
  <c r="R375" i="4"/>
  <c r="AG160" i="4"/>
  <c r="AJ159" i="4"/>
  <c r="AI159" i="4"/>
  <c r="AK159" i="4"/>
  <c r="AF159" i="4"/>
  <c r="AE159" i="4"/>
  <c r="AD159" i="4"/>
  <c r="R160" i="4"/>
  <c r="M161" i="4"/>
  <c r="Q161" i="4"/>
  <c r="V161" i="4"/>
  <c r="U161" i="4"/>
  <c r="N159" i="4" l="1"/>
  <c r="O159" i="4"/>
  <c r="O374" i="4"/>
  <c r="N374" i="4"/>
  <c r="P159" i="4"/>
  <c r="P374" i="4"/>
  <c r="I376" i="4"/>
  <c r="I161" i="4"/>
  <c r="L161" i="4"/>
  <c r="J161" i="4"/>
  <c r="K161" i="4"/>
  <c r="L376" i="4"/>
  <c r="J376" i="4"/>
  <c r="K376" i="4"/>
  <c r="R376" i="4"/>
  <c r="AK375" i="4"/>
  <c r="AE375" i="4"/>
  <c r="AI375" i="4"/>
  <c r="AF375" i="4"/>
  <c r="AJ375" i="4"/>
  <c r="AG376" i="4"/>
  <c r="AK376" i="4" s="1"/>
  <c r="Q377" i="4"/>
  <c r="M377" i="4"/>
  <c r="V377" i="4"/>
  <c r="U377" i="4"/>
  <c r="AG161" i="4"/>
  <c r="AK161" i="4" s="1"/>
  <c r="Q162" i="4"/>
  <c r="M162" i="4"/>
  <c r="V162" i="4"/>
  <c r="U162" i="4"/>
  <c r="AJ160" i="4"/>
  <c r="AK160" i="4"/>
  <c r="AI160" i="4"/>
  <c r="AD160" i="4"/>
  <c r="AE160" i="4"/>
  <c r="AF160" i="4"/>
  <c r="R161" i="4"/>
  <c r="P160" i="4" l="1"/>
  <c r="P375" i="4"/>
  <c r="O160" i="4"/>
  <c r="N160" i="4"/>
  <c r="O375" i="4"/>
  <c r="N375" i="4"/>
  <c r="I162" i="4"/>
  <c r="I377" i="4"/>
  <c r="K162" i="4"/>
  <c r="J162" i="4"/>
  <c r="L162" i="4"/>
  <c r="J377" i="4"/>
  <c r="L377" i="4"/>
  <c r="K377" i="4"/>
  <c r="AJ376" i="4"/>
  <c r="AF161" i="4"/>
  <c r="AE376" i="4"/>
  <c r="AD376" i="4"/>
  <c r="AI376" i="4"/>
  <c r="AF376" i="4"/>
  <c r="AI161" i="4"/>
  <c r="R377" i="4"/>
  <c r="R162" i="4"/>
  <c r="AD161" i="4"/>
  <c r="AJ161" i="4"/>
  <c r="AE161" i="4"/>
  <c r="AG377" i="4"/>
  <c r="M378" i="4"/>
  <c r="Q378" i="4"/>
  <c r="U378" i="4"/>
  <c r="V378" i="4"/>
  <c r="Q163" i="4"/>
  <c r="M163" i="4"/>
  <c r="U163" i="4"/>
  <c r="V163" i="4"/>
  <c r="AG162" i="4"/>
  <c r="P376" i="4" l="1"/>
  <c r="N161" i="4"/>
  <c r="O161" i="4"/>
  <c r="P161" i="4"/>
  <c r="O376" i="4"/>
  <c r="N376" i="4"/>
  <c r="I163" i="4"/>
  <c r="I378" i="4"/>
  <c r="K163" i="4"/>
  <c r="J163" i="4"/>
  <c r="L163" i="4"/>
  <c r="L378" i="4"/>
  <c r="J378" i="4"/>
  <c r="K378" i="4"/>
  <c r="R378" i="4"/>
  <c r="AJ377" i="4"/>
  <c r="AK377" i="4"/>
  <c r="AI377" i="4"/>
  <c r="AD377" i="4"/>
  <c r="AE377" i="4"/>
  <c r="AF377" i="4"/>
  <c r="AG378" i="4"/>
  <c r="Q379" i="4"/>
  <c r="M379" i="4"/>
  <c r="U379" i="4"/>
  <c r="V379" i="4"/>
  <c r="AG163" i="4"/>
  <c r="AK163" i="4" s="1"/>
  <c r="R163" i="4"/>
  <c r="Q164" i="4"/>
  <c r="M164" i="4"/>
  <c r="V164" i="4"/>
  <c r="U164" i="4"/>
  <c r="AJ162" i="4"/>
  <c r="AK162" i="4"/>
  <c r="AF162" i="4"/>
  <c r="AI162" i="4"/>
  <c r="AE162" i="4"/>
  <c r="AD162" i="4"/>
  <c r="P162" i="4" l="1"/>
  <c r="P377" i="4"/>
  <c r="N377" i="4"/>
  <c r="O377" i="4"/>
  <c r="N162" i="4"/>
  <c r="O162" i="4"/>
  <c r="I379" i="4"/>
  <c r="I164" i="4"/>
  <c r="K379" i="4"/>
  <c r="J379" i="4"/>
  <c r="L379" i="4"/>
  <c r="L164" i="4"/>
  <c r="K164" i="4"/>
  <c r="J164" i="4"/>
  <c r="R379" i="4"/>
  <c r="AD163" i="4"/>
  <c r="AG164" i="4"/>
  <c r="AK164" i="4" s="1"/>
  <c r="AJ163" i="4"/>
  <c r="AG379" i="4"/>
  <c r="AJ379" i="4" s="1"/>
  <c r="AE163" i="4"/>
  <c r="AI163" i="4"/>
  <c r="AJ378" i="4"/>
  <c r="AK378" i="4"/>
  <c r="AI378" i="4"/>
  <c r="AD378" i="4"/>
  <c r="AF378" i="4"/>
  <c r="AE378" i="4"/>
  <c r="M380" i="4"/>
  <c r="Q380" i="4"/>
  <c r="V380" i="4"/>
  <c r="U380" i="4"/>
  <c r="AF163" i="4"/>
  <c r="R164" i="4"/>
  <c r="Q165" i="4"/>
  <c r="M165" i="4"/>
  <c r="V165" i="4"/>
  <c r="U165" i="4"/>
  <c r="P378" i="4" l="1"/>
  <c r="O163" i="4"/>
  <c r="N163" i="4"/>
  <c r="N378" i="4"/>
  <c r="O378" i="4"/>
  <c r="P163" i="4"/>
  <c r="I380" i="4"/>
  <c r="I165" i="4"/>
  <c r="K165" i="4"/>
  <c r="J165" i="4"/>
  <c r="L165" i="4"/>
  <c r="K380" i="4"/>
  <c r="L380" i="4"/>
  <c r="J380" i="4"/>
  <c r="AD164" i="4"/>
  <c r="AI164" i="4"/>
  <c r="AE164" i="4"/>
  <c r="AF164" i="4"/>
  <c r="AJ164" i="4"/>
  <c r="R165" i="4"/>
  <c r="AD379" i="4"/>
  <c r="AG380" i="4"/>
  <c r="AI380" i="4" s="1"/>
  <c r="AI379" i="4"/>
  <c r="AE379" i="4"/>
  <c r="AK379" i="4"/>
  <c r="AF379" i="4"/>
  <c r="R380" i="4"/>
  <c r="Q381" i="4"/>
  <c r="M381" i="4"/>
  <c r="V381" i="4"/>
  <c r="U381" i="4"/>
  <c r="Q166" i="4"/>
  <c r="M166" i="4"/>
  <c r="V166" i="4"/>
  <c r="U166" i="4"/>
  <c r="AG165" i="4"/>
  <c r="P379" i="4" l="1"/>
  <c r="O379" i="4"/>
  <c r="N379" i="4"/>
  <c r="P164" i="4"/>
  <c r="N164" i="4"/>
  <c r="O164" i="4"/>
  <c r="I166" i="4"/>
  <c r="I381" i="4"/>
  <c r="J381" i="4"/>
  <c r="K381" i="4"/>
  <c r="L381" i="4"/>
  <c r="J166" i="4"/>
  <c r="K166" i="4"/>
  <c r="L166" i="4"/>
  <c r="AJ380" i="4"/>
  <c r="R381" i="4"/>
  <c r="AD380" i="4"/>
  <c r="AE380" i="4"/>
  <c r="AK380" i="4"/>
  <c r="AF380" i="4"/>
  <c r="AG166" i="4"/>
  <c r="AI166" i="4" s="1"/>
  <c r="M382" i="4"/>
  <c r="Q382" i="4"/>
  <c r="U382" i="4"/>
  <c r="V382" i="4"/>
  <c r="AG381" i="4"/>
  <c r="Q167" i="4"/>
  <c r="M167" i="4"/>
  <c r="V167" i="4"/>
  <c r="U167" i="4"/>
  <c r="AJ165" i="4"/>
  <c r="AK165" i="4"/>
  <c r="AD165" i="4"/>
  <c r="AI165" i="4"/>
  <c r="AE165" i="4"/>
  <c r="AF165" i="4"/>
  <c r="R166" i="4"/>
  <c r="P380" i="4" l="1"/>
  <c r="O165" i="4"/>
  <c r="N165" i="4"/>
  <c r="P165" i="4"/>
  <c r="O380" i="4"/>
  <c r="N380" i="4"/>
  <c r="I382" i="4"/>
  <c r="I167" i="4"/>
  <c r="L167" i="4"/>
  <c r="J167" i="4"/>
  <c r="K167" i="4"/>
  <c r="L382" i="4"/>
  <c r="J382" i="4"/>
  <c r="K382" i="4"/>
  <c r="AJ166" i="4"/>
  <c r="R167" i="4"/>
  <c r="AD166" i="4"/>
  <c r="AF166" i="4"/>
  <c r="AK166" i="4"/>
  <c r="AE166" i="4"/>
  <c r="AG382" i="4"/>
  <c r="AK382" i="4" s="1"/>
  <c r="R382" i="4"/>
  <c r="Q383" i="4"/>
  <c r="M383" i="4"/>
  <c r="U383" i="4"/>
  <c r="V383" i="4"/>
  <c r="AJ381" i="4"/>
  <c r="AF381" i="4"/>
  <c r="AI381" i="4"/>
  <c r="AK381" i="4"/>
  <c r="AE381" i="4"/>
  <c r="AD381" i="4"/>
  <c r="Q168" i="4"/>
  <c r="M168" i="4"/>
  <c r="V168" i="4"/>
  <c r="U168" i="4"/>
  <c r="AG167" i="4"/>
  <c r="P166" i="4" l="1"/>
  <c r="O381" i="4"/>
  <c r="N381" i="4"/>
  <c r="N166" i="4"/>
  <c r="O166" i="4"/>
  <c r="P381" i="4"/>
  <c r="I383" i="4"/>
  <c r="I168" i="4"/>
  <c r="K383" i="4"/>
  <c r="L383" i="4"/>
  <c r="J383" i="4"/>
  <c r="K168" i="4"/>
  <c r="J168" i="4"/>
  <c r="L168" i="4"/>
  <c r="AJ382" i="4"/>
  <c r="P382" i="4" s="1"/>
  <c r="AD382" i="4"/>
  <c r="AF382" i="4"/>
  <c r="AE382" i="4"/>
  <c r="AG383" i="4"/>
  <c r="AE383" i="4" s="1"/>
  <c r="AI382" i="4"/>
  <c r="AG168" i="4"/>
  <c r="AI168" i="4" s="1"/>
  <c r="R383" i="4"/>
  <c r="Q384" i="4"/>
  <c r="M384" i="4"/>
  <c r="V384" i="4"/>
  <c r="U384" i="4"/>
  <c r="AJ167" i="4"/>
  <c r="AK167" i="4"/>
  <c r="AI167" i="4"/>
  <c r="AD167" i="4"/>
  <c r="AF167" i="4"/>
  <c r="AE167" i="4"/>
  <c r="R168" i="4"/>
  <c r="Q169" i="4"/>
  <c r="M169" i="4"/>
  <c r="V169" i="4"/>
  <c r="U169" i="4"/>
  <c r="N167" i="4" l="1"/>
  <c r="O167" i="4"/>
  <c r="P167" i="4"/>
  <c r="O382" i="4"/>
  <c r="N382" i="4"/>
  <c r="I169" i="4"/>
  <c r="I384" i="4"/>
  <c r="L169" i="4"/>
  <c r="K169" i="4"/>
  <c r="J169" i="4"/>
  <c r="J384" i="4"/>
  <c r="L384" i="4"/>
  <c r="K384" i="4"/>
  <c r="AK168" i="4"/>
  <c r="AJ168" i="4"/>
  <c r="AD383" i="4"/>
  <c r="AF168" i="4"/>
  <c r="AD168" i="4"/>
  <c r="AK383" i="4"/>
  <c r="AE168" i="4"/>
  <c r="AJ383" i="4"/>
  <c r="AF383" i="4"/>
  <c r="N383" i="4" s="1"/>
  <c r="AI383" i="4"/>
  <c r="R384" i="4"/>
  <c r="AG169" i="4"/>
  <c r="AF169" i="4" s="1"/>
  <c r="AG384" i="4"/>
  <c r="Q385" i="4"/>
  <c r="M385" i="4"/>
  <c r="V385" i="4"/>
  <c r="U385" i="4"/>
  <c r="Q170" i="4"/>
  <c r="M170" i="4"/>
  <c r="V170" i="4"/>
  <c r="U170" i="4"/>
  <c r="R169" i="4"/>
  <c r="P383" i="4" l="1"/>
  <c r="O383" i="4"/>
  <c r="O168" i="4"/>
  <c r="N168" i="4"/>
  <c r="P168" i="4"/>
  <c r="I170" i="4"/>
  <c r="I385" i="4"/>
  <c r="J170" i="4"/>
  <c r="K170" i="4"/>
  <c r="L170" i="4"/>
  <c r="L385" i="4"/>
  <c r="J385" i="4"/>
  <c r="K385" i="4"/>
  <c r="AE169" i="4"/>
  <c r="AI169" i="4"/>
  <c r="AJ169" i="4"/>
  <c r="R170" i="4"/>
  <c r="AK169" i="4"/>
  <c r="AD169" i="4"/>
  <c r="R385" i="4"/>
  <c r="AJ384" i="4"/>
  <c r="AI384" i="4"/>
  <c r="AK384" i="4"/>
  <c r="AE384" i="4"/>
  <c r="AD384" i="4"/>
  <c r="AF384" i="4"/>
  <c r="AG385" i="4"/>
  <c r="Q386" i="4"/>
  <c r="M386" i="4"/>
  <c r="U386" i="4"/>
  <c r="V386" i="4"/>
  <c r="AG170" i="4"/>
  <c r="AI170" i="4" s="1"/>
  <c r="Q171" i="4"/>
  <c r="M171" i="4"/>
  <c r="U171" i="4"/>
  <c r="V171" i="4"/>
  <c r="O384" i="4" l="1"/>
  <c r="N384" i="4"/>
  <c r="P169" i="4"/>
  <c r="P384" i="4"/>
  <c r="O169" i="4"/>
  <c r="N169" i="4"/>
  <c r="I386" i="4"/>
  <c r="I171" i="4"/>
  <c r="J386" i="4"/>
  <c r="L386" i="4"/>
  <c r="K386" i="4"/>
  <c r="J171" i="4"/>
  <c r="K171" i="4"/>
  <c r="L171" i="4"/>
  <c r="AK170" i="4"/>
  <c r="AD170" i="4"/>
  <c r="AF170" i="4"/>
  <c r="AG386" i="4"/>
  <c r="AK386" i="4" s="1"/>
  <c r="Q387" i="4"/>
  <c r="M387" i="4"/>
  <c r="U387" i="4"/>
  <c r="V387" i="4"/>
  <c r="AJ385" i="4"/>
  <c r="P385" i="4" s="1"/>
  <c r="AF385" i="4"/>
  <c r="AK385" i="4"/>
  <c r="AI385" i="4"/>
  <c r="AE385" i="4"/>
  <c r="AD385" i="4"/>
  <c r="R386" i="4"/>
  <c r="AE170" i="4"/>
  <c r="AJ170" i="4"/>
  <c r="Q172" i="4"/>
  <c r="M172" i="4"/>
  <c r="V172" i="4"/>
  <c r="U172" i="4"/>
  <c r="AG171" i="4"/>
  <c r="R171" i="4"/>
  <c r="P170" i="4" l="1"/>
  <c r="N170" i="4"/>
  <c r="O170" i="4"/>
  <c r="O385" i="4"/>
  <c r="N385" i="4"/>
  <c r="I387" i="4"/>
  <c r="I172" i="4"/>
  <c r="K387" i="4"/>
  <c r="J387" i="4"/>
  <c r="L387" i="4"/>
  <c r="J172" i="4"/>
  <c r="L172" i="4"/>
  <c r="K172" i="4"/>
  <c r="AD386" i="4"/>
  <c r="AI386" i="4"/>
  <c r="AE386" i="4"/>
  <c r="AF386" i="4"/>
  <c r="AJ386" i="4"/>
  <c r="R387" i="4"/>
  <c r="AG387" i="4"/>
  <c r="R172" i="4"/>
  <c r="M388" i="4"/>
  <c r="Q388" i="4"/>
  <c r="V388" i="4"/>
  <c r="U388" i="4"/>
  <c r="AG172" i="4"/>
  <c r="AI172" i="4" s="1"/>
  <c r="Q173" i="4"/>
  <c r="M173" i="4"/>
  <c r="V173" i="4"/>
  <c r="U173" i="4"/>
  <c r="AJ171" i="4"/>
  <c r="AI171" i="4"/>
  <c r="AK171" i="4"/>
  <c r="AF171" i="4"/>
  <c r="AD171" i="4"/>
  <c r="AE171" i="4"/>
  <c r="P171" i="4" l="1"/>
  <c r="N386" i="4"/>
  <c r="O386" i="4"/>
  <c r="O171" i="4"/>
  <c r="N171" i="4"/>
  <c r="P386" i="4"/>
  <c r="I173" i="4"/>
  <c r="I388" i="4"/>
  <c r="J173" i="4"/>
  <c r="K173" i="4"/>
  <c r="L173" i="4"/>
  <c r="J388" i="4"/>
  <c r="L388" i="4"/>
  <c r="K388" i="4"/>
  <c r="R388" i="4"/>
  <c r="AF172" i="4"/>
  <c r="AK172" i="4"/>
  <c r="AD172" i="4"/>
  <c r="AE172" i="4"/>
  <c r="AJ172" i="4"/>
  <c r="AG173" i="4"/>
  <c r="AK173" i="4" s="1"/>
  <c r="AG388" i="4"/>
  <c r="AK388" i="4" s="1"/>
  <c r="Q389" i="4"/>
  <c r="M389" i="4"/>
  <c r="V389" i="4"/>
  <c r="U389" i="4"/>
  <c r="AJ387" i="4"/>
  <c r="AK387" i="4"/>
  <c r="AI387" i="4"/>
  <c r="AF387" i="4"/>
  <c r="AD387" i="4"/>
  <c r="AE387" i="4"/>
  <c r="R173" i="4"/>
  <c r="Q174" i="4"/>
  <c r="M174" i="4"/>
  <c r="V174" i="4"/>
  <c r="U174" i="4"/>
  <c r="O387" i="4" l="1"/>
  <c r="N387" i="4"/>
  <c r="P172" i="4"/>
  <c r="N172" i="4"/>
  <c r="O172" i="4"/>
  <c r="P387" i="4"/>
  <c r="I174" i="4"/>
  <c r="I389" i="4"/>
  <c r="J389" i="4"/>
  <c r="K389" i="4"/>
  <c r="L389" i="4"/>
  <c r="L174" i="4"/>
  <c r="J174" i="4"/>
  <c r="K174" i="4"/>
  <c r="AJ388" i="4"/>
  <c r="AE173" i="4"/>
  <c r="AI173" i="4"/>
  <c r="AG389" i="4"/>
  <c r="AJ389" i="4" s="1"/>
  <c r="AJ173" i="4"/>
  <c r="AD388" i="4"/>
  <c r="AD173" i="4"/>
  <c r="AF173" i="4"/>
  <c r="AE388" i="4"/>
  <c r="AI388" i="4"/>
  <c r="AF388" i="4"/>
  <c r="R389" i="4"/>
  <c r="Q390" i="4"/>
  <c r="M390" i="4"/>
  <c r="U390" i="4"/>
  <c r="V390" i="4"/>
  <c r="R174" i="4"/>
  <c r="Q175" i="4"/>
  <c r="M175" i="4"/>
  <c r="V175" i="4"/>
  <c r="U175" i="4"/>
  <c r="AG174" i="4"/>
  <c r="P173" i="4" l="1"/>
  <c r="N388" i="4"/>
  <c r="O388" i="4"/>
  <c r="N173" i="4"/>
  <c r="O173" i="4"/>
  <c r="P388" i="4"/>
  <c r="I390" i="4"/>
  <c r="I175" i="4"/>
  <c r="J175" i="4"/>
  <c r="L175" i="4"/>
  <c r="K175" i="4"/>
  <c r="J390" i="4"/>
  <c r="L390" i="4"/>
  <c r="K390" i="4"/>
  <c r="AF389" i="4"/>
  <c r="AK389" i="4"/>
  <c r="AD389" i="4"/>
  <c r="AI389" i="4"/>
  <c r="AE389" i="4"/>
  <c r="AG390" i="4"/>
  <c r="AJ390" i="4" s="1"/>
  <c r="R175" i="4"/>
  <c r="R390" i="4"/>
  <c r="M391" i="4"/>
  <c r="Q391" i="4"/>
  <c r="U391" i="4"/>
  <c r="V391" i="4"/>
  <c r="AJ174" i="4"/>
  <c r="AI174" i="4"/>
  <c r="AK174" i="4"/>
  <c r="AF174" i="4"/>
  <c r="AE174" i="4"/>
  <c r="AD174" i="4"/>
  <c r="Q176" i="4"/>
  <c r="M176" i="4"/>
  <c r="V176" i="4"/>
  <c r="U176" i="4"/>
  <c r="AG175" i="4"/>
  <c r="O174" i="4" l="1"/>
  <c r="N174" i="4"/>
  <c r="P174" i="4"/>
  <c r="N389" i="4"/>
  <c r="O389" i="4"/>
  <c r="P389" i="4"/>
  <c r="I176" i="4"/>
  <c r="I391" i="4"/>
  <c r="K176" i="4"/>
  <c r="L176" i="4"/>
  <c r="J176" i="4"/>
  <c r="L391" i="4"/>
  <c r="K391" i="4"/>
  <c r="J391" i="4"/>
  <c r="AI390" i="4"/>
  <c r="AK390" i="4"/>
  <c r="AE390" i="4"/>
  <c r="AF390" i="4"/>
  <c r="AD390" i="4"/>
  <c r="AG391" i="4"/>
  <c r="AI391" i="4" s="1"/>
  <c r="M392" i="4"/>
  <c r="Q392" i="4"/>
  <c r="V392" i="4"/>
  <c r="U392" i="4"/>
  <c r="R391" i="4"/>
  <c r="AG176" i="4"/>
  <c r="AK176" i="4" s="1"/>
  <c r="AJ175" i="4"/>
  <c r="AK175" i="4"/>
  <c r="AI175" i="4"/>
  <c r="AD175" i="4"/>
  <c r="AE175" i="4"/>
  <c r="AF175" i="4"/>
  <c r="M177" i="4"/>
  <c r="Q177" i="4"/>
  <c r="V177" i="4"/>
  <c r="U177" i="4"/>
  <c r="R176" i="4"/>
  <c r="P390" i="4" l="1"/>
  <c r="N175" i="4"/>
  <c r="O175" i="4"/>
  <c r="P175" i="4"/>
  <c r="N390" i="4"/>
  <c r="O390" i="4"/>
  <c r="I392" i="4"/>
  <c r="I177" i="4"/>
  <c r="K177" i="4"/>
  <c r="L177" i="4"/>
  <c r="J177" i="4"/>
  <c r="J392" i="4"/>
  <c r="L392" i="4"/>
  <c r="K392" i="4"/>
  <c r="AK391" i="4"/>
  <c r="AF391" i="4"/>
  <c r="AD391" i="4"/>
  <c r="AJ391" i="4"/>
  <c r="AE391" i="4"/>
  <c r="AG392" i="4"/>
  <c r="AJ392" i="4" s="1"/>
  <c r="AD176" i="4"/>
  <c r="Q393" i="4"/>
  <c r="M393" i="4"/>
  <c r="V393" i="4"/>
  <c r="U393" i="4"/>
  <c r="AG177" i="4"/>
  <c r="AK177" i="4" s="1"/>
  <c r="R392" i="4"/>
  <c r="AJ176" i="4"/>
  <c r="AI176" i="4"/>
  <c r="AE176" i="4"/>
  <c r="AF176" i="4"/>
  <c r="M178" i="4"/>
  <c r="Q178" i="4"/>
  <c r="V178" i="4"/>
  <c r="U178" i="4"/>
  <c r="R177" i="4"/>
  <c r="O176" i="4" l="1"/>
  <c r="N176" i="4"/>
  <c r="P176" i="4"/>
  <c r="N391" i="4"/>
  <c r="O391" i="4"/>
  <c r="P391" i="4"/>
  <c r="I393" i="4"/>
  <c r="I178" i="4"/>
  <c r="J393" i="4"/>
  <c r="L393" i="4"/>
  <c r="K393" i="4"/>
  <c r="J178" i="4"/>
  <c r="L178" i="4"/>
  <c r="K178" i="4"/>
  <c r="AF392" i="4"/>
  <c r="AI177" i="4"/>
  <c r="AD392" i="4"/>
  <c r="AK392" i="4"/>
  <c r="AJ177" i="4"/>
  <c r="R393" i="4"/>
  <c r="AI392" i="4"/>
  <c r="AD177" i="4"/>
  <c r="AE177" i="4"/>
  <c r="AE392" i="4"/>
  <c r="AF177" i="4"/>
  <c r="R178" i="4"/>
  <c r="AG393" i="4"/>
  <c r="M394" i="4"/>
  <c r="Q394" i="4"/>
  <c r="U394" i="4"/>
  <c r="V394" i="4"/>
  <c r="AG178" i="4"/>
  <c r="Q179" i="4"/>
  <c r="M179" i="4"/>
  <c r="U179" i="4"/>
  <c r="V179" i="4"/>
  <c r="P392" i="4" l="1"/>
  <c r="N177" i="4"/>
  <c r="O177" i="4"/>
  <c r="P177" i="4"/>
  <c r="N392" i="4"/>
  <c r="O392" i="4"/>
  <c r="I394" i="4"/>
  <c r="I179" i="4"/>
  <c r="K179" i="4"/>
  <c r="J179" i="4"/>
  <c r="L179" i="4"/>
  <c r="L394" i="4"/>
  <c r="J394" i="4"/>
  <c r="K394" i="4"/>
  <c r="R179" i="4"/>
  <c r="Q395" i="4"/>
  <c r="M395" i="4"/>
  <c r="U395" i="4"/>
  <c r="V395" i="4"/>
  <c r="AG394" i="4"/>
  <c r="AJ393" i="4"/>
  <c r="AK393" i="4"/>
  <c r="AI393" i="4"/>
  <c r="AE393" i="4"/>
  <c r="AD393" i="4"/>
  <c r="AF393" i="4"/>
  <c r="R394" i="4"/>
  <c r="Q180" i="4"/>
  <c r="M180" i="4"/>
  <c r="V180" i="4"/>
  <c r="U180" i="4"/>
  <c r="AG179" i="4"/>
  <c r="AJ178" i="4"/>
  <c r="AI178" i="4"/>
  <c r="AK178" i="4"/>
  <c r="AD178" i="4"/>
  <c r="AF178" i="4"/>
  <c r="AE178" i="4"/>
  <c r="P178" i="4" l="1"/>
  <c r="N393" i="4"/>
  <c r="O393" i="4"/>
  <c r="O178" i="4"/>
  <c r="N178" i="4"/>
  <c r="P393" i="4"/>
  <c r="I180" i="4"/>
  <c r="I395" i="4"/>
  <c r="K180" i="4"/>
  <c r="L180" i="4"/>
  <c r="J180" i="4"/>
  <c r="K395" i="4"/>
  <c r="L395" i="4"/>
  <c r="J395" i="4"/>
  <c r="R395" i="4"/>
  <c r="AJ394" i="4"/>
  <c r="AI394" i="4"/>
  <c r="AK394" i="4"/>
  <c r="AE394" i="4"/>
  <c r="AD394" i="4"/>
  <c r="AF394" i="4"/>
  <c r="AG395" i="4"/>
  <c r="Q396" i="4"/>
  <c r="M396" i="4"/>
  <c r="V396" i="4"/>
  <c r="U396" i="4"/>
  <c r="R180" i="4"/>
  <c r="AJ179" i="4"/>
  <c r="AK179" i="4"/>
  <c r="AI179" i="4"/>
  <c r="AE179" i="4"/>
  <c r="AF179" i="4"/>
  <c r="AD179" i="4"/>
  <c r="AG180" i="4"/>
  <c r="M181" i="4"/>
  <c r="Q181" i="4"/>
  <c r="V181" i="4"/>
  <c r="U181" i="4"/>
  <c r="P394" i="4" l="1"/>
  <c r="P179" i="4"/>
  <c r="N179" i="4"/>
  <c r="O179" i="4"/>
  <c r="N394" i="4"/>
  <c r="O394" i="4"/>
  <c r="I396" i="4"/>
  <c r="I181" i="4"/>
  <c r="K181" i="4"/>
  <c r="J181" i="4"/>
  <c r="L181" i="4"/>
  <c r="K396" i="4"/>
  <c r="L396" i="4"/>
  <c r="J396" i="4"/>
  <c r="R396" i="4"/>
  <c r="AG396" i="4"/>
  <c r="AJ395" i="4"/>
  <c r="AK395" i="4"/>
  <c r="AI395" i="4"/>
  <c r="AF395" i="4"/>
  <c r="AD395" i="4"/>
  <c r="AE395" i="4"/>
  <c r="Q397" i="4"/>
  <c r="M397" i="4"/>
  <c r="V397" i="4"/>
  <c r="U397" i="4"/>
  <c r="AG181" i="4"/>
  <c r="AI181" i="4" s="1"/>
  <c r="AJ180" i="4"/>
  <c r="AK180" i="4"/>
  <c r="AI180" i="4"/>
  <c r="AD180" i="4"/>
  <c r="AF180" i="4"/>
  <c r="AE180" i="4"/>
  <c r="M182" i="4"/>
  <c r="Q182" i="4"/>
  <c r="V182" i="4"/>
  <c r="U182" i="4"/>
  <c r="R181" i="4"/>
  <c r="P180" i="4" l="1"/>
  <c r="N395" i="4"/>
  <c r="O395" i="4"/>
  <c r="N180" i="4"/>
  <c r="O180" i="4"/>
  <c r="P395" i="4"/>
  <c r="I397" i="4"/>
  <c r="I182" i="4"/>
  <c r="L397" i="4"/>
  <c r="K397" i="4"/>
  <c r="J397" i="4"/>
  <c r="K182" i="4"/>
  <c r="J182" i="4"/>
  <c r="L182" i="4"/>
  <c r="AJ181" i="4"/>
  <c r="AF181" i="4"/>
  <c r="AD181" i="4"/>
  <c r="AG397" i="4"/>
  <c r="AJ396" i="4"/>
  <c r="AI396" i="4"/>
  <c r="AK396" i="4"/>
  <c r="AD396" i="4"/>
  <c r="AF396" i="4"/>
  <c r="AE396" i="4"/>
  <c r="R397" i="4"/>
  <c r="M398" i="4"/>
  <c r="Q398" i="4"/>
  <c r="U398" i="4"/>
  <c r="V398" i="4"/>
  <c r="AK181" i="4"/>
  <c r="AE181" i="4"/>
  <c r="AG182" i="4"/>
  <c r="AJ182" i="4" s="1"/>
  <c r="Q183" i="4"/>
  <c r="M183" i="4"/>
  <c r="V183" i="4"/>
  <c r="U183" i="4"/>
  <c r="R182" i="4"/>
  <c r="O396" i="4" l="1"/>
  <c r="N396" i="4"/>
  <c r="N181" i="4"/>
  <c r="O181" i="4"/>
  <c r="P181" i="4"/>
  <c r="P396" i="4"/>
  <c r="I183" i="4"/>
  <c r="I398" i="4"/>
  <c r="J183" i="4"/>
  <c r="L183" i="4"/>
  <c r="K183" i="4"/>
  <c r="K398" i="4"/>
  <c r="J398" i="4"/>
  <c r="L398" i="4"/>
  <c r="R183" i="4"/>
  <c r="AG398" i="4"/>
  <c r="R398" i="4"/>
  <c r="AJ397" i="4"/>
  <c r="AK397" i="4"/>
  <c r="AI397" i="4"/>
  <c r="AD397" i="4"/>
  <c r="AF397" i="4"/>
  <c r="AE397" i="4"/>
  <c r="AD182" i="4"/>
  <c r="Q399" i="4"/>
  <c r="M399" i="4"/>
  <c r="U399" i="4"/>
  <c r="V399" i="4"/>
  <c r="AI182" i="4"/>
  <c r="P182" i="4" s="1"/>
  <c r="AF182" i="4"/>
  <c r="AK182" i="4"/>
  <c r="AE182" i="4"/>
  <c r="AG183" i="4"/>
  <c r="AK183" i="4" s="1"/>
  <c r="Q184" i="4"/>
  <c r="M184" i="4"/>
  <c r="V184" i="4"/>
  <c r="U184" i="4"/>
  <c r="O397" i="4" l="1"/>
  <c r="N397" i="4"/>
  <c r="P397" i="4"/>
  <c r="O182" i="4"/>
  <c r="N182" i="4"/>
  <c r="I399" i="4"/>
  <c r="I184" i="4"/>
  <c r="L399" i="4"/>
  <c r="J399" i="4"/>
  <c r="K399" i="4"/>
  <c r="K184" i="4"/>
  <c r="J184" i="4"/>
  <c r="L184" i="4"/>
  <c r="R399" i="4"/>
  <c r="AI183" i="4"/>
  <c r="Q400" i="4"/>
  <c r="M400" i="4"/>
  <c r="V400" i="4"/>
  <c r="U400" i="4"/>
  <c r="AJ183" i="4"/>
  <c r="AD183" i="4"/>
  <c r="AJ398" i="4"/>
  <c r="AI398" i="4"/>
  <c r="AK398" i="4"/>
  <c r="AF398" i="4"/>
  <c r="AD398" i="4"/>
  <c r="AE398" i="4"/>
  <c r="AE183" i="4"/>
  <c r="R184" i="4"/>
  <c r="AG399" i="4"/>
  <c r="AF183" i="4"/>
  <c r="AG184" i="4"/>
  <c r="AJ184" i="4" s="1"/>
  <c r="M185" i="4"/>
  <c r="Q185" i="4"/>
  <c r="V185" i="4"/>
  <c r="U185" i="4"/>
  <c r="P398" i="4" l="1"/>
  <c r="N183" i="4"/>
  <c r="O183" i="4"/>
  <c r="P183" i="4"/>
  <c r="O398" i="4"/>
  <c r="N398" i="4"/>
  <c r="I400" i="4"/>
  <c r="I185" i="4"/>
  <c r="L185" i="4"/>
  <c r="K185" i="4"/>
  <c r="J185" i="4"/>
  <c r="J400" i="4"/>
  <c r="K400" i="4"/>
  <c r="L400" i="4"/>
  <c r="AG400" i="4"/>
  <c r="AK400" i="4" s="1"/>
  <c r="AE184" i="4"/>
  <c r="AG185" i="4"/>
  <c r="AJ185" i="4" s="1"/>
  <c r="R400" i="4"/>
  <c r="AI184" i="4"/>
  <c r="AD184" i="4"/>
  <c r="AK184" i="4"/>
  <c r="R185" i="4"/>
  <c r="AF184" i="4"/>
  <c r="AJ399" i="4"/>
  <c r="AK399" i="4"/>
  <c r="AI399" i="4"/>
  <c r="AE399" i="4"/>
  <c r="AF399" i="4"/>
  <c r="AD399" i="4"/>
  <c r="Q401" i="4"/>
  <c r="M401" i="4"/>
  <c r="V401" i="4"/>
  <c r="U401" i="4"/>
  <c r="Q186" i="4"/>
  <c r="M186" i="4"/>
  <c r="V186" i="4"/>
  <c r="U186" i="4"/>
  <c r="P184" i="4" l="1"/>
  <c r="P399" i="4"/>
  <c r="N399" i="4"/>
  <c r="O399" i="4"/>
  <c r="N184" i="4"/>
  <c r="O184" i="4"/>
  <c r="I401" i="4"/>
  <c r="I186" i="4"/>
  <c r="J401" i="4"/>
  <c r="K401" i="4"/>
  <c r="L401" i="4"/>
  <c r="K186" i="4"/>
  <c r="L186" i="4"/>
  <c r="J186" i="4"/>
  <c r="AE400" i="4"/>
  <c r="AD400" i="4"/>
  <c r="AJ400" i="4"/>
  <c r="AI400" i="4"/>
  <c r="AF400" i="4"/>
  <c r="AE185" i="4"/>
  <c r="AI185" i="4"/>
  <c r="AD185" i="4"/>
  <c r="AK185" i="4"/>
  <c r="AF185" i="4"/>
  <c r="R401" i="4"/>
  <c r="M402" i="4"/>
  <c r="Q402" i="4"/>
  <c r="U402" i="4"/>
  <c r="V402" i="4"/>
  <c r="AG401" i="4"/>
  <c r="AG186" i="4"/>
  <c r="AJ186" i="4" s="1"/>
  <c r="R186" i="4"/>
  <c r="M187" i="4"/>
  <c r="Q187" i="4"/>
  <c r="U187" i="4"/>
  <c r="V187" i="4"/>
  <c r="P400" i="4" l="1"/>
  <c r="P185" i="4"/>
  <c r="O400" i="4"/>
  <c r="N400" i="4"/>
  <c r="N185" i="4"/>
  <c r="O185" i="4"/>
  <c r="I187" i="4"/>
  <c r="I402" i="4"/>
  <c r="L187" i="4"/>
  <c r="K187" i="4"/>
  <c r="J187" i="4"/>
  <c r="K402" i="4"/>
  <c r="L402" i="4"/>
  <c r="J402" i="4"/>
  <c r="AK186" i="4"/>
  <c r="AI186" i="4"/>
  <c r="P186" i="4" s="1"/>
  <c r="AF186" i="4"/>
  <c r="AE186" i="4"/>
  <c r="AD186" i="4"/>
  <c r="R402" i="4"/>
  <c r="Q403" i="4"/>
  <c r="M403" i="4"/>
  <c r="U403" i="4"/>
  <c r="V403" i="4"/>
  <c r="AJ401" i="4"/>
  <c r="AI401" i="4"/>
  <c r="AF401" i="4"/>
  <c r="AK401" i="4"/>
  <c r="AE401" i="4"/>
  <c r="AD401" i="4"/>
  <c r="AG402" i="4"/>
  <c r="AG187" i="4"/>
  <c r="R187" i="4"/>
  <c r="Q188" i="4"/>
  <c r="M188" i="4"/>
  <c r="V188" i="4"/>
  <c r="U188" i="4"/>
  <c r="O401" i="4" l="1"/>
  <c r="N401" i="4"/>
  <c r="I403" i="4"/>
  <c r="O186" i="4"/>
  <c r="N186" i="4"/>
  <c r="P401" i="4"/>
  <c r="I188" i="4"/>
  <c r="K403" i="4"/>
  <c r="J403" i="4"/>
  <c r="L403" i="4"/>
  <c r="J188" i="4"/>
  <c r="L188" i="4"/>
  <c r="K188" i="4"/>
  <c r="AG403" i="4"/>
  <c r="AE403" i="4" s="1"/>
  <c r="AJ402" i="4"/>
  <c r="AI402" i="4"/>
  <c r="AK402" i="4"/>
  <c r="AD402" i="4"/>
  <c r="AF402" i="4"/>
  <c r="AE402" i="4"/>
  <c r="R403" i="4"/>
  <c r="M404" i="4"/>
  <c r="Q404" i="4"/>
  <c r="V404" i="4"/>
  <c r="U404" i="4"/>
  <c r="AG188" i="4"/>
  <c r="AK188" i="4" s="1"/>
  <c r="AJ187" i="4"/>
  <c r="AI187" i="4"/>
  <c r="AK187" i="4"/>
  <c r="AE187" i="4"/>
  <c r="AF187" i="4"/>
  <c r="AD187" i="4"/>
  <c r="M189" i="4"/>
  <c r="Q189" i="4"/>
  <c r="V189" i="4"/>
  <c r="U189" i="4"/>
  <c r="R188" i="4"/>
  <c r="O402" i="4" l="1"/>
  <c r="N402" i="4"/>
  <c r="P402" i="4"/>
  <c r="O187" i="4"/>
  <c r="N187" i="4"/>
  <c r="P187" i="4"/>
  <c r="I189" i="4"/>
  <c r="I404" i="4"/>
  <c r="K189" i="4"/>
  <c r="L189" i="4"/>
  <c r="J189" i="4"/>
  <c r="J404" i="4"/>
  <c r="L404" i="4"/>
  <c r="K404" i="4"/>
  <c r="AG189" i="4"/>
  <c r="AK189" i="4" s="1"/>
  <c r="AF403" i="4"/>
  <c r="AK403" i="4"/>
  <c r="AI403" i="4"/>
  <c r="AG404" i="4"/>
  <c r="AJ404" i="4" s="1"/>
  <c r="AD403" i="4"/>
  <c r="O403" i="4" s="1"/>
  <c r="AJ403" i="4"/>
  <c r="AF188" i="4"/>
  <c r="R404" i="4"/>
  <c r="Q405" i="4"/>
  <c r="M405" i="4"/>
  <c r="V405" i="4"/>
  <c r="U405" i="4"/>
  <c r="AI188" i="4"/>
  <c r="AD188" i="4"/>
  <c r="AJ188" i="4"/>
  <c r="AE188" i="4"/>
  <c r="R189" i="4"/>
  <c r="Q190" i="4"/>
  <c r="M190" i="4"/>
  <c r="V190" i="4"/>
  <c r="U190" i="4"/>
  <c r="P188" i="4" l="1"/>
  <c r="P403" i="4"/>
  <c r="N403" i="4"/>
  <c r="O188" i="4"/>
  <c r="N188" i="4"/>
  <c r="I405" i="4"/>
  <c r="I190" i="4"/>
  <c r="J405" i="4"/>
  <c r="L405" i="4"/>
  <c r="K405" i="4"/>
  <c r="J190" i="4"/>
  <c r="K190" i="4"/>
  <c r="L190" i="4"/>
  <c r="AJ189" i="4"/>
  <c r="AD189" i="4"/>
  <c r="AE189" i="4"/>
  <c r="AI189" i="4"/>
  <c r="AI404" i="4"/>
  <c r="R405" i="4"/>
  <c r="AF189" i="4"/>
  <c r="AD404" i="4"/>
  <c r="AE404" i="4"/>
  <c r="AK404" i="4"/>
  <c r="AF404" i="4"/>
  <c r="AG405" i="4"/>
  <c r="AI405" i="4" s="1"/>
  <c r="Q406" i="4"/>
  <c r="M406" i="4"/>
  <c r="U406" i="4"/>
  <c r="V406" i="4"/>
  <c r="AG190" i="4"/>
  <c r="AI190" i="4" s="1"/>
  <c r="R190" i="4"/>
  <c r="M191" i="4"/>
  <c r="Q191" i="4"/>
  <c r="V191" i="4"/>
  <c r="U191" i="4"/>
  <c r="P404" i="4" l="1"/>
  <c r="O189" i="4"/>
  <c r="N189" i="4"/>
  <c r="O404" i="4"/>
  <c r="N404" i="4"/>
  <c r="P189" i="4"/>
  <c r="I406" i="4"/>
  <c r="I191" i="4"/>
  <c r="K191" i="4"/>
  <c r="J191" i="4"/>
  <c r="L191" i="4"/>
  <c r="L406" i="4"/>
  <c r="J406" i="4"/>
  <c r="K406" i="4"/>
  <c r="AJ405" i="4"/>
  <c r="AE405" i="4"/>
  <c r="AF405" i="4"/>
  <c r="AK405" i="4"/>
  <c r="AF190" i="4"/>
  <c r="AK190" i="4"/>
  <c r="AD405" i="4"/>
  <c r="R191" i="4"/>
  <c r="AG406" i="4"/>
  <c r="AE190" i="4"/>
  <c r="M407" i="4"/>
  <c r="Q407" i="4"/>
  <c r="U407" i="4"/>
  <c r="V407" i="4"/>
  <c r="AD190" i="4"/>
  <c r="AJ190" i="4"/>
  <c r="P190" i="4" s="1"/>
  <c r="R406" i="4"/>
  <c r="Q192" i="4"/>
  <c r="M192" i="4"/>
  <c r="V192" i="4"/>
  <c r="U192" i="4"/>
  <c r="AG191" i="4"/>
  <c r="P405" i="4" l="1"/>
  <c r="O190" i="4"/>
  <c r="N190" i="4"/>
  <c r="N405" i="4"/>
  <c r="O405" i="4"/>
  <c r="I407" i="4"/>
  <c r="I192" i="4"/>
  <c r="K407" i="4"/>
  <c r="L407" i="4"/>
  <c r="J407" i="4"/>
  <c r="J192" i="4"/>
  <c r="L192" i="4"/>
  <c r="K192" i="4"/>
  <c r="R407" i="4"/>
  <c r="AJ406" i="4"/>
  <c r="AK406" i="4"/>
  <c r="AI406" i="4"/>
  <c r="AF406" i="4"/>
  <c r="AE406" i="4"/>
  <c r="AD406" i="4"/>
  <c r="M408" i="4"/>
  <c r="Q408" i="4"/>
  <c r="V408" i="4"/>
  <c r="U408" i="4"/>
  <c r="AG407" i="4"/>
  <c r="AG192" i="4"/>
  <c r="AK192" i="4" s="1"/>
  <c r="M193" i="4"/>
  <c r="Q193" i="4"/>
  <c r="V193" i="4"/>
  <c r="U193" i="4"/>
  <c r="AJ191" i="4"/>
  <c r="AI191" i="4"/>
  <c r="AK191" i="4"/>
  <c r="AF191" i="4"/>
  <c r="AE191" i="4"/>
  <c r="AD191" i="4"/>
  <c r="R192" i="4"/>
  <c r="P191" i="4" l="1"/>
  <c r="P406" i="4"/>
  <c r="O191" i="4"/>
  <c r="N191" i="4"/>
  <c r="O406" i="4"/>
  <c r="N406" i="4"/>
  <c r="I193" i="4"/>
  <c r="I408" i="4"/>
  <c r="K193" i="4"/>
  <c r="L193" i="4"/>
  <c r="J193" i="4"/>
  <c r="J408" i="4"/>
  <c r="K408" i="4"/>
  <c r="L408" i="4"/>
  <c r="AD192" i="4"/>
  <c r="AG408" i="4"/>
  <c r="AD408" i="4" s="1"/>
  <c r="AG193" i="4"/>
  <c r="AK193" i="4" s="1"/>
  <c r="AI192" i="4"/>
  <c r="R408" i="4"/>
  <c r="AJ407" i="4"/>
  <c r="AI407" i="4"/>
  <c r="AK407" i="4"/>
  <c r="AE407" i="4"/>
  <c r="AD407" i="4"/>
  <c r="AF407" i="4"/>
  <c r="Q409" i="4"/>
  <c r="M409" i="4"/>
  <c r="V409" i="4"/>
  <c r="U409" i="4"/>
  <c r="AE192" i="4"/>
  <c r="AF192" i="4"/>
  <c r="AJ192" i="4"/>
  <c r="R193" i="4"/>
  <c r="Q194" i="4"/>
  <c r="M194" i="4"/>
  <c r="V194" i="4"/>
  <c r="U194" i="4"/>
  <c r="P192" i="4" l="1"/>
  <c r="N192" i="4"/>
  <c r="O192" i="4"/>
  <c r="N407" i="4"/>
  <c r="O407" i="4"/>
  <c r="P407" i="4"/>
  <c r="I194" i="4"/>
  <c r="I409" i="4"/>
  <c r="K409" i="4"/>
  <c r="J409" i="4"/>
  <c r="L409" i="4"/>
  <c r="K194" i="4"/>
  <c r="J194" i="4"/>
  <c r="L194" i="4"/>
  <c r="AK408" i="4"/>
  <c r="AI408" i="4"/>
  <c r="AE408" i="4"/>
  <c r="AF193" i="4"/>
  <c r="AF408" i="4"/>
  <c r="AJ408" i="4"/>
  <c r="AE193" i="4"/>
  <c r="AJ193" i="4"/>
  <c r="AI193" i="4"/>
  <c r="AD193" i="4"/>
  <c r="AG409" i="4"/>
  <c r="AI409" i="4" s="1"/>
  <c r="R409" i="4"/>
  <c r="Q410" i="4"/>
  <c r="M410" i="4"/>
  <c r="U410" i="4"/>
  <c r="V410" i="4"/>
  <c r="AG194" i="4"/>
  <c r="AI194" i="4" s="1"/>
  <c r="R194" i="4"/>
  <c r="M195" i="4"/>
  <c r="Q195" i="4"/>
  <c r="U195" i="4"/>
  <c r="V195" i="4"/>
  <c r="P193" i="4" l="1"/>
  <c r="P408" i="4"/>
  <c r="N408" i="4"/>
  <c r="O408" i="4"/>
  <c r="N193" i="4"/>
  <c r="O193" i="4"/>
  <c r="I410" i="4"/>
  <c r="I195" i="4"/>
  <c r="K410" i="4"/>
  <c r="J410" i="4"/>
  <c r="L410" i="4"/>
  <c r="J195" i="4"/>
  <c r="L195" i="4"/>
  <c r="K195" i="4"/>
  <c r="AJ409" i="4"/>
  <c r="AE194" i="4"/>
  <c r="AK409" i="4"/>
  <c r="AD409" i="4"/>
  <c r="AG410" i="4"/>
  <c r="AK410" i="4" s="1"/>
  <c r="AE409" i="4"/>
  <c r="AJ194" i="4"/>
  <c r="AF409" i="4"/>
  <c r="AF194" i="4"/>
  <c r="R410" i="4"/>
  <c r="Q411" i="4"/>
  <c r="M411" i="4"/>
  <c r="U411" i="4"/>
  <c r="V411" i="4"/>
  <c r="AK194" i="4"/>
  <c r="AD194" i="4"/>
  <c r="Q196" i="4"/>
  <c r="M196" i="4"/>
  <c r="V196" i="4"/>
  <c r="U196" i="4"/>
  <c r="AG195" i="4"/>
  <c r="R195" i="4"/>
  <c r="P409" i="4" l="1"/>
  <c r="N194" i="4"/>
  <c r="O194" i="4"/>
  <c r="P194" i="4"/>
  <c r="N409" i="4"/>
  <c r="O409" i="4"/>
  <c r="I411" i="4"/>
  <c r="I196" i="4"/>
  <c r="K411" i="4"/>
  <c r="J411" i="4"/>
  <c r="L411" i="4"/>
  <c r="J196" i="4"/>
  <c r="L196" i="4"/>
  <c r="K196" i="4"/>
  <c r="AI410" i="4"/>
  <c r="AF410" i="4"/>
  <c r="AD410" i="4"/>
  <c r="AE410" i="4"/>
  <c r="AJ410" i="4"/>
  <c r="R196" i="4"/>
  <c r="AG411" i="4"/>
  <c r="M412" i="4"/>
  <c r="Q412" i="4"/>
  <c r="V412" i="4"/>
  <c r="U412" i="4"/>
  <c r="R411" i="4"/>
  <c r="AJ195" i="4"/>
  <c r="AI195" i="4"/>
  <c r="AK195" i="4"/>
  <c r="AE195" i="4"/>
  <c r="AF195" i="4"/>
  <c r="AD195" i="4"/>
  <c r="AG196" i="4"/>
  <c r="M197" i="4"/>
  <c r="Q197" i="4"/>
  <c r="V197" i="4"/>
  <c r="U197" i="4"/>
  <c r="I412" i="4" l="1"/>
  <c r="O195" i="4"/>
  <c r="N195" i="4"/>
  <c r="P195" i="4"/>
  <c r="P410" i="4"/>
  <c r="O410" i="4"/>
  <c r="N410" i="4"/>
  <c r="I197" i="4"/>
  <c r="J412" i="4"/>
  <c r="K412" i="4"/>
  <c r="L412" i="4"/>
  <c r="J197" i="4"/>
  <c r="K197" i="4"/>
  <c r="L197" i="4"/>
  <c r="AG412" i="4"/>
  <c r="AI412" i="4" s="1"/>
  <c r="R412" i="4"/>
  <c r="Q413" i="4"/>
  <c r="M413" i="4"/>
  <c r="V413" i="4"/>
  <c r="U413" i="4"/>
  <c r="AJ411" i="4"/>
  <c r="AK411" i="4"/>
  <c r="AI411" i="4"/>
  <c r="AE411" i="4"/>
  <c r="AF411" i="4"/>
  <c r="AD411" i="4"/>
  <c r="AG197" i="4"/>
  <c r="AI197" i="4" s="1"/>
  <c r="AJ196" i="4"/>
  <c r="AI196" i="4"/>
  <c r="AK196" i="4"/>
  <c r="AE196" i="4"/>
  <c r="AF196" i="4"/>
  <c r="AD196" i="4"/>
  <c r="R197" i="4"/>
  <c r="Q198" i="4"/>
  <c r="M198" i="4"/>
  <c r="V198" i="4"/>
  <c r="U198" i="4"/>
  <c r="P411" i="4" l="1"/>
  <c r="P196" i="4"/>
  <c r="N411" i="4"/>
  <c r="O411" i="4"/>
  <c r="O196" i="4"/>
  <c r="N196" i="4"/>
  <c r="I413" i="4"/>
  <c r="I198" i="4"/>
  <c r="K413" i="4"/>
  <c r="J413" i="4"/>
  <c r="L413" i="4"/>
  <c r="L198" i="4"/>
  <c r="K198" i="4"/>
  <c r="J198" i="4"/>
  <c r="AD412" i="4"/>
  <c r="AK412" i="4"/>
  <c r="AE412" i="4"/>
  <c r="AJ412" i="4"/>
  <c r="AF412" i="4"/>
  <c r="R413" i="4"/>
  <c r="AD197" i="4"/>
  <c r="AK197" i="4"/>
  <c r="AJ197" i="4"/>
  <c r="AF197" i="4"/>
  <c r="AG413" i="4"/>
  <c r="M414" i="4"/>
  <c r="Q414" i="4"/>
  <c r="U414" i="4"/>
  <c r="V414" i="4"/>
  <c r="AE197" i="4"/>
  <c r="R198" i="4"/>
  <c r="Q199" i="4"/>
  <c r="M199" i="4"/>
  <c r="V199" i="4"/>
  <c r="U199" i="4"/>
  <c r="AG198" i="4"/>
  <c r="P197" i="4" l="1"/>
  <c r="O197" i="4"/>
  <c r="N197" i="4"/>
  <c r="P412" i="4"/>
  <c r="O412" i="4"/>
  <c r="N412" i="4"/>
  <c r="I199" i="4"/>
  <c r="I414" i="4"/>
  <c r="J199" i="4"/>
  <c r="L199" i="4"/>
  <c r="K199" i="4"/>
  <c r="K414" i="4"/>
  <c r="J414" i="4"/>
  <c r="L414" i="4"/>
  <c r="R199" i="4"/>
  <c r="AG414" i="4"/>
  <c r="AJ413" i="4"/>
  <c r="AI413" i="4"/>
  <c r="AK413" i="4"/>
  <c r="AE413" i="4"/>
  <c r="AD413" i="4"/>
  <c r="AF413" i="4"/>
  <c r="R414" i="4"/>
  <c r="Q415" i="4"/>
  <c r="M415" i="4"/>
  <c r="U415" i="4"/>
  <c r="V415" i="4"/>
  <c r="AJ198" i="4"/>
  <c r="AI198" i="4"/>
  <c r="AK198" i="4"/>
  <c r="AD198" i="4"/>
  <c r="AE198" i="4"/>
  <c r="AF198" i="4"/>
  <c r="Q200" i="4"/>
  <c r="M200" i="4"/>
  <c r="V200" i="4"/>
  <c r="U200" i="4"/>
  <c r="AG199" i="4"/>
  <c r="P413" i="4" l="1"/>
  <c r="P198" i="4"/>
  <c r="O198" i="4"/>
  <c r="N198" i="4"/>
  <c r="O413" i="4"/>
  <c r="N413" i="4"/>
  <c r="I200" i="4"/>
  <c r="I415" i="4"/>
  <c r="L200" i="4"/>
  <c r="J200" i="4"/>
  <c r="K200" i="4"/>
  <c r="L415" i="4"/>
  <c r="J415" i="4"/>
  <c r="K415" i="4"/>
  <c r="R200" i="4"/>
  <c r="AG415" i="4"/>
  <c r="AJ415" i="4" s="1"/>
  <c r="R415" i="4"/>
  <c r="Q416" i="4"/>
  <c r="M416" i="4"/>
  <c r="V416" i="4"/>
  <c r="U416" i="4"/>
  <c r="AJ414" i="4"/>
  <c r="AK414" i="4"/>
  <c r="AI414" i="4"/>
  <c r="AF414" i="4"/>
  <c r="AD414" i="4"/>
  <c r="AE414" i="4"/>
  <c r="AG200" i="4"/>
  <c r="AI200" i="4" s="1"/>
  <c r="M201" i="4"/>
  <c r="Q201" i="4"/>
  <c r="V201" i="4"/>
  <c r="U201" i="4"/>
  <c r="AJ199" i="4"/>
  <c r="AK199" i="4"/>
  <c r="AI199" i="4"/>
  <c r="AD199" i="4"/>
  <c r="AE199" i="4"/>
  <c r="AF199" i="4"/>
  <c r="P199" i="4" l="1"/>
  <c r="O199" i="4"/>
  <c r="N199" i="4"/>
  <c r="P414" i="4"/>
  <c r="O414" i="4"/>
  <c r="N414" i="4"/>
  <c r="I201" i="4"/>
  <c r="I416" i="4"/>
  <c r="L201" i="4"/>
  <c r="K201" i="4"/>
  <c r="J201" i="4"/>
  <c r="L416" i="4"/>
  <c r="J416" i="4"/>
  <c r="K416" i="4"/>
  <c r="AI415" i="4"/>
  <c r="AF415" i="4"/>
  <c r="AD415" i="4"/>
  <c r="AE415" i="4"/>
  <c r="AK415" i="4"/>
  <c r="AD200" i="4"/>
  <c r="AF200" i="4"/>
  <c r="AK200" i="4"/>
  <c r="AE200" i="4"/>
  <c r="AJ200" i="4"/>
  <c r="R201" i="4"/>
  <c r="AG416" i="4"/>
  <c r="AK416" i="4" s="1"/>
  <c r="Q417" i="4"/>
  <c r="M417" i="4"/>
  <c r="V417" i="4"/>
  <c r="U417" i="4"/>
  <c r="R416" i="4"/>
  <c r="AG201" i="4"/>
  <c r="Q202" i="4"/>
  <c r="M202" i="4"/>
  <c r="V202" i="4"/>
  <c r="U202" i="4"/>
  <c r="P200" i="4" l="1"/>
  <c r="P415" i="4"/>
  <c r="O200" i="4"/>
  <c r="N200" i="4"/>
  <c r="O415" i="4"/>
  <c r="N415" i="4"/>
  <c r="I202" i="4"/>
  <c r="I417" i="4"/>
  <c r="K202" i="4"/>
  <c r="L202" i="4"/>
  <c r="J202" i="4"/>
  <c r="K417" i="4"/>
  <c r="J417" i="4"/>
  <c r="L417" i="4"/>
  <c r="AF416" i="4"/>
  <c r="R417" i="4"/>
  <c r="AJ416" i="4"/>
  <c r="AE416" i="4"/>
  <c r="AI416" i="4"/>
  <c r="AD416" i="4"/>
  <c r="M418" i="4"/>
  <c r="Q418" i="4"/>
  <c r="U418" i="4"/>
  <c r="V418" i="4"/>
  <c r="AG417" i="4"/>
  <c r="R202" i="4"/>
  <c r="AJ201" i="4"/>
  <c r="AK201" i="4"/>
  <c r="AI201" i="4"/>
  <c r="AE201" i="4"/>
  <c r="AF201" i="4"/>
  <c r="AD201" i="4"/>
  <c r="AG202" i="4"/>
  <c r="M203" i="4"/>
  <c r="Q203" i="4"/>
  <c r="U203" i="4"/>
  <c r="V203" i="4"/>
  <c r="P416" i="4" l="1"/>
  <c r="N201" i="4"/>
  <c r="O201" i="4"/>
  <c r="I418" i="4"/>
  <c r="O416" i="4"/>
  <c r="N416" i="4"/>
  <c r="L203" i="4"/>
  <c r="P201" i="4"/>
  <c r="I203" i="4"/>
  <c r="K418" i="4"/>
  <c r="J418" i="4"/>
  <c r="L418" i="4"/>
  <c r="J203" i="4"/>
  <c r="K203" i="4"/>
  <c r="AG203" i="4"/>
  <c r="AI203" i="4" s="1"/>
  <c r="AJ417" i="4"/>
  <c r="AI417" i="4"/>
  <c r="AK417" i="4"/>
  <c r="AD417" i="4"/>
  <c r="AF417" i="4"/>
  <c r="AE417" i="4"/>
  <c r="Q419" i="4"/>
  <c r="M419" i="4"/>
  <c r="U419" i="4"/>
  <c r="V419" i="4"/>
  <c r="AG418" i="4"/>
  <c r="R418" i="4"/>
  <c r="R203" i="4"/>
  <c r="Q204" i="4"/>
  <c r="M204" i="4"/>
  <c r="V204" i="4"/>
  <c r="U204" i="4"/>
  <c r="AJ202" i="4"/>
  <c r="AI202" i="4"/>
  <c r="AK202" i="4"/>
  <c r="AE202" i="4"/>
  <c r="AD202" i="4"/>
  <c r="AF202" i="4"/>
  <c r="P202" i="4" l="1"/>
  <c r="P417" i="4"/>
  <c r="N417" i="4"/>
  <c r="O417" i="4"/>
  <c r="O202" i="4"/>
  <c r="N202" i="4"/>
  <c r="I419" i="4"/>
  <c r="I204" i="4"/>
  <c r="K204" i="4"/>
  <c r="J204" i="4"/>
  <c r="J419" i="4"/>
  <c r="L419" i="4"/>
  <c r="K419" i="4"/>
  <c r="AJ203" i="4"/>
  <c r="AF203" i="4"/>
  <c r="R419" i="4"/>
  <c r="AK203" i="4"/>
  <c r="AD203" i="4"/>
  <c r="AE203" i="4"/>
  <c r="AG419" i="4"/>
  <c r="AD419" i="4" s="1"/>
  <c r="AJ418" i="4"/>
  <c r="AI418" i="4"/>
  <c r="AK418" i="4"/>
  <c r="AE418" i="4"/>
  <c r="AF418" i="4"/>
  <c r="AD418" i="4"/>
  <c r="M420" i="4"/>
  <c r="Q420" i="4"/>
  <c r="V420" i="4"/>
  <c r="U420" i="4"/>
  <c r="AG204" i="4"/>
  <c r="AK204" i="4" s="1"/>
  <c r="R204" i="4"/>
  <c r="M205" i="4"/>
  <c r="Q205" i="4"/>
  <c r="V205" i="4"/>
  <c r="U205" i="4"/>
  <c r="O418" i="4" l="1"/>
  <c r="N418" i="4"/>
  <c r="P203" i="4"/>
  <c r="P418" i="4"/>
  <c r="N203" i="4"/>
  <c r="O203" i="4"/>
  <c r="I205" i="4"/>
  <c r="I420" i="4"/>
  <c r="J205" i="4"/>
  <c r="K205" i="4"/>
  <c r="J420" i="4"/>
  <c r="L420" i="4"/>
  <c r="K420" i="4"/>
  <c r="AK419" i="4"/>
  <c r="AJ204" i="4"/>
  <c r="AI419" i="4"/>
  <c r="AJ419" i="4"/>
  <c r="AF419" i="4"/>
  <c r="AE419" i="4"/>
  <c r="AI204" i="4"/>
  <c r="AD204" i="4"/>
  <c r="AE204" i="4"/>
  <c r="AF204" i="4"/>
  <c r="R420" i="4"/>
  <c r="Q421" i="4"/>
  <c r="M421" i="4"/>
  <c r="V421" i="4"/>
  <c r="U421" i="4"/>
  <c r="AG420" i="4"/>
  <c r="AG205" i="4"/>
  <c r="AJ205" i="4" s="1"/>
  <c r="R205" i="4"/>
  <c r="Q206" i="4"/>
  <c r="M206" i="4"/>
  <c r="V206" i="4"/>
  <c r="U206" i="4"/>
  <c r="P204" i="4" l="1"/>
  <c r="O204" i="4"/>
  <c r="N204" i="4"/>
  <c r="O419" i="4"/>
  <c r="N419" i="4"/>
  <c r="P419" i="4"/>
  <c r="I206" i="4"/>
  <c r="I421" i="4"/>
  <c r="J206" i="4"/>
  <c r="K206" i="4"/>
  <c r="K421" i="4"/>
  <c r="L421" i="4"/>
  <c r="J421" i="4"/>
  <c r="AG206" i="4"/>
  <c r="AK206" i="4" s="1"/>
  <c r="AD205" i="4"/>
  <c r="AG421" i="4"/>
  <c r="AK421" i="4" s="1"/>
  <c r="AI205" i="4"/>
  <c r="AE205" i="4"/>
  <c r="AK205" i="4"/>
  <c r="AF205" i="4"/>
  <c r="AJ420" i="4"/>
  <c r="AK420" i="4"/>
  <c r="AI420" i="4"/>
  <c r="AE420" i="4"/>
  <c r="AD420" i="4"/>
  <c r="AF420" i="4"/>
  <c r="R421" i="4"/>
  <c r="M422" i="4"/>
  <c r="Q422" i="4"/>
  <c r="U422" i="4"/>
  <c r="V422" i="4"/>
  <c r="M207" i="4"/>
  <c r="Q207" i="4"/>
  <c r="V207" i="4"/>
  <c r="U207" i="4"/>
  <c r="R206" i="4"/>
  <c r="P205" i="4" l="1"/>
  <c r="P420" i="4"/>
  <c r="N205" i="4"/>
  <c r="O205" i="4"/>
  <c r="N420" i="4"/>
  <c r="O420" i="4"/>
  <c r="I422" i="4"/>
  <c r="I207" i="4"/>
  <c r="J422" i="4"/>
  <c r="L422" i="4"/>
  <c r="K422" i="4"/>
  <c r="J207" i="4"/>
  <c r="K207" i="4"/>
  <c r="AJ421" i="4"/>
  <c r="AJ206" i="4"/>
  <c r="AE206" i="4"/>
  <c r="AF206" i="4"/>
  <c r="AI206" i="4"/>
  <c r="AD206" i="4"/>
  <c r="AG422" i="4"/>
  <c r="AJ422" i="4" s="1"/>
  <c r="AF421" i="4"/>
  <c r="AI421" i="4"/>
  <c r="R207" i="4"/>
  <c r="AD421" i="4"/>
  <c r="AE421" i="4"/>
  <c r="R422" i="4"/>
  <c r="Q423" i="4"/>
  <c r="M423" i="4"/>
  <c r="U423" i="4"/>
  <c r="V423" i="4"/>
  <c r="Q208" i="4"/>
  <c r="M208" i="4"/>
  <c r="V208" i="4"/>
  <c r="U208" i="4"/>
  <c r="AG207" i="4"/>
  <c r="P421" i="4" l="1"/>
  <c r="P206" i="4"/>
  <c r="O421" i="4"/>
  <c r="N421" i="4"/>
  <c r="O206" i="4"/>
  <c r="N206" i="4"/>
  <c r="I423" i="4"/>
  <c r="I208" i="4"/>
  <c r="K423" i="4"/>
  <c r="J423" i="4"/>
  <c r="L423" i="4"/>
  <c r="K208" i="4"/>
  <c r="J208" i="4"/>
  <c r="AF422" i="4"/>
  <c r="AI422" i="4"/>
  <c r="AK422" i="4"/>
  <c r="AD422" i="4"/>
  <c r="AE422" i="4"/>
  <c r="AG423" i="4"/>
  <c r="AK423" i="4" s="1"/>
  <c r="AG208" i="4"/>
  <c r="AK208" i="4" s="1"/>
  <c r="R423" i="4"/>
  <c r="M424" i="4"/>
  <c r="Q424" i="4"/>
  <c r="V424" i="4"/>
  <c r="U424" i="4"/>
  <c r="R208" i="4"/>
  <c r="M209" i="4"/>
  <c r="Q209" i="4"/>
  <c r="V209" i="4"/>
  <c r="U209" i="4"/>
  <c r="AJ207" i="4"/>
  <c r="AK207" i="4"/>
  <c r="AI207" i="4"/>
  <c r="AF207" i="4"/>
  <c r="AD207" i="4"/>
  <c r="AE207" i="4"/>
  <c r="P207" i="4" l="1"/>
  <c r="N207" i="4"/>
  <c r="O207" i="4"/>
  <c r="O422" i="4"/>
  <c r="N422" i="4"/>
  <c r="P422" i="4"/>
  <c r="I209" i="4"/>
  <c r="I424" i="4"/>
  <c r="K424" i="4"/>
  <c r="L424" i="4"/>
  <c r="J424" i="4"/>
  <c r="K209" i="4"/>
  <c r="J209" i="4"/>
  <c r="AF208" i="4"/>
  <c r="R424" i="4"/>
  <c r="AJ423" i="4"/>
  <c r="AE423" i="4"/>
  <c r="AF423" i="4"/>
  <c r="AJ208" i="4"/>
  <c r="AI423" i="4"/>
  <c r="AD423" i="4"/>
  <c r="AD208" i="4"/>
  <c r="AI208" i="4"/>
  <c r="AE208" i="4"/>
  <c r="Q425" i="4"/>
  <c r="M425" i="4"/>
  <c r="V425" i="4"/>
  <c r="U425" i="4"/>
  <c r="AG209" i="4"/>
  <c r="AI209" i="4" s="1"/>
  <c r="AG424" i="4"/>
  <c r="R209" i="4"/>
  <c r="M210" i="4"/>
  <c r="Q210" i="4"/>
  <c r="V210" i="4"/>
  <c r="U210" i="4"/>
  <c r="P423" i="4" l="1"/>
  <c r="N208" i="4"/>
  <c r="O208" i="4"/>
  <c r="P208" i="4"/>
  <c r="I425" i="4"/>
  <c r="N423" i="4"/>
  <c r="O423" i="4"/>
  <c r="I210" i="4"/>
  <c r="L425" i="4"/>
  <c r="J425" i="4"/>
  <c r="K425" i="4"/>
  <c r="J210" i="4"/>
  <c r="K210" i="4"/>
  <c r="AJ209" i="4"/>
  <c r="P209" i="4" s="1"/>
  <c r="AG425" i="4"/>
  <c r="AK425" i="4" s="1"/>
  <c r="AF209" i="4"/>
  <c r="AD209" i="4"/>
  <c r="R425" i="4"/>
  <c r="AK209" i="4"/>
  <c r="Q426" i="4"/>
  <c r="M426" i="4"/>
  <c r="U426" i="4"/>
  <c r="V426" i="4"/>
  <c r="AE209" i="4"/>
  <c r="AJ424" i="4"/>
  <c r="AI424" i="4"/>
  <c r="AK424" i="4"/>
  <c r="AE424" i="4"/>
  <c r="AD424" i="4"/>
  <c r="AF424" i="4"/>
  <c r="R210" i="4"/>
  <c r="AG210" i="4"/>
  <c r="Q211" i="4"/>
  <c r="M211" i="4"/>
  <c r="U211" i="4"/>
  <c r="V211" i="4"/>
  <c r="P424" i="4" l="1"/>
  <c r="O209" i="4"/>
  <c r="N209" i="4"/>
  <c r="O424" i="4"/>
  <c r="N424" i="4"/>
  <c r="I426" i="4"/>
  <c r="I211" i="4"/>
  <c r="J426" i="4"/>
  <c r="L426" i="4"/>
  <c r="K426" i="4"/>
  <c r="K211" i="4"/>
  <c r="J211" i="4"/>
  <c r="AF425" i="4"/>
  <c r="AJ425" i="4"/>
  <c r="AI425" i="4"/>
  <c r="AE425" i="4"/>
  <c r="AD425" i="4"/>
  <c r="M427" i="4"/>
  <c r="Q427" i="4"/>
  <c r="U427" i="4"/>
  <c r="V427" i="4"/>
  <c r="AG426" i="4"/>
  <c r="R426" i="4"/>
  <c r="Q212" i="4"/>
  <c r="M212" i="4"/>
  <c r="V212" i="4"/>
  <c r="U212" i="4"/>
  <c r="AG211" i="4"/>
  <c r="R211" i="4"/>
  <c r="AJ210" i="4"/>
  <c r="AK210" i="4"/>
  <c r="AI210" i="4"/>
  <c r="AF210" i="4"/>
  <c r="AE210" i="4"/>
  <c r="AD210" i="4"/>
  <c r="N425" i="4" l="1"/>
  <c r="O425" i="4"/>
  <c r="P210" i="4"/>
  <c r="P425" i="4"/>
  <c r="O210" i="4"/>
  <c r="N210" i="4"/>
  <c r="I212" i="4"/>
  <c r="I427" i="4"/>
  <c r="K212" i="4"/>
  <c r="J212" i="4"/>
  <c r="J427" i="4"/>
  <c r="L427" i="4"/>
  <c r="K427" i="4"/>
  <c r="AG427" i="4"/>
  <c r="AK427" i="4" s="1"/>
  <c r="AJ426" i="4"/>
  <c r="AI426" i="4"/>
  <c r="AK426" i="4"/>
  <c r="AE426" i="4"/>
  <c r="AD426" i="4"/>
  <c r="AF426" i="4"/>
  <c r="R427" i="4"/>
  <c r="M428" i="4"/>
  <c r="Q428" i="4"/>
  <c r="V428" i="4"/>
  <c r="U428" i="4"/>
  <c r="R212" i="4"/>
  <c r="AG212" i="4"/>
  <c r="Q213" i="4"/>
  <c r="M213" i="4"/>
  <c r="V213" i="4"/>
  <c r="U213" i="4"/>
  <c r="AJ211" i="4"/>
  <c r="AI211" i="4"/>
  <c r="AK211" i="4"/>
  <c r="AD211" i="4"/>
  <c r="AF211" i="4"/>
  <c r="AE211" i="4"/>
  <c r="P211" i="4" l="1"/>
  <c r="I428" i="4"/>
  <c r="O428" i="4"/>
  <c r="N428" i="4"/>
  <c r="P428" i="4"/>
  <c r="P426" i="4"/>
  <c r="N211" i="4"/>
  <c r="O211" i="4"/>
  <c r="O426" i="4"/>
  <c r="N426" i="4"/>
  <c r="I213" i="4"/>
  <c r="K428" i="4"/>
  <c r="J428" i="4"/>
  <c r="L428" i="4"/>
  <c r="K213" i="4"/>
  <c r="J213" i="4"/>
  <c r="AJ427" i="4"/>
  <c r="AF427" i="4"/>
  <c r="AG428" i="4"/>
  <c r="AI428" i="4" s="1"/>
  <c r="AE427" i="4"/>
  <c r="AI427" i="4"/>
  <c r="AD427" i="4"/>
  <c r="R428" i="4"/>
  <c r="Q429" i="4"/>
  <c r="M429" i="4"/>
  <c r="V429" i="4"/>
  <c r="U429" i="4"/>
  <c r="AG213" i="4"/>
  <c r="AI213" i="4" s="1"/>
  <c r="AJ212" i="4"/>
  <c r="AK212" i="4"/>
  <c r="AI212" i="4"/>
  <c r="AE212" i="4"/>
  <c r="AF212" i="4"/>
  <c r="AD212" i="4"/>
  <c r="R213" i="4"/>
  <c r="M214" i="4"/>
  <c r="Q214" i="4"/>
  <c r="V214" i="4"/>
  <c r="U214" i="4"/>
  <c r="P427" i="4" l="1"/>
  <c r="O427" i="4"/>
  <c r="N427" i="4"/>
  <c r="N212" i="4"/>
  <c r="O212" i="4"/>
  <c r="I429" i="4"/>
  <c r="O429" i="4"/>
  <c r="N429" i="4"/>
  <c r="P429" i="4"/>
  <c r="P212" i="4"/>
  <c r="I214" i="4"/>
  <c r="J214" i="4"/>
  <c r="K214" i="4"/>
  <c r="L429" i="4"/>
  <c r="K429" i="4"/>
  <c r="J429" i="4"/>
  <c r="AK428" i="4"/>
  <c r="AF428" i="4"/>
  <c r="AE428" i="4"/>
  <c r="AK213" i="4"/>
  <c r="AE213" i="4"/>
  <c r="AD428" i="4"/>
  <c r="AJ428" i="4"/>
  <c r="R429" i="4"/>
  <c r="AD213" i="4"/>
  <c r="AJ213" i="4"/>
  <c r="AF213" i="4"/>
  <c r="M430" i="4"/>
  <c r="Q430" i="4"/>
  <c r="U430" i="4"/>
  <c r="V430" i="4"/>
  <c r="AG429" i="4"/>
  <c r="AG214" i="4"/>
  <c r="AJ214" i="4" s="1"/>
  <c r="R214" i="4"/>
  <c r="M215" i="4"/>
  <c r="Q215" i="4"/>
  <c r="V215" i="4"/>
  <c r="U215" i="4"/>
  <c r="O213" i="4" l="1"/>
  <c r="N213" i="4"/>
  <c r="I215" i="4"/>
  <c r="I430" i="4"/>
  <c r="N430" i="4"/>
  <c r="P430" i="4"/>
  <c r="O430" i="4"/>
  <c r="P213" i="4"/>
  <c r="L430" i="4"/>
  <c r="J430" i="4"/>
  <c r="K430" i="4"/>
  <c r="K215" i="4"/>
  <c r="J215" i="4"/>
  <c r="AG430" i="4"/>
  <c r="AI430" i="4" s="1"/>
  <c r="AD214" i="4"/>
  <c r="AI214" i="4"/>
  <c r="AK214" i="4"/>
  <c r="AF214" i="4"/>
  <c r="AE214" i="4"/>
  <c r="AJ429" i="4"/>
  <c r="AI429" i="4"/>
  <c r="AK429" i="4"/>
  <c r="AD429" i="4"/>
  <c r="AE429" i="4"/>
  <c r="AF429" i="4"/>
  <c r="R430" i="4"/>
  <c r="Q431" i="4"/>
  <c r="M431" i="4"/>
  <c r="U431" i="4"/>
  <c r="V431" i="4"/>
  <c r="AG215" i="4"/>
  <c r="R215" i="4"/>
  <c r="Q216" i="4"/>
  <c r="M216" i="4"/>
  <c r="V216" i="4"/>
  <c r="U216" i="4"/>
  <c r="P214" i="4" l="1"/>
  <c r="I431" i="4"/>
  <c r="P431" i="4"/>
  <c r="O431" i="4"/>
  <c r="N431" i="4"/>
  <c r="N214" i="4"/>
  <c r="O214" i="4"/>
  <c r="I216" i="4"/>
  <c r="K216" i="4"/>
  <c r="J216" i="4"/>
  <c r="K431" i="4"/>
  <c r="L431" i="4"/>
  <c r="J431" i="4"/>
  <c r="AK430" i="4"/>
  <c r="R431" i="4"/>
  <c r="AE430" i="4"/>
  <c r="AF430" i="4"/>
  <c r="AJ430" i="4"/>
  <c r="AD430" i="4"/>
  <c r="AG431" i="4"/>
  <c r="AK431" i="4" s="1"/>
  <c r="M432" i="4"/>
  <c r="Q432" i="4"/>
  <c r="V432" i="4"/>
  <c r="U432" i="4"/>
  <c r="R216" i="4"/>
  <c r="AJ215" i="4"/>
  <c r="AK215" i="4"/>
  <c r="AI215" i="4"/>
  <c r="AD215" i="4"/>
  <c r="AE215" i="4"/>
  <c r="AF215" i="4"/>
  <c r="M217" i="4"/>
  <c r="Q217" i="4"/>
  <c r="V217" i="4"/>
  <c r="U217" i="4"/>
  <c r="AG216" i="4"/>
  <c r="P215" i="4" l="1"/>
  <c r="O215" i="4"/>
  <c r="N215" i="4"/>
  <c r="I432" i="4"/>
  <c r="P432" i="4"/>
  <c r="O432" i="4"/>
  <c r="N432" i="4"/>
  <c r="I217" i="4"/>
  <c r="J432" i="4"/>
  <c r="K432" i="4"/>
  <c r="L432" i="4"/>
  <c r="K217" i="4"/>
  <c r="J217" i="4"/>
  <c r="AE431" i="4"/>
  <c r="AI431" i="4"/>
  <c r="AF431" i="4"/>
  <c r="AJ431" i="4"/>
  <c r="R432" i="4"/>
  <c r="AD431" i="4"/>
  <c r="AG432" i="4"/>
  <c r="R217" i="4"/>
  <c r="AG217" i="4"/>
  <c r="AJ217" i="4" s="1"/>
  <c r="AJ216" i="4"/>
  <c r="AK216" i="4"/>
  <c r="AI216" i="4"/>
  <c r="AE216" i="4"/>
  <c r="AF216" i="4"/>
  <c r="AD216" i="4"/>
  <c r="N216" i="4" l="1"/>
  <c r="O216" i="4"/>
  <c r="P216" i="4"/>
  <c r="AD217" i="4"/>
  <c r="AJ432" i="4"/>
  <c r="AK432" i="4"/>
  <c r="AI432" i="4"/>
  <c r="AE432" i="4"/>
  <c r="AF432" i="4"/>
  <c r="AD432" i="4"/>
  <c r="AK217" i="4"/>
  <c r="AE217" i="4"/>
  <c r="AI217" i="4"/>
  <c r="AF217" i="4"/>
  <c r="P217" i="4" l="1"/>
  <c r="O217" i="4"/>
  <c r="N217" i="4"/>
  <c r="I7" i="9" l="1"/>
</calcChain>
</file>

<file path=xl/sharedStrings.xml><?xml version="1.0" encoding="utf-8"?>
<sst xmlns="http://schemas.openxmlformats.org/spreadsheetml/2006/main" count="373" uniqueCount="267">
  <si>
    <t>2000年女児身長偏差計算表</t>
    <phoneticPr fontId="1"/>
  </si>
  <si>
    <t>2000年男児身長偏差計算表</t>
    <phoneticPr fontId="1"/>
  </si>
  <si>
    <t>mean</t>
    <phoneticPr fontId="1"/>
  </si>
  <si>
    <t>SD</t>
    <phoneticPr fontId="1"/>
  </si>
  <si>
    <t>y=ax+b</t>
  </si>
  <si>
    <t>male</t>
  </si>
  <si>
    <t>y=2.06*10^-3X^2-0.1166X+6.5273</t>
    <phoneticPr fontId="1"/>
  </si>
  <si>
    <t>101-140</t>
    <phoneticPr fontId="1"/>
  </si>
  <si>
    <t>140-149</t>
    <phoneticPr fontId="1"/>
  </si>
  <si>
    <t>149-184</t>
    <phoneticPr fontId="1"/>
  </si>
  <si>
    <t>149-171</t>
    <phoneticPr fontId="1"/>
  </si>
  <si>
    <t>female</t>
  </si>
  <si>
    <t>y=2.49*10^-3-0.1858x+9.0360</t>
    <phoneticPr fontId="1"/>
  </si>
  <si>
    <t>伊藤式</t>
    <rPh sb="0" eb="2">
      <t>イトウ</t>
    </rPh>
    <rPh sb="2" eb="3">
      <t>シキ</t>
    </rPh>
    <phoneticPr fontId="1"/>
  </si>
  <si>
    <t>村田式</t>
    <rPh sb="0" eb="2">
      <t>ムラタ</t>
    </rPh>
    <rPh sb="2" eb="3">
      <t>シキ</t>
    </rPh>
    <phoneticPr fontId="1"/>
  </si>
  <si>
    <t>L</t>
    <phoneticPr fontId="1"/>
  </si>
  <si>
    <t>male</t>
    <phoneticPr fontId="1"/>
  </si>
  <si>
    <t>female</t>
    <phoneticPr fontId="1"/>
  </si>
  <si>
    <t>S</t>
    <phoneticPr fontId="1"/>
  </si>
  <si>
    <t>M</t>
    <phoneticPr fontId="1"/>
  </si>
  <si>
    <t>No</t>
    <phoneticPr fontId="1"/>
  </si>
  <si>
    <t>名前</t>
    <rPh sb="0" eb="2">
      <t>ナマエ</t>
    </rPh>
    <phoneticPr fontId="1"/>
  </si>
  <si>
    <t>BMI</t>
    <phoneticPr fontId="1"/>
  </si>
  <si>
    <t>BMI-SDS</t>
    <phoneticPr fontId="1"/>
  </si>
  <si>
    <t>年</t>
    <rPh sb="0" eb="1">
      <t>ネン</t>
    </rPh>
    <phoneticPr fontId="1"/>
  </si>
  <si>
    <t>月</t>
    <rPh sb="0" eb="1">
      <t>ツキ</t>
    </rPh>
    <phoneticPr fontId="1"/>
  </si>
  <si>
    <t>L</t>
    <phoneticPr fontId="1"/>
  </si>
  <si>
    <t>M</t>
    <phoneticPr fontId="1"/>
  </si>
  <si>
    <t>S</t>
    <phoneticPr fontId="1"/>
  </si>
  <si>
    <t>月齢</t>
    <rPh sb="0" eb="2">
      <t>ゲツレイ</t>
    </rPh>
    <phoneticPr fontId="1"/>
  </si>
  <si>
    <t>身長SDS</t>
    <rPh sb="0" eb="2">
      <t>シンチョウ</t>
    </rPh>
    <phoneticPr fontId="1"/>
  </si>
  <si>
    <t>幼児</t>
    <rPh sb="0" eb="2">
      <t>ヨウジ</t>
    </rPh>
    <phoneticPr fontId="1"/>
  </si>
  <si>
    <t>男性</t>
    <rPh sb="0" eb="2">
      <t>ダンセイ</t>
    </rPh>
    <phoneticPr fontId="1"/>
  </si>
  <si>
    <t>学童</t>
    <rPh sb="0" eb="2">
      <t>ガクドウ</t>
    </rPh>
    <phoneticPr fontId="1"/>
  </si>
  <si>
    <t>女性</t>
    <rPh sb="0" eb="2">
      <t>ジョセイ</t>
    </rPh>
    <phoneticPr fontId="1"/>
  </si>
  <si>
    <t>BMI percentile</t>
    <phoneticPr fontId="1"/>
  </si>
  <si>
    <t>体重
(kg)</t>
    <rPh sb="0" eb="2">
      <t>タイジュウ</t>
    </rPh>
    <phoneticPr fontId="1"/>
  </si>
  <si>
    <t>身長
(cm)</t>
    <rPh sb="0" eb="2">
      <t>シンチョウ</t>
    </rPh>
    <phoneticPr fontId="1"/>
  </si>
  <si>
    <t>検査日
(YY/MM/DD)</t>
    <rPh sb="0" eb="2">
      <t>ケンサ</t>
    </rPh>
    <rPh sb="2" eb="3">
      <t>ヒ</t>
    </rPh>
    <phoneticPr fontId="1"/>
  </si>
  <si>
    <t>生年月日
(YY/MM/DD)</t>
    <rPh sb="0" eb="2">
      <t>セイネン</t>
    </rPh>
    <rPh sb="2" eb="4">
      <t>ガッピ</t>
    </rPh>
    <phoneticPr fontId="1"/>
  </si>
  <si>
    <t>性別
(M,F)</t>
    <rPh sb="0" eb="2">
      <t>セイベツ</t>
    </rPh>
    <phoneticPr fontId="1"/>
  </si>
  <si>
    <t>0-78</t>
    <phoneticPr fontId="1"/>
  </si>
  <si>
    <t>78-150</t>
    <phoneticPr fontId="1"/>
  </si>
  <si>
    <t>150-210</t>
    <phoneticPr fontId="1"/>
  </si>
  <si>
    <t>0-69</t>
    <phoneticPr fontId="1"/>
  </si>
  <si>
    <t>69-150</t>
    <phoneticPr fontId="1"/>
  </si>
  <si>
    <t>0-90</t>
    <phoneticPr fontId="1"/>
  </si>
  <si>
    <t>90-210</t>
    <phoneticPr fontId="1"/>
  </si>
  <si>
    <t>0-2.5</t>
    <phoneticPr fontId="1"/>
  </si>
  <si>
    <t>2.5-9.5</t>
    <phoneticPr fontId="1"/>
  </si>
  <si>
    <t>9.5-26.75</t>
    <phoneticPr fontId="1"/>
  </si>
  <si>
    <t>26.75-90</t>
    <phoneticPr fontId="1"/>
  </si>
  <si>
    <t>90-150</t>
    <phoneticPr fontId="1"/>
  </si>
  <si>
    <t>肥満度（性別年齢別身長別標準体重による）（％）</t>
    <rPh sb="0" eb="3">
      <t>ヒマンド</t>
    </rPh>
    <rPh sb="4" eb="6">
      <t>セイベツ</t>
    </rPh>
    <rPh sb="6" eb="8">
      <t>ネンレイ</t>
    </rPh>
    <rPh sb="8" eb="9">
      <t>ベツ</t>
    </rPh>
    <rPh sb="9" eb="11">
      <t>シンチョウ</t>
    </rPh>
    <rPh sb="11" eb="12">
      <t>ベツ</t>
    </rPh>
    <rPh sb="12" eb="14">
      <t>ヒョウジュン</t>
    </rPh>
    <rPh sb="14" eb="16">
      <t>タイジュウ</t>
    </rPh>
    <phoneticPr fontId="1"/>
  </si>
  <si>
    <t>肥満度（性別身長別標準体重による）（％）</t>
    <rPh sb="0" eb="3">
      <t>ヒマンド</t>
    </rPh>
    <rPh sb="4" eb="6">
      <t>セイベツ</t>
    </rPh>
    <rPh sb="6" eb="8">
      <t>シンチョウ</t>
    </rPh>
    <rPh sb="8" eb="9">
      <t>ベツ</t>
    </rPh>
    <rPh sb="9" eb="11">
      <t>ヒョウジュン</t>
    </rPh>
    <rPh sb="11" eb="13">
      <t>タイジュウ</t>
    </rPh>
    <phoneticPr fontId="1"/>
  </si>
  <si>
    <t>年齢</t>
    <rPh sb="0" eb="2">
      <t>ネンレイ</t>
    </rPh>
    <phoneticPr fontId="1"/>
  </si>
  <si>
    <t>幼児期標準体重</t>
    <rPh sb="0" eb="3">
      <t>ヨウジキ</t>
    </rPh>
    <rPh sb="3" eb="5">
      <t>ヒョウジュン</t>
    </rPh>
    <rPh sb="5" eb="7">
      <t>タイジュウ</t>
    </rPh>
    <phoneticPr fontId="1"/>
  </si>
  <si>
    <t>学童期標準体重</t>
    <rPh sb="0" eb="2">
      <t>ガクドウ</t>
    </rPh>
    <rPh sb="2" eb="3">
      <t>キ</t>
    </rPh>
    <rPh sb="3" eb="5">
      <t>ヒョウジュン</t>
    </rPh>
    <rPh sb="5" eb="7">
      <t>タイジュウ</t>
    </rPh>
    <phoneticPr fontId="1"/>
  </si>
  <si>
    <t>学童期</t>
    <rPh sb="0" eb="3">
      <t>ガクドウキ</t>
    </rPh>
    <phoneticPr fontId="1"/>
  </si>
  <si>
    <t>幼児期</t>
    <rPh sb="0" eb="3">
      <t>ヨウジキ</t>
    </rPh>
    <phoneticPr fontId="1"/>
  </si>
  <si>
    <t>年齢
(十進法)</t>
    <rPh sb="0" eb="2">
      <t>ネンレイ</t>
    </rPh>
    <rPh sb="4" eb="7">
      <t>ジュッシンホウ</t>
    </rPh>
    <phoneticPr fontId="1"/>
  </si>
  <si>
    <t>体格指数計算ファイル</t>
    <rPh sb="0" eb="2">
      <t>タイカク</t>
    </rPh>
    <rPh sb="2" eb="4">
      <t>シスウ</t>
    </rPh>
    <rPh sb="4" eb="6">
      <t>ケイサン</t>
    </rPh>
    <phoneticPr fontId="1"/>
  </si>
  <si>
    <t>使い方</t>
    <rPh sb="0" eb="1">
      <t>ツカ</t>
    </rPh>
    <rPh sb="2" eb="3">
      <t>カタ</t>
    </rPh>
    <phoneticPr fontId="1"/>
  </si>
  <si>
    <t>http://www.auxology.jp/</t>
    <phoneticPr fontId="1"/>
  </si>
  <si>
    <t>入力項目は「No」、「名前」、「性別」、「生年月日」、「検査日」、「身長」と「体重」からなります。このうち、体格指数の計算に必須な項目は「性別」、「生年月日」、「検査日」、「身長」と「体重」です。</t>
    <rPh sb="0" eb="2">
      <t>ニュウリョク</t>
    </rPh>
    <rPh sb="2" eb="4">
      <t>コウモク</t>
    </rPh>
    <rPh sb="11" eb="13">
      <t>ナマエ</t>
    </rPh>
    <rPh sb="16" eb="18">
      <t>セイベツ</t>
    </rPh>
    <rPh sb="21" eb="23">
      <t>セイネン</t>
    </rPh>
    <rPh sb="23" eb="25">
      <t>ガッピ</t>
    </rPh>
    <rPh sb="28" eb="31">
      <t>ケンサビ</t>
    </rPh>
    <rPh sb="34" eb="36">
      <t>シンチョウ</t>
    </rPh>
    <rPh sb="39" eb="41">
      <t>タイジュウ</t>
    </rPh>
    <rPh sb="54" eb="56">
      <t>タイカク</t>
    </rPh>
    <rPh sb="56" eb="58">
      <t>シスウ</t>
    </rPh>
    <rPh sb="59" eb="61">
      <t>ケイサン</t>
    </rPh>
    <rPh sb="62" eb="64">
      <t>ヒッス</t>
    </rPh>
    <rPh sb="65" eb="67">
      <t>コウモク</t>
    </rPh>
    <phoneticPr fontId="1"/>
  </si>
  <si>
    <t>入力項目</t>
    <rPh sb="0" eb="2">
      <t>ニュウリョク</t>
    </rPh>
    <rPh sb="2" eb="4">
      <t>コウモク</t>
    </rPh>
    <phoneticPr fontId="1"/>
  </si>
  <si>
    <t>性別</t>
    <rPh sb="0" eb="2">
      <t>セイベツ</t>
    </rPh>
    <phoneticPr fontId="1"/>
  </si>
  <si>
    <t>日付</t>
    <rPh sb="0" eb="2">
      <t>ヒヅケ</t>
    </rPh>
    <phoneticPr fontId="1"/>
  </si>
  <si>
    <t>計測値</t>
    <rPh sb="0" eb="3">
      <t>ケイソクチ</t>
    </rPh>
    <phoneticPr fontId="1"/>
  </si>
  <si>
    <t>「身長」と「体重」はそれぞれ、cm、kgで入力してください。</t>
    <rPh sb="21" eb="23">
      <t>ニュウリョク</t>
    </rPh>
    <phoneticPr fontId="1"/>
  </si>
  <si>
    <t>計算結果</t>
    <rPh sb="0" eb="2">
      <t>ケイサン</t>
    </rPh>
    <rPh sb="2" eb="4">
      <t>ケッカ</t>
    </rPh>
    <phoneticPr fontId="1"/>
  </si>
  <si>
    <t>年齢（十進法）</t>
    <rPh sb="0" eb="2">
      <t>ネンレイ</t>
    </rPh>
    <rPh sb="3" eb="6">
      <t>ジュッシンホウ</t>
    </rPh>
    <phoneticPr fontId="1"/>
  </si>
  <si>
    <t>計算から除外される場合</t>
    <rPh sb="0" eb="2">
      <t>ケイサン</t>
    </rPh>
    <rPh sb="4" eb="6">
      <t>ジョガイ</t>
    </rPh>
    <rPh sb="9" eb="11">
      <t>バアイ</t>
    </rPh>
    <phoneticPr fontId="1"/>
  </si>
  <si>
    <t>年齢では「1歳未満、17歳7か月以上」、身長では「幼児期の身長70cm未満、身長120cm以上」、および「学童期の肥満度（性別身長別標準体重による）では101cm未満、男児は181cm以上、女児は174cm以上」は標準体重を規定する範囲からはずれるため、「*」と表示されます。</t>
    <rPh sb="0" eb="2">
      <t>ネンレイ</t>
    </rPh>
    <rPh sb="6" eb="7">
      <t>サイ</t>
    </rPh>
    <rPh sb="7" eb="9">
      <t>ミマン</t>
    </rPh>
    <rPh sb="12" eb="13">
      <t>サイ</t>
    </rPh>
    <rPh sb="15" eb="16">
      <t>ゲツ</t>
    </rPh>
    <rPh sb="16" eb="18">
      <t>イジョウ</t>
    </rPh>
    <rPh sb="20" eb="22">
      <t>シンチョウ</t>
    </rPh>
    <rPh sb="25" eb="28">
      <t>ヨウジキ</t>
    </rPh>
    <rPh sb="29" eb="31">
      <t>シンチョウ</t>
    </rPh>
    <rPh sb="35" eb="37">
      <t>ミマン</t>
    </rPh>
    <rPh sb="38" eb="40">
      <t>シンチョウ</t>
    </rPh>
    <rPh sb="45" eb="47">
      <t>イジョウ</t>
    </rPh>
    <rPh sb="53" eb="56">
      <t>ガクドウキ</t>
    </rPh>
    <rPh sb="57" eb="60">
      <t>ヒマンド</t>
    </rPh>
    <rPh sb="61" eb="63">
      <t>セイベツ</t>
    </rPh>
    <rPh sb="63" eb="66">
      <t>シンチョウベツ</t>
    </rPh>
    <rPh sb="66" eb="70">
      <t>ヒョウジュンタイジュウ</t>
    </rPh>
    <rPh sb="81" eb="83">
      <t>ミマン</t>
    </rPh>
    <rPh sb="84" eb="86">
      <t>ダンジ</t>
    </rPh>
    <rPh sb="92" eb="94">
      <t>イジョウ</t>
    </rPh>
    <rPh sb="95" eb="97">
      <t>ジョジ</t>
    </rPh>
    <rPh sb="103" eb="105">
      <t>イジョウ</t>
    </rPh>
    <rPh sb="107" eb="111">
      <t>ヒョウジュンタイジュウ</t>
    </rPh>
    <rPh sb="112" eb="114">
      <t>キテイ</t>
    </rPh>
    <rPh sb="116" eb="118">
      <t>ハンイ</t>
    </rPh>
    <rPh sb="131" eb="133">
      <t>ヒョウジ</t>
    </rPh>
    <phoneticPr fontId="1"/>
  </si>
  <si>
    <t>肥満度</t>
    <rPh sb="0" eb="3">
      <t>ヒマンド</t>
    </rPh>
    <phoneticPr fontId="1"/>
  </si>
  <si>
    <t>年齢では「17歳7か月以上」で「*」と表示されます。</t>
    <rPh sb="0" eb="2">
      <t>ネンレイ</t>
    </rPh>
    <rPh sb="7" eb="8">
      <t>サイ</t>
    </rPh>
    <rPh sb="10" eb="11">
      <t>ゲツ</t>
    </rPh>
    <rPh sb="11" eb="13">
      <t>イジョウ</t>
    </rPh>
    <rPh sb="19" eb="21">
      <t>ヒョウジ</t>
    </rPh>
    <phoneticPr fontId="1"/>
  </si>
  <si>
    <t>計算結果のみを他のシート、あるいはファイルにコピーしたい場合</t>
    <rPh sb="0" eb="2">
      <t>ケイサン</t>
    </rPh>
    <rPh sb="2" eb="4">
      <t>ケッカ</t>
    </rPh>
    <rPh sb="7" eb="8">
      <t>タ</t>
    </rPh>
    <rPh sb="28" eb="30">
      <t>バアイ</t>
    </rPh>
    <phoneticPr fontId="1"/>
  </si>
  <si>
    <t>コピーしたい範囲を指定してください。
ペースとしたい場所にカーソルを移動させ、「貼り付け」－「形式を選択して貼り付け」で「値」を選択してから、「OK」してください。</t>
    <rPh sb="6" eb="8">
      <t>ハンイ</t>
    </rPh>
    <rPh sb="9" eb="11">
      <t>シテイ</t>
    </rPh>
    <rPh sb="26" eb="28">
      <t>バショ</t>
    </rPh>
    <rPh sb="34" eb="36">
      <t>イドウ</t>
    </rPh>
    <rPh sb="40" eb="41">
      <t>ハ</t>
    </rPh>
    <rPh sb="42" eb="43">
      <t>ツ</t>
    </rPh>
    <rPh sb="47" eb="49">
      <t>ケイシキ</t>
    </rPh>
    <rPh sb="50" eb="52">
      <t>センタク</t>
    </rPh>
    <rPh sb="54" eb="55">
      <t>ハ</t>
    </rPh>
    <rPh sb="56" eb="57">
      <t>ツ</t>
    </rPh>
    <rPh sb="61" eb="62">
      <t>アタイ</t>
    </rPh>
    <rPh sb="64" eb="66">
      <t>センタク</t>
    </rPh>
    <phoneticPr fontId="1"/>
  </si>
  <si>
    <t>シートの構成などを変更したい場合</t>
    <rPh sb="4" eb="6">
      <t>コウセイ</t>
    </rPh>
    <rPh sb="9" eb="11">
      <t>ヘンコウ</t>
    </rPh>
    <rPh sb="14" eb="16">
      <t>バアイ</t>
    </rPh>
    <phoneticPr fontId="1"/>
  </si>
  <si>
    <t>問い合わせ窓口</t>
    <rPh sb="0" eb="1">
      <t>ト</t>
    </rPh>
    <rPh sb="2" eb="3">
      <t>ア</t>
    </rPh>
    <rPh sb="5" eb="7">
      <t>マドグチ</t>
    </rPh>
    <phoneticPr fontId="1"/>
  </si>
  <si>
    <t>ファイルのversionの確認</t>
    <rPh sb="13" eb="15">
      <t>カクニン</t>
    </rPh>
    <phoneticPr fontId="1"/>
  </si>
  <si>
    <t>著作権</t>
    <rPh sb="0" eb="3">
      <t>チョサクケン</t>
    </rPh>
    <phoneticPr fontId="1"/>
  </si>
  <si>
    <t>日本成長学会雑誌 17(2):84-99,2011</t>
  </si>
  <si>
    <t>本ファイルの著作権は日本小児内分泌学会と日本成長学会にあります。</t>
    <rPh sb="0" eb="1">
      <t>ホン</t>
    </rPh>
    <rPh sb="6" eb="9">
      <t>チョサクケン</t>
    </rPh>
    <phoneticPr fontId="1"/>
  </si>
  <si>
    <t>本ファイルは学会の責任で制作しておりますので、改変して再配布することは禁止します。また改変を防ぐためにシートやブックにはパスワードをかけて保護しています。変更を希望される場合には「問い合わせ窓口」にご連絡ください。</t>
    <rPh sb="0" eb="1">
      <t>ホン</t>
    </rPh>
    <rPh sb="6" eb="8">
      <t>ガッカイ</t>
    </rPh>
    <rPh sb="9" eb="11">
      <t>セキニン</t>
    </rPh>
    <rPh sb="12" eb="14">
      <t>セイサク</t>
    </rPh>
    <rPh sb="23" eb="25">
      <t>カイヘン</t>
    </rPh>
    <rPh sb="27" eb="30">
      <t>サイハイフ</t>
    </rPh>
    <rPh sb="35" eb="37">
      <t>キンシ</t>
    </rPh>
    <rPh sb="43" eb="45">
      <t>カイヘン</t>
    </rPh>
    <rPh sb="46" eb="47">
      <t>フセ</t>
    </rPh>
    <rPh sb="69" eb="71">
      <t>ホゴ</t>
    </rPh>
    <rPh sb="77" eb="79">
      <t>ヘンコウ</t>
    </rPh>
    <rPh sb="80" eb="82">
      <t>キボウ</t>
    </rPh>
    <rPh sb="85" eb="87">
      <t>バアイ</t>
    </rPh>
    <rPh sb="100" eb="102">
      <t>レンラク</t>
    </rPh>
    <phoneticPr fontId="1"/>
  </si>
  <si>
    <t>本ファイルにおいてバグ等が見つかって、ファイルを修正する場合があります。ファイル名と本シート（readme）にはファイルのversionと作成日を記しますので、常にダウンロードされたホームページなどをご確認し、新しいファイルがアップロードされている場合には更新してご使用ください。</t>
    <rPh sb="0" eb="1">
      <t>ホン</t>
    </rPh>
    <rPh sb="11" eb="12">
      <t>トウ</t>
    </rPh>
    <rPh sb="13" eb="14">
      <t>ミ</t>
    </rPh>
    <rPh sb="24" eb="26">
      <t>シュウセイ</t>
    </rPh>
    <rPh sb="28" eb="30">
      <t>バアイ</t>
    </rPh>
    <rPh sb="40" eb="41">
      <t>メイ</t>
    </rPh>
    <rPh sb="42" eb="43">
      <t>ホン</t>
    </rPh>
    <rPh sb="73" eb="74">
      <t>シル</t>
    </rPh>
    <rPh sb="80" eb="81">
      <t>ツネ</t>
    </rPh>
    <rPh sb="101" eb="103">
      <t>カクニン</t>
    </rPh>
    <rPh sb="105" eb="106">
      <t>アタラ</t>
    </rPh>
    <rPh sb="124" eb="126">
      <t>バアイ</t>
    </rPh>
    <rPh sb="128" eb="130">
      <t>コウシン</t>
    </rPh>
    <rPh sb="133" eb="135">
      <t>シヨウ</t>
    </rPh>
    <phoneticPr fontId="1"/>
  </si>
  <si>
    <t>日本小児科学会雑誌115(10):1705-1709,2011</t>
    <phoneticPr fontId="1"/>
  </si>
  <si>
    <t>制作</t>
    <rPh sb="0" eb="2">
      <t>セイサク</t>
    </rPh>
    <phoneticPr fontId="1"/>
  </si>
  <si>
    <t>注意</t>
    <rPh sb="0" eb="2">
      <t>チュウイ</t>
    </rPh>
    <phoneticPr fontId="1"/>
  </si>
  <si>
    <t>仕様が変更されることがあります。ｖersionを確認してお使いください。</t>
    <rPh sb="0" eb="2">
      <t>シヨウ</t>
    </rPh>
    <rPh sb="3" eb="5">
      <t>ヘンコウ</t>
    </rPh>
    <rPh sb="24" eb="26">
      <t>カクニン</t>
    </rPh>
    <rPh sb="29" eb="30">
      <t>ツカ</t>
    </rPh>
    <phoneticPr fontId="1"/>
  </si>
  <si>
    <t>引用</t>
    <rPh sb="0" eb="2">
      <t>インヨウ</t>
    </rPh>
    <phoneticPr fontId="1"/>
  </si>
  <si>
    <t>文献等に引用する場合はそれぞれの投稿規定に従いますが、基本的にはダウンロー</t>
  </si>
  <si>
    <t>ドしたホームページのURLとダウンロードあるいはアクセスした日付を記述してください。</t>
    <phoneticPr fontId="1"/>
  </si>
  <si>
    <t>計算可能な人数</t>
    <rPh sb="0" eb="2">
      <t>ケイサン</t>
    </rPh>
    <rPh sb="2" eb="4">
      <t>カノウ</t>
    </rPh>
    <rPh sb="5" eb="7">
      <t>ニンズウ</t>
    </rPh>
    <phoneticPr fontId="1"/>
  </si>
  <si>
    <t>本ファイルは1000人分のデータ処理に対応します。それよりも多くのデータを処理する場合は個別にご相談に応じます。「問い合わせ窓口」にご連絡ください。</t>
    <rPh sb="0" eb="1">
      <t>ホン</t>
    </rPh>
    <rPh sb="10" eb="11">
      <t>ニン</t>
    </rPh>
    <rPh sb="11" eb="12">
      <t>ブン</t>
    </rPh>
    <rPh sb="16" eb="18">
      <t>ショリ</t>
    </rPh>
    <rPh sb="19" eb="21">
      <t>タイオウ</t>
    </rPh>
    <rPh sb="30" eb="31">
      <t>オオ</t>
    </rPh>
    <rPh sb="37" eb="39">
      <t>ショリ</t>
    </rPh>
    <rPh sb="41" eb="43">
      <t>バアイ</t>
    </rPh>
    <rPh sb="44" eb="46">
      <t>コベツ</t>
    </rPh>
    <rPh sb="48" eb="50">
      <t>ソウダン</t>
    </rPh>
    <rPh sb="51" eb="52">
      <t>オウ</t>
    </rPh>
    <rPh sb="57" eb="58">
      <t>ト</t>
    </rPh>
    <rPh sb="59" eb="60">
      <t>ア</t>
    </rPh>
    <rPh sb="62" eb="64">
      <t>マドグチ</t>
    </rPh>
    <rPh sb="67" eb="69">
      <t>レンラク</t>
    </rPh>
    <phoneticPr fontId="1"/>
  </si>
  <si>
    <t>成長学会　info@auxology.jp　　　日本小児内分泌学会事務局　jspe@ac-square.co.jp　</t>
    <rPh sb="0" eb="2">
      <t>セイチョウ</t>
    </rPh>
    <rPh sb="2" eb="4">
      <t>ガッカイ</t>
    </rPh>
    <rPh sb="24" eb="26">
      <t>ニホン</t>
    </rPh>
    <rPh sb="26" eb="28">
      <t>ショウニ</t>
    </rPh>
    <rPh sb="28" eb="31">
      <t>ナイブンピツ</t>
    </rPh>
    <rPh sb="31" eb="33">
      <t>ガッカイ</t>
    </rPh>
    <rPh sb="33" eb="36">
      <t>ジムキョク</t>
    </rPh>
    <phoneticPr fontId="1"/>
  </si>
  <si>
    <t>「生年月日」と「検査日」はMicrosoft Excelの日付入力形式に従ってください。すなわち「YY/MM/DD」という形式です。たとえば2011年11月1日は「2011/11/1」となります。</t>
    <rPh sb="29" eb="31">
      <t>ヒヅケ</t>
    </rPh>
    <rPh sb="31" eb="33">
      <t>ニュウリョク</t>
    </rPh>
    <rPh sb="33" eb="35">
      <t>ケイシキ</t>
    </rPh>
    <rPh sb="36" eb="37">
      <t>シタガ</t>
    </rPh>
    <rPh sb="61" eb="63">
      <t>ケイシキ</t>
    </rPh>
    <rPh sb="74" eb="75">
      <t>ネン</t>
    </rPh>
    <rPh sb="77" eb="78">
      <t>ガツ</t>
    </rPh>
    <rPh sb="79" eb="80">
      <t>ニチ</t>
    </rPh>
    <phoneticPr fontId="1"/>
  </si>
  <si>
    <t>男性は「M」で、女性は「F」で入力してください。いずれも半角で入力してください。全角の「Ｆ」は男性と認識されますので、ご注意ください。</t>
    <rPh sb="0" eb="2">
      <t>ダンセイ</t>
    </rPh>
    <rPh sb="8" eb="10">
      <t>ジョセイ</t>
    </rPh>
    <rPh sb="15" eb="17">
      <t>ニュウリョク</t>
    </rPh>
    <rPh sb="28" eb="30">
      <t>ハンカク</t>
    </rPh>
    <rPh sb="31" eb="33">
      <t>ニュウリョク</t>
    </rPh>
    <rPh sb="40" eb="42">
      <t>ゼンカク</t>
    </rPh>
    <rPh sb="47" eb="49">
      <t>ダンセイ</t>
    </rPh>
    <rPh sb="50" eb="52">
      <t>ニンシキ</t>
    </rPh>
    <rPh sb="60" eb="62">
      <t>チュウイ</t>
    </rPh>
    <phoneticPr fontId="1"/>
  </si>
  <si>
    <t>十進法年齢</t>
    <rPh sb="0" eb="3">
      <t>ジュッシンホウ</t>
    </rPh>
    <rPh sb="3" eb="5">
      <t>ネンレイ</t>
    </rPh>
    <phoneticPr fontId="1"/>
  </si>
  <si>
    <t>月齢範囲</t>
    <rPh sb="0" eb="2">
      <t>ゲツレイ</t>
    </rPh>
    <rPh sb="2" eb="4">
      <t>ハンイ</t>
    </rPh>
    <phoneticPr fontId="1"/>
  </si>
  <si>
    <t>45まで</t>
    <phoneticPr fontId="1"/>
  </si>
  <si>
    <t>45から</t>
    <phoneticPr fontId="1"/>
  </si>
  <si>
    <t>Male</t>
    <phoneticPr fontId="1"/>
  </si>
  <si>
    <t>l(fw)</t>
    <phoneticPr fontId="1"/>
  </si>
  <si>
    <t>s(fw)</t>
    <phoneticPr fontId="1"/>
  </si>
  <si>
    <t>m(fw)</t>
    <phoneticPr fontId="1"/>
  </si>
  <si>
    <t>0から</t>
    <phoneticPr fontId="1"/>
  </si>
  <si>
    <t>43.8まで</t>
    <phoneticPr fontId="1"/>
  </si>
  <si>
    <t>43.8から</t>
    <phoneticPr fontId="1"/>
  </si>
  <si>
    <t>123まで</t>
    <phoneticPr fontId="1"/>
  </si>
  <si>
    <t>123から</t>
    <phoneticPr fontId="1"/>
  </si>
  <si>
    <t>156まで</t>
    <phoneticPr fontId="1"/>
  </si>
  <si>
    <t>156から</t>
    <phoneticPr fontId="1"/>
  </si>
  <si>
    <t>186まで</t>
    <phoneticPr fontId="1"/>
  </si>
  <si>
    <t>186から</t>
    <phoneticPr fontId="1"/>
  </si>
  <si>
    <t>210まで</t>
    <phoneticPr fontId="1"/>
  </si>
  <si>
    <t>female</t>
    <phoneticPr fontId="1"/>
  </si>
  <si>
    <t>l(mw)</t>
    <phoneticPr fontId="1"/>
  </si>
  <si>
    <t>s(mw)</t>
    <phoneticPr fontId="1"/>
  </si>
  <si>
    <t>m(mw)</t>
    <phoneticPr fontId="1"/>
  </si>
  <si>
    <t>153まで</t>
    <phoneticPr fontId="1"/>
  </si>
  <si>
    <t>153から</t>
    <phoneticPr fontId="1"/>
  </si>
  <si>
    <t>162まで</t>
    <phoneticPr fontId="1"/>
  </si>
  <si>
    <t>162から</t>
    <phoneticPr fontId="1"/>
  </si>
  <si>
    <t>BMI percentile and SDS</t>
    <phoneticPr fontId="1"/>
  </si>
  <si>
    <t>Body Weight percentile and SDS</t>
    <phoneticPr fontId="1"/>
  </si>
  <si>
    <t>0-186</t>
    <phoneticPr fontId="1"/>
  </si>
  <si>
    <t>186-210</t>
    <phoneticPr fontId="1"/>
  </si>
  <si>
    <t>0-156</t>
    <phoneticPr fontId="1"/>
  </si>
  <si>
    <t>186-210</t>
    <phoneticPr fontId="1"/>
  </si>
  <si>
    <t>156-210</t>
    <phoneticPr fontId="1"/>
  </si>
  <si>
    <t>0-43.8</t>
    <phoneticPr fontId="1"/>
  </si>
  <si>
    <t>L</t>
    <phoneticPr fontId="1"/>
  </si>
  <si>
    <t>S1</t>
    <phoneticPr fontId="1"/>
  </si>
  <si>
    <t>S2</t>
    <phoneticPr fontId="1"/>
  </si>
  <si>
    <t>M1</t>
    <phoneticPr fontId="1"/>
  </si>
  <si>
    <t>M2</t>
    <phoneticPr fontId="1"/>
  </si>
  <si>
    <t>M3</t>
    <phoneticPr fontId="1"/>
  </si>
  <si>
    <t>L1</t>
    <phoneticPr fontId="1"/>
  </si>
  <si>
    <t>L2</t>
    <phoneticPr fontId="1"/>
  </si>
  <si>
    <t>S1</t>
    <phoneticPr fontId="1"/>
  </si>
  <si>
    <t>S2</t>
    <phoneticPr fontId="1"/>
  </si>
  <si>
    <t>M1</t>
    <phoneticPr fontId="1"/>
  </si>
  <si>
    <t>M2</t>
    <phoneticPr fontId="1"/>
  </si>
  <si>
    <t>M3</t>
    <phoneticPr fontId="1"/>
  </si>
  <si>
    <t>S3</t>
  </si>
  <si>
    <t>7乗</t>
    <rPh sb="1" eb="2">
      <t>ジョウ</t>
    </rPh>
    <phoneticPr fontId="1"/>
  </si>
  <si>
    <t>6乗</t>
    <rPh sb="1" eb="2">
      <t>ジョウ</t>
    </rPh>
    <phoneticPr fontId="1"/>
  </si>
  <si>
    <t>5乗</t>
    <rPh sb="1" eb="2">
      <t>ジョウ</t>
    </rPh>
    <phoneticPr fontId="1"/>
  </si>
  <si>
    <t>4乗</t>
    <rPh sb="1" eb="2">
      <t>ジョウ</t>
    </rPh>
    <phoneticPr fontId="1"/>
  </si>
  <si>
    <t>3乗</t>
    <rPh sb="1" eb="2">
      <t>ジョウ</t>
    </rPh>
    <phoneticPr fontId="1"/>
  </si>
  <si>
    <t>2乗</t>
    <rPh sb="1" eb="2">
      <t>ジョウ</t>
    </rPh>
    <phoneticPr fontId="1"/>
  </si>
  <si>
    <t>1乗</t>
    <rPh sb="1" eb="2">
      <t>ジョウ</t>
    </rPh>
    <phoneticPr fontId="1"/>
  </si>
  <si>
    <t>10乗</t>
    <rPh sb="2" eb="3">
      <t>ジョウ</t>
    </rPh>
    <phoneticPr fontId="1"/>
  </si>
  <si>
    <t>9乗</t>
    <rPh sb="1" eb="2">
      <t>ジョウ</t>
    </rPh>
    <phoneticPr fontId="1"/>
  </si>
  <si>
    <t>8乗</t>
    <rPh sb="1" eb="2">
      <t>ジョウ</t>
    </rPh>
    <phoneticPr fontId="1"/>
  </si>
  <si>
    <t>186-210</t>
    <phoneticPr fontId="1"/>
  </si>
  <si>
    <t>156-162</t>
    <phoneticPr fontId="1"/>
  </si>
  <si>
    <t>162-186</t>
    <phoneticPr fontId="1"/>
  </si>
  <si>
    <t>156-162</t>
    <phoneticPr fontId="1"/>
  </si>
  <si>
    <t>186-210</t>
    <phoneticPr fontId="1"/>
  </si>
  <si>
    <t>162-186</t>
    <phoneticPr fontId="1"/>
  </si>
  <si>
    <t>43.8-45</t>
    <phoneticPr fontId="1"/>
  </si>
  <si>
    <t>0-43.8</t>
    <phoneticPr fontId="1"/>
  </si>
  <si>
    <t>45-123</t>
    <phoneticPr fontId="1"/>
  </si>
  <si>
    <t>43.8-45</t>
    <phoneticPr fontId="1"/>
  </si>
  <si>
    <t>45-123</t>
    <phoneticPr fontId="1"/>
  </si>
  <si>
    <t>123-156</t>
    <phoneticPr fontId="1"/>
  </si>
  <si>
    <t>weight</t>
    <phoneticPr fontId="1"/>
  </si>
  <si>
    <t>moage</t>
    <phoneticPr fontId="1"/>
  </si>
  <si>
    <t>constant</t>
    <phoneticPr fontId="1"/>
  </si>
  <si>
    <t>male M</t>
    <phoneticPr fontId="1"/>
  </si>
  <si>
    <t>female M</t>
    <phoneticPr fontId="1"/>
  </si>
  <si>
    <t>male S</t>
    <phoneticPr fontId="1"/>
  </si>
  <si>
    <t>female S</t>
    <phoneticPr fontId="1"/>
  </si>
  <si>
    <t>123-186</t>
    <phoneticPr fontId="1"/>
  </si>
  <si>
    <t>186-210</t>
    <phoneticPr fontId="1"/>
  </si>
  <si>
    <t>male L</t>
    <phoneticPr fontId="1"/>
  </si>
  <si>
    <t>female L</t>
    <phoneticPr fontId="1"/>
  </si>
  <si>
    <t>性</t>
    <rPh sb="0" eb="1">
      <t>セイ</t>
    </rPh>
    <phoneticPr fontId="1"/>
  </si>
  <si>
    <t>生年月日</t>
    <rPh sb="0" eb="2">
      <t>セイネン</t>
    </rPh>
    <rPh sb="2" eb="4">
      <t>ガッピ</t>
    </rPh>
    <phoneticPr fontId="1"/>
  </si>
  <si>
    <t>体重SDS</t>
    <rPh sb="0" eb="2">
      <t>タイジュウ</t>
    </rPh>
    <phoneticPr fontId="1"/>
  </si>
  <si>
    <t>month</t>
    <phoneticPr fontId="1"/>
  </si>
  <si>
    <t>year</t>
    <phoneticPr fontId="1"/>
  </si>
  <si>
    <t>小児慢性疾病意見書用計算式</t>
    <rPh sb="0" eb="2">
      <t>ショウニ</t>
    </rPh>
    <rPh sb="2" eb="4">
      <t>マンセイ</t>
    </rPh>
    <rPh sb="4" eb="6">
      <t>シッペイ</t>
    </rPh>
    <rPh sb="6" eb="9">
      <t>イケンショ</t>
    </rPh>
    <rPh sb="9" eb="10">
      <t>ヨウ</t>
    </rPh>
    <rPh sb="10" eb="12">
      <t>ケイサン</t>
    </rPh>
    <rPh sb="12" eb="13">
      <t>シキ</t>
    </rPh>
    <phoneticPr fontId="1"/>
  </si>
  <si>
    <t>months</t>
    <phoneticPr fontId="1"/>
  </si>
  <si>
    <t>M</t>
    <phoneticPr fontId="1"/>
  </si>
  <si>
    <t>F</t>
    <phoneticPr fontId="1"/>
  </si>
  <si>
    <t>伊藤式：性別身長別標準体重による</t>
    <rPh sb="0" eb="2">
      <t>イトウ</t>
    </rPh>
    <rPh sb="2" eb="3">
      <t>シキ</t>
    </rPh>
    <rPh sb="4" eb="6">
      <t>セイベツ</t>
    </rPh>
    <phoneticPr fontId="1"/>
  </si>
  <si>
    <t>肥満度計算</t>
    <rPh sb="0" eb="3">
      <t>ヒマンド</t>
    </rPh>
    <rPh sb="3" eb="5">
      <t>ケイサン</t>
    </rPh>
    <phoneticPr fontId="1"/>
  </si>
  <si>
    <t>村田式：性別年齢別身長別標準体重による</t>
    <rPh sb="0" eb="2">
      <t>ムラタ</t>
    </rPh>
    <rPh sb="2" eb="3">
      <t>シキ</t>
    </rPh>
    <phoneticPr fontId="1"/>
  </si>
  <si>
    <t>本委員会で提言した体格指数(身長SDS、肥満度、BMIパーセンタイルとBMI-SDS）を上記入力項目を参照することにより計算しています。またBW-SDSも算出できます。</t>
    <rPh sb="0" eb="1">
      <t>ホン</t>
    </rPh>
    <rPh sb="1" eb="4">
      <t>イインカイ</t>
    </rPh>
    <rPh sb="5" eb="7">
      <t>テイゲン</t>
    </rPh>
    <rPh sb="9" eb="11">
      <t>タイカク</t>
    </rPh>
    <rPh sb="11" eb="13">
      <t>シスウ</t>
    </rPh>
    <rPh sb="14" eb="16">
      <t>シンチョウ</t>
    </rPh>
    <rPh sb="20" eb="23">
      <t>ヒマンド</t>
    </rPh>
    <rPh sb="44" eb="46">
      <t>ジョウキ</t>
    </rPh>
    <rPh sb="46" eb="48">
      <t>ニュウリョク</t>
    </rPh>
    <rPh sb="48" eb="50">
      <t>コウモク</t>
    </rPh>
    <rPh sb="51" eb="53">
      <t>サンショウ</t>
    </rPh>
    <rPh sb="60" eb="62">
      <t>ケイサン</t>
    </rPh>
    <rPh sb="77" eb="79">
      <t>サンシュツ</t>
    </rPh>
    <phoneticPr fontId="1"/>
  </si>
  <si>
    <t>日本小児内分泌学会・日本成長学会合同標準値委員会</t>
    <rPh sb="0" eb="2">
      <t>ニホン</t>
    </rPh>
    <rPh sb="2" eb="4">
      <t>ショウニ</t>
    </rPh>
    <rPh sb="4" eb="7">
      <t>ナイブンピツ</t>
    </rPh>
    <rPh sb="7" eb="9">
      <t>ガッカイ</t>
    </rPh>
    <rPh sb="10" eb="12">
      <t>ニホン</t>
    </rPh>
    <rPh sb="12" eb="14">
      <t>セイチョウ</t>
    </rPh>
    <rPh sb="14" eb="16">
      <t>ガッカイ</t>
    </rPh>
    <rPh sb="16" eb="18">
      <t>ゴウドウ</t>
    </rPh>
    <rPh sb="18" eb="21">
      <t>ヒョウジュンチ</t>
    </rPh>
    <rPh sb="21" eb="24">
      <t>イインカイ</t>
    </rPh>
    <phoneticPr fontId="1"/>
  </si>
  <si>
    <t>制作責任者：伊藤善也</t>
    <rPh sb="0" eb="2">
      <t>セイサク</t>
    </rPh>
    <rPh sb="2" eb="5">
      <t>セキニンシャ</t>
    </rPh>
    <rPh sb="6" eb="10">
      <t>イトウ</t>
    </rPh>
    <phoneticPr fontId="1"/>
  </si>
  <si>
    <t>　田中敏章、横谷進、加藤則子、伊藤善也、立花克彦、杉原茂孝、長谷川奉延、大関武彦、村田光範　</t>
    <rPh sb="1" eb="3">
      <t>タナカ</t>
    </rPh>
    <rPh sb="3" eb="5">
      <t>トシアキ</t>
    </rPh>
    <rPh sb="6" eb="8">
      <t>ヨコヤ</t>
    </rPh>
    <rPh sb="8" eb="9">
      <t>ススム</t>
    </rPh>
    <rPh sb="10" eb="12">
      <t>カトウ</t>
    </rPh>
    <rPh sb="12" eb="14">
      <t>ノリコ</t>
    </rPh>
    <rPh sb="15" eb="19">
      <t>イトウ</t>
    </rPh>
    <rPh sb="20" eb="22">
      <t>タチバナ</t>
    </rPh>
    <rPh sb="22" eb="24">
      <t>カツヒコ</t>
    </rPh>
    <rPh sb="25" eb="27">
      <t>スギハラ</t>
    </rPh>
    <rPh sb="27" eb="29">
      <t>シゲタカ</t>
    </rPh>
    <rPh sb="30" eb="33">
      <t>ハセガワ</t>
    </rPh>
    <rPh sb="33" eb="34">
      <t>ミツグ</t>
    </rPh>
    <rPh sb="34" eb="35">
      <t>ススム</t>
    </rPh>
    <rPh sb="36" eb="38">
      <t>オオゼキ</t>
    </rPh>
    <rPh sb="38" eb="40">
      <t>タケヒコ</t>
    </rPh>
    <rPh sb="41" eb="43">
      <t>ムラタ</t>
    </rPh>
    <rPh sb="43" eb="44">
      <t>ヒカリ</t>
    </rPh>
    <phoneticPr fontId="1"/>
  </si>
  <si>
    <t>制作支援：日本小児内分泌学会　　磯島豪、神崎晋、緒方勤</t>
    <rPh sb="0" eb="2">
      <t>セイサク</t>
    </rPh>
    <rPh sb="2" eb="4">
      <t>シエン</t>
    </rPh>
    <rPh sb="5" eb="7">
      <t>ニホン</t>
    </rPh>
    <rPh sb="7" eb="9">
      <t>ショウニ</t>
    </rPh>
    <rPh sb="9" eb="12">
      <t>ナイブンピツ</t>
    </rPh>
    <rPh sb="12" eb="14">
      <t>ガッカイ</t>
    </rPh>
    <phoneticPr fontId="1"/>
  </si>
  <si>
    <t>たとえば　　　日本小児内分泌学会・日本成長学会合同標準値委員会：http://jspe.umin.jp/taikakushisuv3.xlsx　（最終アクセス日：2016年4月1日）　　　です。</t>
    <phoneticPr fontId="1"/>
  </si>
  <si>
    <t>身長　cm</t>
    <rPh sb="0" eb="2">
      <t>シンチョウ</t>
    </rPh>
    <phoneticPr fontId="1"/>
  </si>
  <si>
    <t>体重　kg</t>
    <rPh sb="0" eb="2">
      <t>タイジュウ</t>
    </rPh>
    <phoneticPr fontId="1"/>
  </si>
  <si>
    <t>年齢 (十進法) 歳</t>
    <rPh sb="0" eb="2">
      <t>ネンレイ</t>
    </rPh>
    <rPh sb="4" eb="7">
      <t>ジュッシンホウ</t>
    </rPh>
    <rPh sb="9" eb="10">
      <t>サイ</t>
    </rPh>
    <phoneticPr fontId="1"/>
  </si>
  <si>
    <t>肥満度（幼児期）　％</t>
    <rPh sb="0" eb="3">
      <t>ヒマンド</t>
    </rPh>
    <rPh sb="4" eb="7">
      <t>ヨウジキ</t>
    </rPh>
    <phoneticPr fontId="1"/>
  </si>
  <si>
    <t>肥満度（村田式）　％</t>
    <rPh sb="0" eb="3">
      <t>ヒマンド</t>
    </rPh>
    <rPh sb="4" eb="6">
      <t>ムラタ</t>
    </rPh>
    <rPh sb="6" eb="7">
      <t>シキ</t>
    </rPh>
    <phoneticPr fontId="1"/>
  </si>
  <si>
    <t>肥満度（伊藤式）　％</t>
    <rPh sb="0" eb="3">
      <t>ヒマンド</t>
    </rPh>
    <rPh sb="4" eb="6">
      <t>イトウ</t>
    </rPh>
    <rPh sb="6" eb="7">
      <t>シキ</t>
    </rPh>
    <phoneticPr fontId="1"/>
  </si>
  <si>
    <t>BMI</t>
    <phoneticPr fontId="1"/>
  </si>
  <si>
    <t>BMI percentile</t>
    <phoneticPr fontId="1"/>
  </si>
  <si>
    <t>BMI-SDS</t>
    <phoneticPr fontId="1"/>
  </si>
  <si>
    <t>「歳」と「月」でも年齢を表示します。この場合の「月」は日常的に用いる方法で求めています。すなわち、１か月の日数とは関係なく、表示します。たとえば2月1日から3月1日は1か月経過したと判断します。v2までは日数を30.4375で除していたため、上記は１か月に満たないと判断していました。</t>
    <rPh sb="1" eb="2">
      <t>サイ</t>
    </rPh>
    <rPh sb="5" eb="6">
      <t>ツキ</t>
    </rPh>
    <rPh sb="9" eb="11">
      <t>ネンレイ</t>
    </rPh>
    <rPh sb="12" eb="14">
      <t>ヒョウジ</t>
    </rPh>
    <rPh sb="20" eb="22">
      <t>バアイ</t>
    </rPh>
    <rPh sb="24" eb="25">
      <t>ツキ</t>
    </rPh>
    <rPh sb="27" eb="29">
      <t>ニチジョウ</t>
    </rPh>
    <rPh sb="29" eb="30">
      <t>テキ</t>
    </rPh>
    <rPh sb="31" eb="32">
      <t>モチ</t>
    </rPh>
    <rPh sb="34" eb="36">
      <t>ホウホウ</t>
    </rPh>
    <rPh sb="37" eb="38">
      <t>モト</t>
    </rPh>
    <rPh sb="51" eb="52">
      <t>ゲツ</t>
    </rPh>
    <rPh sb="53" eb="55">
      <t>ニッスウ</t>
    </rPh>
    <rPh sb="57" eb="59">
      <t>カンケイ</t>
    </rPh>
    <rPh sb="62" eb="64">
      <t>ヒョウジ</t>
    </rPh>
    <rPh sb="73" eb="74">
      <t>ガツ</t>
    </rPh>
    <rPh sb="75" eb="76">
      <t>ニチ</t>
    </rPh>
    <rPh sb="79" eb="80">
      <t>ガツ</t>
    </rPh>
    <rPh sb="81" eb="82">
      <t>ニチ</t>
    </rPh>
    <rPh sb="85" eb="86">
      <t>ゲツ</t>
    </rPh>
    <rPh sb="86" eb="88">
      <t>ケイカ</t>
    </rPh>
    <rPh sb="91" eb="93">
      <t>ハンダン</t>
    </rPh>
    <rPh sb="102" eb="104">
      <t>ニッスウ</t>
    </rPh>
    <rPh sb="113" eb="114">
      <t>ジョ</t>
    </rPh>
    <rPh sb="121" eb="123">
      <t>ジョウキ</t>
    </rPh>
    <rPh sb="126" eb="127">
      <t>ゲツ</t>
    </rPh>
    <rPh sb="128" eb="129">
      <t>ミ</t>
    </rPh>
    <rPh sb="133" eb="135">
      <t>ハンダン</t>
    </rPh>
    <phoneticPr fontId="1"/>
  </si>
  <si>
    <t>BMIおよび体重のパーセンタイルおよびSDS</t>
    <rPh sb="6" eb="8">
      <t>タイジュウ</t>
    </rPh>
    <phoneticPr fontId="1"/>
  </si>
  <si>
    <t>年齢はMicrosoft Excelの日付（シリアル値）に基づいて計算しています。最初に年齢を整数で求めます。そして誕生日からの日数をシリアル値から求めて365(閏日がその期間にあれば366)で除します。整数に除した結果を加算して十進法での年齢とします。なお、表示桁数は小数点４桁として、表示される年齢が繰り上がらないようにしました。</t>
    <rPh sb="0" eb="2">
      <t>ネンレイ</t>
    </rPh>
    <rPh sb="19" eb="21">
      <t>ヒヅケ</t>
    </rPh>
    <rPh sb="26" eb="27">
      <t>アタイ</t>
    </rPh>
    <rPh sb="29" eb="30">
      <t>モト</t>
    </rPh>
    <rPh sb="33" eb="35">
      <t>ケイサン</t>
    </rPh>
    <rPh sb="41" eb="43">
      <t>サイショ</t>
    </rPh>
    <rPh sb="44" eb="46">
      <t>ネンレイ</t>
    </rPh>
    <rPh sb="47" eb="49">
      <t>セイスウ</t>
    </rPh>
    <rPh sb="50" eb="51">
      <t>モト</t>
    </rPh>
    <rPh sb="58" eb="61">
      <t>タンジョウビ</t>
    </rPh>
    <rPh sb="64" eb="66">
      <t>ニッスウ</t>
    </rPh>
    <rPh sb="71" eb="72">
      <t>チ</t>
    </rPh>
    <rPh sb="74" eb="75">
      <t>モト</t>
    </rPh>
    <rPh sb="81" eb="82">
      <t>ウルウ</t>
    </rPh>
    <rPh sb="82" eb="83">
      <t>ビ</t>
    </rPh>
    <rPh sb="86" eb="88">
      <t>キカン</t>
    </rPh>
    <rPh sb="97" eb="98">
      <t>ジョ</t>
    </rPh>
    <rPh sb="102" eb="104">
      <t>セイスウ</t>
    </rPh>
    <rPh sb="105" eb="106">
      <t>ジョ</t>
    </rPh>
    <rPh sb="108" eb="110">
      <t>ケッカ</t>
    </rPh>
    <rPh sb="111" eb="113">
      <t>カサン</t>
    </rPh>
    <rPh sb="115" eb="118">
      <t>ジュッシンホウ</t>
    </rPh>
    <rPh sb="120" eb="122">
      <t>ネンレイ</t>
    </rPh>
    <rPh sb="130" eb="132">
      <t>ヒョウジ</t>
    </rPh>
    <rPh sb="132" eb="134">
      <t>ケタスウ</t>
    </rPh>
    <rPh sb="135" eb="138">
      <t>ショウスウテン</t>
    </rPh>
    <rPh sb="139" eb="140">
      <t>ケタ</t>
    </rPh>
    <rPh sb="144" eb="146">
      <t>ヒョウジ</t>
    </rPh>
    <rPh sb="149" eb="151">
      <t>ネンレイ</t>
    </rPh>
    <rPh sb="152" eb="153">
      <t>ク</t>
    </rPh>
    <rPh sb="154" eb="155">
      <t>ア</t>
    </rPh>
    <phoneticPr fontId="1"/>
  </si>
  <si>
    <t>成長率SDS</t>
    <rPh sb="0" eb="3">
      <t>セイチョウリツ</t>
    </rPh>
    <phoneticPr fontId="1"/>
  </si>
  <si>
    <t>No</t>
    <phoneticPr fontId="1"/>
  </si>
  <si>
    <t>L</t>
    <phoneticPr fontId="1"/>
  </si>
  <si>
    <t>M</t>
    <phoneticPr fontId="1"/>
  </si>
  <si>
    <t>S</t>
    <phoneticPr fontId="1"/>
  </si>
  <si>
    <t>IGF-I</t>
    <phoneticPr fontId="1"/>
  </si>
  <si>
    <t>BMI</t>
    <phoneticPr fontId="1"/>
  </si>
  <si>
    <t>BMI %ile</t>
    <phoneticPr fontId="1"/>
  </si>
  <si>
    <t>BMI-SDS</t>
    <phoneticPr fontId="1"/>
  </si>
  <si>
    <t>IGF-I
%ile</t>
    <phoneticPr fontId="1"/>
  </si>
  <si>
    <t>IGF-I
SDS</t>
    <phoneticPr fontId="1"/>
  </si>
  <si>
    <r>
      <rPr>
        <sz val="9"/>
        <color theme="1"/>
        <rFont val="ＭＳ 明朝"/>
        <family val="1"/>
        <charset val="128"/>
      </rPr>
      <t>表</t>
    </r>
    <r>
      <rPr>
        <sz val="9"/>
        <color theme="1"/>
        <rFont val="Century"/>
        <family val="1"/>
      </rPr>
      <t xml:space="preserve">1a. </t>
    </r>
    <r>
      <rPr>
        <sz val="9"/>
        <color theme="1"/>
        <rFont val="ＭＳ 明朝"/>
        <family val="1"/>
        <charset val="128"/>
      </rPr>
      <t>日本人男性の各年齢における血中</t>
    </r>
    <r>
      <rPr>
        <sz val="9"/>
        <color theme="1"/>
        <rFont val="Century"/>
        <family val="1"/>
      </rPr>
      <t>IGF-I</t>
    </r>
    <r>
      <rPr>
        <sz val="9"/>
        <color theme="1"/>
        <rFont val="ＭＳ 明朝"/>
        <family val="1"/>
        <charset val="128"/>
      </rPr>
      <t>濃度の</t>
    </r>
    <r>
      <rPr>
        <sz val="9"/>
        <color theme="1"/>
        <rFont val="Century"/>
        <family val="1"/>
      </rPr>
      <t>L,M,S</t>
    </r>
    <r>
      <rPr>
        <sz val="9"/>
        <color theme="1"/>
        <rFont val="ＭＳ 明朝"/>
        <family val="1"/>
        <charset val="128"/>
      </rPr>
      <t>値と</t>
    </r>
    <r>
      <rPr>
        <sz val="9"/>
        <color theme="1"/>
        <rFont val="Century"/>
        <family val="1"/>
      </rPr>
      <t>±2SD</t>
    </r>
    <r>
      <rPr>
        <sz val="9"/>
        <color theme="1"/>
        <rFont val="ＭＳ 明朝"/>
        <family val="1"/>
        <charset val="128"/>
      </rPr>
      <t>、</t>
    </r>
    <r>
      <rPr>
        <sz val="9"/>
        <color theme="1"/>
        <rFont val="Century"/>
        <family val="1"/>
      </rPr>
      <t>±1SD</t>
    </r>
    <r>
      <rPr>
        <sz val="9"/>
        <color theme="1"/>
        <rFont val="ＭＳ 明朝"/>
        <family val="1"/>
        <charset val="128"/>
      </rPr>
      <t>および中央値</t>
    </r>
    <rPh sb="8" eb="10">
      <t>ダンセイ</t>
    </rPh>
    <phoneticPr fontId="7"/>
  </si>
  <si>
    <r>
      <t>表</t>
    </r>
    <r>
      <rPr>
        <sz val="9"/>
        <color theme="1"/>
        <rFont val="Century"/>
        <family val="1"/>
      </rPr>
      <t xml:space="preserve">1b. </t>
    </r>
    <r>
      <rPr>
        <sz val="9"/>
        <color theme="1"/>
        <rFont val="ＭＳ 明朝"/>
        <family val="1"/>
        <charset val="128"/>
      </rPr>
      <t>日本人女性の各年齢における血中</t>
    </r>
    <r>
      <rPr>
        <sz val="9"/>
        <color theme="1"/>
        <rFont val="Century"/>
        <family val="1"/>
      </rPr>
      <t>IGF-I</t>
    </r>
    <r>
      <rPr>
        <sz val="9"/>
        <color theme="1"/>
        <rFont val="ＭＳ 明朝"/>
        <family val="1"/>
        <charset val="128"/>
      </rPr>
      <t>濃度の</t>
    </r>
    <r>
      <rPr>
        <sz val="9"/>
        <color theme="1"/>
        <rFont val="Century"/>
        <family val="1"/>
      </rPr>
      <t>L,M,S</t>
    </r>
    <r>
      <rPr>
        <sz val="9"/>
        <color theme="1"/>
        <rFont val="ＭＳ 明朝"/>
        <family val="1"/>
        <charset val="128"/>
      </rPr>
      <t>値と±</t>
    </r>
    <r>
      <rPr>
        <sz val="9"/>
        <color theme="1"/>
        <rFont val="Century"/>
        <family val="1"/>
      </rPr>
      <t>2SD</t>
    </r>
    <r>
      <rPr>
        <sz val="9"/>
        <color theme="1"/>
        <rFont val="ＭＳ 明朝"/>
        <family val="1"/>
        <charset val="128"/>
      </rPr>
      <t>、±</t>
    </r>
    <r>
      <rPr>
        <sz val="9"/>
        <color theme="1"/>
        <rFont val="Century"/>
        <family val="1"/>
      </rPr>
      <t>1SD</t>
    </r>
    <r>
      <rPr>
        <sz val="9"/>
        <color theme="1"/>
        <rFont val="ＭＳ 明朝"/>
        <family val="1"/>
        <charset val="128"/>
      </rPr>
      <t>および中央値</t>
    </r>
    <phoneticPr fontId="7"/>
  </si>
  <si>
    <r>
      <t>年齢</t>
    </r>
    <r>
      <rPr>
        <sz val="9"/>
        <color theme="1"/>
        <rFont val="Century"/>
        <family val="1"/>
      </rPr>
      <t>(</t>
    </r>
    <r>
      <rPr>
        <sz val="9"/>
        <color theme="1"/>
        <rFont val="ＭＳ 明朝"/>
        <family val="1"/>
        <charset val="128"/>
      </rPr>
      <t>歳</t>
    </r>
    <r>
      <rPr>
        <sz val="9"/>
        <color theme="1"/>
        <rFont val="Century"/>
        <family val="1"/>
      </rPr>
      <t>)</t>
    </r>
  </si>
  <si>
    <t>L</t>
  </si>
  <si>
    <t>M</t>
  </si>
  <si>
    <t>S</t>
  </si>
  <si>
    <t>-2SD</t>
  </si>
  <si>
    <t>-1SD</t>
  </si>
  <si>
    <t>中央値</t>
  </si>
  <si>
    <r>
      <t>＋</t>
    </r>
    <r>
      <rPr>
        <sz val="11"/>
        <color theme="1"/>
        <rFont val="Century"/>
        <family val="1"/>
      </rPr>
      <t>1SD</t>
    </r>
  </si>
  <si>
    <r>
      <t>＋</t>
    </r>
    <r>
      <rPr>
        <sz val="11"/>
        <color theme="1"/>
        <rFont val="Century"/>
        <family val="1"/>
      </rPr>
      <t>2SD</t>
    </r>
  </si>
  <si>
    <t>+1SD</t>
  </si>
  <si>
    <t>+2SD</t>
  </si>
  <si>
    <t>BMI</t>
    <phoneticPr fontId="1"/>
  </si>
  <si>
    <t>１９９０年男児成長率ＳＤ計算表</t>
    <rPh sb="7" eb="10">
      <t>セイチョウリツ</t>
    </rPh>
    <phoneticPr fontId="1"/>
  </si>
  <si>
    <t>１９９０年女児成長率ＳＤ計算表</t>
    <rPh sb="5" eb="7">
      <t>ジョジ</t>
    </rPh>
    <rPh sb="7" eb="10">
      <t>セイチョウリツ</t>
    </rPh>
    <phoneticPr fontId="1"/>
  </si>
  <si>
    <t>成長率計算列</t>
    <rPh sb="0" eb="3">
      <t>セイチョウリツ</t>
    </rPh>
    <rPh sb="3" eb="5">
      <t>ケイサン</t>
    </rPh>
    <rPh sb="5" eb="6">
      <t>レツ</t>
    </rPh>
    <phoneticPr fontId="1"/>
  </si>
  <si>
    <t>成長率 cm/年</t>
    <rPh sb="0" eb="3">
      <t>セイチョウリツ</t>
    </rPh>
    <rPh sb="7" eb="8">
      <t>ネン</t>
    </rPh>
    <phoneticPr fontId="1"/>
  </si>
  <si>
    <t>成長率
SDS</t>
    <rPh sb="0" eb="3">
      <t>セイチョウリツ</t>
    </rPh>
    <phoneticPr fontId="1"/>
  </si>
  <si>
    <r>
      <t>成長率</t>
    </r>
    <r>
      <rPr>
        <sz val="10"/>
        <rFont val="ＭＳ Ｐゴシック"/>
        <family val="3"/>
        <charset val="128"/>
      </rPr>
      <t xml:space="preserve">
cm/year</t>
    </r>
    <rPh sb="0" eb="3">
      <t>セイチョウリツ</t>
    </rPh>
    <phoneticPr fontId="1"/>
  </si>
  <si>
    <t>中間点
歳</t>
    <rPh sb="0" eb="3">
      <t>チュウカンテン</t>
    </rPh>
    <rPh sb="4" eb="5">
      <t>サイ</t>
    </rPh>
    <phoneticPr fontId="1"/>
  </si>
  <si>
    <t>中間点
月</t>
    <rPh sb="0" eb="3">
      <t>チュウカンテン</t>
    </rPh>
    <rPh sb="4" eb="5">
      <t>ツキ</t>
    </rPh>
    <phoneticPr fontId="1"/>
  </si>
  <si>
    <t>months 2</t>
    <phoneticPr fontId="1"/>
  </si>
  <si>
    <t>months2</t>
    <phoneticPr fontId="1"/>
  </si>
  <si>
    <t>b41</t>
    <phoneticPr fontId="1"/>
  </si>
  <si>
    <t>: ○歳○月</t>
    <rPh sb="3" eb="4">
      <t>サイ</t>
    </rPh>
    <rPh sb="5" eb="6">
      <t>ツキ</t>
    </rPh>
    <phoneticPr fontId="1"/>
  </si>
  <si>
    <t>: 標準体重（幼児期、学童期）</t>
    <rPh sb="2" eb="6">
      <t>ヒョウジュンタイジュウ</t>
    </rPh>
    <rPh sb="7" eb="10">
      <t>ヨウジキ</t>
    </rPh>
    <rPh sb="11" eb="14">
      <t>ガクドウキ</t>
    </rPh>
    <phoneticPr fontId="1"/>
  </si>
  <si>
    <t>中間点</t>
    <rPh sb="0" eb="3">
      <t>チュウカンテン</t>
    </rPh>
    <phoneticPr fontId="1"/>
  </si>
  <si>
    <t>年齢</t>
    <rPh sb="0" eb="2">
      <t>ネンレイ</t>
    </rPh>
    <phoneticPr fontId="1"/>
  </si>
  <si>
    <t>成長率SDS</t>
    <rPh sb="0" eb="3">
      <t>セイチョウリツ</t>
    </rPh>
    <phoneticPr fontId="1"/>
  </si>
  <si>
    <t>〒090-0011 北海道北見市曙町664-1 日本赤十字北海道看護大学臨床医学領域
伊藤善也（yoshiya.ito@gmail.com）</t>
    <rPh sb="10" eb="13">
      <t>ホッカイドウ</t>
    </rPh>
    <rPh sb="13" eb="16">
      <t>キタミシ</t>
    </rPh>
    <rPh sb="16" eb="18">
      <t>アケボノチョウ</t>
    </rPh>
    <rPh sb="24" eb="29">
      <t>ニホンセキジュウジ</t>
    </rPh>
    <rPh sb="29" eb="32">
      <t>ホッカイドウ</t>
    </rPh>
    <rPh sb="32" eb="36">
      <t>カンゴダイガク</t>
    </rPh>
    <rPh sb="36" eb="38">
      <t>リンショウ</t>
    </rPh>
    <rPh sb="38" eb="40">
      <t>イガク</t>
    </rPh>
    <rPh sb="40" eb="42">
      <t>リョウイキ</t>
    </rPh>
    <rPh sb="43" eb="47">
      <t>イトウ</t>
    </rPh>
    <phoneticPr fontId="1"/>
  </si>
  <si>
    <r>
      <rPr>
        <sz val="14"/>
        <rFont val="ＭＳ Ｐゴシック"/>
        <family val="3"/>
        <charset val="128"/>
      </rPr>
      <t xml:space="preserve">成長率計算
</t>
    </r>
    <r>
      <rPr>
        <sz val="10"/>
        <rFont val="ＭＳ Ｐゴシック"/>
        <family val="3"/>
        <charset val="128"/>
      </rPr>
      <t xml:space="preserve">
→成長率およびそのSDSを求める測定日に文字を入れてください。</t>
    </r>
    <rPh sb="0" eb="3">
      <t>セイチョウリツ</t>
    </rPh>
    <rPh sb="3" eb="5">
      <t>ケイサン</t>
    </rPh>
    <rPh sb="8" eb="11">
      <t>セイチョウリツ</t>
    </rPh>
    <rPh sb="20" eb="21">
      <t>モト</t>
    </rPh>
    <rPh sb="23" eb="26">
      <t>ソクテイビ</t>
    </rPh>
    <rPh sb="27" eb="29">
      <t>モジ</t>
    </rPh>
    <rPh sb="30" eb="31">
      <t>イ</t>
    </rPh>
    <phoneticPr fontId="1"/>
  </si>
  <si>
    <t>Δ身長</t>
    <rPh sb="1" eb="3">
      <t>シンチョウ</t>
    </rPh>
    <phoneticPr fontId="1"/>
  </si>
  <si>
    <t>計測日</t>
    <rPh sb="0" eb="2">
      <t>ケイソク</t>
    </rPh>
    <rPh sb="2" eb="3">
      <t>ビ</t>
    </rPh>
    <phoneticPr fontId="1"/>
  </si>
  <si>
    <t>計測日２</t>
    <rPh sb="0" eb="2">
      <t>ケイソク</t>
    </rPh>
    <rPh sb="2" eb="3">
      <t>ビ</t>
    </rPh>
    <phoneticPr fontId="1"/>
  </si>
  <si>
    <t>C7</t>
    <phoneticPr fontId="1"/>
  </si>
  <si>
    <t>F7</t>
    <phoneticPr fontId="1"/>
  </si>
  <si>
    <t>HV</t>
    <phoneticPr fontId="1"/>
  </si>
  <si>
    <t>２点間の年齢が1歳未満、男児17歳10か月以上、女児17歳4か月以上は成長率の平均値と標準偏差値の参照値がありませんので、NA(not available)と表示されます。</t>
    <rPh sb="1" eb="3">
      <t>テンカン</t>
    </rPh>
    <rPh sb="4" eb="6">
      <t>ネンレイ</t>
    </rPh>
    <phoneticPr fontId="1"/>
  </si>
  <si>
    <t>Clin Pediatr Endocrinol 25(2): 71-76, 2016　：　BMI-SDS</t>
    <phoneticPr fontId="1"/>
  </si>
  <si>
    <t>Endocr J. 59(9):771-80, 2012　：　IGF-I</t>
    <phoneticPr fontId="1"/>
  </si>
  <si>
    <t>Clin Pediatr Endocrinol 1(1):5-13, 1992　：　成長率</t>
    <rPh sb="42" eb="45">
      <t>セイチョウリツ</t>
    </rPh>
    <phoneticPr fontId="1"/>
  </si>
  <si>
    <t>ver3.0   2016/5/1  ファイル名：taikakushisu_v3.xlsx</t>
    <rPh sb="23" eb="24">
      <t>メイ</t>
    </rPh>
    <phoneticPr fontId="1"/>
  </si>
  <si>
    <t>　このMicrosoft Excelファイルは日本小児内分泌学会・日本成長学会合同標準値委員会が発表した「日本人の体格の評価に関する基本的な考え方」およびその資料に準拠して制作しました。それぞれは以下のホームページおよび日本成長学会雑誌と日本小児科学会雑誌に掲載されていますので参照してください。また体重SDS, IGF-I SDSの計算はT Isojimaらの論文（2012, 2016）より, 成長率の計算はS Suwaらの論文（1992）より引用しています。</t>
    <rPh sb="23" eb="25">
      <t>ニホン</t>
    </rPh>
    <rPh sb="25" eb="27">
      <t>ショウニ</t>
    </rPh>
    <rPh sb="27" eb="30">
      <t>ナイブンピツ</t>
    </rPh>
    <rPh sb="30" eb="32">
      <t>ガッカイ</t>
    </rPh>
    <rPh sb="33" eb="35">
      <t>ニホン</t>
    </rPh>
    <rPh sb="35" eb="37">
      <t>セイチョウ</t>
    </rPh>
    <rPh sb="37" eb="39">
      <t>ガッカイ</t>
    </rPh>
    <rPh sb="39" eb="41">
      <t>ゴウドウ</t>
    </rPh>
    <rPh sb="41" eb="44">
      <t>ヒョウジュンチ</t>
    </rPh>
    <rPh sb="44" eb="47">
      <t>イインカイ</t>
    </rPh>
    <rPh sb="48" eb="50">
      <t>ハッピョウ</t>
    </rPh>
    <rPh sb="53" eb="56">
      <t>ニホンジン</t>
    </rPh>
    <rPh sb="57" eb="59">
      <t>タイカク</t>
    </rPh>
    <rPh sb="60" eb="62">
      <t>ヒョウカ</t>
    </rPh>
    <rPh sb="63" eb="64">
      <t>カン</t>
    </rPh>
    <rPh sb="66" eb="69">
      <t>キホンテキ</t>
    </rPh>
    <rPh sb="70" eb="71">
      <t>カンガ</t>
    </rPh>
    <rPh sb="72" eb="73">
      <t>カタ</t>
    </rPh>
    <rPh sb="79" eb="81">
      <t>シリョウ</t>
    </rPh>
    <rPh sb="82" eb="84">
      <t>ジュンキョ</t>
    </rPh>
    <rPh sb="86" eb="88">
      <t>セイサク</t>
    </rPh>
    <rPh sb="98" eb="100">
      <t>イカ</t>
    </rPh>
    <rPh sb="110" eb="112">
      <t>ニホン</t>
    </rPh>
    <rPh sb="112" eb="114">
      <t>セイチョウ</t>
    </rPh>
    <rPh sb="114" eb="116">
      <t>ガッカイ</t>
    </rPh>
    <rPh sb="116" eb="118">
      <t>ザッシ</t>
    </rPh>
    <rPh sb="119" eb="121">
      <t>ニホン</t>
    </rPh>
    <rPh sb="121" eb="124">
      <t>ショウニカ</t>
    </rPh>
    <rPh sb="124" eb="126">
      <t>ガッカイ</t>
    </rPh>
    <rPh sb="126" eb="128">
      <t>ザッシ</t>
    </rPh>
    <rPh sb="129" eb="131">
      <t>ケイサイ</t>
    </rPh>
    <rPh sb="139" eb="141">
      <t>サンショウ</t>
    </rPh>
    <rPh sb="150" eb="152">
      <t>タイジュウ</t>
    </rPh>
    <rPh sb="167" eb="169">
      <t>ケイサン</t>
    </rPh>
    <rPh sb="181" eb="183">
      <t>ロンブン</t>
    </rPh>
    <rPh sb="199" eb="202">
      <t>セイチョウリツ</t>
    </rPh>
    <rPh sb="203" eb="205">
      <t>ケイサン</t>
    </rPh>
    <rPh sb="214" eb="216">
      <t>ロンブン</t>
    </rPh>
    <rPh sb="224" eb="226">
      <t>インヨウ</t>
    </rPh>
    <phoneticPr fontId="1"/>
  </si>
  <si>
    <r>
      <rPr>
        <sz val="14"/>
        <rFont val="ＭＳ Ｐゴシック"/>
        <family val="3"/>
        <charset val="128"/>
      </rPr>
      <t xml:space="preserve">成長率計算 </t>
    </r>
    <r>
      <rPr>
        <sz val="12"/>
        <rFont val="ＭＳ Ｐゴシック"/>
        <family val="3"/>
        <charset val="128"/>
      </rPr>
      <t xml:space="preserve"> 計測日　～　計測日２　間</t>
    </r>
    <rPh sb="0" eb="3">
      <t>セイチョウリツ</t>
    </rPh>
    <rPh sb="3" eb="5">
      <t>ケイサン</t>
    </rPh>
    <rPh sb="7" eb="9">
      <t>ケイソク</t>
    </rPh>
    <rPh sb="9" eb="10">
      <t>ビ</t>
    </rPh>
    <rPh sb="13" eb="15">
      <t>ケイソク</t>
    </rPh>
    <rPh sb="15" eb="16">
      <t>ビ</t>
    </rPh>
    <rPh sb="18" eb="19">
      <t>カン</t>
    </rPh>
    <phoneticPr fontId="1"/>
  </si>
  <si>
    <t>http://jspe.umin.jp/medical/taikaku.html</t>
    <phoneticPr fontId="1"/>
  </si>
  <si>
    <t>「小児慢性疾病意見書記載項目計算」「縦断解析成長率計算」のシートでは成長率SDSを求めることができます。「小児慢性疾病意見書記載項目計算」では2点間で、「縦断解析成長率計算」ではB列にマークした間で成長率を計算します。ただし、後者では測定データを日付番（昇順、古いデータから順に）に並べてください。昇順ではない場合はNA(not available)を表示します。</t>
    <rPh sb="1" eb="3">
      <t>ショウニ</t>
    </rPh>
    <rPh sb="3" eb="5">
      <t>マンセイ</t>
    </rPh>
    <rPh sb="5" eb="7">
      <t>シッペイ</t>
    </rPh>
    <rPh sb="7" eb="10">
      <t>イケンショ</t>
    </rPh>
    <rPh sb="10" eb="12">
      <t>キサイ</t>
    </rPh>
    <rPh sb="12" eb="14">
      <t>コウモク</t>
    </rPh>
    <rPh sb="14" eb="16">
      <t>ケイサン</t>
    </rPh>
    <rPh sb="18" eb="20">
      <t>ジュウダン</t>
    </rPh>
    <rPh sb="20" eb="22">
      <t>カイセキ</t>
    </rPh>
    <rPh sb="22" eb="25">
      <t>セイチョウリツ</t>
    </rPh>
    <rPh sb="25" eb="27">
      <t>ケイサン</t>
    </rPh>
    <rPh sb="34" eb="37">
      <t>セイチョウリツ</t>
    </rPh>
    <rPh sb="41" eb="42">
      <t>モト</t>
    </rPh>
    <rPh sb="72" eb="73">
      <t>テン</t>
    </rPh>
    <rPh sb="73" eb="74">
      <t>アイダ</t>
    </rPh>
    <rPh sb="90" eb="91">
      <t>レツ</t>
    </rPh>
    <rPh sb="97" eb="98">
      <t>アイダ</t>
    </rPh>
    <rPh sb="99" eb="102">
      <t>セイチョウリツ</t>
    </rPh>
    <rPh sb="103" eb="105">
      <t>ケイサン</t>
    </rPh>
    <rPh sb="113" eb="115">
      <t>コウシャ</t>
    </rPh>
    <rPh sb="117" eb="119">
      <t>ソクテイ</t>
    </rPh>
    <rPh sb="123" eb="125">
      <t>ヒヅケ</t>
    </rPh>
    <rPh sb="127" eb="129">
      <t>ショウジュン</t>
    </rPh>
    <rPh sb="130" eb="131">
      <t>フル</t>
    </rPh>
    <rPh sb="137" eb="138">
      <t>ジュン</t>
    </rPh>
    <rPh sb="141" eb="142">
      <t>ナラ</t>
    </rPh>
    <rPh sb="149" eb="151">
      <t>ショウジュン</t>
    </rPh>
    <rPh sb="155" eb="157">
      <t>バアイ</t>
    </rPh>
    <rPh sb="176" eb="178">
      <t>ヒョウジ</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</si>
</sst>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76" formatCode="0.0_ "/>
    <numFmt numFmtId="177" formatCode="0.000_ "/>
    <numFmt numFmtId="178" formatCode="0.00_ "/>
    <numFmt numFmtId="179" formatCode="0_);[Red]\(0\)"/>
    <numFmt numFmtId="180" formatCode="0_ "/>
    <numFmt numFmtId="181" formatCode="0.000000000_ "/>
    <numFmt numFmtId="182" formatCode="0.0000000000_ "/>
    <numFmt numFmtId="183" formatCode="0.00000E+00"/>
    <numFmt numFmtId="184" formatCode="0.00000000_ "/>
    <numFmt numFmtId="185" formatCode="0.000000_ "/>
    <numFmt numFmtId="186" formatCode="0.0"/>
    <numFmt numFmtId="187" formatCode="0.0000_ "/>
    <numFmt numFmtId="188" formatCode="0.0000000"/>
    <numFmt numFmtId="189" formatCode="0.0000"/>
  </numFmts>
  <fonts count="14">
    <font>
      <sz val="11"/>
      <name val="ＭＳ Ｐゴシック"/>
      <family val="3"/>
      <charset val="128"/>
    </font>
    <font>
      <sz val="6"/>
      <name val="ＭＳ Ｐゴシック"/>
      <family val="3"/>
      <charset val="128"/>
    </font>
    <font>
      <sz val="11"/>
      <name val="Times New Roman"/>
      <family val="1"/>
    </font>
    <font>
      <sz val="16"/>
      <name val="ＭＳ Ｐゴシック"/>
      <family val="3"/>
      <charset val="128"/>
    </font>
    <font>
      <sz val="9"/>
      <color theme="1"/>
      <name val="Century Gothic"/>
      <family val="2"/>
    </font>
    <font>
      <sz val="9"/>
      <color theme="1"/>
      <name val="ＭＳ 明朝"/>
      <family val="1"/>
      <charset val="128"/>
    </font>
    <font>
      <sz val="9"/>
      <color theme="1"/>
      <name val="Century"/>
      <family val="1"/>
    </font>
    <font>
      <sz val="6"/>
      <name val="ＭＳ Ｐゴシック"/>
      <family val="2"/>
      <charset val="128"/>
      <scheme val="minor"/>
    </font>
    <font>
      <sz val="9"/>
      <color theme="1"/>
      <name val="ＭＳ Ｐゴシック"/>
      <family val="2"/>
      <charset val="128"/>
      <scheme val="minor"/>
    </font>
    <font>
      <sz val="11"/>
      <color theme="1"/>
      <name val="Century"/>
      <family val="1"/>
    </font>
    <font>
      <sz val="11"/>
      <color theme="1"/>
      <name val="ＭＳ 明朝"/>
      <family val="1"/>
      <charset val="128"/>
    </font>
    <font>
      <sz val="10"/>
      <name val="ＭＳ Ｐゴシック"/>
      <family val="3"/>
      <charset val="128"/>
    </font>
    <font>
      <sz val="14"/>
      <name val="ＭＳ Ｐゴシック"/>
      <family val="3"/>
      <charset val="128"/>
    </font>
    <font>
      <sz val="12"/>
      <name val="ＭＳ Ｐゴシック"/>
      <family val="3"/>
      <charset val="128"/>
    </font>
  </fonts>
  <fills count="14">
    <fill>
      <patternFill patternType="none"/>
    </fill>
    <fill>
      <patternFill patternType="gray125"/>
    </fill>
    <fill>
      <patternFill patternType="solid">
        <fgColor indexed="40"/>
        <bgColor indexed="64"/>
      </patternFill>
    </fill>
    <fill>
      <patternFill patternType="solid">
        <fgColor indexed="14"/>
        <bgColor indexed="64"/>
      </patternFill>
    </fill>
    <fill>
      <patternFill patternType="solid">
        <fgColor indexed="43"/>
        <bgColor indexed="64"/>
      </patternFill>
    </fill>
    <fill>
      <patternFill patternType="solid">
        <fgColor indexed="47"/>
        <bgColor indexed="64"/>
      </patternFill>
    </fill>
    <fill>
      <patternFill patternType="solid">
        <fgColor indexed="15"/>
        <bgColor indexed="64"/>
      </patternFill>
    </fill>
    <fill>
      <patternFill patternType="solid">
        <fgColor indexed="27"/>
        <bgColor indexed="64"/>
      </patternFill>
    </fill>
    <fill>
      <patternFill patternType="solid">
        <fgColor indexed="41"/>
        <bgColor indexed="64"/>
      </patternFill>
    </fill>
    <fill>
      <patternFill patternType="solid">
        <fgColor indexed="42"/>
        <bgColor indexed="64"/>
      </patternFill>
    </fill>
    <fill>
      <patternFill patternType="solid">
        <fgColor indexed="26"/>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auto="1"/>
      </top>
      <bottom style="thin">
        <color auto="1"/>
      </bottom>
      <diagonal/>
    </border>
    <border>
      <left/>
      <right style="thin">
        <color indexed="64"/>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76">
    <xf numFmtId="0" fontId="0" fillId="0" borderId="0" xfId="0">
      <alignment vertical="center"/>
    </xf>
    <xf numFmtId="0" fontId="0" fillId="0" borderId="0" xfId="0" applyProtection="1">
      <alignment vertical="center"/>
      <protection hidden="1"/>
    </xf>
    <xf numFmtId="176" fontId="0" fillId="0" borderId="0" xfId="0" applyNumberFormat="1" applyProtection="1">
      <alignment vertical="center"/>
      <protection hidden="1"/>
    </xf>
    <xf numFmtId="177" fontId="0" fillId="0" borderId="0" xfId="0" applyNumberFormat="1">
      <alignment vertical="center"/>
    </xf>
    <xf numFmtId="0" fontId="0" fillId="0" borderId="0" xfId="0" applyProtection="1">
      <alignment vertical="center"/>
    </xf>
    <xf numFmtId="0" fontId="0" fillId="0" borderId="0" xfId="0" applyAlignment="1" applyProtection="1">
      <alignment horizontal="center" vertical="center" wrapText="1"/>
    </xf>
    <xf numFmtId="176" fontId="0" fillId="0" borderId="0" xfId="0" applyNumberFormat="1" applyAlignment="1" applyProtection="1">
      <alignment horizontal="center" vertical="center" wrapText="1"/>
    </xf>
    <xf numFmtId="0" fontId="0" fillId="0" borderId="0" xfId="0" applyAlignment="1" applyProtection="1">
      <alignment horizontal="center" vertical="center" wrapText="1"/>
      <protection hidden="1"/>
    </xf>
    <xf numFmtId="178" fontId="0" fillId="0" borderId="0" xfId="0" applyNumberFormat="1" applyProtection="1">
      <alignment vertical="center"/>
      <protection hidden="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5" borderId="6" xfId="0" applyFill="1" applyBorder="1">
      <alignment vertical="center"/>
    </xf>
    <xf numFmtId="0" fontId="0" fillId="0" borderId="7" xfId="0" applyBorder="1">
      <alignment vertical="center"/>
    </xf>
    <xf numFmtId="0" fontId="0" fillId="0" borderId="8" xfId="0" applyBorder="1">
      <alignment vertical="center"/>
    </xf>
    <xf numFmtId="0" fontId="0" fillId="6" borderId="1" xfId="0" applyFill="1" applyBorder="1">
      <alignment vertical="center"/>
    </xf>
    <xf numFmtId="0" fontId="0" fillId="0" borderId="6" xfId="0" applyBorder="1">
      <alignment vertical="center"/>
    </xf>
    <xf numFmtId="0" fontId="0" fillId="0" borderId="0" xfId="0" applyAlignment="1" applyProtection="1">
      <alignment vertical="center" wrapText="1"/>
    </xf>
    <xf numFmtId="0" fontId="0" fillId="4" borderId="0" xfId="0" applyFill="1" applyProtection="1">
      <alignment vertical="center"/>
      <protection locked="0"/>
    </xf>
    <xf numFmtId="14" fontId="0" fillId="4" borderId="0" xfId="0" applyNumberFormat="1" applyFill="1" applyProtection="1">
      <alignment vertical="center"/>
      <protection locked="0"/>
    </xf>
    <xf numFmtId="176" fontId="0" fillId="4" borderId="0" xfId="0" applyNumberFormat="1" applyFill="1" applyProtection="1">
      <alignment vertical="center"/>
      <protection locked="0"/>
    </xf>
    <xf numFmtId="0" fontId="0" fillId="0" borderId="0" xfId="0" applyProtection="1">
      <alignment vertical="center"/>
      <protection locked="0"/>
    </xf>
    <xf numFmtId="176" fontId="0" fillId="0" borderId="0" xfId="0" applyNumberFormat="1" applyProtection="1">
      <alignment vertical="center"/>
      <protection locked="0"/>
    </xf>
    <xf numFmtId="178" fontId="0" fillId="0" borderId="0" xfId="0" applyNumberFormat="1" applyProtection="1">
      <alignment vertical="center"/>
      <protection locked="0"/>
    </xf>
    <xf numFmtId="179" fontId="0" fillId="0" borderId="0" xfId="0" applyNumberFormat="1" applyProtection="1">
      <alignment vertical="center"/>
      <protection locked="0"/>
    </xf>
    <xf numFmtId="0" fontId="0" fillId="0" borderId="0" xfId="0" applyAlignment="1" applyProtection="1">
      <alignment horizontal="left" vertical="top" wrapText="1"/>
    </xf>
    <xf numFmtId="0" fontId="0" fillId="0" borderId="0" xfId="0" applyAlignment="1" applyProtection="1">
      <alignment horizontal="right" vertical="center"/>
    </xf>
    <xf numFmtId="0" fontId="0" fillId="0" borderId="0" xfId="0" applyAlignment="1" applyProtection="1">
      <alignment horizontal="right" vertical="top"/>
    </xf>
    <xf numFmtId="180" fontId="0" fillId="0" borderId="0" xfId="0" applyNumberFormat="1" applyProtection="1">
      <alignment vertical="center"/>
      <protection locked="0"/>
    </xf>
    <xf numFmtId="0" fontId="0" fillId="0" borderId="0" xfId="0" applyAlignment="1" applyProtection="1">
      <alignment horizontal="center" vertical="center" wrapText="1"/>
      <protection locked="0"/>
    </xf>
    <xf numFmtId="179" fontId="0" fillId="0" borderId="0" xfId="0" applyNumberFormat="1" applyAlignment="1" applyProtection="1">
      <alignment horizontal="center" vertical="center" wrapText="1"/>
      <protection locked="0"/>
    </xf>
    <xf numFmtId="0" fontId="0" fillId="0" borderId="0" xfId="0" applyAlignment="1" applyProtection="1">
      <alignment vertical="center" wrapText="1"/>
      <protection locked="0"/>
    </xf>
    <xf numFmtId="180" fontId="0" fillId="0" borderId="0" xfId="0" applyNumberFormat="1" applyAlignment="1" applyProtection="1">
      <alignment horizontal="center" vertical="center"/>
      <protection locked="0"/>
    </xf>
    <xf numFmtId="177" fontId="0" fillId="0" borderId="0" xfId="0" applyNumberFormat="1" applyProtection="1">
      <alignment vertical="center"/>
      <protection hidden="1"/>
    </xf>
    <xf numFmtId="0" fontId="0" fillId="0" borderId="0" xfId="0" applyNumberFormat="1" applyFill="1" applyBorder="1">
      <alignment vertical="center"/>
    </xf>
    <xf numFmtId="11" fontId="0" fillId="0" borderId="0" xfId="0" applyNumberFormat="1" applyProtection="1">
      <alignment vertical="center"/>
      <protection locked="0"/>
    </xf>
    <xf numFmtId="0" fontId="3" fillId="0" borderId="10" xfId="0" applyFont="1" applyBorder="1">
      <alignment vertical="center"/>
    </xf>
    <xf numFmtId="187" fontId="0" fillId="0" borderId="0" xfId="0" applyNumberFormat="1" applyProtection="1">
      <alignment vertical="center"/>
      <protection hidden="1"/>
    </xf>
    <xf numFmtId="188" fontId="0" fillId="0" borderId="0" xfId="0" applyNumberFormat="1" applyProtection="1">
      <alignment vertical="center"/>
      <protection locked="0"/>
    </xf>
    <xf numFmtId="14" fontId="0" fillId="0" borderId="0" xfId="0" applyNumberFormat="1" applyProtection="1">
      <alignment vertical="center"/>
      <protection locked="0"/>
    </xf>
    <xf numFmtId="0" fontId="0" fillId="0" borderId="0" xfId="0" applyNumberFormat="1" applyProtection="1">
      <alignment vertical="center"/>
      <protection hidden="1"/>
    </xf>
    <xf numFmtId="188" fontId="0" fillId="0" borderId="0" xfId="0" applyNumberFormat="1" applyFill="1" applyProtection="1">
      <alignment vertical="center"/>
      <protection locked="0"/>
    </xf>
    <xf numFmtId="0" fontId="3" fillId="0" borderId="10" xfId="0" applyFont="1" applyBorder="1" applyAlignment="1" applyProtection="1">
      <alignment horizontal="center" vertical="center"/>
      <protection hidden="1"/>
    </xf>
    <xf numFmtId="2" fontId="3" fillId="0" borderId="10" xfId="0" applyNumberFormat="1" applyFont="1" applyBorder="1" applyAlignment="1" applyProtection="1">
      <alignment horizontal="center" vertical="center"/>
      <protection hidden="1"/>
    </xf>
    <xf numFmtId="186" fontId="3" fillId="0" borderId="10" xfId="0" applyNumberFormat="1" applyFont="1" applyBorder="1" applyAlignment="1" applyProtection="1">
      <alignment horizontal="center" vertical="center"/>
      <protection hidden="1"/>
    </xf>
    <xf numFmtId="178" fontId="0" fillId="0" borderId="0" xfId="0" applyNumberFormat="1" applyAlignment="1" applyProtection="1">
      <alignment horizontal="center" vertical="center"/>
      <protection hidden="1"/>
    </xf>
    <xf numFmtId="0" fontId="0" fillId="0" borderId="0" xfId="0" applyFill="1" applyProtection="1">
      <alignment vertical="center"/>
    </xf>
    <xf numFmtId="0" fontId="0" fillId="0" borderId="0" xfId="0" applyFill="1" applyAlignment="1" applyProtection="1">
      <alignment vertical="center" wrapText="1"/>
    </xf>
    <xf numFmtId="0" fontId="0" fillId="0" borderId="0" xfId="0" applyFill="1" applyAlignment="1" applyProtection="1">
      <alignment vertical="top" wrapText="1"/>
    </xf>
    <xf numFmtId="0" fontId="0" fillId="0" borderId="0" xfId="0" applyFill="1">
      <alignment vertical="center"/>
    </xf>
    <xf numFmtId="0" fontId="0" fillId="2" borderId="0" xfId="0" applyFill="1" applyProtection="1">
      <alignment vertical="center"/>
    </xf>
    <xf numFmtId="181" fontId="0" fillId="0" borderId="0" xfId="0" applyNumberFormat="1" applyProtection="1">
      <alignment vertical="center"/>
    </xf>
    <xf numFmtId="0" fontId="0" fillId="3" borderId="0" xfId="0" applyFill="1" applyProtection="1">
      <alignment vertical="center"/>
    </xf>
    <xf numFmtId="182" fontId="0" fillId="0" borderId="0" xfId="0" applyNumberFormat="1" applyProtection="1">
      <alignment vertical="center"/>
    </xf>
    <xf numFmtId="183" fontId="0" fillId="0" borderId="0" xfId="0" applyNumberFormat="1" applyProtection="1">
      <alignment vertical="center"/>
    </xf>
    <xf numFmtId="184" fontId="0" fillId="0" borderId="0" xfId="0" applyNumberFormat="1" applyProtection="1">
      <alignment vertical="center"/>
    </xf>
    <xf numFmtId="185" fontId="0" fillId="0" borderId="0" xfId="0" applyNumberFormat="1" applyProtection="1">
      <alignment vertical="center"/>
    </xf>
    <xf numFmtId="11" fontId="0" fillId="0" borderId="0" xfId="0" applyNumberFormat="1" applyProtection="1">
      <alignment vertical="center"/>
    </xf>
    <xf numFmtId="180" fontId="0" fillId="11" borderId="0" xfId="0" applyNumberFormat="1" applyFill="1" applyAlignment="1" applyProtection="1">
      <alignment horizontal="center" vertical="center"/>
    </xf>
    <xf numFmtId="180" fontId="0" fillId="0" borderId="0" xfId="0" applyNumberFormat="1" applyProtection="1">
      <alignment vertical="center"/>
    </xf>
    <xf numFmtId="176" fontId="0" fillId="0" borderId="0" xfId="0" applyNumberFormat="1" applyProtection="1">
      <alignment vertical="center"/>
    </xf>
    <xf numFmtId="178" fontId="0" fillId="0" borderId="0" xfId="0" applyNumberFormat="1" applyAlignment="1" applyProtection="1">
      <alignment horizontal="center" vertical="center" wrapText="1"/>
    </xf>
    <xf numFmtId="178" fontId="0" fillId="0" borderId="0" xfId="0" applyNumberFormat="1" applyProtection="1">
      <alignment vertical="center"/>
    </xf>
    <xf numFmtId="178" fontId="0" fillId="0" borderId="0" xfId="0" applyNumberFormat="1" applyAlignment="1" applyProtection="1">
      <alignment horizontal="center" vertical="center"/>
    </xf>
    <xf numFmtId="0" fontId="0" fillId="0" borderId="1" xfId="0" applyBorder="1" applyProtection="1">
      <alignment vertical="center"/>
      <protection hidden="1"/>
    </xf>
    <xf numFmtId="0" fontId="0" fillId="0" borderId="2" xfId="0" applyBorder="1" applyProtection="1">
      <alignment vertical="center"/>
      <protection hidden="1"/>
    </xf>
    <xf numFmtId="0" fontId="0" fillId="0" borderId="3" xfId="0" applyBorder="1" applyProtection="1">
      <alignment vertical="center"/>
      <protection hidden="1"/>
    </xf>
    <xf numFmtId="0" fontId="0" fillId="0" borderId="4" xfId="0" applyBorder="1" applyProtection="1">
      <alignment vertical="center"/>
      <protection hidden="1"/>
    </xf>
    <xf numFmtId="0" fontId="0" fillId="0" borderId="0" xfId="0" applyBorder="1" applyProtection="1">
      <alignment vertical="center"/>
      <protection hidden="1"/>
    </xf>
    <xf numFmtId="0" fontId="0" fillId="0" borderId="5" xfId="0" applyBorder="1" applyProtection="1">
      <alignment vertical="center"/>
      <protection hidden="1"/>
    </xf>
    <xf numFmtId="0" fontId="0" fillId="2" borderId="0" xfId="0" applyFill="1" applyProtection="1">
      <alignment vertical="center"/>
      <protection hidden="1"/>
    </xf>
    <xf numFmtId="0" fontId="0" fillId="0" borderId="0" xfId="0" applyNumberFormat="1" applyFill="1" applyBorder="1" applyProtection="1">
      <alignment vertical="center"/>
      <protection hidden="1"/>
    </xf>
    <xf numFmtId="11" fontId="0" fillId="0" borderId="0" xfId="0" applyNumberFormat="1" applyFill="1" applyBorder="1" applyProtection="1">
      <alignment vertical="center"/>
      <protection hidden="1"/>
    </xf>
    <xf numFmtId="11" fontId="0" fillId="0" borderId="0" xfId="0" applyNumberFormat="1" applyBorder="1" applyProtection="1">
      <alignment vertical="center"/>
      <protection hidden="1"/>
    </xf>
    <xf numFmtId="0" fontId="0" fillId="0" borderId="9" xfId="0" applyBorder="1" applyProtection="1">
      <alignment vertical="center"/>
      <protection hidden="1"/>
    </xf>
    <xf numFmtId="11" fontId="0" fillId="7" borderId="0" xfId="0" applyNumberFormat="1" applyFill="1" applyBorder="1" applyProtection="1">
      <alignment vertical="center"/>
      <protection hidden="1"/>
    </xf>
    <xf numFmtId="11" fontId="0" fillId="8" borderId="0" xfId="0" applyNumberFormat="1" applyFill="1" applyBorder="1" applyProtection="1">
      <alignment vertical="center"/>
      <protection hidden="1"/>
    </xf>
    <xf numFmtId="0" fontId="0" fillId="3" borderId="0" xfId="0" applyFill="1" applyProtection="1">
      <alignment vertical="center"/>
      <protection hidden="1"/>
    </xf>
    <xf numFmtId="0" fontId="0" fillId="0" borderId="0" xfId="0" applyFill="1" applyBorder="1" applyProtection="1">
      <alignment vertical="center"/>
      <protection hidden="1"/>
    </xf>
    <xf numFmtId="11" fontId="0" fillId="11" borderId="0" xfId="0" applyNumberFormat="1" applyFill="1" applyBorder="1" applyProtection="1">
      <alignment vertical="center"/>
      <protection hidden="1"/>
    </xf>
    <xf numFmtId="0" fontId="0" fillId="10" borderId="0" xfId="0" applyFill="1" applyBorder="1" applyProtection="1">
      <alignment vertical="center"/>
      <protection hidden="1"/>
    </xf>
    <xf numFmtId="2" fontId="0" fillId="0" borderId="0" xfId="0" applyNumberFormat="1" applyBorder="1" applyAlignment="1" applyProtection="1">
      <alignment horizontal="center"/>
      <protection hidden="1"/>
    </xf>
    <xf numFmtId="11" fontId="0" fillId="10" borderId="0" xfId="0" applyNumberFormat="1" applyFill="1" applyBorder="1" applyProtection="1">
      <alignment vertical="center"/>
      <protection hidden="1"/>
    </xf>
    <xf numFmtId="0" fontId="0" fillId="0" borderId="6" xfId="0" applyBorder="1" applyProtection="1">
      <alignment vertical="center"/>
      <protection hidden="1"/>
    </xf>
    <xf numFmtId="0" fontId="0" fillId="0" borderId="7" xfId="0" applyBorder="1" applyProtection="1">
      <alignment vertical="center"/>
      <protection hidden="1"/>
    </xf>
    <xf numFmtId="0" fontId="0" fillId="0" borderId="8" xfId="0" applyBorder="1" applyProtection="1">
      <alignment vertical="center"/>
      <protection hidden="1"/>
    </xf>
    <xf numFmtId="0" fontId="0" fillId="10" borderId="0" xfId="0" applyNumberFormat="1" applyFill="1" applyBorder="1" applyProtection="1">
      <alignment vertical="center"/>
      <protection hidden="1"/>
    </xf>
    <xf numFmtId="0" fontId="0" fillId="11" borderId="0" xfId="0" applyNumberFormat="1" applyFill="1" applyBorder="1" applyProtection="1">
      <alignment vertical="center"/>
      <protection hidden="1"/>
    </xf>
    <xf numFmtId="11" fontId="0" fillId="0" borderId="0" xfId="0" applyNumberFormat="1" applyProtection="1">
      <alignment vertical="center"/>
      <protection hidden="1"/>
    </xf>
    <xf numFmtId="0" fontId="2" fillId="0" borderId="0" xfId="0" applyFont="1" applyFill="1" applyProtection="1">
      <alignment vertical="center"/>
      <protection hidden="1"/>
    </xf>
    <xf numFmtId="0" fontId="0" fillId="9" borderId="0" xfId="0" applyFill="1" applyBorder="1" applyProtection="1">
      <alignment vertical="center"/>
      <protection hidden="1"/>
    </xf>
    <xf numFmtId="0" fontId="0" fillId="11" borderId="0" xfId="0" applyFill="1" applyProtection="1">
      <alignment vertical="center"/>
      <protection hidden="1"/>
    </xf>
    <xf numFmtId="0" fontId="3" fillId="0" borderId="10" xfId="0" applyFont="1" applyBorder="1" applyAlignment="1">
      <alignment horizontal="center" vertical="center"/>
    </xf>
    <xf numFmtId="0" fontId="0" fillId="0" borderId="11" xfId="0" applyBorder="1" applyProtection="1">
      <alignment vertical="center"/>
      <protection locked="0"/>
    </xf>
    <xf numFmtId="0" fontId="0" fillId="0" borderId="12" xfId="0" applyBorder="1" applyProtection="1">
      <alignment vertical="center"/>
      <protection locked="0"/>
    </xf>
    <xf numFmtId="0" fontId="0" fillId="0" borderId="14"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4" borderId="18" xfId="0" applyFill="1" applyBorder="1" applyProtection="1">
      <alignment vertical="center"/>
      <protection locked="0"/>
    </xf>
    <xf numFmtId="0" fontId="0" fillId="4" borderId="19" xfId="0" applyFill="1" applyBorder="1" applyProtection="1">
      <alignment vertical="center"/>
      <protection locked="0"/>
    </xf>
    <xf numFmtId="14" fontId="0" fillId="4" borderId="19" xfId="0" applyNumberFormat="1" applyFill="1" applyBorder="1" applyProtection="1">
      <alignment vertical="center"/>
      <protection locked="0"/>
    </xf>
    <xf numFmtId="0" fontId="0" fillId="0" borderId="11" xfId="0" applyBorder="1" applyProtection="1">
      <alignment vertical="center"/>
    </xf>
    <xf numFmtId="0" fontId="0" fillId="0" borderId="12" xfId="0" applyBorder="1" applyProtection="1">
      <alignment vertical="center"/>
    </xf>
    <xf numFmtId="178" fontId="0" fillId="0" borderId="11" xfId="0" applyNumberFormat="1" applyBorder="1" applyProtection="1">
      <alignment vertical="center"/>
    </xf>
    <xf numFmtId="178" fontId="0" fillId="0" borderId="12" xfId="0" applyNumberFormat="1" applyBorder="1" applyAlignment="1" applyProtection="1">
      <alignment horizontal="center" vertical="center"/>
    </xf>
    <xf numFmtId="0" fontId="0" fillId="0" borderId="18" xfId="0" applyBorder="1" applyAlignment="1" applyProtection="1">
      <alignment horizontal="center" vertical="center" wrapText="1"/>
    </xf>
    <xf numFmtId="176" fontId="0" fillId="0" borderId="19" xfId="0" applyNumberFormat="1" applyBorder="1" applyAlignment="1" applyProtection="1">
      <alignment horizontal="center" vertical="center" wrapText="1"/>
    </xf>
    <xf numFmtId="178" fontId="0" fillId="0" borderId="18" xfId="0" applyNumberFormat="1" applyBorder="1" applyAlignment="1" applyProtection="1">
      <alignment horizontal="center" vertical="center" wrapText="1"/>
    </xf>
    <xf numFmtId="178" fontId="0" fillId="0" borderId="19" xfId="0" applyNumberFormat="1" applyBorder="1" applyAlignment="1" applyProtection="1">
      <alignment horizontal="center" vertical="center" wrapText="1"/>
    </xf>
    <xf numFmtId="0" fontId="0" fillId="0" borderId="19" xfId="0" applyBorder="1" applyAlignment="1" applyProtection="1">
      <alignment vertical="center" wrapText="1"/>
    </xf>
    <xf numFmtId="0" fontId="0" fillId="0" borderId="19" xfId="0" applyBorder="1" applyAlignment="1" applyProtection="1">
      <alignment horizontal="center" vertical="center" wrapText="1"/>
    </xf>
    <xf numFmtId="179" fontId="0" fillId="0" borderId="0" xfId="0" applyNumberFormat="1" applyAlignment="1" applyProtection="1">
      <alignment horizontal="center" vertical="center" wrapText="1"/>
      <protection hidden="1"/>
    </xf>
    <xf numFmtId="0" fontId="0" fillId="4" borderId="0" xfId="0" applyNumberFormat="1" applyFill="1" applyProtection="1">
      <alignment vertical="center"/>
      <protection locked="0"/>
    </xf>
    <xf numFmtId="176" fontId="0" fillId="0" borderId="0" xfId="0" applyNumberFormat="1" applyAlignment="1" applyProtection="1">
      <alignment horizontal="center" vertical="center"/>
      <protection hidden="1"/>
    </xf>
    <xf numFmtId="180" fontId="0" fillId="0" borderId="0" xfId="0" applyNumberFormat="1" applyProtection="1">
      <alignment vertical="center"/>
      <protection hidden="1"/>
    </xf>
    <xf numFmtId="0" fontId="0" fillId="0" borderId="13" xfId="0" applyBorder="1" applyProtection="1">
      <alignment vertical="center"/>
      <protection locked="0"/>
    </xf>
    <xf numFmtId="0" fontId="0" fillId="0" borderId="15" xfId="0" applyBorder="1" applyAlignment="1" applyProtection="1">
      <alignment horizontal="center" vertical="center" wrapText="1"/>
    </xf>
    <xf numFmtId="0" fontId="0" fillId="4" borderId="20" xfId="0" applyFill="1" applyBorder="1" applyAlignment="1" applyProtection="1">
      <alignment horizontal="center" vertical="center"/>
      <protection locked="0"/>
    </xf>
    <xf numFmtId="0" fontId="4" fillId="0" borderId="0" xfId="0" applyFont="1">
      <alignment vertical="center"/>
    </xf>
    <xf numFmtId="0" fontId="8" fillId="0" borderId="0" xfId="0" applyFont="1">
      <alignment vertical="center"/>
    </xf>
    <xf numFmtId="177" fontId="8" fillId="0" borderId="0" xfId="0" applyNumberFormat="1" applyFont="1">
      <alignment vertical="center"/>
    </xf>
    <xf numFmtId="0" fontId="0" fillId="0" borderId="0" xfId="0" applyFont="1">
      <alignment vertical="center"/>
    </xf>
    <xf numFmtId="0" fontId="5" fillId="0" borderId="0" xfId="0" applyFont="1">
      <alignment vertical="center"/>
    </xf>
    <xf numFmtId="0" fontId="5" fillId="0" borderId="17" xfId="0" applyFont="1" applyBorder="1" applyAlignment="1">
      <alignment horizontal="center" vertical="center"/>
    </xf>
    <xf numFmtId="177" fontId="6" fillId="0" borderId="16" xfId="0" applyNumberFormat="1" applyFont="1" applyBorder="1" applyAlignment="1">
      <alignment horizontal="center" vertical="center"/>
    </xf>
    <xf numFmtId="0" fontId="6" fillId="0" borderId="16" xfId="0" applyFont="1" applyBorder="1" applyAlignment="1">
      <alignment horizontal="center" vertical="center"/>
    </xf>
    <xf numFmtId="177" fontId="6" fillId="0" borderId="17" xfId="0" applyNumberFormat="1" applyFont="1" applyBorder="1" applyAlignment="1">
      <alignment horizontal="center" vertical="center"/>
    </xf>
    <xf numFmtId="0" fontId="9" fillId="0" borderId="16" xfId="0" applyFont="1" applyBorder="1" applyAlignment="1">
      <alignment horizontal="center" vertical="center"/>
    </xf>
    <xf numFmtId="0" fontId="10" fillId="0" borderId="16" xfId="0" applyFont="1" applyBorder="1" applyAlignment="1">
      <alignment horizontal="center" vertical="center"/>
    </xf>
    <xf numFmtId="0" fontId="6" fillId="0" borderId="5" xfId="0" applyFont="1" applyBorder="1" applyAlignment="1">
      <alignment horizontal="center" vertical="center"/>
    </xf>
    <xf numFmtId="177" fontId="6" fillId="0" borderId="0" xfId="0" applyNumberFormat="1" applyFont="1" applyBorder="1" applyAlignment="1">
      <alignment horizontal="center" vertical="center"/>
    </xf>
    <xf numFmtId="0" fontId="6" fillId="0" borderId="0" xfId="0" applyFont="1" applyBorder="1" applyAlignment="1">
      <alignment horizontal="center" vertical="center"/>
    </xf>
    <xf numFmtId="177" fontId="6" fillId="0" borderId="5" xfId="0" applyNumberFormat="1" applyFont="1" applyBorder="1" applyAlignment="1">
      <alignment horizontal="center" vertical="center"/>
    </xf>
    <xf numFmtId="0" fontId="9" fillId="0" borderId="0" xfId="0" applyFont="1" applyBorder="1" applyAlignment="1">
      <alignment horizontal="center" vertical="center"/>
    </xf>
    <xf numFmtId="0" fontId="6" fillId="0" borderId="8" xfId="0" applyFont="1" applyBorder="1" applyAlignment="1">
      <alignment horizontal="center" vertical="center"/>
    </xf>
    <xf numFmtId="177" fontId="6" fillId="0" borderId="7" xfId="0" applyNumberFormat="1" applyFont="1" applyBorder="1" applyAlignment="1">
      <alignment horizontal="center" vertical="center"/>
    </xf>
    <xf numFmtId="0" fontId="6" fillId="0" borderId="7" xfId="0" applyFont="1" applyBorder="1" applyAlignment="1">
      <alignment horizontal="center" vertical="center"/>
    </xf>
    <xf numFmtId="177" fontId="6" fillId="0" borderId="8" xfId="0" applyNumberFormat="1" applyFont="1" applyBorder="1" applyAlignment="1">
      <alignment horizontal="center" vertical="center"/>
    </xf>
    <xf numFmtId="0" fontId="9" fillId="0" borderId="7" xfId="0" applyFont="1" applyBorder="1" applyAlignment="1">
      <alignment horizontal="center" vertical="center"/>
    </xf>
    <xf numFmtId="0" fontId="0" fillId="0" borderId="0" xfId="0" applyAlignment="1"/>
    <xf numFmtId="176" fontId="0" fillId="0" borderId="0" xfId="0" applyNumberFormat="1" applyAlignment="1"/>
    <xf numFmtId="2" fontId="0" fillId="0" borderId="0" xfId="0" applyNumberFormat="1" applyProtection="1">
      <alignment vertical="center"/>
      <protection locked="0"/>
    </xf>
    <xf numFmtId="2" fontId="0" fillId="0" borderId="0" xfId="0" applyNumberFormat="1" applyAlignment="1" applyProtection="1">
      <alignment horizontal="center" vertical="center"/>
      <protection hidden="1"/>
    </xf>
    <xf numFmtId="0" fontId="0" fillId="0" borderId="22" xfId="0" applyNumberFormat="1" applyBorder="1" applyAlignment="1" applyProtection="1">
      <alignment horizontal="center" vertical="center"/>
      <protection locked="0"/>
    </xf>
    <xf numFmtId="0" fontId="0" fillId="0" borderId="23" xfId="0" applyNumberFormat="1" applyBorder="1" applyAlignment="1" applyProtection="1">
      <alignment horizontal="center" vertical="center"/>
      <protection locked="0"/>
    </xf>
    <xf numFmtId="186" fontId="0" fillId="0" borderId="0" xfId="0" applyNumberFormat="1" applyProtection="1">
      <alignment vertical="center"/>
      <protection locked="0"/>
    </xf>
    <xf numFmtId="2" fontId="0" fillId="0" borderId="0" xfId="0" applyNumberFormat="1" applyAlignment="1" applyProtection="1">
      <alignment horizontal="left" vertical="center"/>
      <protection hidden="1"/>
    </xf>
    <xf numFmtId="0" fontId="0" fillId="0" borderId="0" xfId="0" applyAlignment="1" applyProtection="1">
      <alignment horizontal="center" vertical="center"/>
      <protection locked="0"/>
    </xf>
    <xf numFmtId="0" fontId="3" fillId="0" borderId="0" xfId="0" applyFont="1" applyBorder="1" applyAlignment="1" applyProtection="1">
      <alignment horizontal="center" vertical="center"/>
      <protection locked="0"/>
    </xf>
    <xf numFmtId="2" fontId="3" fillId="0" borderId="0" xfId="0" applyNumberFormat="1" applyFont="1" applyBorder="1" applyAlignment="1" applyProtection="1">
      <alignment horizontal="center" vertical="center"/>
      <protection hidden="1"/>
    </xf>
    <xf numFmtId="186" fontId="3" fillId="0" borderId="0" xfId="0" applyNumberFormat="1" applyFont="1" applyBorder="1" applyAlignment="1" applyProtection="1">
      <alignment horizontal="center" vertical="center"/>
      <protection hidden="1"/>
    </xf>
    <xf numFmtId="0" fontId="0" fillId="0" borderId="20"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0" xfId="0" applyBorder="1" applyAlignment="1"/>
    <xf numFmtId="176" fontId="0" fillId="0" borderId="10" xfId="0" applyNumberFormat="1" applyBorder="1" applyAlignment="1"/>
    <xf numFmtId="178" fontId="0" fillId="0" borderId="10" xfId="0" applyNumberFormat="1" applyBorder="1" applyAlignment="1"/>
    <xf numFmtId="2" fontId="3" fillId="0" borderId="10" xfId="0" applyNumberFormat="1" applyFont="1" applyBorder="1" applyAlignment="1">
      <alignment horizontal="center" vertical="center"/>
    </xf>
    <xf numFmtId="0" fontId="0" fillId="0" borderId="0" xfId="0" quotePrefix="1" applyProtection="1">
      <alignment vertical="center"/>
    </xf>
    <xf numFmtId="0" fontId="0" fillId="0" borderId="0" xfId="0" quotePrefix="1" applyProtection="1">
      <alignment vertical="center"/>
      <protection locked="0"/>
    </xf>
    <xf numFmtId="189" fontId="3" fillId="0" borderId="10" xfId="0" applyNumberFormat="1" applyFont="1" applyBorder="1" applyAlignment="1" applyProtection="1">
      <alignment horizontal="center" vertical="center"/>
      <protection hidden="1"/>
    </xf>
    <xf numFmtId="189" fontId="0" fillId="0" borderId="0" xfId="0" applyNumberFormat="1" applyAlignment="1" applyProtection="1">
      <alignment horizontal="center" vertical="center"/>
      <protection hidden="1"/>
    </xf>
    <xf numFmtId="189" fontId="0" fillId="0" borderId="0" xfId="0" applyNumberFormat="1">
      <alignment vertical="center"/>
    </xf>
    <xf numFmtId="2" fontId="0" fillId="0" borderId="0" xfId="0" applyNumberFormat="1" applyProtection="1">
      <alignment vertical="center"/>
    </xf>
    <xf numFmtId="0" fontId="3" fillId="0" borderId="24" xfId="0" applyFont="1" applyBorder="1" applyAlignment="1" applyProtection="1">
      <alignment horizontal="center" vertical="center"/>
      <protection locked="0"/>
    </xf>
    <xf numFmtId="2" fontId="3" fillId="0" borderId="24" xfId="0" applyNumberFormat="1" applyFont="1" applyBorder="1" applyAlignment="1" applyProtection="1">
      <alignment horizontal="center" vertical="center"/>
      <protection locked="0"/>
    </xf>
    <xf numFmtId="0" fontId="3" fillId="13" borderId="10" xfId="0" applyFont="1" applyFill="1" applyBorder="1" applyAlignment="1" applyProtection="1">
      <alignment horizontal="center" vertical="center"/>
      <protection locked="0"/>
    </xf>
    <xf numFmtId="14" fontId="3" fillId="13" borderId="10" xfId="0" applyNumberFormat="1" applyFont="1" applyFill="1" applyBorder="1" applyAlignment="1" applyProtection="1">
      <alignment horizontal="center" vertical="center"/>
      <protection locked="0"/>
    </xf>
    <xf numFmtId="186" fontId="3" fillId="13" borderId="10" xfId="0" applyNumberFormat="1" applyFont="1" applyFill="1" applyBorder="1" applyAlignment="1" applyProtection="1">
      <alignment horizontal="center" vertical="center"/>
      <protection locked="0"/>
    </xf>
    <xf numFmtId="0" fontId="13" fillId="0" borderId="25" xfId="0" applyFont="1" applyBorder="1" applyAlignment="1">
      <alignment horizontal="center" vertical="center"/>
    </xf>
    <xf numFmtId="0" fontId="0" fillId="0" borderId="17" xfId="0" applyBorder="1" applyAlignment="1">
      <alignment horizontal="center" vertical="center"/>
    </xf>
    <xf numFmtId="0" fontId="0" fillId="0" borderId="12" xfId="0" applyBorder="1" applyAlignment="1" applyProtection="1">
      <alignment horizontal="center" vertical="center"/>
    </xf>
    <xf numFmtId="0" fontId="11" fillId="12" borderId="21" xfId="0" applyFont="1" applyFill="1" applyBorder="1" applyAlignment="1" applyProtection="1">
      <alignment horizontal="center" vertical="center" wrapText="1"/>
    </xf>
    <xf numFmtId="0" fontId="0" fillId="0" borderId="23" xfId="0" applyBorder="1" applyAlignment="1">
      <alignment vertical="center" wrapText="1"/>
    </xf>
    <xf numFmtId="0" fontId="0" fillId="0" borderId="0" xfId="0" applyAlignment="1" applyProtection="1">
      <alignment horizontal="center" vertical="center"/>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3:AL33"/>
  <sheetViews>
    <sheetView topLeftCell="AM1" workbookViewId="0">
      <selection activeCell="AM1" sqref="AM1"/>
    </sheetView>
  </sheetViews>
  <sheetFormatPr defaultRowHeight="13.5"/>
  <cols>
    <col min="1" max="1" width="9" style="4" hidden="1" customWidth="1"/>
    <col min="2" max="19" width="7.625" style="4" hidden="1" customWidth="1"/>
    <col min="20" max="20" width="9" style="4" hidden="1" customWidth="1"/>
    <col min="21" max="21" width="6.75" style="4" hidden="1" customWidth="1"/>
    <col min="22" max="38" width="6" style="4" hidden="1" customWidth="1"/>
    <col min="39" max="16384" width="9" style="24"/>
  </cols>
  <sheetData>
    <row r="3" spans="1:38">
      <c r="A3" s="4" t="s">
        <v>1</v>
      </c>
      <c r="G3" s="63"/>
      <c r="H3" s="63"/>
      <c r="I3" s="63"/>
      <c r="J3" s="63"/>
      <c r="K3" s="63"/>
      <c r="L3" s="63"/>
      <c r="M3" s="63"/>
      <c r="N3" s="63"/>
      <c r="O3" s="63"/>
      <c r="P3" s="63"/>
      <c r="Q3" s="63"/>
      <c r="R3" s="63"/>
      <c r="S3" s="63"/>
    </row>
    <row r="4" spans="1:38">
      <c r="A4" s="4" t="s">
        <v>2</v>
      </c>
      <c r="B4" s="4">
        <v>0</v>
      </c>
      <c r="C4" s="4">
        <v>1</v>
      </c>
      <c r="D4" s="4">
        <v>2</v>
      </c>
      <c r="E4" s="4">
        <v>3</v>
      </c>
      <c r="F4" s="4">
        <v>4</v>
      </c>
      <c r="G4" s="4">
        <v>5</v>
      </c>
      <c r="H4" s="4">
        <v>6</v>
      </c>
      <c r="I4" s="4">
        <v>7</v>
      </c>
      <c r="J4" s="4">
        <v>8</v>
      </c>
      <c r="K4" s="4">
        <v>9</v>
      </c>
      <c r="L4" s="4">
        <v>10</v>
      </c>
      <c r="M4" s="4">
        <v>11</v>
      </c>
      <c r="N4" s="4">
        <v>12</v>
      </c>
      <c r="O4" s="4">
        <v>13</v>
      </c>
      <c r="P4" s="4">
        <v>14</v>
      </c>
      <c r="Q4" s="4">
        <v>15</v>
      </c>
      <c r="R4" s="4">
        <v>16</v>
      </c>
      <c r="S4" s="4">
        <v>17</v>
      </c>
      <c r="T4" s="4" t="s">
        <v>3</v>
      </c>
      <c r="U4" s="4">
        <v>0</v>
      </c>
      <c r="V4" s="4">
        <v>1</v>
      </c>
      <c r="W4" s="4">
        <v>2</v>
      </c>
      <c r="X4" s="4">
        <v>3</v>
      </c>
      <c r="Y4" s="4">
        <v>4</v>
      </c>
      <c r="Z4" s="4">
        <v>5</v>
      </c>
      <c r="AA4" s="4">
        <v>6</v>
      </c>
      <c r="AB4" s="4">
        <v>7</v>
      </c>
      <c r="AC4" s="4">
        <v>8</v>
      </c>
      <c r="AD4" s="4">
        <v>9</v>
      </c>
      <c r="AE4" s="4">
        <v>10</v>
      </c>
      <c r="AF4" s="4">
        <v>11</v>
      </c>
      <c r="AG4" s="4">
        <v>12</v>
      </c>
      <c r="AH4" s="4">
        <v>13</v>
      </c>
      <c r="AI4" s="4">
        <v>14</v>
      </c>
      <c r="AJ4" s="4">
        <v>15</v>
      </c>
      <c r="AK4" s="4">
        <v>16</v>
      </c>
      <c r="AL4" s="4">
        <v>17</v>
      </c>
    </row>
    <row r="5" spans="1:38">
      <c r="A5" s="4">
        <v>0</v>
      </c>
      <c r="B5" s="63">
        <v>48.958803165183006</v>
      </c>
      <c r="C5" s="63">
        <v>74.971453324549486</v>
      </c>
      <c r="D5" s="63">
        <v>85.440164365065002</v>
      </c>
      <c r="E5" s="63">
        <v>93.344917302741422</v>
      </c>
      <c r="F5" s="63">
        <v>100.24438282655422</v>
      </c>
      <c r="G5" s="63">
        <v>106.71697926139842</v>
      </c>
      <c r="H5" s="63">
        <v>113.31100147370799</v>
      </c>
      <c r="I5" s="63">
        <v>119.6</v>
      </c>
      <c r="J5" s="63">
        <v>125.3</v>
      </c>
      <c r="K5" s="63">
        <v>130.85</v>
      </c>
      <c r="L5" s="63">
        <v>136.35</v>
      </c>
      <c r="M5" s="63">
        <v>142.19999999999999</v>
      </c>
      <c r="N5" s="63">
        <v>149.1</v>
      </c>
      <c r="O5" s="63">
        <v>156.44999999999999</v>
      </c>
      <c r="P5" s="63">
        <v>162.75</v>
      </c>
      <c r="Q5" s="63">
        <v>167.05</v>
      </c>
      <c r="R5" s="63">
        <v>169.35</v>
      </c>
      <c r="S5" s="63">
        <v>170.45</v>
      </c>
      <c r="T5" s="4">
        <v>0</v>
      </c>
      <c r="U5" s="63">
        <v>2.1387425846000028</v>
      </c>
      <c r="V5" s="63">
        <v>2.5760125846000079</v>
      </c>
      <c r="W5" s="63">
        <v>3.0144805846000082</v>
      </c>
      <c r="X5" s="63">
        <v>3.4517505845999921</v>
      </c>
      <c r="Y5" s="63">
        <v>3.8890205845999901</v>
      </c>
      <c r="Z5" s="63">
        <v>4.3262905845999882</v>
      </c>
      <c r="AA5" s="63">
        <v>4.7647585846000027</v>
      </c>
      <c r="AB5" s="63">
        <v>5.05</v>
      </c>
      <c r="AC5" s="63">
        <v>5.2949999999999999</v>
      </c>
      <c r="AD5" s="63">
        <v>5.5949999999999998</v>
      </c>
      <c r="AE5" s="63">
        <v>5.9349999999999996</v>
      </c>
      <c r="AF5" s="63">
        <v>6.6349999999999998</v>
      </c>
      <c r="AG5" s="63">
        <v>7.6</v>
      </c>
      <c r="AH5" s="63">
        <v>7.875</v>
      </c>
      <c r="AI5" s="63">
        <v>7.09</v>
      </c>
      <c r="AJ5" s="63">
        <v>6.19</v>
      </c>
      <c r="AK5" s="63">
        <v>5.84</v>
      </c>
      <c r="AL5" s="63">
        <v>5.81</v>
      </c>
    </row>
    <row r="6" spans="1:38">
      <c r="A6" s="4">
        <v>1</v>
      </c>
      <c r="B6" s="63">
        <v>53.474314135411497</v>
      </c>
      <c r="C6" s="63">
        <v>75.986046101408277</v>
      </c>
      <c r="D6" s="63">
        <v>86.176114928900063</v>
      </c>
      <c r="E6" s="63">
        <v>93.953603077506884</v>
      </c>
      <c r="F6" s="63">
        <v>100.78905930833906</v>
      </c>
      <c r="G6" s="63">
        <v>107.25432489519144</v>
      </c>
      <c r="H6" s="63">
        <v>113.88118398224867</v>
      </c>
      <c r="I6" s="63">
        <v>120.08329999999999</v>
      </c>
      <c r="J6" s="63">
        <v>125.7667</v>
      </c>
      <c r="K6" s="63">
        <v>131.3083</v>
      </c>
      <c r="L6" s="63">
        <v>136.8083</v>
      </c>
      <c r="M6" s="63">
        <v>142.7167</v>
      </c>
      <c r="N6" s="63">
        <v>149.73330000000001</v>
      </c>
      <c r="O6" s="63">
        <v>157.04169999999999</v>
      </c>
      <c r="P6" s="63">
        <v>163.20830000000001</v>
      </c>
      <c r="Q6" s="63">
        <v>167.3083</v>
      </c>
      <c r="R6" s="63">
        <v>169.47499999999999</v>
      </c>
      <c r="S6" s="63">
        <v>170.50829999999999</v>
      </c>
      <c r="T6" s="4">
        <v>1</v>
      </c>
      <c r="U6" s="63">
        <v>2.1746825845999993</v>
      </c>
      <c r="V6" s="63">
        <v>2.6131505846000209</v>
      </c>
      <c r="W6" s="63">
        <v>3.0509447095999889</v>
      </c>
      <c r="X6" s="63">
        <v>3.4882147096000011</v>
      </c>
      <c r="Y6" s="63">
        <v>3.9254847096000134</v>
      </c>
      <c r="Z6" s="63">
        <v>4.3627547096000114</v>
      </c>
      <c r="AA6" s="63">
        <v>4.8012227095999975</v>
      </c>
      <c r="AB6" s="63">
        <v>5.0650000000000004</v>
      </c>
      <c r="AC6" s="63">
        <v>5.3208330000000004</v>
      </c>
      <c r="AD6" s="63">
        <v>5.619167</v>
      </c>
      <c r="AE6" s="63">
        <v>5.9675000000000002</v>
      </c>
      <c r="AF6" s="63">
        <v>6.7191669999999997</v>
      </c>
      <c r="AG6" s="63">
        <v>7.6766670000000001</v>
      </c>
      <c r="AH6" s="63">
        <v>7.8441669999999997</v>
      </c>
      <c r="AI6" s="63">
        <v>6.99</v>
      </c>
      <c r="AJ6" s="63">
        <v>6.14</v>
      </c>
      <c r="AK6" s="63">
        <v>5.8316670000000004</v>
      </c>
      <c r="AL6" s="63">
        <v>5.8133330000000001</v>
      </c>
    </row>
    <row r="7" spans="1:38">
      <c r="A7" s="4">
        <v>2</v>
      </c>
      <c r="B7" s="63">
        <v>57.864633683635361</v>
      </c>
      <c r="C7" s="63">
        <v>76.9107746715095</v>
      </c>
      <c r="D7" s="63">
        <v>86.893901043259746</v>
      </c>
      <c r="E7" s="63">
        <v>94.555103426662868</v>
      </c>
      <c r="F7" s="63">
        <v>101.33058188324316</v>
      </c>
      <c r="G7" s="63">
        <v>107.79254814083257</v>
      </c>
      <c r="H7" s="63">
        <v>114.45628666662307</v>
      </c>
      <c r="I7" s="63">
        <v>120.5667</v>
      </c>
      <c r="J7" s="63">
        <v>126.2333</v>
      </c>
      <c r="K7" s="63">
        <v>131.76669999999999</v>
      </c>
      <c r="L7" s="63">
        <v>137.26669999999999</v>
      </c>
      <c r="M7" s="63">
        <v>143.23330000000001</v>
      </c>
      <c r="N7" s="63">
        <v>150.36670000000001</v>
      </c>
      <c r="O7" s="63">
        <v>157.63329999999999</v>
      </c>
      <c r="P7" s="63">
        <v>163.66669999999999</v>
      </c>
      <c r="Q7" s="63">
        <v>167.5667</v>
      </c>
      <c r="R7" s="63">
        <v>169.6</v>
      </c>
      <c r="S7" s="63">
        <v>170.5667</v>
      </c>
      <c r="T7" s="4">
        <v>2</v>
      </c>
      <c r="U7" s="63">
        <v>2.2118205845999981</v>
      </c>
      <c r="V7" s="63">
        <v>2.6490905846000032</v>
      </c>
      <c r="W7" s="63">
        <v>3.0874088345999979</v>
      </c>
      <c r="X7" s="63">
        <v>3.5246788346000102</v>
      </c>
      <c r="Y7" s="63">
        <v>3.961948834599994</v>
      </c>
      <c r="Z7" s="63">
        <v>4.3992188345999921</v>
      </c>
      <c r="AA7" s="63">
        <v>4.8376868345999924</v>
      </c>
      <c r="AB7" s="63">
        <v>5.08</v>
      </c>
      <c r="AC7" s="63">
        <v>5.3466670000000001</v>
      </c>
      <c r="AD7" s="63">
        <v>5.6433330000000002</v>
      </c>
      <c r="AE7" s="63">
        <v>6</v>
      </c>
      <c r="AF7" s="63">
        <v>6.8033330000000003</v>
      </c>
      <c r="AG7" s="63">
        <v>7.7533329999999996</v>
      </c>
      <c r="AH7" s="63">
        <v>7.8133330000000001</v>
      </c>
      <c r="AI7" s="63">
        <v>6.89</v>
      </c>
      <c r="AJ7" s="63">
        <v>6.09</v>
      </c>
      <c r="AK7" s="63">
        <v>5.8233329999999999</v>
      </c>
      <c r="AL7" s="63">
        <v>5.8166669999999998</v>
      </c>
    </row>
    <row r="8" spans="1:38">
      <c r="A8" s="4">
        <v>3</v>
      </c>
      <c r="B8" s="63">
        <v>61.366264206336027</v>
      </c>
      <c r="C8" s="63">
        <v>77.849697710042349</v>
      </c>
      <c r="D8" s="63">
        <v>87.586727974499027</v>
      </c>
      <c r="E8" s="63">
        <v>95.143682959109114</v>
      </c>
      <c r="F8" s="63">
        <v>101.8637690738403</v>
      </c>
      <c r="G8" s="63">
        <v>108.34418623349831</v>
      </c>
      <c r="H8" s="63">
        <v>115</v>
      </c>
      <c r="I8" s="63">
        <v>121.05</v>
      </c>
      <c r="J8" s="63">
        <v>126.7</v>
      </c>
      <c r="K8" s="63">
        <v>132.22499999999999</v>
      </c>
      <c r="L8" s="63">
        <v>137.72499999999999</v>
      </c>
      <c r="M8" s="63">
        <v>143.75</v>
      </c>
      <c r="N8" s="63">
        <v>151</v>
      </c>
      <c r="O8" s="63">
        <v>158.22499999999999</v>
      </c>
      <c r="P8" s="63">
        <v>164.125</v>
      </c>
      <c r="Q8" s="63">
        <v>167.82499999999999</v>
      </c>
      <c r="R8" s="63">
        <v>169.72499999999999</v>
      </c>
      <c r="S8" s="63">
        <v>170.625</v>
      </c>
      <c r="T8" s="4">
        <v>3</v>
      </c>
      <c r="U8" s="63">
        <v>2.2477605845999946</v>
      </c>
      <c r="V8" s="63">
        <v>2.686228584600002</v>
      </c>
      <c r="W8" s="63">
        <v>3.1234985846000143</v>
      </c>
      <c r="X8" s="63">
        <v>3.5607685845999981</v>
      </c>
      <c r="Y8" s="63">
        <v>3.9980385845999962</v>
      </c>
      <c r="Z8" s="63">
        <v>4.4365065845999965</v>
      </c>
      <c r="AA8" s="63">
        <v>4.8733329999999997</v>
      </c>
      <c r="AB8" s="63">
        <v>5.0949999999999998</v>
      </c>
      <c r="AC8" s="63">
        <v>5.3724999999999996</v>
      </c>
      <c r="AD8" s="63">
        <v>5.6675000000000004</v>
      </c>
      <c r="AE8" s="63">
        <v>6.0324999999999998</v>
      </c>
      <c r="AF8" s="63">
        <v>6.8875000000000002</v>
      </c>
      <c r="AG8" s="63">
        <v>7.83</v>
      </c>
      <c r="AH8" s="63">
        <v>7.7824999999999998</v>
      </c>
      <c r="AI8" s="63">
        <v>6.79</v>
      </c>
      <c r="AJ8" s="63">
        <v>6.04</v>
      </c>
      <c r="AK8" s="63">
        <v>5.8150000000000004</v>
      </c>
      <c r="AL8" s="63">
        <v>5.82</v>
      </c>
    </row>
    <row r="9" spans="1:38">
      <c r="A9" s="4">
        <v>4</v>
      </c>
      <c r="B9" s="63">
        <v>64.163967723577471</v>
      </c>
      <c r="C9" s="63">
        <v>78.746065071779611</v>
      </c>
      <c r="D9" s="63">
        <v>88.269585807618469</v>
      </c>
      <c r="E9" s="63">
        <v>95.731886188005817</v>
      </c>
      <c r="F9" s="63">
        <v>102.40834950791343</v>
      </c>
      <c r="G9" s="63">
        <v>108.88521216549601</v>
      </c>
      <c r="H9" s="63">
        <v>115.5667</v>
      </c>
      <c r="I9" s="63">
        <v>121.5333</v>
      </c>
      <c r="J9" s="63">
        <v>127.16670000000001</v>
      </c>
      <c r="K9" s="63">
        <v>132.6833</v>
      </c>
      <c r="L9" s="63">
        <v>138.1833</v>
      </c>
      <c r="M9" s="63">
        <v>144.26669999999999</v>
      </c>
      <c r="N9" s="63">
        <v>151.63329999999999</v>
      </c>
      <c r="O9" s="63">
        <v>158.8167</v>
      </c>
      <c r="P9" s="63">
        <v>164.58330000000001</v>
      </c>
      <c r="Q9" s="63">
        <v>168.08330000000001</v>
      </c>
      <c r="R9" s="63">
        <v>169.85</v>
      </c>
      <c r="S9" s="63">
        <v>170.6833</v>
      </c>
      <c r="T9" s="4">
        <v>4</v>
      </c>
      <c r="U9" s="63">
        <v>2.2848985846000005</v>
      </c>
      <c r="V9" s="63">
        <v>2.7221685846000128</v>
      </c>
      <c r="W9" s="63">
        <v>3.1599627095999949</v>
      </c>
      <c r="X9" s="63">
        <v>3.597232709599993</v>
      </c>
      <c r="Y9" s="63">
        <v>4.0345027096000052</v>
      </c>
      <c r="Z9" s="63">
        <v>4.4729707096000055</v>
      </c>
      <c r="AA9" s="63">
        <v>4.9022220000000001</v>
      </c>
      <c r="AB9" s="63">
        <v>5.1100000000000003</v>
      </c>
      <c r="AC9" s="63">
        <v>5.398333</v>
      </c>
      <c r="AD9" s="63">
        <v>5.6916669999999998</v>
      </c>
      <c r="AE9" s="63">
        <v>6.0650000000000004</v>
      </c>
      <c r="AF9" s="63">
        <v>6.9716670000000001</v>
      </c>
      <c r="AG9" s="63">
        <v>7.9066669999999997</v>
      </c>
      <c r="AH9" s="63">
        <v>7.7516670000000003</v>
      </c>
      <c r="AI9" s="63">
        <v>6.69</v>
      </c>
      <c r="AJ9" s="63">
        <v>5.99</v>
      </c>
      <c r="AK9" s="63">
        <v>5.806667</v>
      </c>
      <c r="AL9" s="63">
        <v>5.8233329999999999</v>
      </c>
    </row>
    <row r="10" spans="1:38">
      <c r="A10" s="4">
        <v>5</v>
      </c>
      <c r="B10" s="63">
        <v>66.204590992976961</v>
      </c>
      <c r="C10" s="63">
        <v>79.631733189740459</v>
      </c>
      <c r="D10" s="63">
        <v>88.936112098158048</v>
      </c>
      <c r="E10" s="63">
        <v>96.313909109661125</v>
      </c>
      <c r="F10" s="63">
        <v>102.95078115347388</v>
      </c>
      <c r="G10" s="63">
        <v>109.42813187296663</v>
      </c>
      <c r="H10" s="63">
        <v>116.13330000000001</v>
      </c>
      <c r="I10" s="63">
        <v>122.0167</v>
      </c>
      <c r="J10" s="63">
        <v>127.63330000000001</v>
      </c>
      <c r="K10" s="63">
        <v>133.14169999999999</v>
      </c>
      <c r="L10" s="63">
        <v>138.64169999999999</v>
      </c>
      <c r="M10" s="63">
        <v>144.7833</v>
      </c>
      <c r="N10" s="63">
        <v>152.26669999999999</v>
      </c>
      <c r="O10" s="63">
        <v>159.4083</v>
      </c>
      <c r="P10" s="63">
        <v>165.04169999999999</v>
      </c>
      <c r="Q10" s="63">
        <v>168.3417</v>
      </c>
      <c r="R10" s="63">
        <v>169.97499999999999</v>
      </c>
      <c r="S10" s="63">
        <v>170.74170000000001</v>
      </c>
      <c r="T10" s="4">
        <v>5</v>
      </c>
      <c r="U10" s="63">
        <v>2.3208385846000041</v>
      </c>
      <c r="V10" s="63">
        <v>2.7581085845999951</v>
      </c>
      <c r="W10" s="63">
        <v>3.196426834600004</v>
      </c>
      <c r="X10" s="63">
        <v>3.6336968346000162</v>
      </c>
      <c r="Y10" s="63">
        <v>4.0709668346000143</v>
      </c>
      <c r="Z10" s="63">
        <v>4.5094348346000004</v>
      </c>
      <c r="AA10" s="63">
        <v>4.9311109999999996</v>
      </c>
      <c r="AB10" s="63">
        <v>5.125</v>
      </c>
      <c r="AC10" s="63">
        <v>5.4241669999999997</v>
      </c>
      <c r="AD10" s="63">
        <v>5.7158329999999999</v>
      </c>
      <c r="AE10" s="63">
        <v>6.0975000000000001</v>
      </c>
      <c r="AF10" s="63">
        <v>7.0558329999999998</v>
      </c>
      <c r="AG10" s="63">
        <v>7.983333</v>
      </c>
      <c r="AH10" s="63">
        <v>7.7208329999999998</v>
      </c>
      <c r="AI10" s="63">
        <v>6.59</v>
      </c>
      <c r="AJ10" s="63">
        <v>5.94</v>
      </c>
      <c r="AK10" s="63">
        <v>5.7983330000000004</v>
      </c>
      <c r="AL10" s="63">
        <v>5.8266669999999996</v>
      </c>
    </row>
    <row r="11" spans="1:38">
      <c r="A11" s="4">
        <v>6</v>
      </c>
      <c r="B11" s="63">
        <v>67.826752484010797</v>
      </c>
      <c r="C11" s="63">
        <v>80.535316655231952</v>
      </c>
      <c r="D11" s="63">
        <v>89.58086595407309</v>
      </c>
      <c r="E11" s="63">
        <v>96.884200880302089</v>
      </c>
      <c r="F11" s="63">
        <v>103.503592992769</v>
      </c>
      <c r="G11" s="63">
        <v>109.9676720638641</v>
      </c>
      <c r="H11" s="63">
        <v>116.7</v>
      </c>
      <c r="I11" s="63">
        <v>122.5</v>
      </c>
      <c r="J11" s="63">
        <v>128.1</v>
      </c>
      <c r="K11" s="63">
        <v>133.6</v>
      </c>
      <c r="L11" s="63">
        <v>139.1</v>
      </c>
      <c r="M11" s="63">
        <v>145.30000000000001</v>
      </c>
      <c r="N11" s="63">
        <v>152.9</v>
      </c>
      <c r="O11" s="63">
        <v>160</v>
      </c>
      <c r="P11" s="63">
        <v>165.5</v>
      </c>
      <c r="Q11" s="63">
        <v>168.6</v>
      </c>
      <c r="R11" s="63">
        <v>170.1</v>
      </c>
      <c r="S11" s="63">
        <v>170.8</v>
      </c>
      <c r="T11" s="4">
        <v>6</v>
      </c>
      <c r="U11" s="63">
        <v>2.3579765846000029</v>
      </c>
      <c r="V11" s="63">
        <v>2.7952465845999939</v>
      </c>
      <c r="W11" s="63">
        <v>3.2325165846000061</v>
      </c>
      <c r="X11" s="63">
        <v>3.6697865846000042</v>
      </c>
      <c r="Y11" s="63">
        <v>4.1082545846000045</v>
      </c>
      <c r="Z11" s="63">
        <v>4.5455245846000025</v>
      </c>
      <c r="AA11" s="63">
        <v>4.96</v>
      </c>
      <c r="AB11" s="63">
        <v>5.14</v>
      </c>
      <c r="AC11" s="63">
        <v>5.45</v>
      </c>
      <c r="AD11" s="63">
        <v>5.74</v>
      </c>
      <c r="AE11" s="63">
        <v>6.13</v>
      </c>
      <c r="AF11" s="63">
        <v>7.14</v>
      </c>
      <c r="AG11" s="63">
        <v>8.06</v>
      </c>
      <c r="AH11" s="63">
        <v>7.69</v>
      </c>
      <c r="AI11" s="63">
        <v>6.49</v>
      </c>
      <c r="AJ11" s="63">
        <v>5.89</v>
      </c>
      <c r="AK11" s="63">
        <v>5.79</v>
      </c>
      <c r="AL11" s="63">
        <v>5.83</v>
      </c>
    </row>
    <row r="12" spans="1:38">
      <c r="A12" s="4">
        <v>7</v>
      </c>
      <c r="B12" s="63">
        <v>69.17092982706049</v>
      </c>
      <c r="C12" s="63">
        <v>81.39702509158289</v>
      </c>
      <c r="D12" s="63">
        <v>90.218598089856471</v>
      </c>
      <c r="E12" s="63">
        <v>97.454926598943644</v>
      </c>
      <c r="F12" s="63">
        <v>104.04270616584536</v>
      </c>
      <c r="G12" s="63">
        <v>110.51535983762344</v>
      </c>
      <c r="H12" s="63">
        <v>117.1833</v>
      </c>
      <c r="I12" s="63">
        <v>122.9667</v>
      </c>
      <c r="J12" s="63">
        <v>128.5583</v>
      </c>
      <c r="K12" s="63">
        <v>134.0583</v>
      </c>
      <c r="L12" s="63">
        <v>139.61670000000001</v>
      </c>
      <c r="M12" s="63">
        <v>145.9333</v>
      </c>
      <c r="N12" s="63">
        <v>153.49170000000001</v>
      </c>
      <c r="O12" s="63">
        <v>160.45830000000001</v>
      </c>
      <c r="P12" s="63">
        <v>165.75829999999999</v>
      </c>
      <c r="Q12" s="63">
        <v>168.72499999999999</v>
      </c>
      <c r="R12" s="63">
        <v>170.1583</v>
      </c>
      <c r="S12" s="63">
        <v>170.8</v>
      </c>
      <c r="T12" s="4">
        <v>7</v>
      </c>
      <c r="U12" s="63">
        <v>2.3939165846000066</v>
      </c>
      <c r="V12" s="63">
        <v>2.8311865846000046</v>
      </c>
      <c r="W12" s="63">
        <v>3.2689807096000152</v>
      </c>
      <c r="X12" s="63">
        <v>3.706250709599999</v>
      </c>
      <c r="Y12" s="63">
        <v>4.1447187095999993</v>
      </c>
      <c r="Z12" s="63">
        <v>4.5819887095999974</v>
      </c>
      <c r="AA12" s="63">
        <v>4.9749999999999996</v>
      </c>
      <c r="AB12" s="63">
        <v>5.1658330000000001</v>
      </c>
      <c r="AC12" s="63">
        <v>5.4741669999999996</v>
      </c>
      <c r="AD12" s="63">
        <v>5.7725</v>
      </c>
      <c r="AE12" s="63">
        <v>6.2141669999999998</v>
      </c>
      <c r="AF12" s="63">
        <v>7.2166670000000002</v>
      </c>
      <c r="AG12" s="63">
        <v>8.0291669999999993</v>
      </c>
      <c r="AH12" s="63">
        <v>7.59</v>
      </c>
      <c r="AI12" s="63">
        <v>6.44</v>
      </c>
      <c r="AJ12" s="63">
        <v>5.8816670000000002</v>
      </c>
      <c r="AK12" s="63">
        <v>5.7933329999999996</v>
      </c>
      <c r="AL12" s="63">
        <v>5.83</v>
      </c>
    </row>
    <row r="13" spans="1:38">
      <c r="A13" s="4">
        <v>8</v>
      </c>
      <c r="B13" s="63">
        <v>70.476840412879653</v>
      </c>
      <c r="C13" s="63">
        <v>82.272057428138226</v>
      </c>
      <c r="D13" s="63">
        <v>90.844090202619952</v>
      </c>
      <c r="E13" s="63">
        <v>98.020477128711718</v>
      </c>
      <c r="F13" s="63">
        <v>104.58068671403383</v>
      </c>
      <c r="G13" s="63">
        <v>111.06594650522372</v>
      </c>
      <c r="H13" s="63">
        <v>117.66670000000001</v>
      </c>
      <c r="I13" s="63">
        <v>123.4333</v>
      </c>
      <c r="J13" s="63">
        <v>129.01669999999999</v>
      </c>
      <c r="K13" s="63">
        <v>134.51669999999999</v>
      </c>
      <c r="L13" s="63">
        <v>140.13329999999999</v>
      </c>
      <c r="M13" s="63">
        <v>146.5667</v>
      </c>
      <c r="N13" s="63">
        <v>154.08330000000001</v>
      </c>
      <c r="O13" s="63">
        <v>160.91669999999999</v>
      </c>
      <c r="P13" s="63">
        <v>166.01669999999999</v>
      </c>
      <c r="Q13" s="63">
        <v>168.85</v>
      </c>
      <c r="R13" s="63">
        <v>170.2167</v>
      </c>
      <c r="S13" s="63">
        <v>170.8</v>
      </c>
      <c r="T13" s="4">
        <v>8</v>
      </c>
      <c r="U13" s="63">
        <v>2.4310545846000053</v>
      </c>
      <c r="V13" s="63">
        <v>2.8683245846000176</v>
      </c>
      <c r="W13" s="63">
        <v>3.3054448345999958</v>
      </c>
      <c r="X13" s="63">
        <v>3.7427148345999939</v>
      </c>
      <c r="Y13" s="63">
        <v>4.1811828345999942</v>
      </c>
      <c r="Z13" s="63">
        <v>4.6184528346000064</v>
      </c>
      <c r="AA13" s="63">
        <v>4.99</v>
      </c>
      <c r="AB13" s="63">
        <v>5.1916669999999998</v>
      </c>
      <c r="AC13" s="63">
        <v>5.4983329999999997</v>
      </c>
      <c r="AD13" s="63">
        <v>5.8049999999999997</v>
      </c>
      <c r="AE13" s="63">
        <v>6.2983330000000004</v>
      </c>
      <c r="AF13" s="63">
        <v>7.2933329999999996</v>
      </c>
      <c r="AG13" s="63">
        <v>7.9983329999999997</v>
      </c>
      <c r="AH13" s="63">
        <v>7.49</v>
      </c>
      <c r="AI13" s="63">
        <v>6.39</v>
      </c>
      <c r="AJ13" s="63">
        <v>5.8733329999999997</v>
      </c>
      <c r="AK13" s="63">
        <v>5.7966670000000002</v>
      </c>
      <c r="AL13" s="63">
        <v>5.83</v>
      </c>
    </row>
    <row r="14" spans="1:38">
      <c r="A14" s="4">
        <v>9</v>
      </c>
      <c r="B14" s="63">
        <v>71.651840465202014</v>
      </c>
      <c r="C14" s="63">
        <v>83.107174801501898</v>
      </c>
      <c r="D14" s="63">
        <v>91.458007268490562</v>
      </c>
      <c r="E14" s="63">
        <v>98.593800335119994</v>
      </c>
      <c r="F14" s="63">
        <v>105.1123585036445</v>
      </c>
      <c r="G14" s="63">
        <v>111.61406463213486</v>
      </c>
      <c r="H14" s="63">
        <v>118.15</v>
      </c>
      <c r="I14" s="63">
        <v>123.9</v>
      </c>
      <c r="J14" s="63">
        <v>129.47499999999999</v>
      </c>
      <c r="K14" s="63">
        <v>134.97499999999999</v>
      </c>
      <c r="L14" s="63">
        <v>140.65</v>
      </c>
      <c r="M14" s="63">
        <v>147.19999999999999</v>
      </c>
      <c r="N14" s="63">
        <v>154.67500000000001</v>
      </c>
      <c r="O14" s="63">
        <v>161.375</v>
      </c>
      <c r="P14" s="63">
        <v>166.27500000000001</v>
      </c>
      <c r="Q14" s="63">
        <v>168.97499999999999</v>
      </c>
      <c r="R14" s="63">
        <v>170.27500000000001</v>
      </c>
      <c r="S14" s="63">
        <v>170.8</v>
      </c>
      <c r="T14" s="4">
        <v>9</v>
      </c>
      <c r="U14" s="63">
        <v>2.4669945846000019</v>
      </c>
      <c r="V14" s="63">
        <v>2.9042645845999999</v>
      </c>
      <c r="W14" s="63">
        <v>3.341534584599998</v>
      </c>
      <c r="X14" s="63">
        <v>3.7800025845999983</v>
      </c>
      <c r="Y14" s="63">
        <v>4.2172725845999963</v>
      </c>
      <c r="Z14" s="63">
        <v>4.6545425846000086</v>
      </c>
      <c r="AA14" s="63">
        <v>5.0049999999999999</v>
      </c>
      <c r="AB14" s="63">
        <v>5.2175000000000002</v>
      </c>
      <c r="AC14" s="63">
        <v>5.5225</v>
      </c>
      <c r="AD14" s="63">
        <v>5.8375000000000004</v>
      </c>
      <c r="AE14" s="63">
        <v>6.3825000000000003</v>
      </c>
      <c r="AF14" s="63">
        <v>7.37</v>
      </c>
      <c r="AG14" s="63">
        <v>7.9675000000000002</v>
      </c>
      <c r="AH14" s="63">
        <v>7.39</v>
      </c>
      <c r="AI14" s="63">
        <v>6.34</v>
      </c>
      <c r="AJ14" s="63">
        <v>5.8650000000000002</v>
      </c>
      <c r="AK14" s="63">
        <v>5.8</v>
      </c>
      <c r="AL14" s="63">
        <v>5.83</v>
      </c>
    </row>
    <row r="15" spans="1:38">
      <c r="A15" s="4">
        <v>10</v>
      </c>
      <c r="B15" s="63">
        <v>72.780054455515398</v>
      </c>
      <c r="C15" s="63">
        <v>83.910998885104988</v>
      </c>
      <c r="D15" s="63">
        <v>92.09045542265558</v>
      </c>
      <c r="E15" s="63">
        <v>99.149911233563415</v>
      </c>
      <c r="F15" s="63">
        <v>105.64908538927239</v>
      </c>
      <c r="G15" s="63">
        <v>112.17141928326934</v>
      </c>
      <c r="H15" s="63">
        <v>118.63330000000001</v>
      </c>
      <c r="I15" s="63">
        <v>124.36669999999999</v>
      </c>
      <c r="J15" s="63">
        <v>129.9333</v>
      </c>
      <c r="K15" s="63">
        <v>135.4333</v>
      </c>
      <c r="L15" s="63">
        <v>141.16669999999999</v>
      </c>
      <c r="M15" s="63">
        <v>147.83330000000001</v>
      </c>
      <c r="N15" s="63">
        <v>155.26669999999999</v>
      </c>
      <c r="O15" s="63">
        <v>161.83330000000001</v>
      </c>
      <c r="P15" s="63">
        <v>166.5333</v>
      </c>
      <c r="Q15" s="63">
        <v>169.1</v>
      </c>
      <c r="R15" s="63">
        <v>170.33330000000001</v>
      </c>
      <c r="S15" s="63">
        <v>170.8</v>
      </c>
      <c r="T15" s="4">
        <v>10</v>
      </c>
      <c r="U15" s="63">
        <v>2.5029345845999842</v>
      </c>
      <c r="V15" s="63">
        <v>2.9414025845999845</v>
      </c>
      <c r="W15" s="63">
        <v>3.3779987095999928</v>
      </c>
      <c r="X15" s="63">
        <v>3.8164667096000073</v>
      </c>
      <c r="Y15" s="63">
        <v>4.2537367095999912</v>
      </c>
      <c r="Z15" s="63">
        <v>4.6910067095999892</v>
      </c>
      <c r="AA15" s="63">
        <v>5.0199999999999996</v>
      </c>
      <c r="AB15" s="63">
        <v>5.2433329999999998</v>
      </c>
      <c r="AC15" s="63">
        <v>5.5466670000000002</v>
      </c>
      <c r="AD15" s="63">
        <v>5.87</v>
      </c>
      <c r="AE15" s="63">
        <v>6.4666670000000002</v>
      </c>
      <c r="AF15" s="63">
        <v>7.4466669999999997</v>
      </c>
      <c r="AG15" s="63">
        <v>7.9366669999999999</v>
      </c>
      <c r="AH15" s="63">
        <v>7.29</v>
      </c>
      <c r="AI15" s="63">
        <v>6.29</v>
      </c>
      <c r="AJ15" s="63">
        <v>5.8566669999999998</v>
      </c>
      <c r="AK15" s="63">
        <v>5.8033330000000003</v>
      </c>
      <c r="AL15" s="63">
        <v>5.83</v>
      </c>
    </row>
    <row r="16" spans="1:38">
      <c r="A16" s="4">
        <v>11</v>
      </c>
      <c r="B16" s="63">
        <v>73.911783804340175</v>
      </c>
      <c r="C16" s="63">
        <v>84.671972659755511</v>
      </c>
      <c r="D16" s="63">
        <v>92.714701987586395</v>
      </c>
      <c r="E16" s="63">
        <v>99.701863106758111</v>
      </c>
      <c r="F16" s="63">
        <v>106.18568476838043</v>
      </c>
      <c r="G16" s="63">
        <v>112.73267794661288</v>
      </c>
      <c r="H16" s="63">
        <v>119.11669999999999</v>
      </c>
      <c r="I16" s="63">
        <v>124.83329999999999</v>
      </c>
      <c r="J16" s="63">
        <v>130.39169999999999</v>
      </c>
      <c r="K16" s="63">
        <v>135.89169999999999</v>
      </c>
      <c r="L16" s="63">
        <v>141.6833</v>
      </c>
      <c r="M16" s="63">
        <v>148.4667</v>
      </c>
      <c r="N16" s="63">
        <v>155.85830000000001</v>
      </c>
      <c r="O16" s="63">
        <v>162.29169999999999</v>
      </c>
      <c r="P16" s="63">
        <v>166.79169999999999</v>
      </c>
      <c r="Q16" s="63">
        <v>169.22499999999999</v>
      </c>
      <c r="R16" s="63">
        <v>170.39169999999999</v>
      </c>
      <c r="S16" s="63">
        <v>170.8</v>
      </c>
      <c r="T16" s="4">
        <v>11</v>
      </c>
      <c r="U16" s="63">
        <v>2.5400725845999972</v>
      </c>
      <c r="V16" s="63">
        <v>2.9773425846000094</v>
      </c>
      <c r="W16" s="63">
        <v>3.4144628346000019</v>
      </c>
      <c r="X16" s="63">
        <v>3.852930834599988</v>
      </c>
      <c r="Y16" s="63">
        <v>4.2902008346000002</v>
      </c>
      <c r="Z16" s="63">
        <v>4.7274708346000125</v>
      </c>
      <c r="AA16" s="63">
        <v>5.0350000000000001</v>
      </c>
      <c r="AB16" s="63">
        <v>5.2691670000000004</v>
      </c>
      <c r="AC16" s="63">
        <v>5.5708330000000004</v>
      </c>
      <c r="AD16" s="63">
        <v>5.9024999999999999</v>
      </c>
      <c r="AE16" s="63">
        <v>6.5508329999999999</v>
      </c>
      <c r="AF16" s="63">
        <v>7.523333</v>
      </c>
      <c r="AG16" s="63">
        <v>7.9058330000000003</v>
      </c>
      <c r="AH16" s="63">
        <v>7.19</v>
      </c>
      <c r="AI16" s="63">
        <v>6.24</v>
      </c>
      <c r="AJ16" s="63">
        <v>5.8483330000000002</v>
      </c>
      <c r="AK16" s="63">
        <v>5.806667</v>
      </c>
      <c r="AL16" s="63">
        <v>5.83</v>
      </c>
    </row>
    <row r="20" spans="1:38">
      <c r="A20" s="4" t="s">
        <v>0</v>
      </c>
      <c r="G20" s="63"/>
      <c r="H20" s="63"/>
      <c r="I20" s="63"/>
      <c r="J20" s="63"/>
      <c r="K20" s="63"/>
      <c r="L20" s="63"/>
      <c r="M20" s="63"/>
      <c r="N20" s="63"/>
      <c r="O20" s="63"/>
      <c r="P20" s="63"/>
      <c r="Q20" s="63"/>
      <c r="R20" s="63"/>
      <c r="S20" s="63"/>
    </row>
    <row r="21" spans="1:38">
      <c r="A21" s="4" t="s">
        <v>2</v>
      </c>
      <c r="B21" s="4">
        <v>0</v>
      </c>
      <c r="C21" s="4">
        <v>1</v>
      </c>
      <c r="D21" s="4">
        <v>2</v>
      </c>
      <c r="E21" s="4">
        <v>3</v>
      </c>
      <c r="F21" s="4">
        <v>4</v>
      </c>
      <c r="G21" s="4">
        <v>5</v>
      </c>
      <c r="H21" s="4">
        <v>6</v>
      </c>
      <c r="I21" s="4">
        <v>7</v>
      </c>
      <c r="J21" s="4">
        <v>8</v>
      </c>
      <c r="K21" s="4">
        <v>9</v>
      </c>
      <c r="L21" s="4">
        <v>10</v>
      </c>
      <c r="M21" s="4">
        <v>11</v>
      </c>
      <c r="N21" s="4">
        <v>12</v>
      </c>
      <c r="O21" s="4">
        <v>13</v>
      </c>
      <c r="P21" s="4">
        <v>14</v>
      </c>
      <c r="Q21" s="4">
        <v>15</v>
      </c>
      <c r="R21" s="4">
        <v>16</v>
      </c>
      <c r="S21" s="4">
        <v>17</v>
      </c>
      <c r="T21" s="4" t="s">
        <v>3</v>
      </c>
      <c r="U21" s="4">
        <v>0</v>
      </c>
      <c r="V21" s="4">
        <v>1</v>
      </c>
      <c r="W21" s="4">
        <v>2</v>
      </c>
      <c r="X21" s="4">
        <v>3</v>
      </c>
      <c r="Y21" s="4">
        <v>4</v>
      </c>
      <c r="Z21" s="4">
        <v>5</v>
      </c>
      <c r="AA21" s="4">
        <v>6</v>
      </c>
      <c r="AB21" s="4">
        <v>7</v>
      </c>
      <c r="AC21" s="4">
        <v>8</v>
      </c>
      <c r="AD21" s="4">
        <v>9</v>
      </c>
      <c r="AE21" s="4">
        <v>10</v>
      </c>
      <c r="AF21" s="4">
        <v>11</v>
      </c>
      <c r="AG21" s="4">
        <v>12</v>
      </c>
      <c r="AH21" s="4">
        <v>13</v>
      </c>
      <c r="AI21" s="4">
        <v>14</v>
      </c>
      <c r="AJ21" s="4">
        <v>15</v>
      </c>
      <c r="AK21" s="4">
        <v>16</v>
      </c>
      <c r="AL21" s="4">
        <v>17</v>
      </c>
    </row>
    <row r="22" spans="1:38">
      <c r="A22" s="4">
        <v>0</v>
      </c>
      <c r="B22" s="63">
        <v>48.403121748179018</v>
      </c>
      <c r="C22" s="63">
        <v>73.375284889913331</v>
      </c>
      <c r="D22" s="63">
        <v>84.293911109437914</v>
      </c>
      <c r="E22" s="63">
        <v>92.214427495343784</v>
      </c>
      <c r="F22" s="63">
        <v>99.454292099204409</v>
      </c>
      <c r="G22" s="63">
        <v>106.16575185412472</v>
      </c>
      <c r="H22" s="63">
        <v>112.73309581868564</v>
      </c>
      <c r="I22" s="63">
        <v>118.75</v>
      </c>
      <c r="J22" s="63">
        <v>124.6</v>
      </c>
      <c r="K22" s="63">
        <v>130.5</v>
      </c>
      <c r="L22" s="63">
        <v>136.9</v>
      </c>
      <c r="M22" s="63">
        <v>143.69999999999999</v>
      </c>
      <c r="N22" s="63">
        <v>149.6</v>
      </c>
      <c r="O22" s="63">
        <v>153.6</v>
      </c>
      <c r="P22" s="63">
        <v>155.94999999999999</v>
      </c>
      <c r="Q22" s="63">
        <v>157.05000000000001</v>
      </c>
      <c r="R22" s="63">
        <v>157.5</v>
      </c>
      <c r="S22" s="63">
        <v>157.9</v>
      </c>
      <c r="T22" s="4">
        <v>0</v>
      </c>
      <c r="U22" s="63">
        <v>2.0785187300000061</v>
      </c>
      <c r="V22" s="63">
        <v>2.5062987299999975</v>
      </c>
      <c r="W22" s="63">
        <v>2.9352507299999928</v>
      </c>
      <c r="X22" s="63">
        <v>3.3630307299999913</v>
      </c>
      <c r="Y22" s="63">
        <v>3.790810730000004</v>
      </c>
      <c r="Z22" s="63">
        <v>4.2185907300000025</v>
      </c>
      <c r="AA22" s="63">
        <v>4.6475427300000121</v>
      </c>
      <c r="AB22" s="63">
        <v>5</v>
      </c>
      <c r="AC22" s="63">
        <v>5.35</v>
      </c>
      <c r="AD22" s="63">
        <v>5.87</v>
      </c>
      <c r="AE22" s="63">
        <v>6.48</v>
      </c>
      <c r="AF22" s="63">
        <v>6.73</v>
      </c>
      <c r="AG22" s="63">
        <v>6.3</v>
      </c>
      <c r="AH22" s="63">
        <v>5.665</v>
      </c>
      <c r="AI22" s="63">
        <v>5.35</v>
      </c>
      <c r="AJ22" s="63">
        <v>5.26</v>
      </c>
      <c r="AK22" s="63">
        <v>5.2249999999999996</v>
      </c>
      <c r="AL22" s="63">
        <v>5.24</v>
      </c>
    </row>
    <row r="23" spans="1:38">
      <c r="A23" s="4">
        <v>1</v>
      </c>
      <c r="B23" s="63">
        <v>52.601481267943271</v>
      </c>
      <c r="C23" s="63">
        <v>74.456771262361599</v>
      </c>
      <c r="D23" s="63">
        <v>85.00792341769322</v>
      </c>
      <c r="E23" s="63">
        <v>92.841384975115304</v>
      </c>
      <c r="F23" s="63">
        <v>100.02796668401568</v>
      </c>
      <c r="G23" s="63">
        <v>106.72713874975474</v>
      </c>
      <c r="H23" s="63">
        <v>113.26135057239921</v>
      </c>
      <c r="I23" s="63">
        <v>119.24169999999999</v>
      </c>
      <c r="J23" s="63">
        <v>125.08329999999999</v>
      </c>
      <c r="K23" s="63">
        <v>131</v>
      </c>
      <c r="L23" s="63">
        <v>137.4667</v>
      </c>
      <c r="M23" s="63">
        <v>144.26669999999999</v>
      </c>
      <c r="N23" s="63">
        <v>150.01669999999999</v>
      </c>
      <c r="O23" s="63">
        <v>153.85</v>
      </c>
      <c r="P23" s="63">
        <v>156.0917</v>
      </c>
      <c r="Q23" s="63">
        <v>157.0917</v>
      </c>
      <c r="R23" s="63">
        <v>157.5333</v>
      </c>
      <c r="S23" s="63">
        <v>157.9333</v>
      </c>
      <c r="T23" s="4">
        <v>1</v>
      </c>
      <c r="U23" s="63">
        <v>2.1136787299999966</v>
      </c>
      <c r="V23" s="63">
        <v>2.5426307299999991</v>
      </c>
      <c r="W23" s="63">
        <v>2.9703374799999978</v>
      </c>
      <c r="X23" s="63">
        <v>3.3984104799999955</v>
      </c>
      <c r="Y23" s="63">
        <v>3.8264834799999932</v>
      </c>
      <c r="Z23" s="63">
        <v>4.2545564800000051</v>
      </c>
      <c r="AA23" s="63">
        <v>4.6826294799999886</v>
      </c>
      <c r="AB23" s="63">
        <v>5.0216669999999999</v>
      </c>
      <c r="AC23" s="63">
        <v>5.3866670000000001</v>
      </c>
      <c r="AD23" s="63">
        <v>5.92</v>
      </c>
      <c r="AE23" s="63">
        <v>6.5316669999999997</v>
      </c>
      <c r="AF23" s="63">
        <v>6.72</v>
      </c>
      <c r="AG23" s="63">
        <v>6.2383329999999999</v>
      </c>
      <c r="AH23" s="63">
        <v>5.6208330000000002</v>
      </c>
      <c r="AI23" s="63">
        <v>5.3416670000000002</v>
      </c>
      <c r="AJ23" s="63">
        <v>5.2533329999999996</v>
      </c>
      <c r="AK23" s="63">
        <v>5.2258329999999997</v>
      </c>
      <c r="AL23" s="63">
        <v>5.2416669999999996</v>
      </c>
    </row>
    <row r="24" spans="1:38">
      <c r="A24" s="4">
        <v>2</v>
      </c>
      <c r="B24" s="63">
        <v>56.677829855424577</v>
      </c>
      <c r="C24" s="63">
        <v>75.47857512411889</v>
      </c>
      <c r="D24" s="63">
        <v>85.714842385355979</v>
      </c>
      <c r="E24" s="63">
        <v>93.467942618423464</v>
      </c>
      <c r="F24" s="63">
        <v>100.5976416267718</v>
      </c>
      <c r="G24" s="63">
        <v>107.28155824409532</v>
      </c>
      <c r="H24" s="63">
        <v>113.79766698461601</v>
      </c>
      <c r="I24" s="63">
        <v>119.7333</v>
      </c>
      <c r="J24" s="63">
        <v>125.5667</v>
      </c>
      <c r="K24" s="63">
        <v>131.5</v>
      </c>
      <c r="L24" s="63">
        <v>138.0333</v>
      </c>
      <c r="M24" s="63">
        <v>144.83330000000001</v>
      </c>
      <c r="N24" s="63">
        <v>150.4333</v>
      </c>
      <c r="O24" s="63">
        <v>154.1</v>
      </c>
      <c r="P24" s="63">
        <v>156.23330000000001</v>
      </c>
      <c r="Q24" s="63">
        <v>157.13329999999999</v>
      </c>
      <c r="R24" s="63">
        <v>157.5667</v>
      </c>
      <c r="S24" s="63">
        <v>157.9667</v>
      </c>
      <c r="T24" s="4">
        <v>2</v>
      </c>
      <c r="U24" s="63">
        <v>2.1500107299999911</v>
      </c>
      <c r="V24" s="63">
        <v>2.5777907300000038</v>
      </c>
      <c r="W24" s="63">
        <v>3.0060102300000011</v>
      </c>
      <c r="X24" s="63">
        <v>3.4340832299999988</v>
      </c>
      <c r="Y24" s="63">
        <v>3.8621562299999965</v>
      </c>
      <c r="Z24" s="63">
        <v>4.2902292300000084</v>
      </c>
      <c r="AA24" s="63">
        <v>4.7183022300000061</v>
      </c>
      <c r="AB24" s="63">
        <v>5.0433329999999996</v>
      </c>
      <c r="AC24" s="63">
        <v>5.4233330000000004</v>
      </c>
      <c r="AD24" s="63">
        <v>5.97</v>
      </c>
      <c r="AE24" s="63">
        <v>6.5833329999999997</v>
      </c>
      <c r="AF24" s="63">
        <v>6.71</v>
      </c>
      <c r="AG24" s="63">
        <v>6.1766670000000001</v>
      </c>
      <c r="AH24" s="63">
        <v>5.5766669999999996</v>
      </c>
      <c r="AI24" s="63">
        <v>5.3333329999999997</v>
      </c>
      <c r="AJ24" s="63">
        <v>5.2466670000000004</v>
      </c>
      <c r="AK24" s="63">
        <v>5.226667</v>
      </c>
      <c r="AL24" s="63">
        <v>5.2433329999999998</v>
      </c>
    </row>
    <row r="25" spans="1:38">
      <c r="A25" s="4">
        <v>3</v>
      </c>
      <c r="B25" s="63">
        <v>59.956753963437343</v>
      </c>
      <c r="C25" s="63">
        <v>76.507800491253647</v>
      </c>
      <c r="D25" s="63">
        <v>86.407481182616479</v>
      </c>
      <c r="E25" s="63">
        <v>94.087749665596164</v>
      </c>
      <c r="F25" s="63">
        <v>101.15766162520259</v>
      </c>
      <c r="G25" s="63">
        <v>107.84164956728844</v>
      </c>
      <c r="H25" s="63">
        <v>114.0667</v>
      </c>
      <c r="I25" s="63">
        <v>120.22499999999999</v>
      </c>
      <c r="J25" s="63">
        <v>126.05</v>
      </c>
      <c r="K25" s="63">
        <v>132</v>
      </c>
      <c r="L25" s="63">
        <v>138.6</v>
      </c>
      <c r="M25" s="63">
        <v>145.4</v>
      </c>
      <c r="N25" s="63">
        <v>150.85</v>
      </c>
      <c r="O25" s="63">
        <v>154.35</v>
      </c>
      <c r="P25" s="63">
        <v>156.375</v>
      </c>
      <c r="Q25" s="63">
        <v>157.17500000000001</v>
      </c>
      <c r="R25" s="63">
        <v>157.6</v>
      </c>
      <c r="S25" s="63">
        <v>158</v>
      </c>
      <c r="T25" s="4">
        <v>3</v>
      </c>
      <c r="U25" s="63">
        <v>2.1851707300000029</v>
      </c>
      <c r="V25" s="63">
        <v>2.6141227300000054</v>
      </c>
      <c r="W25" s="63">
        <v>3.0419027300000039</v>
      </c>
      <c r="X25" s="63">
        <v>3.4696827300000024</v>
      </c>
      <c r="Y25" s="63">
        <v>3.8974627299999867</v>
      </c>
      <c r="Z25" s="63">
        <v>4.3264147300000104</v>
      </c>
      <c r="AA25" s="63">
        <v>4.6466669999999999</v>
      </c>
      <c r="AB25" s="63">
        <v>5.0650000000000004</v>
      </c>
      <c r="AC25" s="63">
        <v>5.46</v>
      </c>
      <c r="AD25" s="63">
        <v>6.02</v>
      </c>
      <c r="AE25" s="63">
        <v>6.6349999999999998</v>
      </c>
      <c r="AF25" s="63">
        <v>6.7</v>
      </c>
      <c r="AG25" s="63">
        <v>6.1150000000000002</v>
      </c>
      <c r="AH25" s="63">
        <v>5.5324999999999998</v>
      </c>
      <c r="AI25" s="63">
        <v>5.3250000000000002</v>
      </c>
      <c r="AJ25" s="63">
        <v>5.24</v>
      </c>
      <c r="AK25" s="63">
        <v>5.2275</v>
      </c>
      <c r="AL25" s="63">
        <v>5.2450000000000001</v>
      </c>
    </row>
    <row r="26" spans="1:38">
      <c r="A26" s="4">
        <v>4</v>
      </c>
      <c r="B26" s="63">
        <v>62.618945240707419</v>
      </c>
      <c r="C26" s="63">
        <v>77.461733341242535</v>
      </c>
      <c r="D26" s="63">
        <v>87.074364538717077</v>
      </c>
      <c r="E26" s="63">
        <v>94.704750132382188</v>
      </c>
      <c r="F26" s="63">
        <v>101.72553119193002</v>
      </c>
      <c r="G26" s="63">
        <v>108.38378436472584</v>
      </c>
      <c r="H26" s="63">
        <v>114.6444</v>
      </c>
      <c r="I26" s="63">
        <v>120.7167</v>
      </c>
      <c r="J26" s="63">
        <v>126.5333</v>
      </c>
      <c r="K26" s="63">
        <v>132.5</v>
      </c>
      <c r="L26" s="63">
        <v>139.16669999999999</v>
      </c>
      <c r="M26" s="63">
        <v>145.9667</v>
      </c>
      <c r="N26" s="63">
        <v>151.26669999999999</v>
      </c>
      <c r="O26" s="63">
        <v>154.6</v>
      </c>
      <c r="P26" s="63">
        <v>156.51669999999999</v>
      </c>
      <c r="Q26" s="63">
        <v>157.2167</v>
      </c>
      <c r="R26" s="63">
        <v>157.63329999999999</v>
      </c>
      <c r="S26" s="63">
        <v>158.0333</v>
      </c>
      <c r="T26" s="4">
        <v>4</v>
      </c>
      <c r="U26" s="63">
        <v>2.2215027299999974</v>
      </c>
      <c r="V26" s="63">
        <v>2.6492827300000101</v>
      </c>
      <c r="W26" s="63">
        <v>3.0773557300000078</v>
      </c>
      <c r="X26" s="63">
        <v>3.5054287300000055</v>
      </c>
      <c r="Y26" s="63">
        <v>3.9335017300000032</v>
      </c>
      <c r="Z26" s="63">
        <v>4.3615747299999867</v>
      </c>
      <c r="AA26" s="63">
        <v>4.7211109999999996</v>
      </c>
      <c r="AB26" s="63">
        <v>5.0866670000000003</v>
      </c>
      <c r="AC26" s="63">
        <v>5.4966670000000004</v>
      </c>
      <c r="AD26" s="63">
        <v>6.07</v>
      </c>
      <c r="AE26" s="63">
        <v>6.6866669999999999</v>
      </c>
      <c r="AF26" s="63">
        <v>6.69</v>
      </c>
      <c r="AG26" s="63">
        <v>6.0533330000000003</v>
      </c>
      <c r="AH26" s="63">
        <v>5.4883329999999999</v>
      </c>
      <c r="AI26" s="63">
        <v>5.3166669999999998</v>
      </c>
      <c r="AJ26" s="63">
        <v>5.233333</v>
      </c>
      <c r="AK26" s="63">
        <v>5.2283330000000001</v>
      </c>
      <c r="AL26" s="63">
        <v>5.2466670000000004</v>
      </c>
    </row>
    <row r="27" spans="1:38">
      <c r="A27" s="4">
        <v>5</v>
      </c>
      <c r="B27" s="63">
        <v>64.607606263077145</v>
      </c>
      <c r="C27" s="63">
        <v>78.399812084560708</v>
      </c>
      <c r="D27" s="63">
        <v>87.729460756254298</v>
      </c>
      <c r="E27" s="63">
        <v>95.315269305938472</v>
      </c>
      <c r="F27" s="63">
        <v>102.28401511723784</v>
      </c>
      <c r="G27" s="63">
        <v>108.93186029392166</v>
      </c>
      <c r="H27" s="63">
        <v>115.2222</v>
      </c>
      <c r="I27" s="63">
        <v>121.20829999999999</v>
      </c>
      <c r="J27" s="63">
        <v>127.0167</v>
      </c>
      <c r="K27" s="63">
        <v>133</v>
      </c>
      <c r="L27" s="63">
        <v>139.73330000000001</v>
      </c>
      <c r="M27" s="63">
        <v>146.5333</v>
      </c>
      <c r="N27" s="63">
        <v>151.6833</v>
      </c>
      <c r="O27" s="63">
        <v>154.85</v>
      </c>
      <c r="P27" s="63">
        <v>156.6583</v>
      </c>
      <c r="Q27" s="63">
        <v>157.25829999999999</v>
      </c>
      <c r="R27" s="63">
        <v>157.66669999999999</v>
      </c>
      <c r="S27" s="63">
        <v>158.0667</v>
      </c>
      <c r="T27" s="4">
        <v>5</v>
      </c>
      <c r="U27" s="63">
        <v>2.2566627300000022</v>
      </c>
      <c r="V27" s="63">
        <v>2.6844427300000007</v>
      </c>
      <c r="W27" s="63">
        <v>3.1130284800000112</v>
      </c>
      <c r="X27" s="63">
        <v>3.5411014799999947</v>
      </c>
      <c r="Y27" s="63">
        <v>3.9691744800000066</v>
      </c>
      <c r="Z27" s="63">
        <v>4.3972474799999901</v>
      </c>
      <c r="AA27" s="63">
        <v>4.7955560000000004</v>
      </c>
      <c r="AB27" s="63">
        <v>5.108333</v>
      </c>
      <c r="AC27" s="63">
        <v>5.5333329999999998</v>
      </c>
      <c r="AD27" s="63">
        <v>6.12</v>
      </c>
      <c r="AE27" s="63">
        <v>6.7383329999999999</v>
      </c>
      <c r="AF27" s="63">
        <v>6.68</v>
      </c>
      <c r="AG27" s="63">
        <v>5.9916669999999996</v>
      </c>
      <c r="AH27" s="63">
        <v>5.4441670000000002</v>
      </c>
      <c r="AI27" s="63">
        <v>5.3083330000000002</v>
      </c>
      <c r="AJ27" s="63">
        <v>5.226667</v>
      </c>
      <c r="AK27" s="63">
        <v>5.2291670000000003</v>
      </c>
      <c r="AL27" s="63">
        <v>5.2483329999999997</v>
      </c>
    </row>
    <row r="28" spans="1:38">
      <c r="A28" s="4">
        <v>6</v>
      </c>
      <c r="B28" s="63">
        <v>66.230348380164259</v>
      </c>
      <c r="C28" s="63">
        <v>79.350755047066613</v>
      </c>
      <c r="D28" s="63">
        <v>88.367665719181929</v>
      </c>
      <c r="E28" s="63">
        <v>95.91328272366006</v>
      </c>
      <c r="F28" s="63">
        <v>102.84585505066036</v>
      </c>
      <c r="G28" s="63">
        <v>109.480330632533</v>
      </c>
      <c r="H28" s="63">
        <v>115.8</v>
      </c>
      <c r="I28" s="63">
        <v>121.7</v>
      </c>
      <c r="J28" s="63">
        <v>127.5</v>
      </c>
      <c r="K28" s="63">
        <v>133.5</v>
      </c>
      <c r="L28" s="63">
        <v>140.30000000000001</v>
      </c>
      <c r="M28" s="63">
        <v>147.1</v>
      </c>
      <c r="N28" s="63">
        <v>152.1</v>
      </c>
      <c r="O28" s="63">
        <v>155.1</v>
      </c>
      <c r="P28" s="63">
        <v>156.80000000000001</v>
      </c>
      <c r="Q28" s="63">
        <v>157.30000000000001</v>
      </c>
      <c r="R28" s="63">
        <v>157.69999999999999</v>
      </c>
      <c r="S28" s="63">
        <v>158.1</v>
      </c>
      <c r="T28" s="4">
        <v>6</v>
      </c>
      <c r="U28" s="63">
        <v>2.2929947300000109</v>
      </c>
      <c r="V28" s="63">
        <v>2.7207747300000023</v>
      </c>
      <c r="W28" s="63">
        <v>3.1485547300000007</v>
      </c>
      <c r="X28" s="63">
        <v>3.5763347299999992</v>
      </c>
      <c r="Y28" s="63">
        <v>4.0052867300000088</v>
      </c>
      <c r="Z28" s="63">
        <v>4.4330667299999931</v>
      </c>
      <c r="AA28" s="63">
        <v>4.87</v>
      </c>
      <c r="AB28" s="63">
        <v>5.13</v>
      </c>
      <c r="AC28" s="63">
        <v>5.57</v>
      </c>
      <c r="AD28" s="63">
        <v>6.17</v>
      </c>
      <c r="AE28" s="63">
        <v>6.79</v>
      </c>
      <c r="AF28" s="63">
        <v>6.67</v>
      </c>
      <c r="AG28" s="63">
        <v>5.93</v>
      </c>
      <c r="AH28" s="63">
        <v>5.4</v>
      </c>
      <c r="AI28" s="63">
        <v>5.3</v>
      </c>
      <c r="AJ28" s="63">
        <v>5.22</v>
      </c>
      <c r="AK28" s="63">
        <v>5.23</v>
      </c>
      <c r="AL28" s="63">
        <v>5.25</v>
      </c>
    </row>
    <row r="29" spans="1:38">
      <c r="A29" s="4">
        <v>7</v>
      </c>
      <c r="B29" s="63">
        <v>67.53821287457184</v>
      </c>
      <c r="C29" s="63">
        <v>80.250761534110495</v>
      </c>
      <c r="D29" s="63">
        <v>88.998695626144197</v>
      </c>
      <c r="E29" s="63">
        <v>96.521211743469422</v>
      </c>
      <c r="F29" s="63">
        <v>103.3907345105753</v>
      </c>
      <c r="G29" s="63">
        <v>110.02261114733859</v>
      </c>
      <c r="H29" s="63">
        <v>116.29170000000001</v>
      </c>
      <c r="I29" s="63">
        <v>122.1833</v>
      </c>
      <c r="J29" s="63">
        <v>128</v>
      </c>
      <c r="K29" s="63">
        <v>134.0667</v>
      </c>
      <c r="L29" s="63">
        <v>140.86670000000001</v>
      </c>
      <c r="M29" s="63">
        <v>147.51669999999999</v>
      </c>
      <c r="N29" s="63">
        <v>152.35</v>
      </c>
      <c r="O29" s="63">
        <v>155.24170000000001</v>
      </c>
      <c r="P29" s="63">
        <v>156.8417</v>
      </c>
      <c r="Q29" s="63">
        <v>157.33330000000001</v>
      </c>
      <c r="R29" s="63">
        <v>157.73330000000001</v>
      </c>
      <c r="S29" s="63">
        <v>158.1</v>
      </c>
      <c r="T29" s="4">
        <v>7</v>
      </c>
      <c r="U29" s="63">
        <v>2.3281547299999943</v>
      </c>
      <c r="V29" s="63">
        <v>2.755934730000007</v>
      </c>
      <c r="W29" s="63">
        <v>3.1843739800000037</v>
      </c>
      <c r="X29" s="63">
        <v>3.6124469800000014</v>
      </c>
      <c r="Y29" s="63">
        <v>4.0405199799999991</v>
      </c>
      <c r="Z29" s="63">
        <v>4.4685929799999968</v>
      </c>
      <c r="AA29" s="63">
        <v>4.891667</v>
      </c>
      <c r="AB29" s="63">
        <v>5.1666670000000003</v>
      </c>
      <c r="AC29" s="63">
        <v>5.62</v>
      </c>
      <c r="AD29" s="63">
        <v>6.2216670000000001</v>
      </c>
      <c r="AE29" s="63">
        <v>6.78</v>
      </c>
      <c r="AF29" s="63">
        <v>6.608333</v>
      </c>
      <c r="AG29" s="63">
        <v>5.8858329999999999</v>
      </c>
      <c r="AH29" s="63">
        <v>5.391667</v>
      </c>
      <c r="AI29" s="63">
        <v>5.2933329999999996</v>
      </c>
      <c r="AJ29" s="63">
        <v>5.2208329999999998</v>
      </c>
      <c r="AK29" s="63">
        <v>5.2316669999999998</v>
      </c>
      <c r="AL29" s="63">
        <v>5.25</v>
      </c>
    </row>
    <row r="30" spans="1:38">
      <c r="A30" s="4">
        <v>8</v>
      </c>
      <c r="B30" s="63">
        <v>68.851906654146376</v>
      </c>
      <c r="C30" s="63">
        <v>81.156960722898646</v>
      </c>
      <c r="D30" s="63">
        <v>89.616784585697019</v>
      </c>
      <c r="E30" s="63">
        <v>97.11690431034981</v>
      </c>
      <c r="F30" s="63">
        <v>103.93923928151064</v>
      </c>
      <c r="G30" s="63">
        <v>110.56555537446548</v>
      </c>
      <c r="H30" s="63">
        <v>116.7833</v>
      </c>
      <c r="I30" s="63">
        <v>122.66670000000001</v>
      </c>
      <c r="J30" s="63">
        <v>128.5</v>
      </c>
      <c r="K30" s="63">
        <v>134.63329999999999</v>
      </c>
      <c r="L30" s="63">
        <v>141.4333</v>
      </c>
      <c r="M30" s="63">
        <v>147.9333</v>
      </c>
      <c r="N30" s="63">
        <v>152.6</v>
      </c>
      <c r="O30" s="63">
        <v>155.38329999999999</v>
      </c>
      <c r="P30" s="63">
        <v>156.88329999999999</v>
      </c>
      <c r="Q30" s="63">
        <v>157.36670000000001</v>
      </c>
      <c r="R30" s="63">
        <v>157.76669999999999</v>
      </c>
      <c r="S30" s="63">
        <v>158.1</v>
      </c>
      <c r="T30" s="4">
        <v>8</v>
      </c>
      <c r="U30" s="63">
        <v>2.364486730000003</v>
      </c>
      <c r="V30" s="63">
        <v>2.7922667299999944</v>
      </c>
      <c r="W30" s="63">
        <v>3.2200467300000071</v>
      </c>
      <c r="X30" s="63">
        <v>3.6481197300000048</v>
      </c>
      <c r="Y30" s="63">
        <v>4.0761927299999883</v>
      </c>
      <c r="Z30" s="63">
        <v>4.5042657300000002</v>
      </c>
      <c r="AA30" s="63">
        <v>4.9133329999999997</v>
      </c>
      <c r="AB30" s="63">
        <v>5.2033329999999998</v>
      </c>
      <c r="AC30" s="63">
        <v>5.67</v>
      </c>
      <c r="AD30" s="63">
        <v>6.273333</v>
      </c>
      <c r="AE30" s="63">
        <v>6.77</v>
      </c>
      <c r="AF30" s="63">
        <v>6.5466670000000002</v>
      </c>
      <c r="AG30" s="63">
        <v>5.8416670000000002</v>
      </c>
      <c r="AH30" s="63">
        <v>5.3833330000000004</v>
      </c>
      <c r="AI30" s="63">
        <v>5.2866669999999996</v>
      </c>
      <c r="AJ30" s="63">
        <v>5.2216670000000001</v>
      </c>
      <c r="AK30" s="63">
        <v>5.233333</v>
      </c>
      <c r="AL30" s="63">
        <v>5.25</v>
      </c>
    </row>
    <row r="31" spans="1:38">
      <c r="A31" s="4">
        <v>9</v>
      </c>
      <c r="B31" s="63">
        <v>70.03460237841243</v>
      </c>
      <c r="C31" s="63">
        <v>81.98243469616267</v>
      </c>
      <c r="D31" s="63">
        <v>90.268268316078618</v>
      </c>
      <c r="E31" s="63">
        <v>97.713968175108974</v>
      </c>
      <c r="F31" s="63">
        <v>104.48543863686125</v>
      </c>
      <c r="G31" s="63">
        <v>111.10372672786301</v>
      </c>
      <c r="H31" s="63">
        <v>117.27500000000001</v>
      </c>
      <c r="I31" s="63">
        <v>123.15</v>
      </c>
      <c r="J31" s="63">
        <v>129</v>
      </c>
      <c r="K31" s="63">
        <v>135.19999999999999</v>
      </c>
      <c r="L31" s="63">
        <v>142</v>
      </c>
      <c r="M31" s="63">
        <v>148.35</v>
      </c>
      <c r="N31" s="63">
        <v>152.85</v>
      </c>
      <c r="O31" s="63">
        <v>155.52500000000001</v>
      </c>
      <c r="P31" s="63">
        <v>156.92500000000001</v>
      </c>
      <c r="Q31" s="63">
        <v>157.4</v>
      </c>
      <c r="R31" s="63">
        <v>157.80000000000001</v>
      </c>
      <c r="S31" s="63">
        <v>158.1</v>
      </c>
      <c r="T31" s="4">
        <v>9</v>
      </c>
      <c r="U31" s="63">
        <v>2.3996467299999935</v>
      </c>
      <c r="V31" s="63">
        <v>2.8274267299999991</v>
      </c>
      <c r="W31" s="63">
        <v>3.2552067300000118</v>
      </c>
      <c r="X31" s="63">
        <v>3.6841587299999929</v>
      </c>
      <c r="Y31" s="63">
        <v>4.1119387300000056</v>
      </c>
      <c r="Z31" s="63">
        <v>4.5397187300000041</v>
      </c>
      <c r="AA31" s="63">
        <v>4.9349999999999996</v>
      </c>
      <c r="AB31" s="63">
        <v>5.24</v>
      </c>
      <c r="AC31" s="63">
        <v>5.72</v>
      </c>
      <c r="AD31" s="63">
        <v>6.3250000000000002</v>
      </c>
      <c r="AE31" s="63">
        <v>6.76</v>
      </c>
      <c r="AF31" s="63">
        <v>6.4850000000000003</v>
      </c>
      <c r="AG31" s="63">
        <v>5.7975000000000003</v>
      </c>
      <c r="AH31" s="63">
        <v>5.375</v>
      </c>
      <c r="AI31" s="63">
        <v>5.28</v>
      </c>
      <c r="AJ31" s="63">
        <v>5.2225000000000001</v>
      </c>
      <c r="AK31" s="63">
        <v>5.2350000000000003</v>
      </c>
      <c r="AL31" s="63">
        <v>5.25</v>
      </c>
    </row>
    <row r="32" spans="1:38">
      <c r="A32" s="4">
        <v>10</v>
      </c>
      <c r="B32" s="63">
        <v>71.167016505363051</v>
      </c>
      <c r="C32" s="63">
        <v>82.780781449147298</v>
      </c>
      <c r="D32" s="63">
        <v>90.927480682441214</v>
      </c>
      <c r="E32" s="63">
        <v>98.294405397604706</v>
      </c>
      <c r="F32" s="63">
        <v>105.04903871319746</v>
      </c>
      <c r="G32" s="63">
        <v>111.6472546868205</v>
      </c>
      <c r="H32" s="63">
        <v>117.7667</v>
      </c>
      <c r="I32" s="63">
        <v>123.63330000000001</v>
      </c>
      <c r="J32" s="63">
        <v>129.5</v>
      </c>
      <c r="K32" s="63">
        <v>135.76669999999999</v>
      </c>
      <c r="L32" s="63">
        <v>142.5667</v>
      </c>
      <c r="M32" s="63">
        <v>148.76669999999999</v>
      </c>
      <c r="N32" s="63">
        <v>153.1</v>
      </c>
      <c r="O32" s="63">
        <v>155.66669999999999</v>
      </c>
      <c r="P32" s="63">
        <v>156.9667</v>
      </c>
      <c r="Q32" s="63">
        <v>157.4333</v>
      </c>
      <c r="R32" s="63">
        <v>157.83330000000001</v>
      </c>
      <c r="S32" s="63">
        <v>158.1</v>
      </c>
      <c r="T32" s="4">
        <v>10</v>
      </c>
      <c r="U32" s="63">
        <v>2.4348067299999911</v>
      </c>
      <c r="V32" s="63">
        <v>2.8637587300000007</v>
      </c>
      <c r="W32" s="63">
        <v>3.2913922299999996</v>
      </c>
      <c r="X32" s="63">
        <v>3.7194652299999973</v>
      </c>
      <c r="Y32" s="63">
        <v>4.1475382300000092</v>
      </c>
      <c r="Z32" s="63">
        <v>4.5756112299999927</v>
      </c>
      <c r="AA32" s="63">
        <v>4.9566670000000004</v>
      </c>
      <c r="AB32" s="63">
        <v>5.2766669999999998</v>
      </c>
      <c r="AC32" s="63">
        <v>5.77</v>
      </c>
      <c r="AD32" s="63">
        <v>6.3766670000000003</v>
      </c>
      <c r="AE32" s="63">
        <v>6.75</v>
      </c>
      <c r="AF32" s="63">
        <v>6.4233330000000004</v>
      </c>
      <c r="AG32" s="63">
        <v>5.7533329999999996</v>
      </c>
      <c r="AH32" s="63">
        <v>5.3666669999999996</v>
      </c>
      <c r="AI32" s="63">
        <v>5.273333</v>
      </c>
      <c r="AJ32" s="63">
        <v>5.2233330000000002</v>
      </c>
      <c r="AK32" s="63">
        <v>5.2366669999999997</v>
      </c>
      <c r="AL32" s="63">
        <v>5.25</v>
      </c>
    </row>
    <row r="33" spans="1:38">
      <c r="A33" s="4">
        <v>11</v>
      </c>
      <c r="B33" s="63">
        <v>72.30293726020362</v>
      </c>
      <c r="C33" s="63">
        <v>83.534684276484512</v>
      </c>
      <c r="D33" s="63">
        <v>91.571288658577089</v>
      </c>
      <c r="E33" s="63">
        <v>98.876483220885035</v>
      </c>
      <c r="F33" s="63">
        <v>105.61101363575867</v>
      </c>
      <c r="G33" s="63">
        <v>112.18627907495441</v>
      </c>
      <c r="H33" s="63">
        <v>118.25830000000001</v>
      </c>
      <c r="I33" s="63">
        <v>124.11669999999999</v>
      </c>
      <c r="J33" s="63">
        <v>130</v>
      </c>
      <c r="K33" s="63">
        <v>136.33330000000001</v>
      </c>
      <c r="L33" s="63">
        <v>143.13329999999999</v>
      </c>
      <c r="M33" s="63">
        <v>149.1833</v>
      </c>
      <c r="N33" s="63">
        <v>153.35</v>
      </c>
      <c r="O33" s="63">
        <v>155.8083</v>
      </c>
      <c r="P33" s="63">
        <v>157.00829999999999</v>
      </c>
      <c r="Q33" s="63">
        <v>157.4667</v>
      </c>
      <c r="R33" s="63">
        <v>157.86670000000001</v>
      </c>
      <c r="S33" s="63">
        <v>158.1</v>
      </c>
      <c r="T33" s="4">
        <v>11</v>
      </c>
      <c r="U33" s="63">
        <v>2.4711387299999927</v>
      </c>
      <c r="V33" s="63">
        <v>2.8989187299999912</v>
      </c>
      <c r="W33" s="63">
        <v>3.3270649800000029</v>
      </c>
      <c r="X33" s="63">
        <v>3.7551379800000007</v>
      </c>
      <c r="Y33" s="63">
        <v>4.1832109799999984</v>
      </c>
      <c r="Z33" s="63">
        <v>4.6112839800000103</v>
      </c>
      <c r="AA33" s="63">
        <v>4.9783330000000001</v>
      </c>
      <c r="AB33" s="63">
        <v>5.3133330000000001</v>
      </c>
      <c r="AC33" s="63">
        <v>5.82</v>
      </c>
      <c r="AD33" s="63">
        <v>6.4283330000000003</v>
      </c>
      <c r="AE33" s="63">
        <v>6.74</v>
      </c>
      <c r="AF33" s="63">
        <v>6.3616669999999997</v>
      </c>
      <c r="AG33" s="63">
        <v>5.7091669999999999</v>
      </c>
      <c r="AH33" s="63">
        <v>5.358333</v>
      </c>
      <c r="AI33" s="63">
        <v>5.266667</v>
      </c>
      <c r="AJ33" s="63">
        <v>5.2241669999999996</v>
      </c>
      <c r="AK33" s="63">
        <v>5.2383329999999999</v>
      </c>
      <c r="AL33" s="63">
        <v>5.25</v>
      </c>
    </row>
  </sheetData>
  <sheetProtection password="8E09" sheet="1" objects="1" scenarios="1" selectLockedCells="1" selectUnlockedCells="1"/>
  <phoneticPr fontId="1"/>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3:AT76"/>
  <sheetViews>
    <sheetView topLeftCell="V10" workbookViewId="0">
      <selection activeCell="U25" sqref="A1:U1048576"/>
    </sheetView>
  </sheetViews>
  <sheetFormatPr defaultRowHeight="13.5"/>
  <cols>
    <col min="1" max="1" width="3.875" style="141" hidden="1" customWidth="1"/>
    <col min="2" max="2" width="9" style="141" hidden="1" customWidth="1"/>
    <col min="3" max="3" width="6.5" style="141" hidden="1" customWidth="1"/>
    <col min="4" max="20" width="6.625" style="141" hidden="1" customWidth="1"/>
    <col min="21" max="21" width="4.875" style="141" hidden="1" customWidth="1"/>
    <col min="22" max="40" width="5.5" style="141" customWidth="1"/>
    <col min="41" max="41" width="9" style="141" customWidth="1"/>
    <col min="42" max="42" width="9" style="141"/>
    <col min="43" max="44" width="9.5" bestFit="1" customWidth="1"/>
    <col min="259" max="259" width="9" customWidth="1"/>
    <col min="260" max="277" width="6.25" customWidth="1"/>
    <col min="278" max="296" width="5.5" customWidth="1"/>
    <col min="297" max="297" width="9" customWidth="1"/>
    <col min="299" max="300" width="9.5" bestFit="1" customWidth="1"/>
    <col min="515" max="515" width="9" customWidth="1"/>
    <col min="516" max="533" width="6.25" customWidth="1"/>
    <col min="534" max="552" width="5.5" customWidth="1"/>
    <col min="553" max="553" width="9" customWidth="1"/>
    <col min="555" max="556" width="9.5" bestFit="1" customWidth="1"/>
    <col min="771" max="771" width="9" customWidth="1"/>
    <col min="772" max="789" width="6.25" customWidth="1"/>
    <col min="790" max="808" width="5.5" customWidth="1"/>
    <col min="809" max="809" width="9" customWidth="1"/>
    <col min="811" max="812" width="9.5" bestFit="1" customWidth="1"/>
    <col min="1027" max="1027" width="9" customWidth="1"/>
    <col min="1028" max="1045" width="6.25" customWidth="1"/>
    <col min="1046" max="1064" width="5.5" customWidth="1"/>
    <col min="1065" max="1065" width="9" customWidth="1"/>
    <col min="1067" max="1068" width="9.5" bestFit="1" customWidth="1"/>
    <col min="1283" max="1283" width="9" customWidth="1"/>
    <col min="1284" max="1301" width="6.25" customWidth="1"/>
    <col min="1302" max="1320" width="5.5" customWidth="1"/>
    <col min="1321" max="1321" width="9" customWidth="1"/>
    <col min="1323" max="1324" width="9.5" bestFit="1" customWidth="1"/>
    <col min="1539" max="1539" width="9" customWidth="1"/>
    <col min="1540" max="1557" width="6.25" customWidth="1"/>
    <col min="1558" max="1576" width="5.5" customWidth="1"/>
    <col min="1577" max="1577" width="9" customWidth="1"/>
    <col min="1579" max="1580" width="9.5" bestFit="1" customWidth="1"/>
    <col min="1795" max="1795" width="9" customWidth="1"/>
    <col min="1796" max="1813" width="6.25" customWidth="1"/>
    <col min="1814" max="1832" width="5.5" customWidth="1"/>
    <col min="1833" max="1833" width="9" customWidth="1"/>
    <col min="1835" max="1836" width="9.5" bestFit="1" customWidth="1"/>
    <col min="2051" max="2051" width="9" customWidth="1"/>
    <col min="2052" max="2069" width="6.25" customWidth="1"/>
    <col min="2070" max="2088" width="5.5" customWidth="1"/>
    <col min="2089" max="2089" width="9" customWidth="1"/>
    <col min="2091" max="2092" width="9.5" bestFit="1" customWidth="1"/>
    <col min="2307" max="2307" width="9" customWidth="1"/>
    <col min="2308" max="2325" width="6.25" customWidth="1"/>
    <col min="2326" max="2344" width="5.5" customWidth="1"/>
    <col min="2345" max="2345" width="9" customWidth="1"/>
    <col min="2347" max="2348" width="9.5" bestFit="1" customWidth="1"/>
    <col min="2563" max="2563" width="9" customWidth="1"/>
    <col min="2564" max="2581" width="6.25" customWidth="1"/>
    <col min="2582" max="2600" width="5.5" customWidth="1"/>
    <col min="2601" max="2601" width="9" customWidth="1"/>
    <col min="2603" max="2604" width="9.5" bestFit="1" customWidth="1"/>
    <col min="2819" max="2819" width="9" customWidth="1"/>
    <col min="2820" max="2837" width="6.25" customWidth="1"/>
    <col min="2838" max="2856" width="5.5" customWidth="1"/>
    <col min="2857" max="2857" width="9" customWidth="1"/>
    <col min="2859" max="2860" width="9.5" bestFit="1" customWidth="1"/>
    <col min="3075" max="3075" width="9" customWidth="1"/>
    <col min="3076" max="3093" width="6.25" customWidth="1"/>
    <col min="3094" max="3112" width="5.5" customWidth="1"/>
    <col min="3113" max="3113" width="9" customWidth="1"/>
    <col min="3115" max="3116" width="9.5" bestFit="1" customWidth="1"/>
    <col min="3331" max="3331" width="9" customWidth="1"/>
    <col min="3332" max="3349" width="6.25" customWidth="1"/>
    <col min="3350" max="3368" width="5.5" customWidth="1"/>
    <col min="3369" max="3369" width="9" customWidth="1"/>
    <col min="3371" max="3372" width="9.5" bestFit="1" customWidth="1"/>
    <col min="3587" max="3587" width="9" customWidth="1"/>
    <col min="3588" max="3605" width="6.25" customWidth="1"/>
    <col min="3606" max="3624" width="5.5" customWidth="1"/>
    <col min="3625" max="3625" width="9" customWidth="1"/>
    <col min="3627" max="3628" width="9.5" bestFit="1" customWidth="1"/>
    <col min="3843" max="3843" width="9" customWidth="1"/>
    <col min="3844" max="3861" width="6.25" customWidth="1"/>
    <col min="3862" max="3880" width="5.5" customWidth="1"/>
    <col min="3881" max="3881" width="9" customWidth="1"/>
    <col min="3883" max="3884" width="9.5" bestFit="1" customWidth="1"/>
    <col min="4099" max="4099" width="9" customWidth="1"/>
    <col min="4100" max="4117" width="6.25" customWidth="1"/>
    <col min="4118" max="4136" width="5.5" customWidth="1"/>
    <col min="4137" max="4137" width="9" customWidth="1"/>
    <col min="4139" max="4140" width="9.5" bestFit="1" customWidth="1"/>
    <col min="4355" max="4355" width="9" customWidth="1"/>
    <col min="4356" max="4373" width="6.25" customWidth="1"/>
    <col min="4374" max="4392" width="5.5" customWidth="1"/>
    <col min="4393" max="4393" width="9" customWidth="1"/>
    <col min="4395" max="4396" width="9.5" bestFit="1" customWidth="1"/>
    <col min="4611" max="4611" width="9" customWidth="1"/>
    <col min="4612" max="4629" width="6.25" customWidth="1"/>
    <col min="4630" max="4648" width="5.5" customWidth="1"/>
    <col min="4649" max="4649" width="9" customWidth="1"/>
    <col min="4651" max="4652" width="9.5" bestFit="1" customWidth="1"/>
    <col min="4867" max="4867" width="9" customWidth="1"/>
    <col min="4868" max="4885" width="6.25" customWidth="1"/>
    <col min="4886" max="4904" width="5.5" customWidth="1"/>
    <col min="4905" max="4905" width="9" customWidth="1"/>
    <col min="4907" max="4908" width="9.5" bestFit="1" customWidth="1"/>
    <col min="5123" max="5123" width="9" customWidth="1"/>
    <col min="5124" max="5141" width="6.25" customWidth="1"/>
    <col min="5142" max="5160" width="5.5" customWidth="1"/>
    <col min="5161" max="5161" width="9" customWidth="1"/>
    <col min="5163" max="5164" width="9.5" bestFit="1" customWidth="1"/>
    <col min="5379" max="5379" width="9" customWidth="1"/>
    <col min="5380" max="5397" width="6.25" customWidth="1"/>
    <col min="5398" max="5416" width="5.5" customWidth="1"/>
    <col min="5417" max="5417" width="9" customWidth="1"/>
    <col min="5419" max="5420" width="9.5" bestFit="1" customWidth="1"/>
    <col min="5635" max="5635" width="9" customWidth="1"/>
    <col min="5636" max="5653" width="6.25" customWidth="1"/>
    <col min="5654" max="5672" width="5.5" customWidth="1"/>
    <col min="5673" max="5673" width="9" customWidth="1"/>
    <col min="5675" max="5676" width="9.5" bestFit="1" customWidth="1"/>
    <col min="5891" max="5891" width="9" customWidth="1"/>
    <col min="5892" max="5909" width="6.25" customWidth="1"/>
    <col min="5910" max="5928" width="5.5" customWidth="1"/>
    <col min="5929" max="5929" width="9" customWidth="1"/>
    <col min="5931" max="5932" width="9.5" bestFit="1" customWidth="1"/>
    <col min="6147" max="6147" width="9" customWidth="1"/>
    <col min="6148" max="6165" width="6.25" customWidth="1"/>
    <col min="6166" max="6184" width="5.5" customWidth="1"/>
    <col min="6185" max="6185" width="9" customWidth="1"/>
    <col min="6187" max="6188" width="9.5" bestFit="1" customWidth="1"/>
    <col min="6403" max="6403" width="9" customWidth="1"/>
    <col min="6404" max="6421" width="6.25" customWidth="1"/>
    <col min="6422" max="6440" width="5.5" customWidth="1"/>
    <col min="6441" max="6441" width="9" customWidth="1"/>
    <col min="6443" max="6444" width="9.5" bestFit="1" customWidth="1"/>
    <col min="6659" max="6659" width="9" customWidth="1"/>
    <col min="6660" max="6677" width="6.25" customWidth="1"/>
    <col min="6678" max="6696" width="5.5" customWidth="1"/>
    <col min="6697" max="6697" width="9" customWidth="1"/>
    <col min="6699" max="6700" width="9.5" bestFit="1" customWidth="1"/>
    <col min="6915" max="6915" width="9" customWidth="1"/>
    <col min="6916" max="6933" width="6.25" customWidth="1"/>
    <col min="6934" max="6952" width="5.5" customWidth="1"/>
    <col min="6953" max="6953" width="9" customWidth="1"/>
    <col min="6955" max="6956" width="9.5" bestFit="1" customWidth="1"/>
    <col min="7171" max="7171" width="9" customWidth="1"/>
    <col min="7172" max="7189" width="6.25" customWidth="1"/>
    <col min="7190" max="7208" width="5.5" customWidth="1"/>
    <col min="7209" max="7209" width="9" customWidth="1"/>
    <col min="7211" max="7212" width="9.5" bestFit="1" customWidth="1"/>
    <col min="7427" max="7427" width="9" customWidth="1"/>
    <col min="7428" max="7445" width="6.25" customWidth="1"/>
    <col min="7446" max="7464" width="5.5" customWidth="1"/>
    <col min="7465" max="7465" width="9" customWidth="1"/>
    <col min="7467" max="7468" width="9.5" bestFit="1" customWidth="1"/>
    <col min="7683" max="7683" width="9" customWidth="1"/>
    <col min="7684" max="7701" width="6.25" customWidth="1"/>
    <col min="7702" max="7720" width="5.5" customWidth="1"/>
    <col min="7721" max="7721" width="9" customWidth="1"/>
    <col min="7723" max="7724" width="9.5" bestFit="1" customWidth="1"/>
    <col min="7939" max="7939" width="9" customWidth="1"/>
    <col min="7940" max="7957" width="6.25" customWidth="1"/>
    <col min="7958" max="7976" width="5.5" customWidth="1"/>
    <col min="7977" max="7977" width="9" customWidth="1"/>
    <col min="7979" max="7980" width="9.5" bestFit="1" customWidth="1"/>
    <col min="8195" max="8195" width="9" customWidth="1"/>
    <col min="8196" max="8213" width="6.25" customWidth="1"/>
    <col min="8214" max="8232" width="5.5" customWidth="1"/>
    <col min="8233" max="8233" width="9" customWidth="1"/>
    <col min="8235" max="8236" width="9.5" bestFit="1" customWidth="1"/>
    <col min="8451" max="8451" width="9" customWidth="1"/>
    <col min="8452" max="8469" width="6.25" customWidth="1"/>
    <col min="8470" max="8488" width="5.5" customWidth="1"/>
    <col min="8489" max="8489" width="9" customWidth="1"/>
    <col min="8491" max="8492" width="9.5" bestFit="1" customWidth="1"/>
    <col min="8707" max="8707" width="9" customWidth="1"/>
    <col min="8708" max="8725" width="6.25" customWidth="1"/>
    <col min="8726" max="8744" width="5.5" customWidth="1"/>
    <col min="8745" max="8745" width="9" customWidth="1"/>
    <col min="8747" max="8748" width="9.5" bestFit="1" customWidth="1"/>
    <col min="8963" max="8963" width="9" customWidth="1"/>
    <col min="8964" max="8981" width="6.25" customWidth="1"/>
    <col min="8982" max="9000" width="5.5" customWidth="1"/>
    <col min="9001" max="9001" width="9" customWidth="1"/>
    <col min="9003" max="9004" width="9.5" bestFit="1" customWidth="1"/>
    <col min="9219" max="9219" width="9" customWidth="1"/>
    <col min="9220" max="9237" width="6.25" customWidth="1"/>
    <col min="9238" max="9256" width="5.5" customWidth="1"/>
    <col min="9257" max="9257" width="9" customWidth="1"/>
    <col min="9259" max="9260" width="9.5" bestFit="1" customWidth="1"/>
    <col min="9475" max="9475" width="9" customWidth="1"/>
    <col min="9476" max="9493" width="6.25" customWidth="1"/>
    <col min="9494" max="9512" width="5.5" customWidth="1"/>
    <col min="9513" max="9513" width="9" customWidth="1"/>
    <col min="9515" max="9516" width="9.5" bestFit="1" customWidth="1"/>
    <col min="9731" max="9731" width="9" customWidth="1"/>
    <col min="9732" max="9749" width="6.25" customWidth="1"/>
    <col min="9750" max="9768" width="5.5" customWidth="1"/>
    <col min="9769" max="9769" width="9" customWidth="1"/>
    <col min="9771" max="9772" width="9.5" bestFit="1" customWidth="1"/>
    <col min="9987" max="9987" width="9" customWidth="1"/>
    <col min="9988" max="10005" width="6.25" customWidth="1"/>
    <col min="10006" max="10024" width="5.5" customWidth="1"/>
    <col min="10025" max="10025" width="9" customWidth="1"/>
    <col min="10027" max="10028" width="9.5" bestFit="1" customWidth="1"/>
    <col min="10243" max="10243" width="9" customWidth="1"/>
    <col min="10244" max="10261" width="6.25" customWidth="1"/>
    <col min="10262" max="10280" width="5.5" customWidth="1"/>
    <col min="10281" max="10281" width="9" customWidth="1"/>
    <col min="10283" max="10284" width="9.5" bestFit="1" customWidth="1"/>
    <col min="10499" max="10499" width="9" customWidth="1"/>
    <col min="10500" max="10517" width="6.25" customWidth="1"/>
    <col min="10518" max="10536" width="5.5" customWidth="1"/>
    <col min="10537" max="10537" width="9" customWidth="1"/>
    <col min="10539" max="10540" width="9.5" bestFit="1" customWidth="1"/>
    <col min="10755" max="10755" width="9" customWidth="1"/>
    <col min="10756" max="10773" width="6.25" customWidth="1"/>
    <col min="10774" max="10792" width="5.5" customWidth="1"/>
    <col min="10793" max="10793" width="9" customWidth="1"/>
    <col min="10795" max="10796" width="9.5" bestFit="1" customWidth="1"/>
    <col min="11011" max="11011" width="9" customWidth="1"/>
    <col min="11012" max="11029" width="6.25" customWidth="1"/>
    <col min="11030" max="11048" width="5.5" customWidth="1"/>
    <col min="11049" max="11049" width="9" customWidth="1"/>
    <col min="11051" max="11052" width="9.5" bestFit="1" customWidth="1"/>
    <col min="11267" max="11267" width="9" customWidth="1"/>
    <col min="11268" max="11285" width="6.25" customWidth="1"/>
    <col min="11286" max="11304" width="5.5" customWidth="1"/>
    <col min="11305" max="11305" width="9" customWidth="1"/>
    <col min="11307" max="11308" width="9.5" bestFit="1" customWidth="1"/>
    <col min="11523" max="11523" width="9" customWidth="1"/>
    <col min="11524" max="11541" width="6.25" customWidth="1"/>
    <col min="11542" max="11560" width="5.5" customWidth="1"/>
    <col min="11561" max="11561" width="9" customWidth="1"/>
    <col min="11563" max="11564" width="9.5" bestFit="1" customWidth="1"/>
    <col min="11779" max="11779" width="9" customWidth="1"/>
    <col min="11780" max="11797" width="6.25" customWidth="1"/>
    <col min="11798" max="11816" width="5.5" customWidth="1"/>
    <col min="11817" max="11817" width="9" customWidth="1"/>
    <col min="11819" max="11820" width="9.5" bestFit="1" customWidth="1"/>
    <col min="12035" max="12035" width="9" customWidth="1"/>
    <col min="12036" max="12053" width="6.25" customWidth="1"/>
    <col min="12054" max="12072" width="5.5" customWidth="1"/>
    <col min="12073" max="12073" width="9" customWidth="1"/>
    <col min="12075" max="12076" width="9.5" bestFit="1" customWidth="1"/>
    <col min="12291" max="12291" width="9" customWidth="1"/>
    <col min="12292" max="12309" width="6.25" customWidth="1"/>
    <col min="12310" max="12328" width="5.5" customWidth="1"/>
    <col min="12329" max="12329" width="9" customWidth="1"/>
    <col min="12331" max="12332" width="9.5" bestFit="1" customWidth="1"/>
    <col min="12547" max="12547" width="9" customWidth="1"/>
    <col min="12548" max="12565" width="6.25" customWidth="1"/>
    <col min="12566" max="12584" width="5.5" customWidth="1"/>
    <col min="12585" max="12585" width="9" customWidth="1"/>
    <col min="12587" max="12588" width="9.5" bestFit="1" customWidth="1"/>
    <col min="12803" max="12803" width="9" customWidth="1"/>
    <col min="12804" max="12821" width="6.25" customWidth="1"/>
    <col min="12822" max="12840" width="5.5" customWidth="1"/>
    <col min="12841" max="12841" width="9" customWidth="1"/>
    <col min="12843" max="12844" width="9.5" bestFit="1" customWidth="1"/>
    <col min="13059" max="13059" width="9" customWidth="1"/>
    <col min="13060" max="13077" width="6.25" customWidth="1"/>
    <col min="13078" max="13096" width="5.5" customWidth="1"/>
    <col min="13097" max="13097" width="9" customWidth="1"/>
    <col min="13099" max="13100" width="9.5" bestFit="1" customWidth="1"/>
    <col min="13315" max="13315" width="9" customWidth="1"/>
    <col min="13316" max="13333" width="6.25" customWidth="1"/>
    <col min="13334" max="13352" width="5.5" customWidth="1"/>
    <col min="13353" max="13353" width="9" customWidth="1"/>
    <col min="13355" max="13356" width="9.5" bestFit="1" customWidth="1"/>
    <col min="13571" max="13571" width="9" customWidth="1"/>
    <col min="13572" max="13589" width="6.25" customWidth="1"/>
    <col min="13590" max="13608" width="5.5" customWidth="1"/>
    <col min="13609" max="13609" width="9" customWidth="1"/>
    <col min="13611" max="13612" width="9.5" bestFit="1" customWidth="1"/>
    <col min="13827" max="13827" width="9" customWidth="1"/>
    <col min="13828" max="13845" width="6.25" customWidth="1"/>
    <col min="13846" max="13864" width="5.5" customWidth="1"/>
    <col min="13865" max="13865" width="9" customWidth="1"/>
    <col min="13867" max="13868" width="9.5" bestFit="1" customWidth="1"/>
    <col min="14083" max="14083" width="9" customWidth="1"/>
    <col min="14084" max="14101" width="6.25" customWidth="1"/>
    <col min="14102" max="14120" width="5.5" customWidth="1"/>
    <col min="14121" max="14121" width="9" customWidth="1"/>
    <col min="14123" max="14124" width="9.5" bestFit="1" customWidth="1"/>
    <col min="14339" max="14339" width="9" customWidth="1"/>
    <col min="14340" max="14357" width="6.25" customWidth="1"/>
    <col min="14358" max="14376" width="5.5" customWidth="1"/>
    <col min="14377" max="14377" width="9" customWidth="1"/>
    <col min="14379" max="14380" width="9.5" bestFit="1" customWidth="1"/>
    <col min="14595" max="14595" width="9" customWidth="1"/>
    <col min="14596" max="14613" width="6.25" customWidth="1"/>
    <col min="14614" max="14632" width="5.5" customWidth="1"/>
    <col min="14633" max="14633" width="9" customWidth="1"/>
    <col min="14635" max="14636" width="9.5" bestFit="1" customWidth="1"/>
    <col min="14851" max="14851" width="9" customWidth="1"/>
    <col min="14852" max="14869" width="6.25" customWidth="1"/>
    <col min="14870" max="14888" width="5.5" customWidth="1"/>
    <col min="14889" max="14889" width="9" customWidth="1"/>
    <col min="14891" max="14892" width="9.5" bestFit="1" customWidth="1"/>
    <col min="15107" max="15107" width="9" customWidth="1"/>
    <col min="15108" max="15125" width="6.25" customWidth="1"/>
    <col min="15126" max="15144" width="5.5" customWidth="1"/>
    <col min="15145" max="15145" width="9" customWidth="1"/>
    <col min="15147" max="15148" width="9.5" bestFit="1" customWidth="1"/>
    <col min="15363" max="15363" width="9" customWidth="1"/>
    <col min="15364" max="15381" width="6.25" customWidth="1"/>
    <col min="15382" max="15400" width="5.5" customWidth="1"/>
    <col min="15401" max="15401" width="9" customWidth="1"/>
    <col min="15403" max="15404" width="9.5" bestFit="1" customWidth="1"/>
    <col min="15619" max="15619" width="9" customWidth="1"/>
    <col min="15620" max="15637" width="6.25" customWidth="1"/>
    <col min="15638" max="15656" width="5.5" customWidth="1"/>
    <col min="15657" max="15657" width="9" customWidth="1"/>
    <col min="15659" max="15660" width="9.5" bestFit="1" customWidth="1"/>
    <col min="15875" max="15875" width="9" customWidth="1"/>
    <col min="15876" max="15893" width="6.25" customWidth="1"/>
    <col min="15894" max="15912" width="5.5" customWidth="1"/>
    <col min="15913" max="15913" width="9" customWidth="1"/>
    <col min="15915" max="15916" width="9.5" bestFit="1" customWidth="1"/>
    <col min="16131" max="16131" width="9" customWidth="1"/>
    <col min="16132" max="16149" width="6.25" customWidth="1"/>
    <col min="16150" max="16168" width="5.5" customWidth="1"/>
    <col min="16169" max="16169" width="9" customWidth="1"/>
    <col min="16171" max="16172" width="9.5" bestFit="1" customWidth="1"/>
  </cols>
  <sheetData>
    <row r="3" spans="2:46">
      <c r="B3" s="141" t="s">
        <v>234</v>
      </c>
    </row>
    <row r="4" spans="2:46">
      <c r="B4" s="155"/>
      <c r="C4" s="155">
        <v>0</v>
      </c>
      <c r="D4" s="155">
        <v>1</v>
      </c>
      <c r="E4" s="155">
        <v>2</v>
      </c>
      <c r="F4" s="155">
        <v>3</v>
      </c>
      <c r="G4" s="155">
        <v>4</v>
      </c>
      <c r="H4" s="155">
        <v>5</v>
      </c>
      <c r="I4" s="155">
        <v>6</v>
      </c>
      <c r="J4" s="155">
        <v>7</v>
      </c>
      <c r="K4" s="155">
        <v>8</v>
      </c>
      <c r="L4" s="155">
        <v>9</v>
      </c>
      <c r="M4" s="155">
        <v>10</v>
      </c>
      <c r="N4" s="155">
        <v>11</v>
      </c>
      <c r="O4" s="155">
        <v>12</v>
      </c>
      <c r="P4" s="155">
        <v>13</v>
      </c>
      <c r="Q4" s="155">
        <v>14</v>
      </c>
      <c r="R4" s="155">
        <v>15</v>
      </c>
      <c r="S4" s="155">
        <v>16</v>
      </c>
      <c r="T4" s="155">
        <v>17</v>
      </c>
    </row>
    <row r="5" spans="2:46">
      <c r="B5" s="155">
        <v>0</v>
      </c>
      <c r="C5" s="156"/>
      <c r="D5" s="157">
        <v>13.9</v>
      </c>
      <c r="E5" s="157">
        <v>8.8000000000000007</v>
      </c>
      <c r="F5" s="157">
        <v>7.5</v>
      </c>
      <c r="G5" s="157">
        <v>6.9</v>
      </c>
      <c r="H5" s="157">
        <v>6.3</v>
      </c>
      <c r="I5" s="157">
        <v>5.9</v>
      </c>
      <c r="J5" s="157">
        <v>5.8</v>
      </c>
      <c r="K5" s="157">
        <v>5.5</v>
      </c>
      <c r="L5" s="157">
        <v>5.0999999999999996</v>
      </c>
      <c r="M5" s="157">
        <v>4.9000000000000004</v>
      </c>
      <c r="N5" s="157">
        <v>5.0999999999999996</v>
      </c>
      <c r="O5" s="157">
        <v>6.7</v>
      </c>
      <c r="P5" s="157">
        <v>9.9</v>
      </c>
      <c r="Q5" s="157">
        <v>6.3</v>
      </c>
      <c r="R5" s="157">
        <v>3.3</v>
      </c>
      <c r="S5" s="157">
        <v>1.6</v>
      </c>
      <c r="T5" s="157">
        <v>0.6</v>
      </c>
    </row>
    <row r="6" spans="2:46">
      <c r="B6" s="155">
        <v>1</v>
      </c>
      <c r="C6" s="155"/>
      <c r="D6" s="157">
        <v>13.9</v>
      </c>
      <c r="E6" s="157">
        <v>8.8000000000000007</v>
      </c>
      <c r="F6" s="157">
        <v>7.5</v>
      </c>
      <c r="G6" s="157">
        <v>6.9</v>
      </c>
      <c r="H6" s="157">
        <v>6.3</v>
      </c>
      <c r="I6" s="157">
        <v>5.9</v>
      </c>
      <c r="J6" s="157">
        <v>5.8</v>
      </c>
      <c r="K6" s="157">
        <v>5.5</v>
      </c>
      <c r="L6" s="157">
        <v>5.0999999999999996</v>
      </c>
      <c r="M6" s="157">
        <v>4.9000000000000004</v>
      </c>
      <c r="N6" s="157">
        <v>5.0999999999999996</v>
      </c>
      <c r="O6" s="157">
        <v>6.7</v>
      </c>
      <c r="P6" s="157">
        <v>9.9</v>
      </c>
      <c r="Q6" s="157">
        <v>6.3</v>
      </c>
      <c r="R6" s="157">
        <v>3.3</v>
      </c>
      <c r="S6" s="157">
        <v>1.6</v>
      </c>
      <c r="T6" s="157">
        <v>0.6</v>
      </c>
    </row>
    <row r="7" spans="2:46">
      <c r="B7" s="155">
        <v>2</v>
      </c>
      <c r="C7" s="155"/>
      <c r="D7" s="157">
        <v>13.9</v>
      </c>
      <c r="E7" s="157">
        <v>8.8000000000000007</v>
      </c>
      <c r="F7" s="157">
        <v>7.5</v>
      </c>
      <c r="G7" s="157">
        <v>6.9</v>
      </c>
      <c r="H7" s="157">
        <v>6.3</v>
      </c>
      <c r="I7" s="157">
        <v>5.9</v>
      </c>
      <c r="J7" s="157">
        <v>5.8</v>
      </c>
      <c r="K7" s="157">
        <v>5.5</v>
      </c>
      <c r="L7" s="157">
        <v>5.0999999999999996</v>
      </c>
      <c r="M7" s="157">
        <v>4.9000000000000004</v>
      </c>
      <c r="N7" s="157">
        <v>5.0999999999999996</v>
      </c>
      <c r="O7" s="157">
        <v>6.7</v>
      </c>
      <c r="P7" s="157">
        <v>9.9</v>
      </c>
      <c r="Q7" s="157">
        <v>6.3</v>
      </c>
      <c r="R7" s="157">
        <v>3.3</v>
      </c>
      <c r="S7" s="157">
        <v>1.6</v>
      </c>
      <c r="T7" s="157">
        <v>0.6</v>
      </c>
    </row>
    <row r="8" spans="2:46">
      <c r="B8" s="155">
        <v>3</v>
      </c>
      <c r="C8" s="156"/>
      <c r="D8" s="157">
        <v>11.7</v>
      </c>
      <c r="E8" s="157">
        <v>8.3000000000000007</v>
      </c>
      <c r="F8" s="157">
        <v>7.3</v>
      </c>
      <c r="G8" s="157">
        <v>6.7</v>
      </c>
      <c r="H8" s="157">
        <v>6.2</v>
      </c>
      <c r="I8" s="157">
        <v>5.8</v>
      </c>
      <c r="J8" s="157">
        <v>5.8</v>
      </c>
      <c r="K8" s="157">
        <v>5.4</v>
      </c>
      <c r="L8" s="157">
        <v>5.0999999999999996</v>
      </c>
      <c r="M8" s="157">
        <v>4.9000000000000004</v>
      </c>
      <c r="N8" s="157">
        <v>5.3</v>
      </c>
      <c r="O8" s="157">
        <v>7.4</v>
      </c>
      <c r="P8" s="157">
        <v>9.4</v>
      </c>
      <c r="Q8" s="157">
        <v>5.3</v>
      </c>
      <c r="R8" s="157">
        <v>2.8</v>
      </c>
      <c r="S8" s="157">
        <v>1.3</v>
      </c>
      <c r="T8" s="157">
        <v>0.5</v>
      </c>
    </row>
    <row r="9" spans="2:46">
      <c r="B9" s="155">
        <v>4</v>
      </c>
      <c r="C9" s="155"/>
      <c r="D9" s="157">
        <v>11.7</v>
      </c>
      <c r="E9" s="157">
        <v>8.3000000000000007</v>
      </c>
      <c r="F9" s="157">
        <v>7.3</v>
      </c>
      <c r="G9" s="157">
        <v>6.7</v>
      </c>
      <c r="H9" s="157">
        <v>6.2</v>
      </c>
      <c r="I9" s="157">
        <v>5.8</v>
      </c>
      <c r="J9" s="157">
        <v>5.8</v>
      </c>
      <c r="K9" s="157">
        <v>5.4</v>
      </c>
      <c r="L9" s="157">
        <v>5.0999999999999996</v>
      </c>
      <c r="M9" s="157">
        <v>4.9000000000000004</v>
      </c>
      <c r="N9" s="157">
        <v>5.3</v>
      </c>
      <c r="O9" s="157">
        <v>7.4</v>
      </c>
      <c r="P9" s="157">
        <v>9.4</v>
      </c>
      <c r="Q9" s="157">
        <v>5.3</v>
      </c>
      <c r="R9" s="157">
        <v>2.8</v>
      </c>
      <c r="S9" s="157">
        <v>1.3</v>
      </c>
      <c r="T9" s="157">
        <v>0.5</v>
      </c>
    </row>
    <row r="10" spans="2:46">
      <c r="B10" s="155">
        <v>5</v>
      </c>
      <c r="C10" s="155"/>
      <c r="D10" s="157">
        <v>11.7</v>
      </c>
      <c r="E10" s="157">
        <v>8.3000000000000007</v>
      </c>
      <c r="F10" s="157">
        <v>7.3</v>
      </c>
      <c r="G10" s="157">
        <v>6.7</v>
      </c>
      <c r="H10" s="157">
        <v>6.2</v>
      </c>
      <c r="I10" s="157">
        <v>5.8</v>
      </c>
      <c r="J10" s="157">
        <v>5.8</v>
      </c>
      <c r="K10" s="157">
        <v>5.4</v>
      </c>
      <c r="L10" s="157">
        <v>5.0999999999999996</v>
      </c>
      <c r="M10" s="157">
        <v>4.9000000000000004</v>
      </c>
      <c r="N10" s="157">
        <v>5.3</v>
      </c>
      <c r="O10" s="157">
        <v>7.4</v>
      </c>
      <c r="P10" s="157">
        <v>9.4</v>
      </c>
      <c r="Q10" s="157">
        <v>5.3</v>
      </c>
      <c r="R10" s="157">
        <v>2.8</v>
      </c>
      <c r="S10" s="157">
        <v>1.3</v>
      </c>
      <c r="T10" s="157">
        <v>0.5</v>
      </c>
    </row>
    <row r="11" spans="2:46">
      <c r="B11" s="155">
        <v>6</v>
      </c>
      <c r="C11" s="156"/>
      <c r="D11" s="157">
        <v>10.3</v>
      </c>
      <c r="E11" s="157">
        <v>8</v>
      </c>
      <c r="F11" s="157">
        <v>7.1</v>
      </c>
      <c r="G11" s="157">
        <v>6.6</v>
      </c>
      <c r="H11" s="157">
        <v>6.1</v>
      </c>
      <c r="I11" s="157">
        <v>5.8</v>
      </c>
      <c r="J11" s="157">
        <v>5.7</v>
      </c>
      <c r="K11" s="157">
        <v>5.3</v>
      </c>
      <c r="L11" s="157">
        <v>5</v>
      </c>
      <c r="M11" s="157">
        <v>5</v>
      </c>
      <c r="N11" s="157">
        <v>5.6</v>
      </c>
      <c r="O11" s="157">
        <v>8.6</v>
      </c>
      <c r="P11" s="157">
        <v>8.6999999999999993</v>
      </c>
      <c r="Q11" s="157">
        <v>4.5</v>
      </c>
      <c r="R11" s="157">
        <v>2.2999999999999998</v>
      </c>
      <c r="S11" s="157">
        <v>1</v>
      </c>
      <c r="T11" s="157">
        <v>0.3</v>
      </c>
    </row>
    <row r="12" spans="2:46">
      <c r="B12" s="155">
        <v>7</v>
      </c>
      <c r="C12" s="155"/>
      <c r="D12" s="157">
        <v>10.3</v>
      </c>
      <c r="E12" s="157">
        <v>8</v>
      </c>
      <c r="F12" s="157">
        <v>7.1</v>
      </c>
      <c r="G12" s="157">
        <v>6.6</v>
      </c>
      <c r="H12" s="157">
        <v>6.1</v>
      </c>
      <c r="I12" s="157">
        <v>5.8</v>
      </c>
      <c r="J12" s="157">
        <v>5.7</v>
      </c>
      <c r="K12" s="157">
        <v>5.3</v>
      </c>
      <c r="L12" s="157">
        <v>5</v>
      </c>
      <c r="M12" s="157">
        <v>5</v>
      </c>
      <c r="N12" s="157">
        <v>5.6</v>
      </c>
      <c r="O12" s="157">
        <v>8.6</v>
      </c>
      <c r="P12" s="157">
        <v>8.6999999999999993</v>
      </c>
      <c r="Q12" s="157">
        <v>4.5</v>
      </c>
      <c r="R12" s="157">
        <v>2.2999999999999998</v>
      </c>
      <c r="S12" s="157">
        <v>1</v>
      </c>
      <c r="T12" s="157">
        <v>0.3</v>
      </c>
      <c r="AQ12" s="4"/>
      <c r="AR12" s="62"/>
      <c r="AS12" s="63"/>
      <c r="AT12" s="63"/>
    </row>
    <row r="13" spans="2:46">
      <c r="B13" s="155">
        <v>8</v>
      </c>
      <c r="C13" s="155"/>
      <c r="D13" s="157">
        <v>10.3</v>
      </c>
      <c r="E13" s="157">
        <v>8</v>
      </c>
      <c r="F13" s="157">
        <v>7.1</v>
      </c>
      <c r="G13" s="157">
        <v>6.6</v>
      </c>
      <c r="H13" s="157">
        <v>6.1</v>
      </c>
      <c r="I13" s="157">
        <v>5.8</v>
      </c>
      <c r="J13" s="157">
        <v>5.7</v>
      </c>
      <c r="K13" s="157">
        <v>5.3</v>
      </c>
      <c r="L13" s="157">
        <v>5</v>
      </c>
      <c r="M13" s="157">
        <v>5</v>
      </c>
      <c r="N13" s="157">
        <v>5.6</v>
      </c>
      <c r="O13" s="157">
        <v>8.6</v>
      </c>
      <c r="P13" s="157">
        <v>8.6999999999999993</v>
      </c>
      <c r="Q13" s="157">
        <v>4.5</v>
      </c>
      <c r="R13" s="157">
        <v>2.2999999999999998</v>
      </c>
      <c r="S13" s="157">
        <v>1</v>
      </c>
      <c r="T13" s="157">
        <v>0.3</v>
      </c>
    </row>
    <row r="14" spans="2:46">
      <c r="B14" s="155">
        <v>9</v>
      </c>
      <c r="C14" s="156"/>
      <c r="D14" s="157">
        <v>9.5</v>
      </c>
      <c r="E14" s="157">
        <v>7.7</v>
      </c>
      <c r="F14" s="157">
        <v>7</v>
      </c>
      <c r="G14" s="157">
        <v>6.5</v>
      </c>
      <c r="H14" s="157">
        <v>6</v>
      </c>
      <c r="I14" s="157">
        <v>5.8</v>
      </c>
      <c r="J14" s="157">
        <v>5.6</v>
      </c>
      <c r="K14" s="157">
        <v>5.2</v>
      </c>
      <c r="L14" s="157">
        <v>5</v>
      </c>
      <c r="M14" s="157">
        <v>5</v>
      </c>
      <c r="N14" s="157">
        <v>6.1</v>
      </c>
      <c r="O14" s="157">
        <v>9.5</v>
      </c>
      <c r="P14" s="157">
        <v>7.6</v>
      </c>
      <c r="Q14" s="157">
        <v>3.9</v>
      </c>
      <c r="R14" s="157">
        <v>1.9</v>
      </c>
      <c r="S14" s="157">
        <v>0.8</v>
      </c>
      <c r="T14" s="157">
        <v>0.2</v>
      </c>
    </row>
    <row r="15" spans="2:46">
      <c r="B15" s="155">
        <v>10</v>
      </c>
      <c r="C15" s="156"/>
      <c r="D15" s="157">
        <v>9.5</v>
      </c>
      <c r="E15" s="157">
        <v>7.7</v>
      </c>
      <c r="F15" s="157">
        <v>7</v>
      </c>
      <c r="G15" s="157">
        <v>6.5</v>
      </c>
      <c r="H15" s="157">
        <v>6</v>
      </c>
      <c r="I15" s="157">
        <v>5.8</v>
      </c>
      <c r="J15" s="157">
        <v>5.6</v>
      </c>
      <c r="K15" s="157">
        <v>5.2</v>
      </c>
      <c r="L15" s="157">
        <v>5</v>
      </c>
      <c r="M15" s="157">
        <v>5</v>
      </c>
      <c r="N15" s="157">
        <v>6.1</v>
      </c>
      <c r="O15" s="157">
        <v>9.5</v>
      </c>
      <c r="P15" s="157">
        <v>7.6</v>
      </c>
      <c r="Q15" s="157">
        <v>3.9</v>
      </c>
      <c r="R15" s="157">
        <v>1.9</v>
      </c>
      <c r="S15" s="157">
        <v>0.8</v>
      </c>
      <c r="T15" s="157"/>
    </row>
    <row r="16" spans="2:46">
      <c r="B16" s="155">
        <v>11</v>
      </c>
      <c r="C16" s="156"/>
      <c r="D16" s="157">
        <v>9.5</v>
      </c>
      <c r="E16" s="157">
        <v>7.7</v>
      </c>
      <c r="F16" s="157">
        <v>7</v>
      </c>
      <c r="G16" s="157">
        <v>6.5</v>
      </c>
      <c r="H16" s="157">
        <v>6</v>
      </c>
      <c r="I16" s="157">
        <v>5.8</v>
      </c>
      <c r="J16" s="157">
        <v>5.6</v>
      </c>
      <c r="K16" s="157">
        <v>5.2</v>
      </c>
      <c r="L16" s="157">
        <v>5</v>
      </c>
      <c r="M16" s="157">
        <v>5</v>
      </c>
      <c r="N16" s="157">
        <v>6.1</v>
      </c>
      <c r="O16" s="157">
        <v>9.5</v>
      </c>
      <c r="P16" s="157">
        <v>7.6</v>
      </c>
      <c r="Q16" s="157">
        <v>3.9</v>
      </c>
      <c r="R16" s="157">
        <v>1.9</v>
      </c>
      <c r="S16" s="157">
        <v>0.8</v>
      </c>
      <c r="T16" s="157"/>
    </row>
    <row r="17" spans="2:40">
      <c r="C17" s="142"/>
      <c r="D17" s="142"/>
      <c r="E17" s="142"/>
      <c r="F17" s="142"/>
      <c r="G17" s="142"/>
      <c r="H17" s="142"/>
      <c r="I17" s="142"/>
      <c r="J17" s="142"/>
      <c r="K17" s="142"/>
      <c r="L17" s="142"/>
      <c r="M17" s="142"/>
      <c r="N17" s="142"/>
      <c r="O17" s="142"/>
      <c r="P17" s="142"/>
      <c r="Q17" s="142"/>
      <c r="R17" s="142"/>
      <c r="S17" s="142"/>
      <c r="T17" s="142"/>
      <c r="W17" s="142"/>
      <c r="X17" s="142"/>
      <c r="Y17" s="142"/>
      <c r="Z17" s="142"/>
      <c r="AA17" s="142"/>
      <c r="AB17" s="142"/>
      <c r="AC17" s="142"/>
      <c r="AD17" s="142"/>
      <c r="AE17" s="142"/>
      <c r="AF17" s="142"/>
      <c r="AG17" s="142"/>
      <c r="AH17" s="142"/>
      <c r="AI17" s="142"/>
      <c r="AJ17" s="142"/>
      <c r="AK17" s="142"/>
      <c r="AL17" s="142"/>
      <c r="AM17" s="142"/>
      <c r="AN17" s="142"/>
    </row>
    <row r="18" spans="2:40">
      <c r="C18" s="142"/>
      <c r="D18" s="142"/>
      <c r="E18" s="142"/>
      <c r="F18" s="142"/>
      <c r="G18" s="142"/>
      <c r="H18" s="142"/>
      <c r="I18" s="142"/>
      <c r="J18" s="142"/>
      <c r="K18" s="142"/>
      <c r="L18" s="142"/>
      <c r="M18" s="142"/>
      <c r="N18" s="142"/>
      <c r="O18" s="142"/>
      <c r="P18" s="142"/>
      <c r="Q18" s="142"/>
      <c r="R18" s="142"/>
      <c r="S18" s="142"/>
      <c r="T18" s="142"/>
      <c r="W18" s="142"/>
      <c r="X18" s="142"/>
      <c r="Y18" s="142"/>
      <c r="Z18" s="142"/>
      <c r="AA18" s="142"/>
      <c r="AB18" s="142"/>
      <c r="AC18" s="142"/>
      <c r="AD18" s="142"/>
      <c r="AE18" s="142"/>
      <c r="AF18" s="142"/>
      <c r="AG18" s="142"/>
      <c r="AH18" s="142"/>
      <c r="AI18" s="142"/>
      <c r="AJ18" s="142"/>
      <c r="AK18" s="142"/>
      <c r="AL18" s="142"/>
      <c r="AM18" s="142"/>
      <c r="AN18" s="142"/>
    </row>
    <row r="19" spans="2:40">
      <c r="B19" s="155"/>
      <c r="C19" s="155">
        <v>0</v>
      </c>
      <c r="D19" s="155">
        <v>1</v>
      </c>
      <c r="E19" s="155">
        <v>2</v>
      </c>
      <c r="F19" s="155">
        <v>3</v>
      </c>
      <c r="G19" s="155">
        <v>4</v>
      </c>
      <c r="H19" s="155">
        <v>5</v>
      </c>
      <c r="I19" s="155">
        <v>6</v>
      </c>
      <c r="J19" s="155">
        <v>7</v>
      </c>
      <c r="K19" s="155">
        <v>8</v>
      </c>
      <c r="L19" s="155">
        <v>9</v>
      </c>
      <c r="M19" s="155">
        <v>10</v>
      </c>
      <c r="N19" s="155">
        <v>11</v>
      </c>
      <c r="O19" s="155">
        <v>12</v>
      </c>
      <c r="P19" s="155">
        <v>13</v>
      </c>
      <c r="Q19" s="155">
        <v>14</v>
      </c>
      <c r="R19" s="155">
        <v>15</v>
      </c>
      <c r="S19" s="155">
        <v>16</v>
      </c>
      <c r="T19" s="155">
        <v>17</v>
      </c>
      <c r="W19" s="142"/>
      <c r="X19" s="142"/>
      <c r="Y19" s="142"/>
      <c r="Z19" s="142"/>
      <c r="AA19" s="142"/>
      <c r="AB19" s="142"/>
      <c r="AC19" s="142"/>
      <c r="AD19" s="142"/>
      <c r="AE19" s="142"/>
      <c r="AF19" s="142"/>
      <c r="AG19" s="142"/>
      <c r="AH19" s="142"/>
      <c r="AI19" s="142"/>
      <c r="AJ19" s="142"/>
      <c r="AK19" s="142"/>
      <c r="AL19" s="142"/>
      <c r="AM19" s="142"/>
      <c r="AN19" s="142"/>
    </row>
    <row r="20" spans="2:40">
      <c r="B20" s="155">
        <v>0</v>
      </c>
      <c r="C20" s="156"/>
      <c r="D20" s="157">
        <v>1.55</v>
      </c>
      <c r="E20" s="157">
        <v>0.77</v>
      </c>
      <c r="F20" s="157">
        <v>0.71</v>
      </c>
      <c r="G20" s="157">
        <v>0.75</v>
      </c>
      <c r="H20" s="157">
        <v>0.79</v>
      </c>
      <c r="I20" s="157">
        <v>0.84</v>
      </c>
      <c r="J20" s="157">
        <v>0.81</v>
      </c>
      <c r="K20" s="157">
        <v>0.74</v>
      </c>
      <c r="L20" s="157">
        <v>0.65</v>
      </c>
      <c r="M20" s="157">
        <v>0.68</v>
      </c>
      <c r="N20" s="157">
        <v>0.7</v>
      </c>
      <c r="O20" s="157">
        <v>0.8</v>
      </c>
      <c r="P20" s="157">
        <v>1.45</v>
      </c>
      <c r="Q20" s="157">
        <v>0.88</v>
      </c>
      <c r="R20" s="157">
        <v>0.69</v>
      </c>
      <c r="S20" s="157">
        <v>0.53</v>
      </c>
      <c r="T20" s="157">
        <v>0.39</v>
      </c>
      <c r="W20" s="142"/>
      <c r="X20" s="142"/>
      <c r="Y20" s="142"/>
      <c r="Z20" s="142"/>
      <c r="AA20" s="142"/>
      <c r="AB20" s="142"/>
      <c r="AC20" s="142"/>
      <c r="AD20" s="142"/>
      <c r="AE20" s="142"/>
      <c r="AF20" s="142"/>
      <c r="AG20" s="142"/>
      <c r="AH20" s="142"/>
      <c r="AI20" s="142"/>
      <c r="AJ20" s="142"/>
      <c r="AK20" s="142"/>
      <c r="AL20" s="142"/>
      <c r="AM20" s="142"/>
      <c r="AN20" s="142"/>
    </row>
    <row r="21" spans="2:40">
      <c r="B21" s="155">
        <v>1</v>
      </c>
      <c r="C21" s="155"/>
      <c r="D21" s="157">
        <v>1.55</v>
      </c>
      <c r="E21" s="157">
        <v>0.77</v>
      </c>
      <c r="F21" s="157">
        <v>0.71</v>
      </c>
      <c r="G21" s="157">
        <v>0.75</v>
      </c>
      <c r="H21" s="157">
        <v>0.79</v>
      </c>
      <c r="I21" s="157">
        <v>0.84</v>
      </c>
      <c r="J21" s="157">
        <v>0.81</v>
      </c>
      <c r="K21" s="157">
        <v>0.74</v>
      </c>
      <c r="L21" s="157">
        <v>0.65</v>
      </c>
      <c r="M21" s="157">
        <v>0.68</v>
      </c>
      <c r="N21" s="157">
        <v>0.7</v>
      </c>
      <c r="O21" s="157">
        <v>0.8</v>
      </c>
      <c r="P21" s="157">
        <v>1.45</v>
      </c>
      <c r="Q21" s="157">
        <v>0.88</v>
      </c>
      <c r="R21" s="157">
        <v>0.69</v>
      </c>
      <c r="S21" s="157">
        <v>0.53</v>
      </c>
      <c r="T21" s="157">
        <v>0.39</v>
      </c>
      <c r="W21" s="142"/>
      <c r="X21" s="142"/>
      <c r="Y21" s="142"/>
      <c r="Z21" s="142"/>
      <c r="AA21" s="142"/>
      <c r="AB21" s="142"/>
      <c r="AC21" s="142"/>
      <c r="AD21" s="142"/>
      <c r="AE21" s="142"/>
      <c r="AF21" s="142"/>
      <c r="AG21" s="142"/>
      <c r="AH21" s="142"/>
      <c r="AI21" s="142"/>
      <c r="AJ21" s="142"/>
      <c r="AK21" s="142"/>
      <c r="AL21" s="142"/>
      <c r="AM21" s="142"/>
      <c r="AN21" s="142"/>
    </row>
    <row r="22" spans="2:40">
      <c r="B22" s="155">
        <v>2</v>
      </c>
      <c r="C22" s="155"/>
      <c r="D22" s="157">
        <v>1.55</v>
      </c>
      <c r="E22" s="157">
        <v>0.77</v>
      </c>
      <c r="F22" s="157">
        <v>0.71</v>
      </c>
      <c r="G22" s="157">
        <v>0.75</v>
      </c>
      <c r="H22" s="157">
        <v>0.79</v>
      </c>
      <c r="I22" s="157">
        <v>0.84</v>
      </c>
      <c r="J22" s="157">
        <v>0.81</v>
      </c>
      <c r="K22" s="157">
        <v>0.74</v>
      </c>
      <c r="L22" s="157">
        <v>0.65</v>
      </c>
      <c r="M22" s="157">
        <v>0.68</v>
      </c>
      <c r="N22" s="157">
        <v>0.7</v>
      </c>
      <c r="O22" s="157">
        <v>0.8</v>
      </c>
      <c r="P22" s="157">
        <v>1.45</v>
      </c>
      <c r="Q22" s="157">
        <v>0.88</v>
      </c>
      <c r="R22" s="157">
        <v>0.69</v>
      </c>
      <c r="S22" s="157">
        <v>0.53</v>
      </c>
      <c r="T22" s="157">
        <v>0.39</v>
      </c>
      <c r="W22" s="142"/>
      <c r="X22" s="142"/>
      <c r="Y22" s="142"/>
      <c r="Z22" s="142"/>
      <c r="AA22" s="142"/>
      <c r="AB22" s="142"/>
      <c r="AC22" s="142"/>
      <c r="AD22" s="142"/>
      <c r="AE22" s="142"/>
      <c r="AF22" s="142"/>
      <c r="AG22" s="142"/>
      <c r="AH22" s="142"/>
      <c r="AI22" s="142"/>
      <c r="AJ22" s="142"/>
      <c r="AK22" s="142"/>
      <c r="AL22" s="142"/>
      <c r="AM22" s="142"/>
      <c r="AN22" s="142"/>
    </row>
    <row r="23" spans="2:40">
      <c r="B23" s="155">
        <v>3</v>
      </c>
      <c r="C23" s="156"/>
      <c r="D23" s="157">
        <v>1.18</v>
      </c>
      <c r="E23" s="157">
        <v>0.7</v>
      </c>
      <c r="F23" s="157">
        <v>0.73</v>
      </c>
      <c r="G23" s="157">
        <v>0.77</v>
      </c>
      <c r="H23" s="157">
        <v>0.8</v>
      </c>
      <c r="I23" s="157">
        <v>0.84</v>
      </c>
      <c r="J23" s="157">
        <v>0.8</v>
      </c>
      <c r="K23" s="157">
        <v>0.7</v>
      </c>
      <c r="L23" s="157">
        <v>0.65</v>
      </c>
      <c r="M23" s="157">
        <v>0.66</v>
      </c>
      <c r="N23" s="157">
        <v>0.72</v>
      </c>
      <c r="O23" s="157">
        <v>0.9</v>
      </c>
      <c r="P23" s="157">
        <v>1.45</v>
      </c>
      <c r="Q23" s="157">
        <v>0.8</v>
      </c>
      <c r="R23" s="157">
        <v>0.68</v>
      </c>
      <c r="S23" s="157">
        <v>0.49</v>
      </c>
      <c r="T23" s="157">
        <v>0.38</v>
      </c>
      <c r="W23" s="142"/>
      <c r="X23" s="142"/>
      <c r="Y23" s="142"/>
      <c r="Z23" s="142"/>
      <c r="AA23" s="142"/>
      <c r="AB23" s="142"/>
      <c r="AC23" s="142"/>
      <c r="AD23" s="142"/>
      <c r="AE23" s="142"/>
      <c r="AF23" s="142"/>
      <c r="AG23" s="142"/>
      <c r="AH23" s="142"/>
      <c r="AI23" s="142"/>
      <c r="AJ23" s="142"/>
      <c r="AK23" s="142"/>
      <c r="AL23" s="142"/>
      <c r="AM23" s="142"/>
      <c r="AN23" s="142"/>
    </row>
    <row r="24" spans="2:40">
      <c r="B24" s="155">
        <v>4</v>
      </c>
      <c r="C24" s="155"/>
      <c r="D24" s="157">
        <v>1.18</v>
      </c>
      <c r="E24" s="157">
        <v>0.7</v>
      </c>
      <c r="F24" s="157">
        <v>0.73</v>
      </c>
      <c r="G24" s="157">
        <v>0.77</v>
      </c>
      <c r="H24" s="157">
        <v>0.8</v>
      </c>
      <c r="I24" s="157">
        <v>0.84</v>
      </c>
      <c r="J24" s="157">
        <v>0.8</v>
      </c>
      <c r="K24" s="157">
        <v>0.7</v>
      </c>
      <c r="L24" s="157">
        <v>0.65</v>
      </c>
      <c r="M24" s="157">
        <v>0.66</v>
      </c>
      <c r="N24" s="157">
        <v>0.72</v>
      </c>
      <c r="O24" s="157">
        <v>0.9</v>
      </c>
      <c r="P24" s="157">
        <v>1.45</v>
      </c>
      <c r="Q24" s="157">
        <v>0.8</v>
      </c>
      <c r="R24" s="157">
        <v>0.68</v>
      </c>
      <c r="S24" s="157">
        <v>0.49</v>
      </c>
      <c r="T24" s="157">
        <v>0.38</v>
      </c>
      <c r="W24" s="142"/>
      <c r="X24" s="142"/>
      <c r="Y24" s="142"/>
      <c r="Z24" s="142"/>
      <c r="AA24" s="142"/>
      <c r="AB24" s="142"/>
      <c r="AC24" s="142"/>
      <c r="AD24" s="142"/>
      <c r="AE24" s="142"/>
      <c r="AF24" s="142"/>
      <c r="AG24" s="142"/>
      <c r="AH24" s="142"/>
      <c r="AI24" s="142"/>
      <c r="AJ24" s="142"/>
      <c r="AK24" s="142"/>
      <c r="AL24" s="142"/>
      <c r="AM24" s="142"/>
      <c r="AN24" s="142"/>
    </row>
    <row r="25" spans="2:40">
      <c r="B25" s="155">
        <v>5</v>
      </c>
      <c r="C25" s="155"/>
      <c r="D25" s="157">
        <v>1.18</v>
      </c>
      <c r="E25" s="157">
        <v>0.7</v>
      </c>
      <c r="F25" s="157">
        <v>0.73</v>
      </c>
      <c r="G25" s="157">
        <v>0.77</v>
      </c>
      <c r="H25" s="157">
        <v>0.8</v>
      </c>
      <c r="I25" s="157">
        <v>0.84</v>
      </c>
      <c r="J25" s="157">
        <v>0.8</v>
      </c>
      <c r="K25" s="157">
        <v>0.7</v>
      </c>
      <c r="L25" s="157">
        <v>0.65</v>
      </c>
      <c r="M25" s="157">
        <v>0.66</v>
      </c>
      <c r="N25" s="157">
        <v>0.72</v>
      </c>
      <c r="O25" s="157">
        <v>0.9</v>
      </c>
      <c r="P25" s="157">
        <v>1.45</v>
      </c>
      <c r="Q25" s="157">
        <v>0.8</v>
      </c>
      <c r="R25" s="157">
        <v>0.68</v>
      </c>
      <c r="S25" s="157">
        <v>0.49</v>
      </c>
      <c r="T25" s="157">
        <v>0.38</v>
      </c>
      <c r="W25" s="142"/>
      <c r="X25" s="142"/>
      <c r="Y25" s="142"/>
      <c r="Z25" s="142"/>
      <c r="AA25" s="142"/>
      <c r="AB25" s="142"/>
      <c r="AC25" s="142"/>
      <c r="AD25" s="142"/>
      <c r="AE25" s="142"/>
      <c r="AF25" s="142"/>
      <c r="AG25" s="142"/>
      <c r="AH25" s="142"/>
      <c r="AI25" s="142"/>
      <c r="AJ25" s="142"/>
      <c r="AK25" s="142"/>
      <c r="AL25" s="142"/>
      <c r="AM25" s="142"/>
      <c r="AN25" s="142"/>
    </row>
    <row r="26" spans="2:40">
      <c r="B26" s="155">
        <v>6</v>
      </c>
      <c r="C26" s="156"/>
      <c r="D26" s="157">
        <v>0.93</v>
      </c>
      <c r="E26" s="157">
        <v>0.7</v>
      </c>
      <c r="F26" s="157">
        <v>0.74</v>
      </c>
      <c r="G26" s="157">
        <v>0.78</v>
      </c>
      <c r="H26" s="157">
        <v>0.83</v>
      </c>
      <c r="I26" s="157">
        <v>0.84</v>
      </c>
      <c r="J26" s="157">
        <v>0.78</v>
      </c>
      <c r="K26" s="157">
        <v>0.68</v>
      </c>
      <c r="L26" s="157">
        <v>0.65</v>
      </c>
      <c r="M26" s="157">
        <v>0.66</v>
      </c>
      <c r="N26" s="157">
        <v>0.72</v>
      </c>
      <c r="O26" s="157">
        <v>1.1499999999999999</v>
      </c>
      <c r="P26" s="157">
        <v>1.23</v>
      </c>
      <c r="Q26" s="157">
        <v>0.78</v>
      </c>
      <c r="R26" s="157">
        <v>0.63</v>
      </c>
      <c r="S26" s="157">
        <v>0.44</v>
      </c>
      <c r="T26" s="157">
        <v>0.3</v>
      </c>
      <c r="W26" s="142"/>
      <c r="X26" s="142"/>
      <c r="Y26" s="142"/>
      <c r="Z26" s="142"/>
      <c r="AA26" s="142"/>
      <c r="AB26" s="142"/>
      <c r="AC26" s="142"/>
      <c r="AD26" s="142"/>
      <c r="AE26" s="142"/>
      <c r="AF26" s="142"/>
      <c r="AG26" s="142"/>
      <c r="AH26" s="142"/>
      <c r="AI26" s="142"/>
      <c r="AJ26" s="142"/>
      <c r="AK26" s="142"/>
      <c r="AL26" s="142"/>
      <c r="AM26" s="142"/>
      <c r="AN26" s="142"/>
    </row>
    <row r="27" spans="2:40">
      <c r="B27" s="155">
        <v>7</v>
      </c>
      <c r="C27" s="155"/>
      <c r="D27" s="157">
        <v>0.93</v>
      </c>
      <c r="E27" s="157">
        <v>0.7</v>
      </c>
      <c r="F27" s="157">
        <v>0.74</v>
      </c>
      <c r="G27" s="157">
        <v>0.78</v>
      </c>
      <c r="H27" s="157">
        <v>0.83</v>
      </c>
      <c r="I27" s="157">
        <v>0.84</v>
      </c>
      <c r="J27" s="157">
        <v>0.78</v>
      </c>
      <c r="K27" s="157">
        <v>0.68</v>
      </c>
      <c r="L27" s="157">
        <v>0.65</v>
      </c>
      <c r="M27" s="157">
        <v>0.66</v>
      </c>
      <c r="N27" s="157">
        <v>0.72</v>
      </c>
      <c r="O27" s="157">
        <v>1.1499999999999999</v>
      </c>
      <c r="P27" s="157">
        <v>1.23</v>
      </c>
      <c r="Q27" s="157">
        <v>0.78</v>
      </c>
      <c r="R27" s="157">
        <v>0.63</v>
      </c>
      <c r="S27" s="157">
        <v>0.44</v>
      </c>
      <c r="T27" s="157">
        <v>0.3</v>
      </c>
      <c r="W27" s="142"/>
      <c r="X27" s="142"/>
      <c r="Y27" s="142"/>
      <c r="Z27" s="142"/>
      <c r="AA27" s="142"/>
      <c r="AB27" s="142"/>
      <c r="AC27" s="142"/>
      <c r="AD27" s="142"/>
      <c r="AE27" s="142"/>
      <c r="AF27" s="142"/>
      <c r="AG27" s="142"/>
      <c r="AH27" s="142"/>
      <c r="AI27" s="142"/>
      <c r="AJ27" s="142"/>
      <c r="AK27" s="142"/>
      <c r="AL27" s="142"/>
      <c r="AM27" s="142"/>
      <c r="AN27" s="142"/>
    </row>
    <row r="28" spans="2:40">
      <c r="B28" s="155">
        <v>8</v>
      </c>
      <c r="C28" s="155"/>
      <c r="D28" s="157">
        <v>0.93</v>
      </c>
      <c r="E28" s="157">
        <v>0.7</v>
      </c>
      <c r="F28" s="157">
        <v>0.74</v>
      </c>
      <c r="G28" s="157">
        <v>0.78</v>
      </c>
      <c r="H28" s="157">
        <v>0.83</v>
      </c>
      <c r="I28" s="157">
        <v>0.84</v>
      </c>
      <c r="J28" s="157">
        <v>0.78</v>
      </c>
      <c r="K28" s="157">
        <v>0.68</v>
      </c>
      <c r="L28" s="157">
        <v>0.65</v>
      </c>
      <c r="M28" s="157">
        <v>0.66</v>
      </c>
      <c r="N28" s="157">
        <v>0.72</v>
      </c>
      <c r="O28" s="157">
        <v>1.1499999999999999</v>
      </c>
      <c r="P28" s="157">
        <v>1.23</v>
      </c>
      <c r="Q28" s="157">
        <v>0.78</v>
      </c>
      <c r="R28" s="157">
        <v>0.63</v>
      </c>
      <c r="S28" s="157">
        <v>0.44</v>
      </c>
      <c r="T28" s="157">
        <v>0.3</v>
      </c>
      <c r="W28" s="142"/>
      <c r="X28" s="142"/>
      <c r="Y28" s="142"/>
      <c r="Z28" s="142"/>
      <c r="AA28" s="142"/>
      <c r="AB28" s="142"/>
      <c r="AC28" s="142"/>
      <c r="AD28" s="142"/>
      <c r="AE28" s="142"/>
      <c r="AF28" s="142"/>
      <c r="AG28" s="142"/>
      <c r="AH28" s="142"/>
      <c r="AI28" s="142"/>
      <c r="AJ28" s="142"/>
      <c r="AK28" s="142"/>
      <c r="AL28" s="142"/>
      <c r="AM28" s="142"/>
      <c r="AN28" s="142"/>
    </row>
    <row r="29" spans="2:40">
      <c r="B29" s="155">
        <v>9</v>
      </c>
      <c r="C29" s="156"/>
      <c r="D29" s="157">
        <v>0.81</v>
      </c>
      <c r="E29" s="157">
        <v>0.71</v>
      </c>
      <c r="F29" s="157">
        <v>0.75</v>
      </c>
      <c r="G29" s="157">
        <v>0.78</v>
      </c>
      <c r="H29" s="157">
        <v>0.84</v>
      </c>
      <c r="I29" s="157">
        <v>0.83</v>
      </c>
      <c r="J29" s="157">
        <v>0.78</v>
      </c>
      <c r="K29" s="157">
        <v>0.68</v>
      </c>
      <c r="L29" s="157">
        <v>0.65</v>
      </c>
      <c r="M29" s="157">
        <v>0.66</v>
      </c>
      <c r="N29" s="157">
        <v>0.75</v>
      </c>
      <c r="O29" s="157">
        <v>1.4</v>
      </c>
      <c r="P29" s="157">
        <v>1.01</v>
      </c>
      <c r="Q29" s="157">
        <v>0.71</v>
      </c>
      <c r="R29" s="157">
        <v>0.57999999999999996</v>
      </c>
      <c r="S29" s="157">
        <v>0.39</v>
      </c>
      <c r="T29" s="157">
        <v>0.25</v>
      </c>
      <c r="W29" s="142"/>
      <c r="X29" s="142"/>
      <c r="Y29" s="142"/>
      <c r="Z29" s="142"/>
      <c r="AA29" s="142"/>
      <c r="AB29" s="142"/>
      <c r="AC29" s="142"/>
      <c r="AD29" s="142"/>
      <c r="AE29" s="142"/>
      <c r="AF29" s="142"/>
      <c r="AG29" s="142"/>
      <c r="AH29" s="142"/>
      <c r="AI29" s="142"/>
      <c r="AJ29" s="142"/>
      <c r="AK29" s="142"/>
      <c r="AL29" s="142"/>
      <c r="AM29" s="142"/>
      <c r="AN29" s="142"/>
    </row>
    <row r="30" spans="2:40">
      <c r="B30" s="155">
        <v>10</v>
      </c>
      <c r="C30" s="156"/>
      <c r="D30" s="157">
        <v>0.81</v>
      </c>
      <c r="E30" s="157">
        <v>0.71</v>
      </c>
      <c r="F30" s="157">
        <v>0.75</v>
      </c>
      <c r="G30" s="157">
        <v>0.78</v>
      </c>
      <c r="H30" s="157">
        <v>0.84</v>
      </c>
      <c r="I30" s="157">
        <v>0.83</v>
      </c>
      <c r="J30" s="157">
        <v>0.78</v>
      </c>
      <c r="K30" s="157">
        <v>0.68</v>
      </c>
      <c r="L30" s="157">
        <v>0.65</v>
      </c>
      <c r="M30" s="157">
        <v>0.66</v>
      </c>
      <c r="N30" s="157">
        <v>0.75</v>
      </c>
      <c r="O30" s="157">
        <v>1.4</v>
      </c>
      <c r="P30" s="157">
        <v>1.01</v>
      </c>
      <c r="Q30" s="157">
        <v>0.71</v>
      </c>
      <c r="R30" s="157">
        <v>0.57999999999999996</v>
      </c>
      <c r="S30" s="157">
        <v>0.39</v>
      </c>
      <c r="T30" s="157"/>
      <c r="W30" s="142"/>
      <c r="X30" s="142"/>
      <c r="Y30" s="142"/>
      <c r="Z30" s="142"/>
      <c r="AA30" s="142"/>
      <c r="AB30" s="142"/>
      <c r="AC30" s="142"/>
      <c r="AD30" s="142"/>
      <c r="AE30" s="142"/>
      <c r="AF30" s="142"/>
      <c r="AG30" s="142"/>
      <c r="AH30" s="142"/>
      <c r="AI30" s="142"/>
      <c r="AJ30" s="142"/>
      <c r="AK30" s="142"/>
      <c r="AL30" s="142"/>
      <c r="AM30" s="142"/>
      <c r="AN30" s="142"/>
    </row>
    <row r="31" spans="2:40">
      <c r="B31" s="155">
        <v>11</v>
      </c>
      <c r="C31" s="157">
        <v>1.55</v>
      </c>
      <c r="D31" s="157">
        <v>0.81</v>
      </c>
      <c r="E31" s="157">
        <v>0.71</v>
      </c>
      <c r="F31" s="157">
        <v>0.75</v>
      </c>
      <c r="G31" s="157">
        <v>0.78</v>
      </c>
      <c r="H31" s="157">
        <v>0.84</v>
      </c>
      <c r="I31" s="157">
        <v>0.83</v>
      </c>
      <c r="J31" s="157">
        <v>0.78</v>
      </c>
      <c r="K31" s="157">
        <v>0.68</v>
      </c>
      <c r="L31" s="157">
        <v>0.65</v>
      </c>
      <c r="M31" s="157">
        <v>0.66</v>
      </c>
      <c r="N31" s="157">
        <v>0.75</v>
      </c>
      <c r="O31" s="157">
        <v>1.4</v>
      </c>
      <c r="P31" s="157">
        <v>1.01</v>
      </c>
      <c r="Q31" s="157">
        <v>0.71</v>
      </c>
      <c r="R31" s="157">
        <v>0.57999999999999996</v>
      </c>
      <c r="S31" s="157">
        <v>0.39</v>
      </c>
      <c r="T31" s="157"/>
      <c r="W31" s="142"/>
      <c r="X31" s="142"/>
      <c r="Y31" s="142"/>
      <c r="Z31" s="142"/>
      <c r="AA31" s="142"/>
      <c r="AB31" s="142"/>
      <c r="AC31" s="142"/>
      <c r="AD31" s="142"/>
      <c r="AE31" s="142"/>
      <c r="AF31" s="142"/>
      <c r="AG31" s="142"/>
      <c r="AH31" s="142"/>
      <c r="AI31" s="142"/>
      <c r="AJ31" s="142"/>
      <c r="AK31" s="142"/>
      <c r="AL31" s="142"/>
      <c r="AM31" s="142"/>
      <c r="AN31" s="142"/>
    </row>
    <row r="32" spans="2:40">
      <c r="C32" s="142"/>
      <c r="D32" s="142"/>
      <c r="E32" s="142"/>
      <c r="F32" s="142"/>
      <c r="G32" s="142"/>
      <c r="H32" s="142"/>
      <c r="I32" s="142"/>
      <c r="J32" s="142"/>
      <c r="K32" s="142"/>
      <c r="L32" s="142"/>
      <c r="M32" s="142"/>
      <c r="N32" s="142"/>
      <c r="O32" s="142"/>
      <c r="P32" s="142"/>
      <c r="Q32" s="142"/>
      <c r="R32" s="142"/>
      <c r="S32" s="142"/>
      <c r="T32" s="142"/>
      <c r="W32" s="142"/>
      <c r="X32" s="142"/>
      <c r="Y32" s="142"/>
      <c r="Z32" s="142"/>
      <c r="AA32" s="142"/>
      <c r="AB32" s="142"/>
      <c r="AC32" s="142"/>
      <c r="AD32" s="142"/>
      <c r="AE32" s="142"/>
      <c r="AF32" s="142"/>
      <c r="AG32" s="142"/>
      <c r="AH32" s="142"/>
      <c r="AI32" s="142"/>
      <c r="AJ32" s="142"/>
      <c r="AK32" s="142"/>
      <c r="AL32" s="142"/>
      <c r="AM32" s="142"/>
      <c r="AN32" s="142"/>
    </row>
    <row r="33" spans="3:40">
      <c r="C33" s="142"/>
      <c r="D33" s="142"/>
      <c r="E33" s="142"/>
      <c r="F33" s="142"/>
      <c r="G33" s="142"/>
      <c r="H33" s="142"/>
      <c r="I33" s="142"/>
      <c r="J33" s="142"/>
      <c r="K33" s="142"/>
      <c r="L33" s="142"/>
      <c r="M33" s="142"/>
      <c r="N33" s="142"/>
      <c r="O33" s="142"/>
      <c r="P33" s="142"/>
      <c r="Q33" s="142"/>
      <c r="R33" s="142"/>
      <c r="S33" s="142"/>
      <c r="T33" s="142"/>
      <c r="W33" s="142"/>
      <c r="X33" s="142"/>
      <c r="Y33" s="142"/>
      <c r="Z33" s="142"/>
      <c r="AA33" s="142"/>
      <c r="AB33" s="142"/>
      <c r="AC33" s="142"/>
      <c r="AD33" s="142"/>
      <c r="AE33" s="142"/>
      <c r="AF33" s="142"/>
      <c r="AG33" s="142"/>
      <c r="AH33" s="142"/>
      <c r="AI33" s="142"/>
      <c r="AJ33" s="142"/>
      <c r="AK33" s="142"/>
      <c r="AL33" s="142"/>
      <c r="AM33" s="142"/>
      <c r="AN33" s="142"/>
    </row>
    <row r="34" spans="3:40">
      <c r="C34" s="142"/>
      <c r="D34" s="142"/>
      <c r="E34" s="142"/>
      <c r="F34" s="142"/>
      <c r="G34" s="142"/>
      <c r="H34" s="142"/>
      <c r="I34" s="142"/>
      <c r="J34" s="142"/>
      <c r="K34" s="142"/>
      <c r="L34" s="142"/>
      <c r="M34" s="142"/>
      <c r="N34" s="142"/>
      <c r="O34" s="142"/>
      <c r="P34" s="142"/>
      <c r="Q34" s="142"/>
      <c r="R34" s="142"/>
      <c r="S34" s="142"/>
      <c r="T34" s="142"/>
      <c r="W34" s="142"/>
      <c r="X34" s="142"/>
      <c r="Y34" s="142"/>
      <c r="Z34" s="142"/>
      <c r="AA34" s="142"/>
      <c r="AB34" s="142"/>
      <c r="AC34" s="142"/>
      <c r="AD34" s="142"/>
      <c r="AE34" s="142"/>
      <c r="AF34" s="142"/>
      <c r="AG34" s="142"/>
      <c r="AH34" s="142"/>
      <c r="AI34" s="142"/>
      <c r="AJ34" s="142"/>
      <c r="AK34" s="142"/>
      <c r="AL34" s="142"/>
      <c r="AM34" s="142"/>
      <c r="AN34" s="142"/>
    </row>
    <row r="35" spans="3:40">
      <c r="C35" s="142"/>
      <c r="D35" s="142"/>
      <c r="E35" s="142"/>
      <c r="F35" s="142"/>
      <c r="G35" s="142"/>
      <c r="H35" s="142"/>
      <c r="I35" s="142"/>
      <c r="J35" s="142"/>
      <c r="K35" s="142"/>
      <c r="L35" s="142"/>
      <c r="M35" s="142"/>
      <c r="N35" s="142"/>
      <c r="O35" s="142"/>
      <c r="P35" s="142"/>
      <c r="Q35" s="142"/>
      <c r="R35" s="142"/>
      <c r="S35" s="142"/>
      <c r="T35" s="142"/>
      <c r="W35" s="142"/>
      <c r="X35" s="142"/>
      <c r="Y35" s="142"/>
      <c r="Z35" s="142"/>
      <c r="AA35" s="142"/>
      <c r="AB35" s="142"/>
      <c r="AC35" s="142"/>
      <c r="AD35" s="142"/>
      <c r="AE35" s="142"/>
      <c r="AF35" s="142"/>
      <c r="AG35" s="142"/>
      <c r="AH35" s="142"/>
      <c r="AI35" s="142"/>
      <c r="AJ35" s="142"/>
      <c r="AK35" s="142"/>
      <c r="AL35" s="142"/>
      <c r="AM35" s="142"/>
      <c r="AN35" s="142"/>
    </row>
    <row r="36" spans="3:40">
      <c r="C36" s="142"/>
      <c r="D36" s="142"/>
      <c r="E36" s="142"/>
      <c r="F36" s="142"/>
      <c r="G36" s="142"/>
      <c r="H36" s="142"/>
      <c r="I36" s="142"/>
      <c r="J36" s="142"/>
      <c r="K36" s="142"/>
      <c r="L36" s="142"/>
      <c r="M36" s="142"/>
      <c r="N36" s="142"/>
      <c r="O36" s="142"/>
      <c r="P36" s="142"/>
      <c r="Q36" s="142"/>
      <c r="R36" s="142"/>
      <c r="S36" s="142"/>
      <c r="T36" s="142"/>
      <c r="W36" s="142"/>
      <c r="X36" s="142"/>
      <c r="Y36" s="142"/>
      <c r="Z36" s="142"/>
      <c r="AA36" s="142"/>
      <c r="AB36" s="142"/>
      <c r="AC36" s="142"/>
      <c r="AD36" s="142"/>
      <c r="AE36" s="142"/>
      <c r="AF36" s="142"/>
      <c r="AG36" s="142"/>
      <c r="AH36" s="142"/>
      <c r="AI36" s="142"/>
      <c r="AJ36" s="142"/>
      <c r="AK36" s="142"/>
      <c r="AL36" s="142"/>
      <c r="AM36" s="142"/>
      <c r="AN36" s="142"/>
    </row>
    <row r="37" spans="3:40">
      <c r="C37" s="142"/>
      <c r="D37" s="142"/>
      <c r="E37" s="142"/>
      <c r="F37" s="142"/>
      <c r="G37" s="142"/>
      <c r="H37" s="142"/>
      <c r="I37" s="142"/>
      <c r="J37" s="142"/>
      <c r="K37" s="142"/>
      <c r="L37" s="142"/>
      <c r="M37" s="142"/>
      <c r="N37" s="142"/>
      <c r="O37" s="142"/>
      <c r="P37" s="142"/>
      <c r="Q37" s="142"/>
      <c r="R37" s="142"/>
      <c r="S37" s="142"/>
      <c r="T37" s="142"/>
      <c r="W37" s="142"/>
      <c r="X37" s="142"/>
      <c r="Y37" s="142"/>
      <c r="Z37" s="142"/>
      <c r="AA37" s="142"/>
      <c r="AB37" s="142"/>
      <c r="AC37" s="142"/>
      <c r="AD37" s="142"/>
      <c r="AE37" s="142"/>
      <c r="AF37" s="142"/>
      <c r="AG37" s="142"/>
      <c r="AH37" s="142"/>
      <c r="AI37" s="142"/>
      <c r="AJ37" s="142"/>
      <c r="AK37" s="142"/>
      <c r="AL37" s="142"/>
      <c r="AM37" s="142"/>
      <c r="AN37" s="142"/>
    </row>
    <row r="38" spans="3:40">
      <c r="C38" s="142"/>
      <c r="D38" s="142"/>
      <c r="E38" s="142"/>
      <c r="F38" s="142"/>
      <c r="G38" s="142"/>
      <c r="H38" s="142"/>
      <c r="I38" s="142"/>
      <c r="J38" s="142"/>
      <c r="K38" s="142"/>
      <c r="L38" s="142"/>
      <c r="M38" s="142"/>
      <c r="N38" s="142"/>
      <c r="O38" s="142"/>
      <c r="P38" s="142"/>
      <c r="Q38" s="142"/>
      <c r="R38" s="142"/>
      <c r="S38" s="142"/>
      <c r="T38" s="142"/>
      <c r="W38" s="142"/>
      <c r="X38" s="142"/>
      <c r="Y38" s="142"/>
      <c r="Z38" s="142"/>
      <c r="AA38" s="142"/>
      <c r="AB38" s="142"/>
      <c r="AC38" s="142"/>
      <c r="AD38" s="142"/>
      <c r="AE38" s="142"/>
      <c r="AF38" s="142"/>
      <c r="AG38" s="142"/>
      <c r="AH38" s="142"/>
      <c r="AI38" s="142"/>
      <c r="AJ38" s="142"/>
      <c r="AK38" s="142"/>
      <c r="AL38" s="142"/>
      <c r="AM38" s="142"/>
      <c r="AN38" s="142"/>
    </row>
    <row r="39" spans="3:40">
      <c r="C39" s="142"/>
      <c r="D39" s="142"/>
      <c r="E39" s="142"/>
      <c r="F39" s="142"/>
      <c r="G39" s="142"/>
      <c r="H39" s="142"/>
      <c r="I39" s="142"/>
      <c r="J39" s="142"/>
      <c r="K39" s="142"/>
      <c r="L39" s="142"/>
      <c r="M39" s="142"/>
      <c r="N39" s="142"/>
      <c r="O39" s="142"/>
      <c r="P39" s="142"/>
      <c r="Q39" s="142"/>
      <c r="R39" s="142"/>
      <c r="S39" s="142"/>
      <c r="T39" s="142"/>
      <c r="W39" s="142"/>
      <c r="X39" s="142"/>
      <c r="Y39" s="142"/>
      <c r="Z39" s="142"/>
      <c r="AA39" s="142"/>
      <c r="AB39" s="142"/>
      <c r="AC39" s="142"/>
      <c r="AD39" s="142"/>
      <c r="AE39" s="142"/>
      <c r="AF39" s="142"/>
      <c r="AG39" s="142"/>
      <c r="AH39" s="142"/>
      <c r="AI39" s="142"/>
      <c r="AJ39" s="142"/>
      <c r="AK39" s="142"/>
      <c r="AL39" s="142"/>
      <c r="AM39" s="142"/>
      <c r="AN39" s="142"/>
    </row>
    <row r="40" spans="3:40">
      <c r="C40" s="142"/>
      <c r="D40" s="142"/>
      <c r="E40" s="142"/>
      <c r="F40" s="142"/>
      <c r="G40" s="142"/>
      <c r="H40" s="142"/>
      <c r="I40" s="142"/>
      <c r="J40" s="142"/>
      <c r="K40" s="142"/>
      <c r="L40" s="142"/>
      <c r="M40" s="142"/>
      <c r="N40" s="142"/>
      <c r="O40" s="142"/>
      <c r="P40" s="142"/>
      <c r="Q40" s="142"/>
      <c r="R40" s="142"/>
      <c r="S40" s="142"/>
      <c r="T40" s="142"/>
      <c r="W40" s="142"/>
      <c r="X40" s="142"/>
      <c r="Y40" s="142"/>
      <c r="Z40" s="142"/>
      <c r="AA40" s="142"/>
      <c r="AB40" s="142"/>
      <c r="AC40" s="142"/>
      <c r="AD40" s="142"/>
      <c r="AE40" s="142"/>
      <c r="AF40" s="142"/>
      <c r="AG40" s="142"/>
      <c r="AH40" s="142"/>
      <c r="AI40" s="142"/>
      <c r="AJ40" s="142"/>
      <c r="AK40" s="142"/>
      <c r="AL40" s="142"/>
      <c r="AM40" s="142"/>
      <c r="AN40" s="142"/>
    </row>
    <row r="41" spans="3:40">
      <c r="C41" s="142"/>
      <c r="D41" s="142"/>
      <c r="E41" s="142"/>
      <c r="F41" s="142"/>
      <c r="G41" s="142"/>
      <c r="H41" s="142"/>
      <c r="I41" s="142"/>
      <c r="J41" s="142"/>
      <c r="K41" s="142"/>
      <c r="L41" s="142"/>
      <c r="M41" s="142"/>
      <c r="N41" s="142"/>
      <c r="O41" s="142"/>
      <c r="P41" s="142"/>
      <c r="Q41" s="142"/>
      <c r="R41" s="142"/>
      <c r="S41" s="142"/>
      <c r="T41" s="142"/>
      <c r="W41" s="142"/>
      <c r="X41" s="142"/>
      <c r="Y41" s="142"/>
      <c r="Z41" s="142"/>
      <c r="AA41" s="142"/>
      <c r="AB41" s="142"/>
      <c r="AC41" s="142"/>
      <c r="AD41" s="142"/>
      <c r="AE41" s="142"/>
      <c r="AF41" s="142"/>
      <c r="AG41" s="142"/>
      <c r="AH41" s="142"/>
      <c r="AI41" s="142"/>
      <c r="AJ41" s="142"/>
      <c r="AK41" s="142"/>
      <c r="AL41" s="142"/>
      <c r="AM41" s="142"/>
      <c r="AN41" s="142"/>
    </row>
    <row r="42" spans="3:40">
      <c r="C42" s="142"/>
      <c r="D42" s="142"/>
      <c r="E42" s="142"/>
      <c r="F42" s="142"/>
      <c r="G42" s="142"/>
      <c r="H42" s="142"/>
      <c r="I42" s="142"/>
      <c r="J42" s="142"/>
      <c r="K42" s="142"/>
      <c r="L42" s="142"/>
      <c r="M42" s="142"/>
      <c r="N42" s="142"/>
      <c r="O42" s="142"/>
      <c r="P42" s="142"/>
      <c r="Q42" s="142"/>
      <c r="R42" s="142"/>
      <c r="S42" s="142"/>
      <c r="T42" s="142"/>
      <c r="W42" s="142"/>
      <c r="X42" s="142"/>
      <c r="Y42" s="142"/>
      <c r="Z42" s="142"/>
      <c r="AA42" s="142"/>
      <c r="AB42" s="142"/>
      <c r="AC42" s="142"/>
      <c r="AD42" s="142"/>
      <c r="AE42" s="142"/>
      <c r="AF42" s="142"/>
      <c r="AG42" s="142"/>
      <c r="AH42" s="142"/>
      <c r="AI42" s="142"/>
      <c r="AJ42" s="142"/>
      <c r="AK42" s="142"/>
      <c r="AL42" s="142"/>
      <c r="AM42" s="142"/>
      <c r="AN42" s="142"/>
    </row>
    <row r="43" spans="3:40">
      <c r="C43" s="142"/>
      <c r="D43" s="142"/>
      <c r="E43" s="142"/>
      <c r="F43" s="142"/>
      <c r="G43" s="142"/>
      <c r="H43" s="142"/>
      <c r="I43" s="142"/>
      <c r="J43" s="142"/>
      <c r="K43" s="142"/>
      <c r="L43" s="142"/>
      <c r="M43" s="142"/>
      <c r="N43" s="142"/>
      <c r="O43" s="142"/>
      <c r="P43" s="142"/>
      <c r="Q43" s="142"/>
      <c r="R43" s="142"/>
      <c r="S43" s="142"/>
      <c r="T43" s="142"/>
      <c r="W43" s="142"/>
      <c r="X43" s="142"/>
      <c r="Y43" s="142"/>
      <c r="Z43" s="142"/>
      <c r="AA43" s="142"/>
      <c r="AB43" s="142"/>
      <c r="AC43" s="142"/>
      <c r="AD43" s="142"/>
      <c r="AE43" s="142"/>
      <c r="AF43" s="142"/>
      <c r="AG43" s="142"/>
      <c r="AH43" s="142"/>
      <c r="AI43" s="142"/>
      <c r="AJ43" s="142"/>
      <c r="AK43" s="142"/>
      <c r="AL43" s="142"/>
      <c r="AM43" s="142"/>
      <c r="AN43" s="142"/>
    </row>
    <row r="44" spans="3:40">
      <c r="C44" s="142"/>
      <c r="D44" s="142"/>
      <c r="E44" s="142"/>
      <c r="F44" s="142"/>
      <c r="G44" s="142"/>
      <c r="H44" s="142"/>
      <c r="I44" s="142"/>
      <c r="J44" s="142"/>
      <c r="K44" s="142"/>
      <c r="L44" s="142"/>
      <c r="M44" s="142"/>
      <c r="N44" s="142"/>
      <c r="O44" s="142"/>
      <c r="P44" s="142"/>
      <c r="Q44" s="142"/>
      <c r="R44" s="142"/>
      <c r="S44" s="142"/>
      <c r="T44" s="142"/>
      <c r="W44" s="142"/>
      <c r="X44" s="142"/>
      <c r="Y44" s="142"/>
      <c r="Z44" s="142"/>
      <c r="AA44" s="142"/>
      <c r="AB44" s="142"/>
      <c r="AC44" s="142"/>
      <c r="AD44" s="142"/>
      <c r="AE44" s="142"/>
      <c r="AF44" s="142"/>
      <c r="AG44" s="142"/>
      <c r="AH44" s="142"/>
      <c r="AI44" s="142"/>
      <c r="AJ44" s="142"/>
      <c r="AK44" s="142"/>
      <c r="AL44" s="142"/>
      <c r="AM44" s="142"/>
      <c r="AN44" s="142"/>
    </row>
    <row r="45" spans="3:40">
      <c r="C45" s="142"/>
      <c r="D45" s="142"/>
      <c r="E45" s="142"/>
      <c r="F45" s="142"/>
      <c r="G45" s="142"/>
      <c r="H45" s="142"/>
      <c r="I45" s="142"/>
      <c r="J45" s="142"/>
      <c r="K45" s="142"/>
      <c r="L45" s="142"/>
      <c r="M45" s="142"/>
      <c r="N45" s="142"/>
      <c r="O45" s="142"/>
      <c r="P45" s="142"/>
      <c r="Q45" s="142"/>
      <c r="R45" s="142"/>
      <c r="S45" s="142"/>
      <c r="T45" s="142"/>
      <c r="W45" s="142"/>
      <c r="X45" s="142"/>
      <c r="Y45" s="142"/>
      <c r="Z45" s="142"/>
      <c r="AA45" s="142"/>
      <c r="AB45" s="142"/>
      <c r="AC45" s="142"/>
      <c r="AD45" s="142"/>
      <c r="AE45" s="142"/>
      <c r="AF45" s="142"/>
      <c r="AG45" s="142"/>
      <c r="AH45" s="142"/>
      <c r="AI45" s="142"/>
      <c r="AJ45" s="142"/>
      <c r="AK45" s="142"/>
      <c r="AL45" s="142"/>
      <c r="AM45" s="142"/>
      <c r="AN45" s="142"/>
    </row>
    <row r="46" spans="3:40">
      <c r="C46" s="142"/>
      <c r="D46" s="142"/>
      <c r="E46" s="142"/>
      <c r="F46" s="142"/>
      <c r="G46" s="142"/>
      <c r="H46" s="142"/>
      <c r="I46" s="142"/>
      <c r="J46" s="142"/>
      <c r="K46" s="142"/>
      <c r="L46" s="142"/>
      <c r="M46" s="142"/>
      <c r="N46" s="142"/>
      <c r="O46" s="142"/>
      <c r="P46" s="142"/>
      <c r="Q46" s="142"/>
      <c r="R46" s="142"/>
      <c r="S46" s="142"/>
      <c r="T46" s="142"/>
      <c r="W46" s="142"/>
      <c r="X46" s="142"/>
      <c r="Y46" s="142"/>
      <c r="Z46" s="142"/>
      <c r="AA46" s="142"/>
      <c r="AB46" s="142"/>
      <c r="AC46" s="142"/>
      <c r="AD46" s="142"/>
      <c r="AE46" s="142"/>
      <c r="AF46" s="142"/>
      <c r="AG46" s="142"/>
      <c r="AH46" s="142"/>
      <c r="AI46" s="142"/>
      <c r="AJ46" s="142"/>
      <c r="AK46" s="142"/>
      <c r="AL46" s="142"/>
      <c r="AM46" s="142"/>
      <c r="AN46" s="142"/>
    </row>
    <row r="47" spans="3:40">
      <c r="C47" s="142"/>
      <c r="D47" s="142"/>
      <c r="E47" s="142"/>
      <c r="F47" s="142"/>
      <c r="G47" s="142"/>
      <c r="H47" s="142"/>
      <c r="I47" s="142"/>
      <c r="J47" s="142"/>
      <c r="K47" s="142"/>
      <c r="L47" s="142"/>
      <c r="M47" s="142"/>
      <c r="N47" s="142"/>
      <c r="O47" s="142"/>
      <c r="P47" s="142"/>
      <c r="Q47" s="142"/>
      <c r="R47" s="142"/>
      <c r="S47" s="142"/>
      <c r="T47" s="142"/>
      <c r="W47" s="142"/>
      <c r="X47" s="142"/>
      <c r="Y47" s="142"/>
      <c r="Z47" s="142"/>
      <c r="AA47" s="142"/>
      <c r="AB47" s="142"/>
      <c r="AC47" s="142"/>
      <c r="AD47" s="142"/>
      <c r="AE47" s="142"/>
      <c r="AF47" s="142"/>
      <c r="AG47" s="142"/>
      <c r="AH47" s="142"/>
      <c r="AI47" s="142"/>
      <c r="AJ47" s="142"/>
      <c r="AK47" s="142"/>
      <c r="AL47" s="142"/>
      <c r="AM47" s="142"/>
      <c r="AN47" s="142"/>
    </row>
    <row r="48" spans="3:40">
      <c r="C48" s="142"/>
      <c r="D48" s="142"/>
      <c r="E48" s="142"/>
      <c r="F48" s="142"/>
      <c r="G48" s="142"/>
      <c r="H48" s="142"/>
      <c r="I48" s="142"/>
      <c r="J48" s="142"/>
      <c r="K48" s="142"/>
      <c r="L48" s="142"/>
      <c r="M48" s="142"/>
      <c r="N48" s="142"/>
      <c r="O48" s="142"/>
      <c r="P48" s="142"/>
      <c r="Q48" s="142"/>
      <c r="R48" s="142"/>
      <c r="S48" s="142"/>
      <c r="T48" s="142"/>
      <c r="W48" s="142"/>
      <c r="X48" s="142"/>
      <c r="Y48" s="142"/>
      <c r="Z48" s="142"/>
      <c r="AA48" s="142"/>
      <c r="AB48" s="142"/>
      <c r="AC48" s="142"/>
      <c r="AD48" s="142"/>
      <c r="AE48" s="142"/>
      <c r="AF48" s="142"/>
      <c r="AG48" s="142"/>
      <c r="AH48" s="142"/>
      <c r="AI48" s="142"/>
      <c r="AJ48" s="142"/>
      <c r="AK48" s="142"/>
      <c r="AL48" s="142"/>
      <c r="AM48" s="142"/>
      <c r="AN48" s="142"/>
    </row>
    <row r="49" spans="2:20">
      <c r="B49" s="141" t="s">
        <v>235</v>
      </c>
    </row>
    <row r="50" spans="2:20">
      <c r="B50" s="155"/>
      <c r="C50" s="155">
        <v>0</v>
      </c>
      <c r="D50" s="155">
        <v>1</v>
      </c>
      <c r="E50" s="155">
        <v>2</v>
      </c>
      <c r="F50" s="155">
        <v>3</v>
      </c>
      <c r="G50" s="155">
        <v>4</v>
      </c>
      <c r="H50" s="155">
        <v>5</v>
      </c>
      <c r="I50" s="155">
        <v>6</v>
      </c>
      <c r="J50" s="155">
        <v>7</v>
      </c>
      <c r="K50" s="155">
        <v>8</v>
      </c>
      <c r="L50" s="155">
        <v>9</v>
      </c>
      <c r="M50" s="155">
        <v>10</v>
      </c>
      <c r="N50" s="155">
        <v>11</v>
      </c>
      <c r="O50" s="155">
        <v>12</v>
      </c>
      <c r="P50" s="155">
        <v>13</v>
      </c>
      <c r="Q50" s="155">
        <v>14</v>
      </c>
      <c r="R50" s="155">
        <v>15</v>
      </c>
      <c r="S50" s="155">
        <v>16</v>
      </c>
      <c r="T50" s="155">
        <v>17</v>
      </c>
    </row>
    <row r="51" spans="2:20">
      <c r="B51" s="155">
        <v>0</v>
      </c>
      <c r="C51" s="156"/>
      <c r="D51" s="157">
        <v>13.4</v>
      </c>
      <c r="E51" s="157">
        <v>8.8000000000000007</v>
      </c>
      <c r="F51" s="157">
        <v>7.4</v>
      </c>
      <c r="G51" s="157">
        <v>6.9</v>
      </c>
      <c r="H51" s="157">
        <v>6.5</v>
      </c>
      <c r="I51" s="157">
        <v>6.1</v>
      </c>
      <c r="J51" s="157">
        <v>5.7</v>
      </c>
      <c r="K51" s="157">
        <v>5.4</v>
      </c>
      <c r="L51" s="157">
        <v>5.4</v>
      </c>
      <c r="M51" s="157">
        <v>6.3</v>
      </c>
      <c r="N51" s="157">
        <v>8.3000000000000007</v>
      </c>
      <c r="O51" s="157">
        <v>5.8</v>
      </c>
      <c r="P51" s="157">
        <v>3</v>
      </c>
      <c r="Q51" s="157">
        <v>1.5</v>
      </c>
      <c r="R51" s="157">
        <v>0.8</v>
      </c>
      <c r="S51" s="157">
        <v>0.4</v>
      </c>
      <c r="T51" s="157">
        <v>0.1</v>
      </c>
    </row>
    <row r="52" spans="2:20">
      <c r="B52" s="155">
        <v>1</v>
      </c>
      <c r="C52" s="155"/>
      <c r="D52" s="157">
        <v>13.4</v>
      </c>
      <c r="E52" s="157">
        <v>8.8000000000000007</v>
      </c>
      <c r="F52" s="157">
        <v>7.4</v>
      </c>
      <c r="G52" s="157">
        <v>6.9</v>
      </c>
      <c r="H52" s="157">
        <v>6.5</v>
      </c>
      <c r="I52" s="157">
        <v>6.1</v>
      </c>
      <c r="J52" s="157">
        <v>5.7</v>
      </c>
      <c r="K52" s="157">
        <v>5.4</v>
      </c>
      <c r="L52" s="157">
        <v>5.4</v>
      </c>
      <c r="M52" s="157">
        <v>6.3</v>
      </c>
      <c r="N52" s="157">
        <v>8.3000000000000007</v>
      </c>
      <c r="O52" s="157">
        <v>5.8</v>
      </c>
      <c r="P52" s="157">
        <v>3</v>
      </c>
      <c r="Q52" s="157">
        <v>1.5</v>
      </c>
      <c r="R52" s="157">
        <v>0.8</v>
      </c>
      <c r="S52" s="157">
        <v>0.4</v>
      </c>
      <c r="T52" s="157">
        <v>0.1</v>
      </c>
    </row>
    <row r="53" spans="2:20">
      <c r="B53" s="155">
        <v>2</v>
      </c>
      <c r="C53" s="155"/>
      <c r="D53" s="157">
        <v>13.4</v>
      </c>
      <c r="E53" s="157">
        <v>8.8000000000000007</v>
      </c>
      <c r="F53" s="157">
        <v>7.4</v>
      </c>
      <c r="G53" s="157">
        <v>6.9</v>
      </c>
      <c r="H53" s="157">
        <v>6.5</v>
      </c>
      <c r="I53" s="157">
        <v>6.1</v>
      </c>
      <c r="J53" s="157">
        <v>5.7</v>
      </c>
      <c r="K53" s="157">
        <v>5.4</v>
      </c>
      <c r="L53" s="157">
        <v>5.4</v>
      </c>
      <c r="M53" s="157">
        <v>6.3</v>
      </c>
      <c r="N53" s="157">
        <v>8.3000000000000007</v>
      </c>
      <c r="O53" s="157">
        <v>5.8</v>
      </c>
      <c r="P53" s="157">
        <v>3</v>
      </c>
      <c r="Q53" s="157">
        <v>1.5</v>
      </c>
      <c r="R53" s="157">
        <v>0.8</v>
      </c>
      <c r="S53" s="157">
        <v>0.4</v>
      </c>
      <c r="T53" s="157">
        <v>0.1</v>
      </c>
    </row>
    <row r="54" spans="2:20">
      <c r="B54" s="155">
        <v>3</v>
      </c>
      <c r="C54" s="156"/>
      <c r="D54" s="157">
        <v>11.6</v>
      </c>
      <c r="E54" s="157">
        <v>8.4</v>
      </c>
      <c r="F54" s="157">
        <v>7.2</v>
      </c>
      <c r="G54" s="157">
        <v>6.8</v>
      </c>
      <c r="H54" s="157">
        <v>6.4</v>
      </c>
      <c r="I54" s="157">
        <v>6.1</v>
      </c>
      <c r="J54" s="157">
        <v>5.6</v>
      </c>
      <c r="K54" s="157">
        <v>5.3</v>
      </c>
      <c r="L54" s="157">
        <v>5.4</v>
      </c>
      <c r="M54" s="157">
        <v>6.7</v>
      </c>
      <c r="N54" s="157">
        <v>8</v>
      </c>
      <c r="O54" s="157">
        <v>5</v>
      </c>
      <c r="P54" s="157">
        <v>2.5</v>
      </c>
      <c r="Q54" s="157">
        <v>1.3</v>
      </c>
      <c r="R54" s="157">
        <v>0.7</v>
      </c>
      <c r="S54" s="157">
        <v>0.3</v>
      </c>
      <c r="T54" s="157">
        <v>0.1</v>
      </c>
    </row>
    <row r="55" spans="2:20">
      <c r="B55" s="155">
        <v>4</v>
      </c>
      <c r="C55" s="155"/>
      <c r="D55" s="157">
        <v>11.6</v>
      </c>
      <c r="E55" s="157">
        <v>8.4</v>
      </c>
      <c r="F55" s="157">
        <v>7.2</v>
      </c>
      <c r="G55" s="157">
        <v>6.8</v>
      </c>
      <c r="H55" s="157">
        <v>6.4</v>
      </c>
      <c r="I55" s="157">
        <v>6.1</v>
      </c>
      <c r="J55" s="157">
        <v>5.6</v>
      </c>
      <c r="K55" s="157">
        <v>5.3</v>
      </c>
      <c r="L55" s="157">
        <v>5.4</v>
      </c>
      <c r="M55" s="157">
        <v>6.7</v>
      </c>
      <c r="N55" s="157">
        <v>8</v>
      </c>
      <c r="O55" s="157">
        <v>5</v>
      </c>
      <c r="P55" s="157">
        <v>2.5</v>
      </c>
      <c r="Q55" s="157">
        <v>1.3</v>
      </c>
      <c r="R55" s="157">
        <v>0.7</v>
      </c>
      <c r="S55" s="157">
        <v>0.3</v>
      </c>
      <c r="T55" s="157"/>
    </row>
    <row r="56" spans="2:20">
      <c r="B56" s="155">
        <v>5</v>
      </c>
      <c r="C56" s="155"/>
      <c r="D56" s="157">
        <v>11.6</v>
      </c>
      <c r="E56" s="157">
        <v>8.4</v>
      </c>
      <c r="F56" s="157">
        <v>7.2</v>
      </c>
      <c r="G56" s="157">
        <v>6.8</v>
      </c>
      <c r="H56" s="157">
        <v>6.4</v>
      </c>
      <c r="I56" s="157">
        <v>6.1</v>
      </c>
      <c r="J56" s="157">
        <v>5.6</v>
      </c>
      <c r="K56" s="157">
        <v>5.3</v>
      </c>
      <c r="L56" s="157">
        <v>5.4</v>
      </c>
      <c r="M56" s="157">
        <v>6.7</v>
      </c>
      <c r="N56" s="157">
        <v>8</v>
      </c>
      <c r="O56" s="157">
        <v>5</v>
      </c>
      <c r="P56" s="157">
        <v>2.5</v>
      </c>
      <c r="Q56" s="157">
        <v>1.3</v>
      </c>
      <c r="R56" s="157">
        <v>0.7</v>
      </c>
      <c r="S56" s="157">
        <v>0.3</v>
      </c>
      <c r="T56" s="157"/>
    </row>
    <row r="57" spans="2:20">
      <c r="B57" s="155">
        <v>6</v>
      </c>
      <c r="C57" s="156"/>
      <c r="D57" s="157">
        <v>10.3</v>
      </c>
      <c r="E57" s="157">
        <v>8</v>
      </c>
      <c r="F57" s="157">
        <v>7.1</v>
      </c>
      <c r="G57" s="157">
        <v>6.7</v>
      </c>
      <c r="H57" s="157">
        <v>6.3</v>
      </c>
      <c r="I57" s="157">
        <v>5.9</v>
      </c>
      <c r="J57" s="157">
        <v>5.5</v>
      </c>
      <c r="K57" s="157">
        <v>5.3</v>
      </c>
      <c r="L57" s="157">
        <v>5.6</v>
      </c>
      <c r="M57" s="157">
        <v>7.3</v>
      </c>
      <c r="N57" s="157">
        <v>7.4</v>
      </c>
      <c r="O57" s="157">
        <v>4.2</v>
      </c>
      <c r="P57" s="157">
        <v>2.2000000000000002</v>
      </c>
      <c r="Q57" s="157">
        <v>1.1000000000000001</v>
      </c>
      <c r="R57" s="157">
        <v>0.5</v>
      </c>
      <c r="S57" s="157">
        <v>0.2</v>
      </c>
      <c r="T57" s="157"/>
    </row>
    <row r="58" spans="2:20">
      <c r="B58" s="155">
        <v>7</v>
      </c>
      <c r="C58" s="155"/>
      <c r="D58" s="157">
        <v>10.3</v>
      </c>
      <c r="E58" s="157">
        <v>8</v>
      </c>
      <c r="F58" s="157">
        <v>7.1</v>
      </c>
      <c r="G58" s="157">
        <v>6.7</v>
      </c>
      <c r="H58" s="157">
        <v>6.3</v>
      </c>
      <c r="I58" s="157">
        <v>5.9</v>
      </c>
      <c r="J58" s="157">
        <v>5.5</v>
      </c>
      <c r="K58" s="157">
        <v>5.3</v>
      </c>
      <c r="L58" s="157">
        <v>5.6</v>
      </c>
      <c r="M58" s="157">
        <v>7.3</v>
      </c>
      <c r="N58" s="157">
        <v>7.4</v>
      </c>
      <c r="O58" s="157">
        <v>4.2</v>
      </c>
      <c r="P58" s="157">
        <v>2.2000000000000002</v>
      </c>
      <c r="Q58" s="157">
        <v>1.1000000000000001</v>
      </c>
      <c r="R58" s="157">
        <v>0.5</v>
      </c>
      <c r="S58" s="157">
        <v>0.2</v>
      </c>
      <c r="T58" s="157"/>
    </row>
    <row r="59" spans="2:20">
      <c r="B59" s="155">
        <v>8</v>
      </c>
      <c r="C59" s="155"/>
      <c r="D59" s="157">
        <v>10.3</v>
      </c>
      <c r="E59" s="157">
        <v>8</v>
      </c>
      <c r="F59" s="157">
        <v>7.1</v>
      </c>
      <c r="G59" s="157">
        <v>6.7</v>
      </c>
      <c r="H59" s="157">
        <v>6.3</v>
      </c>
      <c r="I59" s="157">
        <v>5.9</v>
      </c>
      <c r="J59" s="157">
        <v>5.5</v>
      </c>
      <c r="K59" s="157">
        <v>5.3</v>
      </c>
      <c r="L59" s="157">
        <v>5.6</v>
      </c>
      <c r="M59" s="157">
        <v>7.3</v>
      </c>
      <c r="N59" s="157">
        <v>7.4</v>
      </c>
      <c r="O59" s="157">
        <v>4.2</v>
      </c>
      <c r="P59" s="157">
        <v>2.2000000000000002</v>
      </c>
      <c r="Q59" s="157">
        <v>1.1000000000000001</v>
      </c>
      <c r="R59" s="157">
        <v>0.5</v>
      </c>
      <c r="S59" s="157">
        <v>0.2</v>
      </c>
      <c r="T59" s="157"/>
    </row>
    <row r="60" spans="2:20">
      <c r="B60" s="155">
        <v>9</v>
      </c>
      <c r="C60" s="156"/>
      <c r="D60" s="157">
        <v>9.4</v>
      </c>
      <c r="E60" s="157">
        <v>7.7</v>
      </c>
      <c r="F60" s="157">
        <v>7</v>
      </c>
      <c r="G60" s="157">
        <v>6.6</v>
      </c>
      <c r="H60" s="157">
        <v>6.3</v>
      </c>
      <c r="I60" s="157">
        <v>5.8</v>
      </c>
      <c r="J60" s="157">
        <v>5.4</v>
      </c>
      <c r="K60" s="157">
        <v>5.3</v>
      </c>
      <c r="L60" s="157">
        <v>5.9</v>
      </c>
      <c r="M60" s="157">
        <v>7.9</v>
      </c>
      <c r="N60" s="157">
        <v>6.7</v>
      </c>
      <c r="O60" s="157">
        <v>3.5</v>
      </c>
      <c r="P60" s="157">
        <v>1.8</v>
      </c>
      <c r="Q60" s="157">
        <v>0.9</v>
      </c>
      <c r="R60" s="157">
        <v>0.4</v>
      </c>
      <c r="S60" s="157">
        <v>0.2</v>
      </c>
      <c r="T60" s="157"/>
    </row>
    <row r="61" spans="2:20">
      <c r="B61" s="155">
        <v>10</v>
      </c>
      <c r="C61" s="156"/>
      <c r="D61" s="157">
        <v>9.4</v>
      </c>
      <c r="E61" s="157">
        <v>7.7</v>
      </c>
      <c r="F61" s="157">
        <v>7</v>
      </c>
      <c r="G61" s="157">
        <v>6.6</v>
      </c>
      <c r="H61" s="157">
        <v>6.3</v>
      </c>
      <c r="I61" s="157">
        <v>5.8</v>
      </c>
      <c r="J61" s="157">
        <v>5.4</v>
      </c>
      <c r="K61" s="157">
        <v>5.3</v>
      </c>
      <c r="L61" s="157">
        <v>5.9</v>
      </c>
      <c r="M61" s="157">
        <v>7.9</v>
      </c>
      <c r="N61" s="157">
        <v>6.7</v>
      </c>
      <c r="O61" s="157">
        <v>3.5</v>
      </c>
      <c r="P61" s="157">
        <v>1.8</v>
      </c>
      <c r="Q61" s="157">
        <v>0.9</v>
      </c>
      <c r="R61" s="157">
        <v>0.4</v>
      </c>
      <c r="S61" s="157">
        <v>0.2</v>
      </c>
      <c r="T61" s="157"/>
    </row>
    <row r="62" spans="2:20">
      <c r="B62" s="155">
        <v>11</v>
      </c>
      <c r="C62" s="157"/>
      <c r="D62" s="157">
        <v>9.4</v>
      </c>
      <c r="E62" s="157">
        <v>7.7</v>
      </c>
      <c r="F62" s="157">
        <v>7</v>
      </c>
      <c r="G62" s="157">
        <v>6.6</v>
      </c>
      <c r="H62" s="157">
        <v>6.3</v>
      </c>
      <c r="I62" s="157">
        <v>5.8</v>
      </c>
      <c r="J62" s="157">
        <v>5.4</v>
      </c>
      <c r="K62" s="157">
        <v>5.3</v>
      </c>
      <c r="L62" s="157">
        <v>5.9</v>
      </c>
      <c r="M62" s="157">
        <v>7.9</v>
      </c>
      <c r="N62" s="157">
        <v>6.7</v>
      </c>
      <c r="O62" s="157">
        <v>3.5</v>
      </c>
      <c r="P62" s="157">
        <v>1.8</v>
      </c>
      <c r="Q62" s="157">
        <v>0.9</v>
      </c>
      <c r="R62" s="157">
        <v>0.4</v>
      </c>
      <c r="S62" s="157">
        <v>0.2</v>
      </c>
      <c r="T62" s="157"/>
    </row>
    <row r="64" spans="2:20">
      <c r="B64" s="155"/>
      <c r="C64" s="155">
        <v>0</v>
      </c>
      <c r="D64" s="155">
        <v>1</v>
      </c>
      <c r="E64" s="155">
        <v>2</v>
      </c>
      <c r="F64" s="155">
        <v>3</v>
      </c>
      <c r="G64" s="155">
        <v>4</v>
      </c>
      <c r="H64" s="155">
        <v>5</v>
      </c>
      <c r="I64" s="155">
        <v>6</v>
      </c>
      <c r="J64" s="155">
        <v>7</v>
      </c>
      <c r="K64" s="155">
        <v>8</v>
      </c>
      <c r="L64" s="155">
        <v>9</v>
      </c>
      <c r="M64" s="155">
        <v>10</v>
      </c>
      <c r="N64" s="155">
        <v>11</v>
      </c>
      <c r="O64" s="155">
        <v>12</v>
      </c>
      <c r="P64" s="155">
        <v>13</v>
      </c>
      <c r="Q64" s="155">
        <v>14</v>
      </c>
      <c r="R64" s="155">
        <v>15</v>
      </c>
      <c r="S64" s="155">
        <v>16</v>
      </c>
      <c r="T64" s="155">
        <v>17</v>
      </c>
    </row>
    <row r="65" spans="2:20">
      <c r="B65" s="155">
        <v>0</v>
      </c>
      <c r="C65" s="156"/>
      <c r="D65" s="157">
        <v>1.43</v>
      </c>
      <c r="E65" s="157">
        <v>0.84</v>
      </c>
      <c r="F65" s="157">
        <v>0.75</v>
      </c>
      <c r="G65" s="157">
        <v>0.74</v>
      </c>
      <c r="H65" s="157">
        <v>0.72</v>
      </c>
      <c r="I65" s="157">
        <v>0.7</v>
      </c>
      <c r="J65" s="157">
        <v>0.73</v>
      </c>
      <c r="K65" s="157">
        <v>0.75</v>
      </c>
      <c r="L65" s="157">
        <v>0.8</v>
      </c>
      <c r="M65" s="157">
        <v>0.76</v>
      </c>
      <c r="N65" s="157">
        <v>1.05</v>
      </c>
      <c r="O65" s="157">
        <v>0.84</v>
      </c>
      <c r="P65" s="157">
        <v>0.85</v>
      </c>
      <c r="Q65" s="157">
        <v>0.63</v>
      </c>
      <c r="R65" s="157">
        <v>0.4</v>
      </c>
      <c r="S65" s="157">
        <v>0.36</v>
      </c>
      <c r="T65" s="157">
        <v>0.2</v>
      </c>
    </row>
    <row r="66" spans="2:20">
      <c r="B66" s="155">
        <v>1</v>
      </c>
      <c r="C66" s="155"/>
      <c r="D66" s="157">
        <v>1.43</v>
      </c>
      <c r="E66" s="157">
        <v>0.84</v>
      </c>
      <c r="F66" s="157">
        <v>0.75</v>
      </c>
      <c r="G66" s="157">
        <v>0.74</v>
      </c>
      <c r="H66" s="157">
        <v>0.72</v>
      </c>
      <c r="I66" s="157">
        <v>0.7</v>
      </c>
      <c r="J66" s="157">
        <v>0.73</v>
      </c>
      <c r="K66" s="157">
        <v>0.75</v>
      </c>
      <c r="L66" s="157">
        <v>0.8</v>
      </c>
      <c r="M66" s="157">
        <v>0.76</v>
      </c>
      <c r="N66" s="157">
        <v>1.05</v>
      </c>
      <c r="O66" s="157">
        <v>0.84</v>
      </c>
      <c r="P66" s="157">
        <v>0.85</v>
      </c>
      <c r="Q66" s="157">
        <v>0.63</v>
      </c>
      <c r="R66" s="157">
        <v>0.4</v>
      </c>
      <c r="S66" s="157">
        <v>0.36</v>
      </c>
      <c r="T66" s="157">
        <v>0.2</v>
      </c>
    </row>
    <row r="67" spans="2:20">
      <c r="B67" s="155">
        <v>2</v>
      </c>
      <c r="C67" s="155"/>
      <c r="D67" s="157">
        <v>1.43</v>
      </c>
      <c r="E67" s="157">
        <v>0.84</v>
      </c>
      <c r="F67" s="157">
        <v>0.75</v>
      </c>
      <c r="G67" s="157">
        <v>0.74</v>
      </c>
      <c r="H67" s="157">
        <v>0.72</v>
      </c>
      <c r="I67" s="157">
        <v>0.7</v>
      </c>
      <c r="J67" s="157">
        <v>0.73</v>
      </c>
      <c r="K67" s="157">
        <v>0.75</v>
      </c>
      <c r="L67" s="157">
        <v>0.8</v>
      </c>
      <c r="M67" s="157">
        <v>0.76</v>
      </c>
      <c r="N67" s="157">
        <v>1.05</v>
      </c>
      <c r="O67" s="157">
        <v>0.84</v>
      </c>
      <c r="P67" s="157">
        <v>0.85</v>
      </c>
      <c r="Q67" s="157">
        <v>0.63</v>
      </c>
      <c r="R67" s="157">
        <v>0.4</v>
      </c>
      <c r="S67" s="157">
        <v>0.36</v>
      </c>
      <c r="T67" s="157">
        <v>0.2</v>
      </c>
    </row>
    <row r="68" spans="2:20">
      <c r="B68" s="155">
        <v>3</v>
      </c>
      <c r="C68" s="156"/>
      <c r="D68" s="157">
        <v>1.1100000000000001</v>
      </c>
      <c r="E68" s="157">
        <v>0.8</v>
      </c>
      <c r="F68" s="157">
        <v>0.75</v>
      </c>
      <c r="G68" s="157">
        <v>0.73</v>
      </c>
      <c r="H68" s="157">
        <v>0.72</v>
      </c>
      <c r="I68" s="157">
        <v>0.7</v>
      </c>
      <c r="J68" s="157">
        <v>0.73</v>
      </c>
      <c r="K68" s="157">
        <v>0.75</v>
      </c>
      <c r="L68" s="157">
        <v>0.82</v>
      </c>
      <c r="M68" s="157">
        <v>0.8</v>
      </c>
      <c r="N68" s="157">
        <v>0.99</v>
      </c>
      <c r="O68" s="157">
        <v>0.93</v>
      </c>
      <c r="P68" s="157">
        <v>0.8</v>
      </c>
      <c r="Q68" s="157">
        <v>0.56000000000000005</v>
      </c>
      <c r="R68" s="157">
        <v>0.4</v>
      </c>
      <c r="S68" s="157">
        <v>0.35</v>
      </c>
      <c r="T68" s="157">
        <v>0.18</v>
      </c>
    </row>
    <row r="69" spans="2:20">
      <c r="B69" s="155">
        <v>4</v>
      </c>
      <c r="C69" s="155"/>
      <c r="D69" s="157">
        <v>1.1100000000000001</v>
      </c>
      <c r="E69" s="157">
        <v>0.8</v>
      </c>
      <c r="F69" s="157">
        <v>0.75</v>
      </c>
      <c r="G69" s="157">
        <v>0.73</v>
      </c>
      <c r="H69" s="157">
        <v>0.72</v>
      </c>
      <c r="I69" s="157">
        <v>0.7</v>
      </c>
      <c r="J69" s="157">
        <v>0.73</v>
      </c>
      <c r="K69" s="157">
        <v>0.75</v>
      </c>
      <c r="L69" s="157">
        <v>0.82</v>
      </c>
      <c r="M69" s="157">
        <v>0.8</v>
      </c>
      <c r="N69" s="157">
        <v>0.99</v>
      </c>
      <c r="O69" s="157">
        <v>0.93</v>
      </c>
      <c r="P69" s="157">
        <v>0.8</v>
      </c>
      <c r="Q69" s="157">
        <v>0.56000000000000005</v>
      </c>
      <c r="R69" s="157">
        <v>0.4</v>
      </c>
      <c r="S69" s="157">
        <v>0.35</v>
      </c>
      <c r="T69" s="157"/>
    </row>
    <row r="70" spans="2:20">
      <c r="B70" s="155">
        <v>5</v>
      </c>
      <c r="C70" s="155"/>
      <c r="D70" s="157">
        <v>1.1100000000000001</v>
      </c>
      <c r="E70" s="157">
        <v>0.8</v>
      </c>
      <c r="F70" s="157">
        <v>0.75</v>
      </c>
      <c r="G70" s="157">
        <v>0.73</v>
      </c>
      <c r="H70" s="157">
        <v>0.72</v>
      </c>
      <c r="I70" s="157">
        <v>0.7</v>
      </c>
      <c r="J70" s="157">
        <v>0.73</v>
      </c>
      <c r="K70" s="157">
        <v>0.75</v>
      </c>
      <c r="L70" s="157">
        <v>0.82</v>
      </c>
      <c r="M70" s="157">
        <v>0.8</v>
      </c>
      <c r="N70" s="157">
        <v>0.99</v>
      </c>
      <c r="O70" s="157">
        <v>0.93</v>
      </c>
      <c r="P70" s="157">
        <v>0.8</v>
      </c>
      <c r="Q70" s="157">
        <v>0.56000000000000005</v>
      </c>
      <c r="R70" s="157">
        <v>0.4</v>
      </c>
      <c r="S70" s="157">
        <v>0.35</v>
      </c>
      <c r="T70" s="157"/>
    </row>
    <row r="71" spans="2:20">
      <c r="B71" s="155">
        <v>6</v>
      </c>
      <c r="C71" s="156"/>
      <c r="D71" s="157">
        <v>0.98</v>
      </c>
      <c r="E71" s="157">
        <v>0.78</v>
      </c>
      <c r="F71" s="157">
        <v>0.75</v>
      </c>
      <c r="G71" s="157">
        <v>0.73</v>
      </c>
      <c r="H71" s="157">
        <v>0.71</v>
      </c>
      <c r="I71" s="157">
        <v>0.7</v>
      </c>
      <c r="J71" s="157">
        <v>0.74</v>
      </c>
      <c r="K71" s="157">
        <v>0.77</v>
      </c>
      <c r="L71" s="157">
        <v>0.83</v>
      </c>
      <c r="M71" s="157">
        <v>0.9</v>
      </c>
      <c r="N71" s="157">
        <v>0.88</v>
      </c>
      <c r="O71" s="157">
        <v>0.9</v>
      </c>
      <c r="P71" s="157">
        <v>0.74</v>
      </c>
      <c r="Q71" s="157">
        <v>0.5</v>
      </c>
      <c r="R71" s="157">
        <v>0.38</v>
      </c>
      <c r="S71" s="157">
        <v>0.3</v>
      </c>
      <c r="T71" s="157"/>
    </row>
    <row r="72" spans="2:20">
      <c r="B72" s="155">
        <v>7</v>
      </c>
      <c r="C72" s="155"/>
      <c r="D72" s="157">
        <v>0.98</v>
      </c>
      <c r="E72" s="157">
        <v>0.78</v>
      </c>
      <c r="F72" s="157">
        <v>0.75</v>
      </c>
      <c r="G72" s="157">
        <v>0.73</v>
      </c>
      <c r="H72" s="157">
        <v>0.71</v>
      </c>
      <c r="I72" s="157">
        <v>0.7</v>
      </c>
      <c r="J72" s="157">
        <v>0.74</v>
      </c>
      <c r="K72" s="157">
        <v>0.77</v>
      </c>
      <c r="L72" s="157">
        <v>0.83</v>
      </c>
      <c r="M72" s="157">
        <v>0.9</v>
      </c>
      <c r="N72" s="157">
        <v>0.88</v>
      </c>
      <c r="O72" s="157">
        <v>0.9</v>
      </c>
      <c r="P72" s="157">
        <v>0.74</v>
      </c>
      <c r="Q72" s="157">
        <v>0.5</v>
      </c>
      <c r="R72" s="157">
        <v>0.38</v>
      </c>
      <c r="S72" s="157">
        <v>0.3</v>
      </c>
      <c r="T72" s="157"/>
    </row>
    <row r="73" spans="2:20">
      <c r="B73" s="155">
        <v>8</v>
      </c>
      <c r="C73" s="155"/>
      <c r="D73" s="157">
        <v>0.98</v>
      </c>
      <c r="E73" s="157">
        <v>0.78</v>
      </c>
      <c r="F73" s="157">
        <v>0.75</v>
      </c>
      <c r="G73" s="157">
        <v>0.73</v>
      </c>
      <c r="H73" s="157">
        <v>0.71</v>
      </c>
      <c r="I73" s="157">
        <v>0.7</v>
      </c>
      <c r="J73" s="157">
        <v>0.74</v>
      </c>
      <c r="K73" s="157">
        <v>0.77</v>
      </c>
      <c r="L73" s="157">
        <v>0.83</v>
      </c>
      <c r="M73" s="157">
        <v>0.9</v>
      </c>
      <c r="N73" s="157">
        <v>0.88</v>
      </c>
      <c r="O73" s="157">
        <v>0.9</v>
      </c>
      <c r="P73" s="157">
        <v>0.74</v>
      </c>
      <c r="Q73" s="157">
        <v>0.5</v>
      </c>
      <c r="R73" s="157">
        <v>0.38</v>
      </c>
      <c r="S73" s="157">
        <v>0.3</v>
      </c>
      <c r="T73" s="157"/>
    </row>
    <row r="74" spans="2:20">
      <c r="B74" s="155">
        <v>9</v>
      </c>
      <c r="C74" s="156"/>
      <c r="D74" s="157">
        <v>0.9</v>
      </c>
      <c r="E74" s="157">
        <v>0.75</v>
      </c>
      <c r="F74" s="157">
        <v>0.74</v>
      </c>
      <c r="G74" s="157">
        <v>0.73</v>
      </c>
      <c r="H74" s="157">
        <v>0.71</v>
      </c>
      <c r="I74" s="157">
        <v>0.71</v>
      </c>
      <c r="J74" s="157">
        <v>0.75</v>
      </c>
      <c r="K74" s="157">
        <v>0.78</v>
      </c>
      <c r="L74" s="157">
        <v>0.79</v>
      </c>
      <c r="M74" s="157">
        <v>1.03</v>
      </c>
      <c r="N74" s="157">
        <v>0.83</v>
      </c>
      <c r="O74" s="157">
        <v>0.9</v>
      </c>
      <c r="P74" s="157">
        <v>0.68</v>
      </c>
      <c r="Q74" s="157">
        <v>0.45</v>
      </c>
      <c r="R74" s="157">
        <v>0.38</v>
      </c>
      <c r="S74" s="157">
        <v>0.25</v>
      </c>
      <c r="T74" s="157"/>
    </row>
    <row r="75" spans="2:20">
      <c r="B75" s="155">
        <v>10</v>
      </c>
      <c r="C75" s="156"/>
      <c r="D75" s="157">
        <v>0.9</v>
      </c>
      <c r="E75" s="157">
        <v>0.75</v>
      </c>
      <c r="F75" s="157">
        <v>0.74</v>
      </c>
      <c r="G75" s="157">
        <v>0.73</v>
      </c>
      <c r="H75" s="157">
        <v>0.71</v>
      </c>
      <c r="I75" s="157">
        <v>0.71</v>
      </c>
      <c r="J75" s="157">
        <v>0.75</v>
      </c>
      <c r="K75" s="157">
        <v>0.78</v>
      </c>
      <c r="L75" s="157">
        <v>0.79</v>
      </c>
      <c r="M75" s="157">
        <v>1.03</v>
      </c>
      <c r="N75" s="157">
        <v>0.83</v>
      </c>
      <c r="O75" s="157">
        <v>0.9</v>
      </c>
      <c r="P75" s="157">
        <v>0.68</v>
      </c>
      <c r="Q75" s="157">
        <v>0.45</v>
      </c>
      <c r="R75" s="157">
        <v>0.38</v>
      </c>
      <c r="S75" s="157">
        <v>0.25</v>
      </c>
      <c r="T75" s="157"/>
    </row>
    <row r="76" spans="2:20">
      <c r="B76" s="155">
        <v>11</v>
      </c>
      <c r="C76" s="157"/>
      <c r="D76" s="157">
        <v>0.9</v>
      </c>
      <c r="E76" s="157">
        <v>0.75</v>
      </c>
      <c r="F76" s="157">
        <v>0.74</v>
      </c>
      <c r="G76" s="157">
        <v>0.73</v>
      </c>
      <c r="H76" s="157">
        <v>0.71</v>
      </c>
      <c r="I76" s="157">
        <v>0.71</v>
      </c>
      <c r="J76" s="157">
        <v>0.75</v>
      </c>
      <c r="K76" s="157">
        <v>0.78</v>
      </c>
      <c r="L76" s="157">
        <v>0.79</v>
      </c>
      <c r="M76" s="157">
        <v>1.03</v>
      </c>
      <c r="N76" s="157">
        <v>0.83</v>
      </c>
      <c r="O76" s="157">
        <v>0.9</v>
      </c>
      <c r="P76" s="157">
        <v>0.68</v>
      </c>
      <c r="Q76" s="157">
        <v>0.45</v>
      </c>
      <c r="R76" s="157">
        <v>0.38</v>
      </c>
      <c r="S76" s="157">
        <v>0.25</v>
      </c>
      <c r="T76" s="157"/>
    </row>
  </sheetData>
  <sheetProtection password="8E09" sheet="1" objects="1" scenarios="1" selectLockedCells="1" selectUnlockedCells="1"/>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30"/>
  <sheetViews>
    <sheetView topLeftCell="M1" workbookViewId="0">
      <selection activeCell="P12" sqref="P12"/>
    </sheetView>
  </sheetViews>
  <sheetFormatPr defaultRowHeight="13.5"/>
  <cols>
    <col min="1" max="12" width="9" hidden="1" customWidth="1"/>
  </cols>
  <sheetData>
    <row r="1" spans="1:11">
      <c r="C1" t="s">
        <v>14</v>
      </c>
      <c r="G1" t="s">
        <v>13</v>
      </c>
    </row>
    <row r="2" spans="1:11">
      <c r="C2" t="s">
        <v>4</v>
      </c>
    </row>
    <row r="3" spans="1:11">
      <c r="F3" s="18" t="s">
        <v>32</v>
      </c>
      <c r="G3" s="10"/>
      <c r="H3" s="10"/>
      <c r="I3" s="10"/>
      <c r="J3" s="10"/>
      <c r="K3" s="11"/>
    </row>
    <row r="4" spans="1:11">
      <c r="A4" t="s">
        <v>5</v>
      </c>
      <c r="B4">
        <v>5</v>
      </c>
      <c r="C4" s="3">
        <v>0.38600000000000001</v>
      </c>
      <c r="D4" s="3">
        <v>-23.699000000000002</v>
      </c>
      <c r="F4" s="12" t="s">
        <v>31</v>
      </c>
      <c r="G4" s="13" t="s">
        <v>6</v>
      </c>
      <c r="H4" s="13"/>
      <c r="I4" s="13"/>
      <c r="J4" s="13"/>
      <c r="K4" s="14"/>
    </row>
    <row r="5" spans="1:11">
      <c r="B5">
        <v>6</v>
      </c>
      <c r="C5" s="3">
        <v>0.46100000000000002</v>
      </c>
      <c r="D5" s="3">
        <v>-32.381999999999998</v>
      </c>
      <c r="F5" s="12"/>
      <c r="G5" s="13"/>
      <c r="H5" s="13">
        <v>3</v>
      </c>
      <c r="I5" s="13">
        <v>2</v>
      </c>
      <c r="J5" s="13">
        <v>1</v>
      </c>
      <c r="K5" s="14">
        <v>0</v>
      </c>
    </row>
    <row r="6" spans="1:11">
      <c r="B6">
        <v>7</v>
      </c>
      <c r="C6" s="3">
        <v>0.51300000000000001</v>
      </c>
      <c r="D6" s="3">
        <v>-38.878</v>
      </c>
      <c r="F6" s="12" t="s">
        <v>33</v>
      </c>
      <c r="G6" s="13" t="s">
        <v>7</v>
      </c>
      <c r="H6" s="13">
        <v>30.388200000000001</v>
      </c>
      <c r="I6" s="13">
        <v>-57.149500000000003</v>
      </c>
      <c r="J6" s="13">
        <v>50.812399999999997</v>
      </c>
      <c r="K6" s="14">
        <v>-9.1779100000000007</v>
      </c>
    </row>
    <row r="7" spans="1:11">
      <c r="B7">
        <v>8</v>
      </c>
      <c r="C7" s="3">
        <v>0.59199999999999997</v>
      </c>
      <c r="D7" s="3">
        <v>-48.804000000000002</v>
      </c>
      <c r="F7" s="12"/>
      <c r="G7" s="13" t="s">
        <v>8</v>
      </c>
      <c r="H7" s="13">
        <v>-85.013000000000005</v>
      </c>
      <c r="I7" s="13">
        <v>370.69200000000001</v>
      </c>
      <c r="J7" s="13">
        <v>-465.58</v>
      </c>
      <c r="K7" s="14">
        <v>191.84700000000001</v>
      </c>
    </row>
    <row r="8" spans="1:11">
      <c r="B8">
        <v>9</v>
      </c>
      <c r="C8" s="3">
        <v>0.68700000000000006</v>
      </c>
      <c r="D8" s="3">
        <v>-61.39</v>
      </c>
      <c r="F8" s="19"/>
      <c r="G8" s="16" t="s">
        <v>9</v>
      </c>
      <c r="H8" s="16">
        <v>-310.20499999999998</v>
      </c>
      <c r="I8" s="16">
        <v>1511.59</v>
      </c>
      <c r="J8" s="16">
        <v>-2363.0300000000002</v>
      </c>
      <c r="K8" s="17">
        <v>1231.04</v>
      </c>
    </row>
    <row r="9" spans="1:11">
      <c r="B9">
        <v>10</v>
      </c>
      <c r="C9" s="3">
        <v>0.752</v>
      </c>
      <c r="D9" s="3">
        <v>-70.460999999999999</v>
      </c>
      <c r="F9" s="9" t="s">
        <v>33</v>
      </c>
      <c r="G9" s="10" t="s">
        <v>7</v>
      </c>
      <c r="H9" s="10">
        <v>127.71899999999999</v>
      </c>
      <c r="I9" s="10">
        <v>-414.71199999999999</v>
      </c>
      <c r="J9" s="10">
        <v>485.75</v>
      </c>
      <c r="K9" s="11">
        <v>-184.49199999999999</v>
      </c>
    </row>
    <row r="10" spans="1:11">
      <c r="B10">
        <v>11</v>
      </c>
      <c r="C10" s="3">
        <v>0.78200000000000003</v>
      </c>
      <c r="D10" s="3">
        <v>-75.105999999999995</v>
      </c>
      <c r="F10" s="12"/>
      <c r="G10" s="13" t="s">
        <v>8</v>
      </c>
      <c r="H10" s="13">
        <v>-1787.66</v>
      </c>
      <c r="I10" s="13">
        <v>8039.22</v>
      </c>
      <c r="J10" s="13">
        <v>-11931</v>
      </c>
      <c r="K10" s="14">
        <v>5885.03</v>
      </c>
    </row>
    <row r="11" spans="1:11">
      <c r="B11">
        <v>12</v>
      </c>
      <c r="C11" s="3">
        <v>0.78300000000000003</v>
      </c>
      <c r="D11" s="3">
        <v>-75.641999999999996</v>
      </c>
      <c r="F11" s="12"/>
      <c r="G11" s="13" t="s">
        <v>10</v>
      </c>
      <c r="H11" s="13">
        <v>956.40099999999995</v>
      </c>
      <c r="I11" s="13">
        <v>-4627.55</v>
      </c>
      <c r="J11" s="13">
        <v>7530.58</v>
      </c>
      <c r="K11" s="14">
        <v>-4068.31</v>
      </c>
    </row>
    <row r="12" spans="1:11">
      <c r="B12">
        <v>13</v>
      </c>
      <c r="C12" s="3">
        <v>0.81499999999999995</v>
      </c>
      <c r="D12" s="3">
        <v>-81.347999999999999</v>
      </c>
      <c r="F12" s="12" t="s">
        <v>31</v>
      </c>
      <c r="G12" s="13" t="s">
        <v>12</v>
      </c>
      <c r="H12" s="13"/>
      <c r="I12" s="13"/>
      <c r="J12" s="13"/>
      <c r="K12" s="14"/>
    </row>
    <row r="13" spans="1:11">
      <c r="B13">
        <v>14</v>
      </c>
      <c r="C13" s="3">
        <v>0.83199999999999996</v>
      </c>
      <c r="D13" s="3">
        <v>-83.694999999999993</v>
      </c>
      <c r="F13" s="15" t="s">
        <v>34</v>
      </c>
      <c r="G13" s="16"/>
      <c r="H13" s="16"/>
      <c r="I13" s="16"/>
      <c r="J13" s="16"/>
      <c r="K13" s="17"/>
    </row>
    <row r="14" spans="1:11">
      <c r="B14">
        <v>15</v>
      </c>
      <c r="C14" s="3">
        <v>0.76600000000000001</v>
      </c>
      <c r="D14" s="3">
        <v>-70.989000000000004</v>
      </c>
    </row>
    <row r="15" spans="1:11">
      <c r="B15">
        <v>16</v>
      </c>
      <c r="C15" s="3">
        <v>0.65600000000000003</v>
      </c>
      <c r="D15" s="3">
        <v>-51.822000000000003</v>
      </c>
    </row>
    <row r="16" spans="1:11">
      <c r="B16">
        <v>17</v>
      </c>
      <c r="C16" s="3">
        <v>0.67200000000000004</v>
      </c>
      <c r="D16" s="3">
        <v>-53.642000000000003</v>
      </c>
    </row>
    <row r="17" spans="1:7">
      <c r="C17" s="3"/>
      <c r="D17" s="3"/>
    </row>
    <row r="18" spans="1:7">
      <c r="A18" t="s">
        <v>11</v>
      </c>
      <c r="B18">
        <v>5</v>
      </c>
      <c r="C18" s="3">
        <v>0.377</v>
      </c>
      <c r="D18" s="3">
        <v>-22.75</v>
      </c>
    </row>
    <row r="19" spans="1:7">
      <c r="B19">
        <v>6</v>
      </c>
      <c r="C19" s="3">
        <v>0.45800000000000002</v>
      </c>
      <c r="D19" s="3">
        <v>-32.079000000000001</v>
      </c>
    </row>
    <row r="20" spans="1:7">
      <c r="B20">
        <v>7</v>
      </c>
      <c r="C20" s="3">
        <v>0.50800000000000001</v>
      </c>
      <c r="D20" s="3">
        <v>-38.366999999999997</v>
      </c>
    </row>
    <row r="21" spans="1:7">
      <c r="B21">
        <v>8</v>
      </c>
      <c r="C21" s="3">
        <v>0.56100000000000005</v>
      </c>
      <c r="D21" s="3">
        <v>-45.006</v>
      </c>
    </row>
    <row r="22" spans="1:7">
      <c r="B22">
        <v>9</v>
      </c>
      <c r="C22" s="3">
        <v>0.65200000000000002</v>
      </c>
      <c r="D22" s="3">
        <v>-56.991999999999997</v>
      </c>
      <c r="G22" t="s">
        <v>186</v>
      </c>
    </row>
    <row r="23" spans="1:7">
      <c r="B23">
        <v>10</v>
      </c>
      <c r="C23" s="3">
        <v>0.73</v>
      </c>
      <c r="D23" s="3">
        <v>-68.090999999999994</v>
      </c>
      <c r="G23" t="s">
        <v>187</v>
      </c>
    </row>
    <row r="24" spans="1:7">
      <c r="B24">
        <v>11</v>
      </c>
      <c r="C24" s="3">
        <v>0.80300000000000005</v>
      </c>
      <c r="D24" s="3">
        <v>-78.846000000000004</v>
      </c>
    </row>
    <row r="25" spans="1:7">
      <c r="B25">
        <v>12</v>
      </c>
      <c r="C25" s="3">
        <v>0.79600000000000004</v>
      </c>
      <c r="D25" s="3">
        <v>-76.933999999999997</v>
      </c>
    </row>
    <row r="26" spans="1:7">
      <c r="B26">
        <v>13</v>
      </c>
      <c r="C26" s="3">
        <v>0.65500000000000003</v>
      </c>
      <c r="D26" s="3">
        <v>-54.234000000000002</v>
      </c>
    </row>
    <row r="27" spans="1:7">
      <c r="B27">
        <v>14</v>
      </c>
      <c r="C27" s="3">
        <v>0.59399999999999997</v>
      </c>
      <c r="D27" s="3">
        <v>-43.264000000000003</v>
      </c>
    </row>
    <row r="28" spans="1:7">
      <c r="B28">
        <v>15</v>
      </c>
      <c r="C28" s="3">
        <v>0.56000000000000005</v>
      </c>
      <c r="D28" s="3">
        <v>-37.002000000000002</v>
      </c>
    </row>
    <row r="29" spans="1:7">
      <c r="B29">
        <v>16</v>
      </c>
      <c r="C29" s="3">
        <v>0.57799999999999996</v>
      </c>
      <c r="D29" s="3">
        <v>-39.057000000000002</v>
      </c>
    </row>
    <row r="30" spans="1:7">
      <c r="B30">
        <v>17</v>
      </c>
      <c r="C30" s="3">
        <v>0.59799999999999998</v>
      </c>
      <c r="D30" s="3">
        <v>-42.338999999999999</v>
      </c>
    </row>
  </sheetData>
  <sheetProtection password="8E09" sheet="1" objects="1" scenarios="1" selectLockedCells="1" selectUnlockedCells="1"/>
  <phoneticPr fontId="1"/>
  <pageMargins left="0.78700000000000003" right="0.78700000000000003" top="0.98399999999999999" bottom="0.98399999999999999"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4:I66"/>
  <sheetViews>
    <sheetView topLeftCell="J16" zoomScaleNormal="100" workbookViewId="0">
      <selection activeCell="R35" sqref="R35"/>
    </sheetView>
  </sheetViews>
  <sheetFormatPr defaultRowHeight="13.5"/>
  <cols>
    <col min="1" max="3" width="9" style="4" hidden="1" customWidth="1"/>
    <col min="4" max="4" width="13.75" style="4" hidden="1" customWidth="1"/>
    <col min="5" max="5" width="14.875" style="4" hidden="1" customWidth="1"/>
    <col min="6" max="6" width="13.75" style="4" hidden="1" customWidth="1"/>
    <col min="7" max="7" width="13.625" style="4" hidden="1" customWidth="1"/>
    <col min="8" max="9" width="11.625" style="24" hidden="1" customWidth="1"/>
    <col min="10" max="10" width="11.625" style="24" customWidth="1"/>
    <col min="11" max="16384" width="9" style="24"/>
  </cols>
  <sheetData>
    <row r="4" spans="2:7">
      <c r="B4" s="4" t="s">
        <v>15</v>
      </c>
      <c r="C4" s="53" t="s">
        <v>16</v>
      </c>
      <c r="D4" s="4">
        <v>3</v>
      </c>
      <c r="E4" s="4">
        <v>2</v>
      </c>
      <c r="F4" s="4">
        <v>1</v>
      </c>
      <c r="G4" s="4" t="s">
        <v>170</v>
      </c>
    </row>
    <row r="5" spans="2:7">
      <c r="C5" s="4" t="s">
        <v>41</v>
      </c>
      <c r="D5" s="4">
        <f>1.4345*10^-6</f>
        <v>1.4345E-6</v>
      </c>
      <c r="E5" s="54">
        <f>-0.000119864</f>
        <v>-1.19864E-4</v>
      </c>
      <c r="F5" s="54">
        <f>-0.037620259</f>
        <v>-3.7620259000000003E-2</v>
      </c>
      <c r="G5" s="54">
        <v>0.62407732199999999</v>
      </c>
    </row>
    <row r="6" spans="2:7">
      <c r="C6" s="4" t="s">
        <v>42</v>
      </c>
      <c r="D6" s="4">
        <f>-3.06037*10^-6</f>
        <v>-3.0603699999999996E-6</v>
      </c>
      <c r="E6" s="54">
        <v>1.3879490000000001E-3</v>
      </c>
      <c r="F6" s="54">
        <v>-0.19079875399999999</v>
      </c>
      <c r="G6" s="54">
        <v>5.5315144910000003</v>
      </c>
    </row>
    <row r="7" spans="2:7">
      <c r="C7" s="4" t="s">
        <v>43</v>
      </c>
      <c r="D7" s="4">
        <f>9.04656*10^-7</f>
        <v>9.0465599999999994E-7</v>
      </c>
      <c r="E7" s="54">
        <v>-6.6202999999999998E-4</v>
      </c>
      <c r="F7" s="54">
        <v>0.15655571400000001</v>
      </c>
      <c r="G7" s="54">
        <v>-13.829089850000001</v>
      </c>
    </row>
    <row r="8" spans="2:7">
      <c r="C8" s="55" t="s">
        <v>17</v>
      </c>
      <c r="E8" s="54"/>
      <c r="F8" s="54"/>
      <c r="G8" s="54"/>
    </row>
    <row r="9" spans="2:7">
      <c r="C9" s="4" t="s">
        <v>44</v>
      </c>
      <c r="D9" s="4">
        <f>3.47613*10^-7</f>
        <v>3.47613E-7</v>
      </c>
      <c r="E9" s="56">
        <f>-2.38575*10^-5</f>
        <v>-2.38575E-5</v>
      </c>
      <c r="F9" s="54">
        <v>-3.7631412000000003E-2</v>
      </c>
      <c r="G9" s="54">
        <v>0.79584630099999998</v>
      </c>
    </row>
    <row r="10" spans="2:7">
      <c r="C10" s="4" t="s">
        <v>45</v>
      </c>
      <c r="D10" s="57">
        <f>-5.83768*10^-6</f>
        <v>-5.8376799999999995E-6</v>
      </c>
      <c r="E10" s="54">
        <v>2.1948250000000001E-3</v>
      </c>
      <c r="F10" s="54">
        <v>-0.25546500300000002</v>
      </c>
      <c r="G10" s="54">
        <v>7.2951426289999999</v>
      </c>
    </row>
    <row r="11" spans="2:7">
      <c r="C11" s="4" t="s">
        <v>43</v>
      </c>
      <c r="D11" s="4">
        <f>5.41432*10^-6</f>
        <v>5.4143199999999997E-6</v>
      </c>
      <c r="E11" s="54">
        <v>-2.9650409999999999E-3</v>
      </c>
      <c r="F11" s="54">
        <v>0.53298464599999995</v>
      </c>
      <c r="G11" s="58">
        <v>-32.850825039999997</v>
      </c>
    </row>
    <row r="12" spans="2:7">
      <c r="E12" s="54"/>
      <c r="F12" s="54"/>
      <c r="G12" s="54"/>
    </row>
    <row r="13" spans="2:7">
      <c r="B13" s="4" t="s">
        <v>18</v>
      </c>
      <c r="C13" s="53" t="s">
        <v>16</v>
      </c>
      <c r="E13" s="54"/>
      <c r="F13" s="54"/>
      <c r="G13" s="54"/>
    </row>
    <row r="14" spans="2:7">
      <c r="C14" s="4" t="s">
        <v>46</v>
      </c>
      <c r="D14" s="4">
        <f>-7.58553*10^-8</f>
        <v>-7.5855300000000003E-8</v>
      </c>
      <c r="E14" s="54">
        <f>2.1302*10^-5</f>
        <v>2.1302E-5</v>
      </c>
      <c r="F14" s="54">
        <v>-1.0948119999999999E-3</v>
      </c>
      <c r="G14" s="54">
        <v>9.0651064000000003E-2</v>
      </c>
    </row>
    <row r="15" spans="2:7">
      <c r="C15" s="4" t="s">
        <v>47</v>
      </c>
      <c r="D15" s="4">
        <f>1.99415*10^-8</f>
        <v>1.99415E-8</v>
      </c>
      <c r="E15" s="54">
        <f>-1.37006*10^-5</f>
        <v>-1.3700600000000002E-5</v>
      </c>
      <c r="F15" s="54">
        <v>2.877807E-3</v>
      </c>
      <c r="G15" s="54">
        <v>-5.3198892999999997E-2</v>
      </c>
    </row>
    <row r="16" spans="2:7">
      <c r="C16" s="55" t="s">
        <v>17</v>
      </c>
      <c r="E16" s="54"/>
      <c r="F16" s="54"/>
      <c r="G16" s="54"/>
    </row>
    <row r="17" spans="2:7">
      <c r="C17" s="4" t="s">
        <v>46</v>
      </c>
      <c r="D17" s="4">
        <f>-1.0218*10^-7</f>
        <v>-1.0218000000000001E-7</v>
      </c>
      <c r="E17" s="54">
        <f>2.31971*10^-5</f>
        <v>2.3197100000000002E-5</v>
      </c>
      <c r="F17" s="54">
        <v>-9.2398299999999997E-4</v>
      </c>
      <c r="G17" s="58">
        <v>8.8969350000000003E-2</v>
      </c>
    </row>
    <row r="18" spans="2:7">
      <c r="C18" s="4" t="s">
        <v>47</v>
      </c>
      <c r="D18" s="4">
        <f>2.10831*10^-8</f>
        <v>2.10831E-8</v>
      </c>
      <c r="E18" s="56">
        <f>-1.43497*10^-5</f>
        <v>-1.4349700000000003E-5</v>
      </c>
      <c r="F18" s="54">
        <v>2.8391459999999999E-3</v>
      </c>
      <c r="G18" s="54">
        <v>-3.5441888999999997E-2</v>
      </c>
    </row>
    <row r="19" spans="2:7">
      <c r="E19" s="54"/>
      <c r="F19" s="54"/>
      <c r="G19" s="54"/>
    </row>
    <row r="20" spans="2:7">
      <c r="B20" s="4" t="s">
        <v>19</v>
      </c>
      <c r="C20" s="53" t="s">
        <v>16</v>
      </c>
      <c r="E20" s="54"/>
      <c r="F20" s="54"/>
      <c r="G20" s="54"/>
    </row>
    <row r="21" spans="2:7">
      <c r="C21" s="4" t="s">
        <v>48</v>
      </c>
      <c r="D21" s="4">
        <v>3.2048516999999999E-2</v>
      </c>
      <c r="E21" s="54">
        <v>-0.49343327300000001</v>
      </c>
      <c r="F21" s="54">
        <v>2.551397766</v>
      </c>
      <c r="G21" s="54">
        <v>12.622545369999999</v>
      </c>
    </row>
    <row r="22" spans="2:7">
      <c r="C22" s="4" t="s">
        <v>49</v>
      </c>
      <c r="D22" s="4">
        <v>7.9728779999999992E-3</v>
      </c>
      <c r="E22" s="54">
        <v>-0.20199887699999999</v>
      </c>
      <c r="F22" s="54">
        <v>1.5434203399999999</v>
      </c>
      <c r="G22" s="59">
        <v>13.697217</v>
      </c>
    </row>
    <row r="23" spans="2:7">
      <c r="C23" s="4" t="s">
        <v>50</v>
      </c>
      <c r="D23" s="4">
        <f>-7.67459*10^-5</f>
        <v>-7.6745900000000007E-5</v>
      </c>
      <c r="E23" s="54">
        <v>7.1739009999999999E-3</v>
      </c>
      <c r="F23" s="54">
        <v>-0.25176596400000001</v>
      </c>
      <c r="G23" s="54">
        <v>18.775188279999998</v>
      </c>
    </row>
    <row r="24" spans="2:7">
      <c r="C24" s="4" t="s">
        <v>51</v>
      </c>
      <c r="D24" s="4">
        <f>-3.88384*10^-6</f>
        <v>-3.8838400000000002E-6</v>
      </c>
      <c r="E24" s="54">
        <v>1.076046E-3</v>
      </c>
      <c r="F24" s="54">
        <v>-8.1944536999999998E-2</v>
      </c>
      <c r="G24" s="54">
        <v>17.201186849999999</v>
      </c>
    </row>
    <row r="25" spans="2:7">
      <c r="C25" s="4" t="s">
        <v>47</v>
      </c>
      <c r="D25" s="4">
        <f>-3.94748*10^-6</f>
        <v>-3.9474800000000002E-6</v>
      </c>
      <c r="E25" s="54">
        <v>1.7619249999999999E-3</v>
      </c>
      <c r="F25" s="54">
        <v>-0.20385642800000001</v>
      </c>
      <c r="G25" s="54">
        <v>22.664025769999999</v>
      </c>
    </row>
    <row r="26" spans="2:7">
      <c r="C26" s="55" t="s">
        <v>17</v>
      </c>
      <c r="E26" s="54"/>
      <c r="F26" s="54"/>
      <c r="G26" s="54"/>
    </row>
    <row r="27" spans="2:7">
      <c r="C27" s="4" t="s">
        <v>48</v>
      </c>
      <c r="D27" s="4">
        <v>1.9399718E-2</v>
      </c>
      <c r="E27" s="54">
        <v>-0.359429206</v>
      </c>
      <c r="F27" s="54">
        <v>2.139236779</v>
      </c>
      <c r="G27" s="58">
        <v>12.568967990000001</v>
      </c>
    </row>
    <row r="28" spans="2:7">
      <c r="C28" s="4" t="s">
        <v>49</v>
      </c>
      <c r="D28" s="4">
        <v>7.3122990000000004E-3</v>
      </c>
      <c r="E28" s="54">
        <v>-0.194108219</v>
      </c>
      <c r="F28" s="54">
        <v>1.537772117</v>
      </c>
      <c r="G28" s="54">
        <v>13.228246929999999</v>
      </c>
    </row>
    <row r="29" spans="2:7">
      <c r="C29" s="4" t="s">
        <v>50</v>
      </c>
      <c r="D29" s="4">
        <v>-1.68505E-4</v>
      </c>
      <c r="E29" s="54">
        <v>1.3702125000000001E-2</v>
      </c>
      <c r="F29" s="54">
        <v>-0.38528606199999998</v>
      </c>
      <c r="G29" s="58">
        <v>19.156269640000001</v>
      </c>
    </row>
    <row r="30" spans="2:7">
      <c r="C30" s="4" t="s">
        <v>51</v>
      </c>
      <c r="D30" s="4">
        <f>-4.80005*10^-7</f>
        <v>-4.8000499999999999E-7</v>
      </c>
      <c r="E30" s="54">
        <v>3.5014300000000003E-4</v>
      </c>
      <c r="F30" s="54">
        <v>-3.1651292999999997E-2</v>
      </c>
      <c r="G30" s="58">
        <v>16.034501049999999</v>
      </c>
    </row>
    <row r="31" spans="2:7">
      <c r="C31" s="4" t="s">
        <v>52</v>
      </c>
      <c r="D31" s="4">
        <f>-3.03967*10^-6</f>
        <v>-3.0396699999999999E-6</v>
      </c>
      <c r="E31" s="54">
        <v>1.541344E-3</v>
      </c>
      <c r="F31" s="54">
        <v>-0.183867689</v>
      </c>
      <c r="G31" s="58">
        <v>21.95124139</v>
      </c>
    </row>
    <row r="32" spans="2:7">
      <c r="C32" s="4" t="s">
        <v>43</v>
      </c>
      <c r="D32" s="4">
        <f>-2.5069*10^-6</f>
        <v>-2.5068999999999997E-6</v>
      </c>
      <c r="E32" s="58">
        <v>6.4283000000000005E-4</v>
      </c>
      <c r="F32" s="54">
        <v>4.9828797000000001E-2</v>
      </c>
      <c r="G32" s="54">
        <v>5.3230503139999996</v>
      </c>
    </row>
    <row r="33" spans="1:8">
      <c r="E33" s="54"/>
      <c r="F33" s="54"/>
    </row>
    <row r="34" spans="1:8">
      <c r="E34" s="54"/>
      <c r="F34" s="54"/>
    </row>
    <row r="35" spans="1:8">
      <c r="F35" s="54"/>
    </row>
    <row r="36" spans="1:8">
      <c r="A36" s="4" t="s">
        <v>184</v>
      </c>
    </row>
    <row r="38" spans="1:8">
      <c r="B38" s="60" t="s">
        <v>15</v>
      </c>
      <c r="C38" s="4" t="s">
        <v>19</v>
      </c>
      <c r="D38" s="4" t="s">
        <v>18</v>
      </c>
      <c r="F38" s="60" t="s">
        <v>15</v>
      </c>
      <c r="G38" s="4" t="s">
        <v>19</v>
      </c>
      <c r="H38" s="4" t="s">
        <v>18</v>
      </c>
    </row>
    <row r="39" spans="1:8">
      <c r="B39" s="4">
        <f>IF(小児慢性疾病意見書記載項目計算!C4="M",IF(BMILMS!B42&lt;78,BMILMS!$D$5*BMILMS!B42^3+BMILMS!$E$5*BMILMS!B42^2+BMILMS!$F$5*BMILMS!B42+BMILMS!$G$5,IF(BMILMS!B42&lt;150,BMILMS!$D$6*BMILMS!B42^3+BMILMS!$E$6*BMILMS!B42^2+BMILMS!$F$6*BMILMS!B42+BMILMS!$G$6,BMILMS!$D$7*BMILMS!B42^3+BMILMS!$E$7*BMILMS!B42^2+BMILMS!$F$7*BMILMS!B42+BMILMS!$G$7)),IF(BMILMS!B42&lt;69,BMILMS!$D$9*BMILMS!B42^3+BMILMS!$E$9*BMILMS!B42^2+BMILMS!$F$9*BMILMS!B42+BMILMS!$G$9,IF(BMILMS!B42&lt;150,BMILMS!$D$10*BMILMS!B42^3+BMILMS!$E$10*BMILMS!B42^2+BMILMS!$F$10*BMILMS!B42+BMILMS!$G$10,BMILMS!$D$11*BMILMS!B42^3+BMILMS!$E$11*BMILMS!B42^2+BMILMS!$F$11*BMILMS!B42+BMILMS!$G$11)))</f>
        <v>0.79584630099999998</v>
      </c>
      <c r="C39" s="4">
        <f>IF(小児慢性疾病意見書記載項目計算!C4="M",(IF(BMILMS!B42&lt;2.5,BMILMS!$D$21*BMILMS!B42^3+BMILMS!$E$21*BMILMS!B42^2+BMILMS!$F$21*BMILMS!B42+BMILMS!$G$21,IF(BMILMS!B42&lt;9.5,BMILMS!$D$22*BMILMS!B42^3+BMILMS!$E$22*BMILMS!B42^2+BMILMS!$F$22*BMILMS!B42+BMILMS!$G$22,IF(BMILMS!B42&lt;26.75,BMILMS!$D$23*BMILMS!B42^3+BMILMS!$E$23*BMILMS!B42^2+BMILMS!$F$23*BMILMS!B42+BMILMS!$G$23,IF(BMILMS!B42&lt;90,BMILMS!$D$24*BMILMS!B42^3+BMILMS!$E$24*BMILMS!B42^2+BMILMS!$F$24*BMILMS!B42+BMILMS!$G$24,BMILMS!$D$25*BMILMS!B42^3+BMILMS!$E$25*BMILMS!B42^2+BMILMS!$F$25*BMILMS!B42+BMILMS!$G$25))))),(IF(BMILMS!B42&lt;2.5,BMILMS!$D$27*BMILMS!B42^3+BMILMS!$E$27*BMILMS!B42^2+BMILMS!$F$27*BMILMS!B42+BMILMS!$G$27,IF(BMILMS!B42&lt;9.5,BMILMS!$D$28*BMILMS!B42^3+BMILMS!$E$28*BMILMS!B42^2+BMILMS!$F$28*BMILMS!B42+BMILMS!$G$28,IF(BMILMS!B42&lt;26.75,BMILMS!$D$29*BMILMS!B42^3+BMILMS!$E$29*BMILMS!B42^2+BMILMS!$F$29*BMILMS!B42+BMILMS!$G$29,IF(BMILMS!B42&lt;90,BMILMS!$D$30*BMILMS!B42^3+BMILMS!$E$30*BMILMS!B42^2+BMILMS!$F$30*BMILMS!B42+BMILMS!$G$30,IF(BMILMS!B42&lt;150,BMILMS!$D$31*BMILMS!B42^3+BMILMS!$E$31*BMILMS!B42^2+BMILMS!$F$31*BMILMS!B42+BMILMS!$G$31,BMILMS!$D$32*BMILMS!B42^3+BMILMS!$E$32*BMILMS!B42^2+BMILMS!$F$32*BMILMS!B42+BMILMS!$G$32)))))))</f>
        <v>12.568967990000001</v>
      </c>
      <c r="D39" s="4">
        <f>IF(小児慢性疾病意見書記載項目計算!C4="M",(IF(BMILMS!B42&lt;90,BMILMS!$D$14*BMILMS!B42^3+BMILMS!$E$14*BMILMS!B42^2+BMILMS!$F$14*BMILMS!B42+BMILMS!$G$14,BMILMS!$D$15*BMILMS!B42^3+BMILMS!$E$15*BMILMS!B42^2+BMILMS!$F$15*BMILMS!B42+BMILMS!$G$15)),(IF(BMILMS!B42&lt;90,BMILMS!$D$17*BMILMS!B42^3+BMILMS!$E$17*BMILMS!B42^2+BMILMS!$F$17*BMILMS!B42+BMILMS!$G$17,BMILMS!$D$18*BMILMS!B42^3+BMILMS!$E$18*BMILMS!B42^2+BMILMS!$F$18*BMILMS!B42+BMILMS!$G$18)))</f>
        <v>8.8969350000000003E-2</v>
      </c>
      <c r="F39" s="4">
        <f>IF(小児慢性疾病意見書記載項目計算!C4="M",IF(BMILMS!F42&lt;78,BMILMS!$D$5*BMILMS!F42^3+BMILMS!$E$5*BMILMS!F42^2+BMILMS!$F$5*BMILMS!F42+BMILMS!$G$5,IF(BMILMS!F42&lt;150,BMILMS!$D$6*BMILMS!F42^3+BMILMS!$E$6*BMILMS!F42^2+BMILMS!$F$6*BMILMS!F42+BMILMS!$G$6,BMILMS!$D$7*BMILMS!F42^3+BMILMS!$E$7*BMILMS!F42^2+BMILMS!$F$7*BMILMS!F42+BMILMS!$G$7)),IF(BMILMS!F42&lt;69,BMILMS!$D$9*BMILMS!F42^3+BMILMS!$E$9*BMILMS!F42^2+BMILMS!$F$9*BMILMS!F42+BMILMS!$G$9,IF(BMILMS!F42&lt;150,BMILMS!$D$10*BMILMS!F42^3+BMILMS!$E$10*BMILMS!F42^2+BMILMS!$F$10*BMILMS!F42+BMILMS!$G$10,BMILMS!$D$11*BMILMS!F42^3+BMILMS!$E$11*BMILMS!F42^2+BMILMS!$F$11*BMILMS!F42+BMILMS!$G$11)))</f>
        <v>0.79584630099999998</v>
      </c>
      <c r="G39" s="4">
        <f>IF(小児慢性疾病意見書記載項目計算!C4="M",(IF(BMILMS!F42&lt;2.5,BMILMS!$D$21*BMILMS!F42^3+BMILMS!$E$21*BMILMS!F42^2+BMILMS!$F$21*BMILMS!F42+BMILMS!$G$21,IF(BMILMS!F42&lt;9.5,BMILMS!$D$22*BMILMS!F42^3+BMILMS!$E$22*BMILMS!F42^2+BMILMS!$F$22*BMILMS!F42+BMILMS!$G$22,IF(BMILMS!F42&lt;26.75,BMILMS!$D$23*BMILMS!F42^3+BMILMS!$E$23*BMILMS!F42^2+BMILMS!$F$23*BMILMS!F42+BMILMS!$G$23,IF(BMILMS!F42&lt;90,BMILMS!$D$24*BMILMS!F42^3+BMILMS!$E$24*BMILMS!F42^2+BMILMS!$F$24*BMILMS!F42+BMILMS!$G$24,BMILMS!$D$25*BMILMS!F42^3+BMILMS!$E$25*BMILMS!F42^2+BMILMS!$F$25*BMILMS!F42+BMILMS!$G$25))))),(IF(BMILMS!F42&lt;2.5,BMILMS!$D$27*BMILMS!F42^3+BMILMS!$E$27*BMILMS!F42^2+BMILMS!$F$27*BMILMS!F42+BMILMS!$G$27,IF(BMILMS!F42&lt;9.5,BMILMS!$D$28*BMILMS!F42^3+BMILMS!$E$28*BMILMS!F42^2+BMILMS!$F$28*BMILMS!F42+BMILMS!$G$28,IF(BMILMS!F42&lt;26.75,BMILMS!$D$29*BMILMS!F42^3+BMILMS!$E$29*BMILMS!F42^2+BMILMS!$F$29*BMILMS!F42+BMILMS!$G$29,IF(BMILMS!F42&lt;90,BMILMS!$D$30*BMILMS!F42^3+BMILMS!$E$30*BMILMS!F42^2+BMILMS!$F$30*BMILMS!F42+BMILMS!$G$30,IF(BMILMS!F42&lt;150,BMILMS!$D$31*BMILMS!F42^3+BMILMS!$E$31*BMILMS!F42^2+BMILMS!$F$31*BMILMS!F42+BMILMS!$G$31,BMILMS!$D$32*BMILMS!F42^3+BMILMS!$E$32*BMILMS!F42^2+BMILMS!$F$32*BMILMS!F42+BMILMS!$G$32)))))))</f>
        <v>12.568967990000001</v>
      </c>
      <c r="H39" s="4">
        <f>IF(小児慢性疾病意見書記載項目計算!C4="M",(IF(BMILMS!F42&lt;90,BMILMS!$D$14*BMILMS!F42^3+BMILMS!$E$14*BMILMS!F42^2+BMILMS!$F$14*BMILMS!F42+BMILMS!$G$14,BMILMS!$D$15*BMILMS!F42^3+BMILMS!$E$15*BMILMS!F42^2+BMILMS!$F$15*BMILMS!F42+BMILMS!$G$15)),(IF(BMILMS!F42&lt;90,BMILMS!$D$17*BMILMS!F42^3+BMILMS!$E$17*BMILMS!F42^2+BMILMS!$F$17*BMILMS!F42+BMILMS!$G$17,BMILMS!$D$18*BMILMS!F42^3+BMILMS!$E$18*BMILMS!F42^2+BMILMS!$F$18*BMILMS!F42+BMILMS!$G$18)))</f>
        <v>8.8969350000000003E-2</v>
      </c>
    </row>
    <row r="41" spans="1:8">
      <c r="B41" s="4" t="s">
        <v>185</v>
      </c>
      <c r="F41" s="4" t="s">
        <v>243</v>
      </c>
      <c r="H41" s="24" t="s">
        <v>244</v>
      </c>
    </row>
    <row r="42" spans="1:8">
      <c r="B42" s="4">
        <f>BMILMS!B45*12+BMILMS!C45</f>
        <v>0</v>
      </c>
      <c r="F42" s="4">
        <f>F45*12+G45</f>
        <v>0</v>
      </c>
      <c r="H42" s="24" t="s">
        <v>244</v>
      </c>
    </row>
    <row r="44" spans="1:8">
      <c r="B44" s="4" t="s">
        <v>183</v>
      </c>
      <c r="C44" s="4" t="s">
        <v>182</v>
      </c>
    </row>
    <row r="45" spans="1:8">
      <c r="B45" s="61">
        <f>DATEDIF(小児慢性疾病意見書記載項目計算!C5,小児慢性疾病意見書記載項目計算!C6,"Y")</f>
        <v>0</v>
      </c>
      <c r="C45" s="4">
        <f>DATEDIF(小児慢性疾病意見書記載項目計算!C5,小児慢性疾病意見書記載項目計算!C6,"YM")</f>
        <v>0</v>
      </c>
      <c r="D45" s="62"/>
      <c r="E45" s="24"/>
      <c r="F45" s="61">
        <f>DATEDIF(小児慢性疾病意見書記載項目計算!C5,小児慢性疾病意見書記載項目計算!F6,"Y")</f>
        <v>0</v>
      </c>
      <c r="G45" s="4">
        <f>DATEDIF(小児慢性疾病意見書記載項目計算!C5,小児慢性疾病意見書記載項目計算!F6,"YM")</f>
        <v>0</v>
      </c>
      <c r="H45" s="159" t="s">
        <v>245</v>
      </c>
    </row>
    <row r="46" spans="1:8">
      <c r="B46" s="63">
        <f>IF(小児慢性疾病意見書記載項目計算!C4="M",2.06*10^-3*小児慢性疾病意見書記載項目計算!C7^2-0.1166*小児慢性疾病意見書記載項目計算!C7+6.5273,2.49*10^-3*小児慢性疾病意見書記載項目計算!C7^2-0.1858*小児慢性疾病意見書記載項目計算!C7+9.036)</f>
        <v>9.0359999999999996</v>
      </c>
      <c r="C46" s="63">
        <f>((小児慢性疾病意見書記載項目計算!C7/100)^3*INDEX(itoOI,IF(小児慢性疾病意見書記載項目計算!C4="M",0,3)+IF(小児慢性疾病意見書記載項目計算!C7&lt;140,1,IF(小児慢性疾病意見書記載項目計算!C7&lt;=149,2,3)),1)+(小児慢性疾病意見書記載項目計算!C7/100)^2*INDEX(itoOI,IF(小児慢性疾病意見書記載項目計算!C4="M",0,3)+IF(小児慢性疾病意見書記載項目計算!C7&lt;140,1,IF(小児慢性疾病意見書記載項目計算!C7&lt;=149,2,3)),2)+(小児慢性疾病意見書記載項目計算!C7/100)*INDEX(itoOI,IF(小児慢性疾病意見書記載項目計算!C4="M",0,3)+IF(小児慢性疾病意見書記載項目計算!C7&lt;140,1,IF(小児慢性疾病意見書記載項目計算!C7&lt;=149,2,3)),3)+INDEX(itoOI,IF(小児慢性疾病意見書記載項目計算!C4="M",0,3)+IF(小児慢性疾病意見書記載項目計算!C7&lt;140,1,IF(小児慢性疾病意見書記載項目計算!C7&lt;=149,2,3)),4))</f>
        <v>-184.49199999999999</v>
      </c>
      <c r="D46" s="24"/>
      <c r="E46" s="24"/>
      <c r="F46" s="63">
        <f>IF(小児慢性疾病意見書記載項目計算!C4="M",2.06*10^-3*小児慢性疾病意見書記載項目計算!F7^2-0.1166*小児慢性疾病意見書記載項目計算!F7+6.5273,2.49*10^-3*小児慢性疾病意見書記載項目計算!F7^2-0.1858*小児慢性疾病意見書記載項目計算!F7+9.036)</f>
        <v>9.0359999999999996</v>
      </c>
      <c r="G46" s="63">
        <f>((小児慢性疾病意見書記載項目計算!F7/100)^3*INDEX(itoOI,IF(小児慢性疾病意見書記載項目計算!C4="M",0,3)+IF(小児慢性疾病意見書記載項目計算!F7&lt;140,1,IF(小児慢性疾病意見書記載項目計算!F7&lt;=149,2,3)),1)+(小児慢性疾病意見書記載項目計算!F7/100)^2*INDEX(itoOI,IF(小児慢性疾病意見書記載項目計算!C4="M",0,3)+IF(小児慢性疾病意見書記載項目計算!F7&lt;140,1,IF(小児慢性疾病意見書記載項目計算!F7&lt;=149,2,3)),2)+(小児慢性疾病意見書記載項目計算!F7/100)*INDEX(itoOI,IF(小児慢性疾病意見書記載項目計算!C4="M",0,3)+IF(小児慢性疾病意見書記載項目計算!F7&lt;140,1,IF(小児慢性疾病意見書記載項目計算!F7&lt;=149,2,3)),3)+INDEX(itoOI,IF(小児慢性疾病意見書記載項目計算!C4="M",0,3)+IF(小児慢性疾病意見書記載項目計算!F7&lt;140,1,IF(小児慢性疾病意見書記載項目計算!F7&lt;=149,2,3)),4))</f>
        <v>-184.49199999999999</v>
      </c>
      <c r="H46" s="160" t="s">
        <v>246</v>
      </c>
    </row>
    <row r="48" spans="1:8">
      <c r="C48" s="4" t="s">
        <v>255</v>
      </c>
      <c r="D48" s="4" t="s">
        <v>256</v>
      </c>
    </row>
    <row r="49" spans="1:6">
      <c r="A49" s="4" t="s">
        <v>252</v>
      </c>
      <c r="B49" s="147">
        <f>IF(C50&gt;=D50,+C49-D49,D49-C49)</f>
        <v>0</v>
      </c>
      <c r="C49" s="147">
        <f>小児慢性疾病意見書記載項目計算!C7</f>
        <v>0</v>
      </c>
      <c r="D49" s="147">
        <f>小児慢性疾病意見書記載項目計算!F7</f>
        <v>0</v>
      </c>
    </row>
    <row r="50" spans="1:6">
      <c r="A50" s="4" t="s">
        <v>55</v>
      </c>
      <c r="B50" s="147"/>
      <c r="C50" s="147">
        <f>+B56</f>
        <v>0</v>
      </c>
      <c r="D50" s="147">
        <f>+B57</f>
        <v>0</v>
      </c>
    </row>
    <row r="51" spans="1:6">
      <c r="B51" s="147"/>
      <c r="C51" s="147"/>
      <c r="D51" s="147"/>
    </row>
    <row r="52" spans="1:6">
      <c r="B52" s="147"/>
      <c r="C52" s="147"/>
      <c r="D52" s="147"/>
    </row>
    <row r="53" spans="1:6">
      <c r="B53" s="147"/>
      <c r="C53" s="147"/>
      <c r="D53" s="147"/>
    </row>
    <row r="54" spans="1:6">
      <c r="B54" s="147"/>
      <c r="C54" s="147"/>
      <c r="D54" s="147"/>
    </row>
    <row r="55" spans="1:6">
      <c r="C55" s="24"/>
      <c r="D55" s="4" t="s">
        <v>247</v>
      </c>
    </row>
    <row r="56" spans="1:6">
      <c r="A56" s="4" t="s">
        <v>248</v>
      </c>
      <c r="B56" s="148">
        <f>DATEDIF(小児慢性疾病意見書記載項目計算!C5,小児慢性疾病意見書記載項目計算!C6,"Y")+(小児慢性疾病意見書記載項目計算!C6-(DATE(YEAR(小児慢性疾病意見書記載項目計算!C5)+DATEDIF(小児慢性疾病意見書記載項目計算!C5,小児慢性疾病意見書記載項目計算!C6,"Y"),MONTH(小児慢性疾病意見書記載項目計算!C5),DAY(小児慢性疾病意見書記載項目計算!C5))))/(365+IF(MOD(YEAR((DATE(YEAR(小児慢性疾病意見書記載項目計算!C6)-1,MONTH(小児慢性疾病意見書記載項目計算!C5),DAY(小児慢性疾病意見書記載項目計算!C5)))),4)=0,IF((DATE(YEAR(小児慢性疾病意見書記載項目計算!C6)-1,MONTH(小児慢性疾病意見書記載項目計算!C5),DAY(小児慢性疾病意見書記載項目計算!C5)))&gt;DATE(YEAR((DATE(YEAR(小児慢性疾病意見書記載項目計算!C6)-1,MONTH(小児慢性疾病意見書記載項目計算!C5),DAY(小児慢性疾病意見書記載項目計算!C5)))),2,29),0,1),0)+IF(MOD(YEAR(小児慢性疾病意見書記載項目計算!C6),4)=0,IF(小児慢性疾病意見書記載項目計算!C6&gt;DATE(YEAR(小児慢性疾病意見書記載項目計算!C6),2,29),1,0),0))</f>
        <v>0</v>
      </c>
      <c r="C56" s="24"/>
      <c r="D56" s="24">
        <f>ROUNDDOWN(MIN(B56:B57)+(MAX(B56:B57)-MIN(B56:B57))/2,0)</f>
        <v>0</v>
      </c>
      <c r="E56" s="4" t="s">
        <v>248</v>
      </c>
      <c r="F56" s="148">
        <f>DATEDIF(小児慢性疾病意見書記載項目計算!C5,小児慢性疾病意見書記載項目計算!F6,"Y")+(小児慢性疾病意見書記載項目計算!F6-(DATE(YEAR(小児慢性疾病意見書記載項目計算!C5)+DATEDIF(小児慢性疾病意見書記載項目計算!C5,小児慢性疾病意見書記載項目計算!F6,"Y"),MONTH(小児慢性疾病意見書記載項目計算!C5),DAY(小児慢性疾病意見書記載項目計算!C5))))/(365+IF(MOD(YEAR((DATE(YEAR(小児慢性疾病意見書記載項目計算!F6)-1,MONTH(小児慢性疾病意見書記載項目計算!C5),DAY(小児慢性疾病意見書記載項目計算!C5)))),4)=0,IF((DATE(YEAR(小児慢性疾病意見書記載項目計算!F6)-1,MONTH(小児慢性疾病意見書記載項目計算!C5),DAY(小児慢性疾病意見書記載項目計算!C5)))&gt;DATE(YEAR((DATE(YEAR(小児慢性疾病意見書記載項目計算!F6)-1,MONTH(小児慢性疾病意見書記載項目計算!C5),DAY(小児慢性疾病意見書記載項目計算!C5)))),2,29),0,1),0)+IF(MOD(YEAR(小児慢性疾病意見書記載項目計算!F6),4)=0,IF(小児慢性疾病意見書記載項目計算!F6&gt;DATE(YEAR(小児慢性疾病意見書記載項目計算!F6),2,29),1,0),0))</f>
        <v>0</v>
      </c>
    </row>
    <row r="57" spans="1:6">
      <c r="A57" s="4" t="s">
        <v>248</v>
      </c>
      <c r="B57" s="148">
        <f>DATEDIF(小児慢性疾病意見書記載項目計算!C5,小児慢性疾病意見書記載項目計算!F6,"Y")+(小児慢性疾病意見書記載項目計算!F6-(DATE(YEAR(小児慢性疾病意見書記載項目計算!C5)+DATEDIF(小児慢性疾病意見書記載項目計算!C5,小児慢性疾病意見書記載項目計算!F6,"Y"),MONTH(小児慢性疾病意見書記載項目計算!C5),DAY(小児慢性疾病意見書記載項目計算!C5))))/(365+IF(MOD(YEAR((DATE(YEAR(小児慢性疾病意見書記載項目計算!F6)-1,MONTH(小児慢性疾病意見書記載項目計算!C5),DAY(小児慢性疾病意見書記載項目計算!C5)))),4)=0,IF((DATE(YEAR(小児慢性疾病意見書記載項目計算!F6)-1,MONTH(小児慢性疾病意見書記載項目計算!C5),DAY(小児慢性疾病意見書記載項目計算!C5)))&gt;DATE(YEAR((DATE(YEAR(小児慢性疾病意見書記載項目計算!F6)-1,MONTH(小児慢性疾病意見書記載項目計算!C5),DAY(小児慢性疾病意見書記載項目計算!C5)))),2,29),0,1),0)+IF(MOD(YEAR(小児慢性疾病意見書記載項目計算!F6),4)=0,IF(小児慢性疾病意見書記載項目計算!F6&gt;DATE(YEAR(小児慢性疾病意見書記載項目計算!F6),2,29),1,0),0))</f>
        <v>0</v>
      </c>
      <c r="C57" s="24"/>
      <c r="D57" s="24">
        <f>ROUNDDOWN((MIN(B56:B57)+ABS(B57-B56)/2-D56)*12,0)</f>
        <v>0</v>
      </c>
    </row>
    <row r="58" spans="1:6">
      <c r="B58" s="24"/>
      <c r="C58" s="24"/>
      <c r="D58" s="164">
        <f>AVERAGE(B56:B57)</f>
        <v>0</v>
      </c>
      <c r="E58" s="65"/>
    </row>
    <row r="59" spans="1:6">
      <c r="A59" s="4" t="s">
        <v>257</v>
      </c>
      <c r="B59" s="24" t="e">
        <f>B49/(MAX(B56:B57)-MIN(B56:B57))</f>
        <v>#DIV/0!</v>
      </c>
      <c r="C59" s="24"/>
    </row>
    <row r="60" spans="1:6">
      <c r="B60" s="24"/>
      <c r="C60" s="24"/>
    </row>
    <row r="61" spans="1:6">
      <c r="B61" s="24">
        <f>INDEX(IF(小児慢性疾病意見書記載項目計算!C4="M",MHVaverage,FHVaverage),D57+1,D56+1)</f>
        <v>0</v>
      </c>
      <c r="C61" s="24" t="e">
        <f>(B49/(MAX(B56:B57)-MIN(B56:B57))-B61)/B62</f>
        <v>#DIV/0!</v>
      </c>
    </row>
    <row r="62" spans="1:6">
      <c r="B62" s="24">
        <f>INDEX(IF(小児慢性疾病意見書記載項目計算!C4="M",MHVstd,FHVstd),D57+1,D56+1)</f>
        <v>0</v>
      </c>
      <c r="C62" s="148" t="str">
        <f>IF(D56&lt;1,"NA",IF(D56&gt;=17,IF(D57&gt;=IF(小児慢性疾病意見書記載項目計算!C4="M",10,4),"NA",C61),C61))</f>
        <v>NA</v>
      </c>
    </row>
    <row r="66" spans="2:2">
      <c r="B66" s="148"/>
    </row>
  </sheetData>
  <sheetProtection password="8E09" sheet="1" objects="1" scenarios="1" selectLockedCells="1" selectUnlockedCells="1"/>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X83"/>
  <sheetViews>
    <sheetView topLeftCell="Y1" workbookViewId="0">
      <selection activeCell="Y1" sqref="Y1"/>
    </sheetView>
  </sheetViews>
  <sheetFormatPr defaultRowHeight="13.5"/>
  <cols>
    <col min="1" max="24" width="11.5" style="1" hidden="1" customWidth="1"/>
    <col min="25" max="26" width="11.5" customWidth="1"/>
  </cols>
  <sheetData>
    <row r="2" spans="1:23">
      <c r="A2" s="1" t="s">
        <v>102</v>
      </c>
      <c r="B2" s="67"/>
      <c r="C2" s="68"/>
      <c r="D2" s="68"/>
      <c r="E2" s="68"/>
      <c r="F2" s="68"/>
      <c r="G2" s="68"/>
      <c r="H2" s="69"/>
    </row>
    <row r="3" spans="1:23">
      <c r="B3" s="70" t="s">
        <v>99</v>
      </c>
      <c r="C3" s="71"/>
      <c r="D3" s="71"/>
      <c r="E3" s="71"/>
      <c r="F3" s="71"/>
      <c r="G3" s="71"/>
      <c r="H3" s="72"/>
      <c r="M3" s="1" t="s">
        <v>153</v>
      </c>
      <c r="N3" s="1" t="s">
        <v>154</v>
      </c>
      <c r="O3" s="1" t="s">
        <v>155</v>
      </c>
      <c r="P3" s="1" t="s">
        <v>146</v>
      </c>
      <c r="Q3" s="1" t="s">
        <v>147</v>
      </c>
      <c r="R3" s="1" t="s">
        <v>148</v>
      </c>
      <c r="S3" s="1" t="s">
        <v>149</v>
      </c>
      <c r="T3" s="1" t="s">
        <v>150</v>
      </c>
      <c r="U3" s="1" t="s">
        <v>151</v>
      </c>
      <c r="V3" s="1" t="s">
        <v>152</v>
      </c>
    </row>
    <row r="4" spans="1:23">
      <c r="B4" s="70"/>
      <c r="C4" s="71" t="s">
        <v>29</v>
      </c>
      <c r="D4" s="71" t="s">
        <v>117</v>
      </c>
      <c r="E4" s="71" t="s">
        <v>119</v>
      </c>
      <c r="F4" s="71" t="s">
        <v>118</v>
      </c>
      <c r="H4" s="72"/>
      <c r="J4" s="1" t="s">
        <v>15</v>
      </c>
      <c r="K4" s="73" t="s">
        <v>16</v>
      </c>
    </row>
    <row r="5" spans="1:23" ht="14.25" thickBot="1">
      <c r="B5" s="70" t="s">
        <v>106</v>
      </c>
      <c r="C5" s="71"/>
      <c r="D5" s="74"/>
      <c r="E5" s="75"/>
      <c r="F5" s="74"/>
      <c r="H5" s="72"/>
      <c r="K5" s="1" t="s">
        <v>126</v>
      </c>
      <c r="L5" s="73" t="s">
        <v>132</v>
      </c>
      <c r="M5" s="1">
        <v>0</v>
      </c>
      <c r="N5" s="1">
        <v>0</v>
      </c>
      <c r="O5" s="1">
        <v>0</v>
      </c>
      <c r="P5" s="76">
        <v>-1.2212399999999999E-14</v>
      </c>
      <c r="Q5" s="76">
        <v>1.21101E-11</v>
      </c>
      <c r="R5" s="76">
        <v>-4.6018599999999997E-9</v>
      </c>
      <c r="S5" s="76">
        <v>8.4720599999999997E-7</v>
      </c>
      <c r="T5" s="71">
        <v>-7.9448000000000002E-5</v>
      </c>
      <c r="U5" s="71">
        <v>3.8211669999999999E-3</v>
      </c>
      <c r="V5" s="71">
        <v>-0.105462102</v>
      </c>
      <c r="W5" s="71">
        <v>0.773978418</v>
      </c>
    </row>
    <row r="6" spans="1:23" ht="15" thickTop="1" thickBot="1">
      <c r="B6" s="70"/>
      <c r="C6" s="77">
        <v>34</v>
      </c>
      <c r="D6" s="78">
        <f>P$5*$C6^7+Q$5*$C6^6+R$5*$C6^5+S$5*$C6^4+T$5*$C6^3+U$5*$C6^2+V$5*$C6+W$5</f>
        <v>-0.57595747327573665</v>
      </c>
      <c r="E6" s="78">
        <f>M$23*$C6^10+N$23*$C6^9+O$23*$C6^8+P$23*$C6^7+Q$23*$C6^6+R$23*$C6^5+S$23*$C6^4+T$23*$C6^3+U$23*$C6^2+V$23*$C6+W$23</f>
        <v>13.171934010641701</v>
      </c>
      <c r="F6" s="79">
        <f>P$12*$C6^7+Q$12*$C6^6+R$12*$C6^5+S$12*$C6^4+T$12*$C6^3+U$12*$C6^2+V$12*$C6+W$12</f>
        <v>0.11156461773692733</v>
      </c>
      <c r="H6" s="72"/>
      <c r="K6" s="1" t="s">
        <v>156</v>
      </c>
      <c r="L6" s="73" t="s">
        <v>15</v>
      </c>
      <c r="M6" s="1">
        <v>0</v>
      </c>
      <c r="N6" s="1">
        <v>0</v>
      </c>
      <c r="O6" s="1">
        <v>0</v>
      </c>
      <c r="P6" s="76">
        <v>-1.2212399999999999E-14</v>
      </c>
      <c r="Q6" s="76">
        <v>1.21101E-11</v>
      </c>
      <c r="R6" s="76">
        <v>-4.6018599999999997E-9</v>
      </c>
      <c r="S6" s="76">
        <v>8.4720599999999997E-7</v>
      </c>
      <c r="T6" s="71">
        <v>-7.9448000000000002E-5</v>
      </c>
      <c r="U6" s="71">
        <v>3.8211669999999999E-3</v>
      </c>
      <c r="V6" s="71">
        <v>-0.105462102</v>
      </c>
      <c r="W6" s="71">
        <v>0.773978418</v>
      </c>
    </row>
    <row r="7" spans="1:23" ht="14.25" thickTop="1">
      <c r="B7" s="70" t="s">
        <v>100</v>
      </c>
      <c r="C7" s="71"/>
      <c r="D7" s="74"/>
      <c r="E7" s="75"/>
      <c r="F7" s="74"/>
      <c r="H7" s="72"/>
      <c r="K7" s="80" t="s">
        <v>17</v>
      </c>
    </row>
    <row r="8" spans="1:23">
      <c r="B8" s="70"/>
      <c r="C8" s="71"/>
      <c r="D8" s="74"/>
      <c r="E8" s="75"/>
      <c r="F8" s="74"/>
      <c r="H8" s="72"/>
      <c r="K8" s="1" t="s">
        <v>126</v>
      </c>
      <c r="L8" s="80" t="s">
        <v>138</v>
      </c>
      <c r="M8" s="1">
        <v>0</v>
      </c>
      <c r="N8" s="1">
        <v>0</v>
      </c>
      <c r="O8" s="1">
        <v>0</v>
      </c>
      <c r="P8" s="76">
        <v>9.5778299999999997E-15</v>
      </c>
      <c r="Q8" s="76">
        <v>3.4068800000000001E-12</v>
      </c>
      <c r="R8" s="76">
        <v>-4.0264399999999996E-9</v>
      </c>
      <c r="S8" s="76">
        <v>1.02461E-6</v>
      </c>
      <c r="T8" s="71">
        <v>-1.11585E-4</v>
      </c>
      <c r="U8" s="71">
        <v>5.7216400000000001E-3</v>
      </c>
      <c r="V8" s="71">
        <v>-0.14239750000000001</v>
      </c>
      <c r="W8" s="71">
        <v>0.75407122999999998</v>
      </c>
    </row>
    <row r="9" spans="1:23">
      <c r="B9" s="70"/>
      <c r="C9" s="71"/>
      <c r="E9" s="75"/>
      <c r="F9" s="74"/>
      <c r="H9" s="72"/>
      <c r="K9" s="1" t="s">
        <v>127</v>
      </c>
      <c r="L9" s="80" t="s">
        <v>139</v>
      </c>
      <c r="U9" s="81">
        <v>-1.0118926530000001</v>
      </c>
      <c r="V9" s="1">
        <v>-0.01</v>
      </c>
      <c r="W9" s="1">
        <v>186</v>
      </c>
    </row>
    <row r="10" spans="1:23">
      <c r="B10" s="70"/>
      <c r="C10" s="71"/>
      <c r="D10" s="74"/>
      <c r="E10" s="75"/>
      <c r="F10" s="74"/>
      <c r="H10" s="72"/>
    </row>
    <row r="11" spans="1:23" ht="14.25" thickBot="1">
      <c r="B11" s="70" t="s">
        <v>101</v>
      </c>
      <c r="C11" s="71"/>
      <c r="D11" s="74"/>
      <c r="E11" s="74"/>
      <c r="F11" s="74"/>
      <c r="H11" s="72"/>
      <c r="J11" s="1" t="s">
        <v>18</v>
      </c>
      <c r="K11" s="73" t="s">
        <v>16</v>
      </c>
    </row>
    <row r="12" spans="1:23" ht="15" thickTop="1" thickBot="1">
      <c r="B12" s="70"/>
      <c r="C12" s="77">
        <v>56</v>
      </c>
      <c r="D12" s="78">
        <f>P$5*$C12^7+Q$5*$C12^6+R$5*$C12^5+S$5*$C12^4+T$5*$C12^3+U$5*$C12^2+V$5*$C12+W$5</f>
        <v>-0.95121069035772843</v>
      </c>
      <c r="E12" s="82">
        <f>M$25*$C12^10+N$25*$C12^9+O$25*$C12^8+P$25*$C12^7+Q$25*$C12^6+R$25*$C12^5+S$25*$C12^4+T$25*$C12^3+U$25*$C12^2+V$25*$C12+W$25</f>
        <v>16.80497310058994</v>
      </c>
      <c r="F12" s="79">
        <f>P$12*$C12^7+Q$12*$C12^6+R$12*$C12^5+S$12*$C12^4+T$12*$C12^3+U$12*$C12^2+V$12*$C12+W$12</f>
        <v>0.12847883685997463</v>
      </c>
      <c r="H12" s="72"/>
      <c r="K12" s="1" t="s">
        <v>128</v>
      </c>
      <c r="L12" s="73" t="s">
        <v>133</v>
      </c>
      <c r="M12" s="1">
        <v>0</v>
      </c>
      <c r="N12" s="1">
        <v>0</v>
      </c>
      <c r="O12" s="1">
        <v>0</v>
      </c>
      <c r="P12" s="76">
        <v>-1.7005200000000001E-15</v>
      </c>
      <c r="Q12" s="76">
        <v>1.4463900000000001E-12</v>
      </c>
      <c r="R12" s="76">
        <v>-4.8290600000000001E-10</v>
      </c>
      <c r="S12" s="76">
        <v>8.0535199999999997E-8</v>
      </c>
      <c r="T12" s="76">
        <v>-7.1320200000000002E-6</v>
      </c>
      <c r="U12" s="71">
        <v>3.31663E-4</v>
      </c>
      <c r="V12" s="71">
        <v>-6.7052290000000001E-3</v>
      </c>
      <c r="W12" s="71">
        <v>0.148630769</v>
      </c>
    </row>
    <row r="13" spans="1:23" ht="14.25" thickTop="1">
      <c r="B13" s="70" t="s">
        <v>120</v>
      </c>
      <c r="C13" s="71"/>
      <c r="D13" s="74"/>
      <c r="E13" s="74"/>
      <c r="F13" s="74"/>
      <c r="H13" s="72"/>
      <c r="K13" s="1" t="s">
        <v>157</v>
      </c>
      <c r="M13" s="1">
        <v>0</v>
      </c>
      <c r="N13" s="1">
        <v>0</v>
      </c>
      <c r="O13" s="1">
        <v>0</v>
      </c>
      <c r="P13" s="76">
        <v>-1.7005200000000001E-15</v>
      </c>
      <c r="Q13" s="76">
        <v>1.4463900000000001E-12</v>
      </c>
      <c r="R13" s="76">
        <v>-4.8290600000000001E-10</v>
      </c>
      <c r="S13" s="76">
        <v>8.0535199999999997E-8</v>
      </c>
      <c r="T13" s="76">
        <v>-7.1320200000000002E-6</v>
      </c>
      <c r="U13" s="71">
        <v>3.31663E-4</v>
      </c>
      <c r="V13" s="71">
        <v>-6.7052290000000001E-3</v>
      </c>
      <c r="W13" s="71">
        <v>0.148630769</v>
      </c>
    </row>
    <row r="14" spans="1:23">
      <c r="B14" s="70"/>
      <c r="C14" s="71"/>
      <c r="D14" s="74"/>
      <c r="E14" s="74"/>
      <c r="F14" s="74"/>
      <c r="H14" s="72"/>
      <c r="K14" s="1" t="s">
        <v>161</v>
      </c>
      <c r="L14" s="73" t="s">
        <v>134</v>
      </c>
      <c r="M14" s="1">
        <v>0</v>
      </c>
      <c r="N14" s="1">
        <v>0</v>
      </c>
      <c r="O14" s="1">
        <v>0</v>
      </c>
      <c r="P14" s="76">
        <v>-3.15182E-15</v>
      </c>
      <c r="Q14" s="76">
        <v>2.4916800000000001E-12</v>
      </c>
      <c r="R14" s="76">
        <v>-7.7515900000000003E-10</v>
      </c>
      <c r="S14" s="76">
        <v>1.20356E-7</v>
      </c>
      <c r="T14" s="76">
        <v>-9.8460399999999997E-6</v>
      </c>
      <c r="U14" s="71">
        <v>4.1567699999999998E-4</v>
      </c>
      <c r="V14" s="71">
        <v>-7.506024E-3</v>
      </c>
      <c r="W14" s="71">
        <v>0.14931116</v>
      </c>
    </row>
    <row r="15" spans="1:23">
      <c r="B15" s="70"/>
      <c r="C15" s="71"/>
      <c r="D15" s="74"/>
      <c r="E15" s="74"/>
      <c r="F15" s="74"/>
      <c r="H15" s="72"/>
      <c r="K15" s="1" t="s">
        <v>160</v>
      </c>
      <c r="M15" s="1">
        <v>0</v>
      </c>
      <c r="N15" s="1">
        <v>0</v>
      </c>
      <c r="O15" s="1">
        <v>0</v>
      </c>
      <c r="P15" s="76">
        <v>-3.15182E-15</v>
      </c>
      <c r="Q15" s="76">
        <v>2.4916800000000001E-12</v>
      </c>
      <c r="R15" s="76">
        <v>-7.7515900000000003E-10</v>
      </c>
      <c r="S15" s="76">
        <v>1.20356E-7</v>
      </c>
      <c r="T15" s="76">
        <v>-9.8460399999999997E-6</v>
      </c>
      <c r="U15" s="71">
        <v>4.1567699999999998E-4</v>
      </c>
      <c r="V15" s="71">
        <v>-7.506024E-3</v>
      </c>
      <c r="W15" s="71">
        <v>0.14931116</v>
      </c>
    </row>
    <row r="16" spans="1:23">
      <c r="B16" s="70"/>
      <c r="C16" s="71"/>
      <c r="D16" s="74"/>
      <c r="E16" s="74"/>
      <c r="F16" s="74"/>
      <c r="H16" s="72"/>
      <c r="K16" s="80" t="s">
        <v>17</v>
      </c>
    </row>
    <row r="17" spans="1:23" ht="14.25" thickBot="1">
      <c r="B17" s="70" t="s">
        <v>121</v>
      </c>
      <c r="C17" s="71"/>
      <c r="D17" s="74"/>
      <c r="E17" s="81"/>
      <c r="F17" s="74"/>
      <c r="H17" s="72"/>
      <c r="K17" s="1" t="s">
        <v>128</v>
      </c>
      <c r="L17" s="80" t="s">
        <v>140</v>
      </c>
      <c r="M17" s="1">
        <v>0</v>
      </c>
      <c r="N17" s="1">
        <v>0</v>
      </c>
      <c r="O17" s="76">
        <v>1.2632900000000001E-16</v>
      </c>
      <c r="P17" s="76">
        <v>-8.7348899999999998E-14</v>
      </c>
      <c r="Q17" s="76">
        <v>2.4999300000000001E-11</v>
      </c>
      <c r="R17" s="76">
        <v>-3.8453900000000001E-9</v>
      </c>
      <c r="S17" s="76">
        <v>3.44807E-7</v>
      </c>
      <c r="T17" s="71">
        <v>-1.8278999999999999E-5</v>
      </c>
      <c r="U17" s="71">
        <v>5.5651500000000005E-4</v>
      </c>
      <c r="V17" s="71">
        <v>-8.1914520000000001E-3</v>
      </c>
      <c r="W17" s="71">
        <v>0.14604529399999999</v>
      </c>
    </row>
    <row r="18" spans="1:23" ht="15" thickTop="1" thickBot="1">
      <c r="B18" s="70"/>
      <c r="C18" s="77">
        <v>160</v>
      </c>
      <c r="D18" s="78">
        <f>P$5*$C18^7+Q$5*$C18^6+R$5*$C18^5+S$5*$C18^4+T$5*$C18^3+U$5*$C18^2+V$5*$C18+W$5</f>
        <v>-0.62080982494398862</v>
      </c>
      <c r="E18" s="83">
        <f>M$27+N$27/(1+EXP(O$27+P$27*$C18))</f>
        <v>48.145942895437678</v>
      </c>
      <c r="F18" s="79">
        <f>P$12*$C18^7+Q$12*$C18^6+R$12*$C18^5+S$12*$C18^4+T$12*$C18^3+U$12*$C18^2+V$12*$C18+W$12</f>
        <v>0.19839632926879586</v>
      </c>
      <c r="H18" s="72"/>
      <c r="K18" s="1" t="s">
        <v>159</v>
      </c>
      <c r="L18" s="80" t="s">
        <v>141</v>
      </c>
      <c r="M18" s="1">
        <v>0</v>
      </c>
      <c r="N18" s="1">
        <v>0</v>
      </c>
      <c r="O18" s="1">
        <v>0</v>
      </c>
      <c r="P18" s="1">
        <v>0</v>
      </c>
      <c r="Q18" s="1">
        <v>0</v>
      </c>
      <c r="R18" s="1">
        <v>0</v>
      </c>
      <c r="S18" s="1">
        <v>0</v>
      </c>
      <c r="T18" s="1">
        <v>0</v>
      </c>
      <c r="U18" s="81">
        <v>0.14419999999999999</v>
      </c>
      <c r="V18" s="81">
        <v>0.13880400000000001</v>
      </c>
      <c r="W18" s="81">
        <v>3.3000000000000003E-5</v>
      </c>
    </row>
    <row r="19" spans="1:23" ht="14.25" thickTop="1">
      <c r="B19" s="70" t="s">
        <v>122</v>
      </c>
      <c r="C19" s="71"/>
      <c r="D19" s="74"/>
      <c r="E19" s="81"/>
      <c r="F19" s="74"/>
      <c r="H19" s="72"/>
      <c r="K19" s="1" t="s">
        <v>158</v>
      </c>
      <c r="M19" s="1">
        <v>0</v>
      </c>
      <c r="N19" s="1">
        <v>0</v>
      </c>
      <c r="O19" s="1">
        <v>0</v>
      </c>
      <c r="P19" s="1">
        <v>0</v>
      </c>
      <c r="Q19" s="1">
        <v>0</v>
      </c>
      <c r="R19" s="1">
        <v>0</v>
      </c>
      <c r="S19" s="1">
        <v>0</v>
      </c>
      <c r="T19" s="1">
        <v>0</v>
      </c>
    </row>
    <row r="20" spans="1:23">
      <c r="B20" s="70"/>
      <c r="C20" s="71"/>
      <c r="D20" s="74"/>
      <c r="E20" s="81"/>
      <c r="F20" s="74"/>
      <c r="H20" s="72"/>
      <c r="K20" s="1" t="s">
        <v>129</v>
      </c>
      <c r="L20" s="80" t="s">
        <v>145</v>
      </c>
      <c r="M20" s="1">
        <v>0</v>
      </c>
      <c r="N20" s="1">
        <v>0</v>
      </c>
      <c r="O20" s="1">
        <v>0</v>
      </c>
      <c r="P20" s="1">
        <v>0</v>
      </c>
      <c r="Q20" s="1">
        <v>0</v>
      </c>
      <c r="R20" s="1">
        <v>0</v>
      </c>
      <c r="S20" s="1">
        <v>0</v>
      </c>
      <c r="T20" s="1">
        <v>0</v>
      </c>
    </row>
    <row r="21" spans="1:23">
      <c r="B21" s="70"/>
      <c r="C21" s="71"/>
      <c r="D21" s="74"/>
      <c r="E21" s="81"/>
      <c r="F21" s="74"/>
      <c r="H21" s="72"/>
    </row>
    <row r="22" spans="1:23">
      <c r="B22" s="70"/>
      <c r="C22" s="71"/>
      <c r="D22" s="74"/>
      <c r="E22" s="81"/>
      <c r="F22" s="74"/>
      <c r="H22" s="72"/>
      <c r="J22" s="1" t="s">
        <v>19</v>
      </c>
      <c r="K22" s="73" t="s">
        <v>16</v>
      </c>
    </row>
    <row r="23" spans="1:23" ht="14.25" thickBot="1">
      <c r="B23" s="70" t="s">
        <v>123</v>
      </c>
      <c r="C23" s="71"/>
      <c r="D23" s="74"/>
      <c r="E23" s="81"/>
      <c r="F23" s="74"/>
      <c r="H23" s="72"/>
      <c r="K23" s="1" t="s">
        <v>163</v>
      </c>
      <c r="L23" s="73" t="s">
        <v>135</v>
      </c>
      <c r="M23" s="76">
        <v>-1.4751600000000001E-16</v>
      </c>
      <c r="N23" s="76">
        <v>8.6423400000000006E-14</v>
      </c>
      <c r="O23" s="76">
        <v>-2.1784999999999999E-11</v>
      </c>
      <c r="P23" s="76">
        <v>3.09361E-9</v>
      </c>
      <c r="Q23" s="76">
        <v>-2.7227900000000003E-7</v>
      </c>
      <c r="R23" s="71">
        <v>1.5404999999999999E-5</v>
      </c>
      <c r="S23" s="71">
        <v>-5.6277300000000003E-4</v>
      </c>
      <c r="T23" s="71">
        <v>1.3003150999999999E-2</v>
      </c>
      <c r="U23" s="71">
        <v>-0.18094875099999999</v>
      </c>
      <c r="V23" s="71">
        <v>1.5437551949999999</v>
      </c>
      <c r="W23" s="84">
        <v>2.9979999999999989</v>
      </c>
    </row>
    <row r="24" spans="1:23" ht="15" thickTop="1" thickBot="1">
      <c r="B24" s="70"/>
      <c r="C24" s="77">
        <v>174</v>
      </c>
      <c r="D24" s="78">
        <f>P$5*$C24^7+Q$5*$C24^6+R$5*$C24^5+S$5*$C24^4+T$5*$C24^3+U$5*$C24^2+V$5*$C24+W$5</f>
        <v>-0.70489387960777927</v>
      </c>
      <c r="E24" s="83">
        <f>M$27+N$27/(1+EXP(O$27+P$27*$C24))</f>
        <v>53.959856004776974</v>
      </c>
      <c r="F24" s="85">
        <f>P$14*$C24^7+Q$14*$C24^6+R$14*$C24^5+S$14*$C24^4+T$14*$C24^3+U$14*$C24^2+V$14*$C24+W$14</f>
        <v>0.17763344440192619</v>
      </c>
      <c r="H24" s="72"/>
      <c r="K24" s="1" t="s">
        <v>162</v>
      </c>
      <c r="M24" s="76">
        <v>-1.4751600000000001E-16</v>
      </c>
      <c r="N24" s="76">
        <v>8.6423400000000006E-14</v>
      </c>
      <c r="O24" s="76">
        <v>-2.1784999999999999E-11</v>
      </c>
      <c r="P24" s="76">
        <v>3.09361E-9</v>
      </c>
      <c r="Q24" s="76">
        <v>-2.7227900000000003E-7</v>
      </c>
      <c r="R24" s="71">
        <v>1.5404999999999999E-5</v>
      </c>
      <c r="S24" s="71">
        <v>-5.6277300000000003E-4</v>
      </c>
      <c r="T24" s="71">
        <v>1.3003150999999999E-2</v>
      </c>
      <c r="U24" s="71">
        <v>-0.18094875099999999</v>
      </c>
      <c r="V24" s="71">
        <v>1.5437551949999999</v>
      </c>
      <c r="W24" s="84">
        <v>2.9979999999999989</v>
      </c>
    </row>
    <row r="25" spans="1:23" ht="14.25" thickTop="1">
      <c r="B25" s="70" t="s">
        <v>115</v>
      </c>
      <c r="C25" s="71"/>
      <c r="D25" s="74"/>
      <c r="E25" s="74"/>
      <c r="F25" s="81"/>
      <c r="G25" s="71"/>
      <c r="H25" s="72"/>
      <c r="K25" s="1" t="s">
        <v>166</v>
      </c>
      <c r="L25" s="73" t="s">
        <v>136</v>
      </c>
      <c r="M25" s="76">
        <v>-1.1514999999999999E-19</v>
      </c>
      <c r="N25" s="76">
        <v>6.8113899999999999E-17</v>
      </c>
      <c r="O25" s="76">
        <v>4.2435999999999998E-15</v>
      </c>
      <c r="P25" s="76">
        <v>-1.38588E-11</v>
      </c>
      <c r="Q25" s="76">
        <v>5.0495600000000001E-9</v>
      </c>
      <c r="R25" s="76">
        <v>-9.26625E-7</v>
      </c>
      <c r="S25" s="71">
        <v>1.00181E-4</v>
      </c>
      <c r="T25" s="71">
        <v>-6.5958149999999997E-3</v>
      </c>
      <c r="U25" s="71">
        <v>0.25875470900000003</v>
      </c>
      <c r="V25" s="71">
        <v>-5.3772656000000003</v>
      </c>
      <c r="W25" s="71">
        <v>57.357579975</v>
      </c>
    </row>
    <row r="26" spans="1:23">
      <c r="B26" s="70"/>
      <c r="C26" s="71"/>
      <c r="D26" s="71"/>
      <c r="E26" s="71"/>
      <c r="F26" s="71"/>
      <c r="G26" s="71"/>
      <c r="H26" s="72"/>
      <c r="K26" s="1" t="s">
        <v>167</v>
      </c>
      <c r="M26" s="76">
        <v>-1.1514999999999999E-19</v>
      </c>
      <c r="N26" s="76">
        <v>6.8113899999999999E-17</v>
      </c>
      <c r="O26" s="76">
        <v>4.2435999999999998E-15</v>
      </c>
      <c r="P26" s="76">
        <v>-1.38588E-11</v>
      </c>
      <c r="Q26" s="76">
        <v>5.0495600000000001E-9</v>
      </c>
      <c r="R26" s="76">
        <v>-9.26625E-7</v>
      </c>
      <c r="S26" s="71">
        <v>1.00181E-4</v>
      </c>
      <c r="T26" s="71">
        <v>-6.5958149999999997E-3</v>
      </c>
      <c r="U26" s="71">
        <v>0.25875470900000003</v>
      </c>
      <c r="V26" s="71">
        <v>-5.3772656000000003</v>
      </c>
      <c r="W26" s="71">
        <v>57.357579975</v>
      </c>
    </row>
    <row r="27" spans="1:23">
      <c r="B27" s="86"/>
      <c r="C27" s="87"/>
      <c r="D27" s="87"/>
      <c r="E27" s="87"/>
      <c r="F27" s="87"/>
      <c r="G27" s="87"/>
      <c r="H27" s="88"/>
      <c r="K27" s="1" t="s">
        <v>130</v>
      </c>
      <c r="L27" s="73" t="s">
        <v>137</v>
      </c>
      <c r="M27" s="71">
        <v>32.573560788000002</v>
      </c>
      <c r="N27" s="71">
        <v>29.543921829999999</v>
      </c>
      <c r="O27" s="71">
        <v>9.6666142960000006</v>
      </c>
      <c r="P27" s="71">
        <v>-6.1094318000000002E-2</v>
      </c>
    </row>
    <row r="28" spans="1:23">
      <c r="K28" s="80" t="s">
        <v>17</v>
      </c>
    </row>
    <row r="29" spans="1:23">
      <c r="A29" s="1" t="s">
        <v>116</v>
      </c>
      <c r="B29" s="67"/>
      <c r="C29" s="68"/>
      <c r="D29" s="68"/>
      <c r="E29" s="68"/>
      <c r="F29" s="68"/>
      <c r="G29" s="68"/>
      <c r="H29" s="69"/>
      <c r="K29" s="1" t="s">
        <v>131</v>
      </c>
      <c r="L29" s="80" t="s">
        <v>142</v>
      </c>
      <c r="M29" s="76">
        <v>-7.5174099999999998E-17</v>
      </c>
      <c r="N29" s="76">
        <v>4.6966199999999997E-14</v>
      </c>
      <c r="O29" s="76">
        <v>-1.2713E-11</v>
      </c>
      <c r="P29" s="76">
        <v>1.9486199999999998E-9</v>
      </c>
      <c r="Q29" s="76">
        <v>-1.8549700000000001E-7</v>
      </c>
      <c r="R29" s="76">
        <v>1.1321000000000001E-5</v>
      </c>
      <c r="S29" s="71">
        <v>-4.4204699999999999E-4</v>
      </c>
      <c r="T29" s="71">
        <v>1.0732291999999999E-2</v>
      </c>
      <c r="U29" s="71">
        <v>-0.153244414</v>
      </c>
      <c r="V29" s="71">
        <v>1.3441143849999999</v>
      </c>
      <c r="W29" s="71">
        <v>2.9604311032655537</v>
      </c>
    </row>
    <row r="30" spans="1:23">
      <c r="B30" s="70" t="s">
        <v>99</v>
      </c>
      <c r="C30" s="71"/>
      <c r="D30" s="75"/>
      <c r="E30" s="75"/>
      <c r="F30" s="74"/>
      <c r="G30" s="71"/>
      <c r="H30" s="72"/>
      <c r="K30" s="1" t="s">
        <v>165</v>
      </c>
      <c r="L30" s="80" t="s">
        <v>143</v>
      </c>
      <c r="M30" s="76">
        <v>1.4809E-18</v>
      </c>
      <c r="N30" s="76">
        <v>-1.8378800000000002E-15</v>
      </c>
      <c r="O30" s="76">
        <v>9.8782200000000007E-13</v>
      </c>
      <c r="P30" s="76">
        <v>-3.0175899999999999E-10</v>
      </c>
      <c r="Q30" s="76">
        <v>5.7835600000000001E-8</v>
      </c>
      <c r="R30" s="76">
        <v>-7.2486600000000003E-6</v>
      </c>
      <c r="S30" s="71">
        <v>6.0061200000000004E-4</v>
      </c>
      <c r="T30" s="71">
        <v>-3.2450221000000001E-2</v>
      </c>
      <c r="U30" s="71">
        <v>1.0937462360000001</v>
      </c>
      <c r="V30" s="71">
        <v>-20.604344680000001</v>
      </c>
      <c r="W30" s="71">
        <v>175.86326566</v>
      </c>
    </row>
    <row r="31" spans="1:23">
      <c r="B31" s="70"/>
      <c r="C31" s="71"/>
      <c r="D31" s="71" t="s">
        <v>103</v>
      </c>
      <c r="E31" s="71" t="s">
        <v>105</v>
      </c>
      <c r="F31" s="71" t="s">
        <v>104</v>
      </c>
      <c r="H31" s="72"/>
      <c r="K31" s="1" t="s">
        <v>164</v>
      </c>
      <c r="M31" s="76">
        <v>1.4809E-18</v>
      </c>
      <c r="N31" s="76">
        <v>-1.8378800000000002E-15</v>
      </c>
      <c r="O31" s="76">
        <v>9.8782200000000007E-13</v>
      </c>
      <c r="P31" s="76">
        <v>-3.0175899999999999E-10</v>
      </c>
      <c r="Q31" s="76">
        <v>5.7835600000000001E-8</v>
      </c>
      <c r="R31" s="76">
        <v>-7.2486600000000003E-6</v>
      </c>
      <c r="S31" s="71">
        <v>6.0061200000000004E-4</v>
      </c>
      <c r="T31" s="71">
        <v>-3.2450221000000001E-2</v>
      </c>
      <c r="U31" s="71">
        <v>1.0937462360000001</v>
      </c>
      <c r="V31" s="71">
        <v>-20.604344680000001</v>
      </c>
      <c r="W31" s="71">
        <v>175.86326566</v>
      </c>
    </row>
    <row r="32" spans="1:23" ht="14.25" thickBot="1">
      <c r="B32" s="70" t="s">
        <v>106</v>
      </c>
      <c r="C32" s="71"/>
      <c r="D32" s="75"/>
      <c r="E32" s="74"/>
      <c r="F32" s="75"/>
      <c r="H32" s="72"/>
      <c r="K32" s="1" t="s">
        <v>175</v>
      </c>
      <c r="L32" s="80" t="s">
        <v>144</v>
      </c>
      <c r="M32" s="71">
        <v>20.045309810999999</v>
      </c>
      <c r="N32" s="71">
        <v>32.705163640000002</v>
      </c>
      <c r="O32" s="71">
        <v>7.3219462130000004</v>
      </c>
      <c r="P32" s="71">
        <v>-5.5342147000000001E-2</v>
      </c>
    </row>
    <row r="33" spans="2:16" ht="15" thickTop="1" thickBot="1">
      <c r="B33" s="70"/>
      <c r="C33" s="77">
        <v>12</v>
      </c>
      <c r="D33" s="78">
        <f>P$8*$C33^7+Q$8*$C33^6+R$8*$C33^5+S$8*$C33^4+T$8*$C33^3+U$8*$C33^2+V$8*$C33+W$8</f>
        <v>-0.30334656807794469</v>
      </c>
      <c r="E33" s="89">
        <f>M$29*$C33^10+N$29*$C33^9+O$29*$C33^8+P$29*$C33^7+Q$29*$C33^6+R$29*$C33^5+S$29*$C33^4+T$29*$C33^3+U$29*$C33^2+V$29*$C33+W$29-0.010431*(1-$C33/210)</f>
        <v>8.7196170474579588</v>
      </c>
      <c r="F33" s="79">
        <f>O$17*$C33^8+P$17*$C33^7+Q$17*$C33^6+R$17*$C33^5+S$17*$C33^4+T$17*$C33^3+U$17*$C33^2+V$17*$C33+W$17</f>
        <v>0.10256455182747508</v>
      </c>
      <c r="H33" s="72"/>
      <c r="K33" s="1" t="s">
        <v>176</v>
      </c>
      <c r="M33" s="75"/>
      <c r="N33" s="75"/>
      <c r="O33" s="71"/>
      <c r="P33" s="71"/>
    </row>
    <row r="34" spans="2:16" ht="14.25" thickTop="1">
      <c r="B34" s="70" t="s">
        <v>107</v>
      </c>
      <c r="C34" s="71"/>
      <c r="D34" s="75"/>
      <c r="E34" s="74"/>
      <c r="F34" s="75"/>
      <c r="H34" s="72"/>
    </row>
    <row r="35" spans="2:16">
      <c r="B35" s="70"/>
      <c r="C35" s="71"/>
      <c r="D35" s="75"/>
      <c r="E35" s="74"/>
      <c r="F35" s="75"/>
      <c r="H35" s="72"/>
    </row>
    <row r="36" spans="2:16">
      <c r="B36" s="70"/>
      <c r="C36" s="71"/>
      <c r="D36" s="75"/>
      <c r="E36" s="74"/>
      <c r="F36" s="75"/>
      <c r="H36" s="72"/>
      <c r="K36" s="1" t="s">
        <v>168</v>
      </c>
      <c r="L36" s="1" t="s">
        <v>169</v>
      </c>
    </row>
    <row r="37" spans="2:16">
      <c r="B37" s="70"/>
      <c r="C37" s="71"/>
      <c r="D37" s="75"/>
      <c r="E37" s="74"/>
      <c r="F37" s="75"/>
      <c r="H37" s="72"/>
      <c r="K37" s="1">
        <v>10</v>
      </c>
    </row>
    <row r="38" spans="2:16" ht="14.25" thickBot="1">
      <c r="B38" s="70" t="s">
        <v>108</v>
      </c>
      <c r="C38" s="71"/>
      <c r="D38" s="75"/>
      <c r="E38" s="74"/>
      <c r="F38" s="75"/>
      <c r="H38" s="72"/>
    </row>
    <row r="39" spans="2:16" ht="15" thickTop="1" thickBot="1">
      <c r="B39" s="70"/>
      <c r="C39" s="77">
        <v>123</v>
      </c>
      <c r="D39" s="78">
        <f>P$8*$C39^7+Q$8*$C39^6+R$8*$C39^5+S$8*$C39^4+T$8*$C39^3+U$8*$C39^2+V$8*$C39+W$8</f>
        <v>-0.80313213419209106</v>
      </c>
      <c r="E39" s="90">
        <f>M$30*$C39^10+N$30*$C39^9+O$30*$C39^8+P$30*$C39^7+Q$30*$C39^6+R$30*$C39^5+S$30*$C39^4+T$30*$C39^3+U$30*$C39^2+V$30*$C39+W$30-0.010431*(1-1/$C39)</f>
        <v>32.333846832363989</v>
      </c>
      <c r="F39" s="79">
        <f>O$17*$C39^8+P$17*$C39^7+Q$17*$C39^6+R$17*$C39^5+S$17*$C39^4+T$17*$C39^3+U$17*$C39^2+V$17*$C39+W$17</f>
        <v>0.18763765819255973</v>
      </c>
      <c r="H39" s="72"/>
    </row>
    <row r="40" spans="2:16" ht="14.25" thickTop="1">
      <c r="B40" s="70" t="s">
        <v>109</v>
      </c>
      <c r="C40" s="71"/>
      <c r="D40" s="75"/>
      <c r="E40" s="74"/>
      <c r="F40" s="75"/>
      <c r="H40" s="72"/>
      <c r="K40" s="1" t="s">
        <v>177</v>
      </c>
    </row>
    <row r="41" spans="2:16">
      <c r="B41" s="70"/>
      <c r="C41" s="71"/>
      <c r="D41" s="75"/>
      <c r="E41" s="74"/>
      <c r="F41" s="75"/>
      <c r="H41" s="72"/>
      <c r="K41" s="91">
        <f>WeightSDS!P$5*$AG3^7+WeightSDS!Q$5*$AG3^6+WeightSDS!R$5*$AG3^5+WeightSDS!S$5*$AG3^4+WeightSDS!T$5*$AG3^3+WeightSDS!U$5*$AG3^2+WeightSDS!V$5*$AG3+WeightSDS!W$5</f>
        <v>0.773978418</v>
      </c>
    </row>
    <row r="42" spans="2:16" ht="15">
      <c r="B42" s="70"/>
      <c r="C42" s="71"/>
      <c r="D42" s="75"/>
      <c r="E42" s="74"/>
      <c r="F42" s="75"/>
      <c r="H42" s="72"/>
      <c r="K42" s="1" t="s">
        <v>178</v>
      </c>
      <c r="M42" s="92"/>
    </row>
    <row r="43" spans="2:16" ht="15">
      <c r="B43" s="70"/>
      <c r="C43" s="71"/>
      <c r="D43" s="75"/>
      <c r="E43" s="74"/>
      <c r="F43" s="75"/>
      <c r="H43" s="72"/>
      <c r="K43" s="91">
        <f>WeightSDS!P$8*$AG3^7+WeightSDS!Q$8*$AG3^6+WeightSDS!R$8*$AG3^5+WeightSDS!S$8*$AG3^4+WeightSDS!T$8*$AG3^3+WeightSDS!U$8*$AG3^2+WeightSDS!V$8*$AG3+WeightSDS!W$8</f>
        <v>0.75407122999999998</v>
      </c>
      <c r="M43" s="92"/>
    </row>
    <row r="44" spans="2:16" ht="15.75" thickBot="1">
      <c r="B44" s="70" t="s">
        <v>110</v>
      </c>
      <c r="C44" s="71"/>
      <c r="D44" s="75"/>
      <c r="E44" s="74"/>
      <c r="F44" s="75"/>
      <c r="H44" s="72"/>
      <c r="J44" s="1">
        <v>186</v>
      </c>
      <c r="K44" s="1">
        <f>WeightSDS!$U$9-WeightSDS!$V$9*($AG3-WeightSDS!$W$9)</f>
        <v>-2.8718926530000002</v>
      </c>
      <c r="M44" s="92"/>
    </row>
    <row r="45" spans="2:16" ht="16.5" thickTop="1" thickBot="1">
      <c r="B45" s="70"/>
      <c r="C45" s="77">
        <v>123</v>
      </c>
      <c r="D45" s="78">
        <f>P$8*$C45^7+Q$8*$C45^6+R$8*$C45^5+S$8*$C45^4+T$8*$C45^3+U$8*$C45^2+V$8*$C45+W$8</f>
        <v>-0.80313213419209106</v>
      </c>
      <c r="E45" s="93">
        <f>M$32+N$32/(1+EXP(O$32+P$32*$C45))-0.010431*(1-$C45/210)</f>
        <v>32.27449947099494</v>
      </c>
      <c r="F45" s="79">
        <f>O$17*$C45^8+P$17*$C45^7+Q$17*$C45^6+R$17*$C45^5+S$17*$C45^4+T$17*$C45^3+U$17*$C45^2+V$17*$C45+W$17</f>
        <v>0.18763765819255973</v>
      </c>
      <c r="H45" s="72"/>
      <c r="M45" s="92"/>
    </row>
    <row r="46" spans="2:16" ht="15.75" thickTop="1">
      <c r="B46" s="70" t="s">
        <v>111</v>
      </c>
      <c r="C46" s="71"/>
      <c r="D46" s="75"/>
      <c r="E46" s="81"/>
      <c r="F46" s="75"/>
      <c r="H46" s="72"/>
      <c r="K46" s="1" t="s">
        <v>171</v>
      </c>
      <c r="M46" s="92"/>
    </row>
    <row r="47" spans="2:16">
      <c r="B47" s="70"/>
      <c r="C47" s="71"/>
      <c r="D47" s="75"/>
      <c r="E47" s="81"/>
      <c r="F47" s="75"/>
      <c r="H47" s="72"/>
      <c r="K47" s="78">
        <f>WeightSDS!M$23*$AG3^10+WeightSDS!N$23*$AG3^9+WeightSDS!O$23*$AG3^8+WeightSDS!P$23*$AG3^7+WeightSDS!Q$23*$AG3^6+WeightSDS!R$23*$AG3^5+WeightSDS!S$23*$AG3^4+WeightSDS!T$23*$AG3^3+WeightSDS!U$23*$AG3^2+WeightSDS!V$23*$AG3+WeightSDS!W$23</f>
        <v>2.9979999999999989</v>
      </c>
    </row>
    <row r="48" spans="2:16">
      <c r="B48" s="70"/>
      <c r="C48" s="71"/>
      <c r="D48" s="75"/>
      <c r="E48" s="81"/>
      <c r="F48" s="75"/>
      <c r="H48" s="72"/>
      <c r="J48" s="1">
        <v>45</v>
      </c>
      <c r="K48" s="82">
        <f>WeightSDS!M$25*$AG3^10+WeightSDS!N$25*$AG3^9+WeightSDS!O$25*$AG3^8+WeightSDS!P$25*$AG3^7+WeightSDS!Q$25*$AG3^6+WeightSDS!R$25*$AG3^5+WeightSDS!S$25*$AG3^4+WeightSDS!T$25*$AG3^3+WeightSDS!U$25*$AG3^2+WeightSDS!V$25*$AG3+WeightSDS!W$25</f>
        <v>57.357579975</v>
      </c>
    </row>
    <row r="49" spans="2:11">
      <c r="B49" s="70"/>
      <c r="C49" s="71"/>
      <c r="D49" s="75"/>
      <c r="E49" s="81"/>
      <c r="F49" s="75"/>
      <c r="H49" s="72"/>
      <c r="J49" s="1">
        <v>153</v>
      </c>
      <c r="K49" s="83">
        <f>WeightSDS!M$27+WeightSDS!N$27/(1+EXP(WeightSDS!O$27+WeightSDS!P$27*$AG3))</f>
        <v>32.575432691172509</v>
      </c>
    </row>
    <row r="50" spans="2:11" ht="14.25" thickBot="1">
      <c r="B50" s="70" t="s">
        <v>112</v>
      </c>
      <c r="C50" s="71"/>
      <c r="D50" s="75"/>
      <c r="E50" s="81"/>
      <c r="F50" s="75"/>
      <c r="H50" s="72"/>
      <c r="K50" s="75" t="s">
        <v>172</v>
      </c>
    </row>
    <row r="51" spans="2:11" ht="15" thickTop="1" thickBot="1">
      <c r="B51" s="70"/>
      <c r="C51" s="77">
        <v>160</v>
      </c>
      <c r="D51" s="78">
        <f>P$8*$C51^7+Q$8*$C51^6+R$8*$C51^5+S$8*$C51^4+T$8*$C51^3+U$8*$C51^2+V$8*$C51+W$8</f>
        <v>-0.45387683251512201</v>
      </c>
      <c r="E51" s="93">
        <f>M$32+N$32/(1+EXP(O$32+P$32*$C51))-0.010431*(1-$C51/210)</f>
        <v>46.940050753765313</v>
      </c>
      <c r="F51" s="94">
        <f>$U$18+($V$18-$U$18)/24*($C51-186)+$W$18*(-$C51+186)^2-0.005</f>
        <v>0.16735366666666662</v>
      </c>
      <c r="H51" s="72"/>
      <c r="K51" s="89">
        <f>WeightSDS!M$29*$AG3^10+WeightSDS!N$29*$AG3^9+WeightSDS!O$29*$AG3^8+WeightSDS!P$29*$AG3^7+WeightSDS!Q$29*$AG3^6+WeightSDS!R$29*$AG3^5+WeightSDS!S$29*$AG3^4+WeightSDS!T$29*$AG3^3+WeightSDS!U$29*$AG3^2+WeightSDS!V$29*$AG3+WeightSDS!W$29-0.010431*(1-$AG3/210)</f>
        <v>2.9500001032655536</v>
      </c>
    </row>
    <row r="52" spans="2:11" ht="14.25" thickTop="1">
      <c r="B52" s="70" t="s">
        <v>113</v>
      </c>
      <c r="C52" s="71"/>
      <c r="D52" s="75"/>
      <c r="F52" s="81"/>
      <c r="H52" s="72"/>
      <c r="J52" s="1">
        <v>43.8</v>
      </c>
      <c r="K52" s="90">
        <f>WeightSDS!M$30*$C39^10+WeightSDS!N$30*$C39^9+WeightSDS!O$30*$C39^8+WeightSDS!P$30*$C39^7+WeightSDS!Q$30*$C39^6+WeightSDS!R$30*$C39^5+WeightSDS!S$30*$C39^4+WeightSDS!T$30*$C39^3+WeightSDS!U$30*$C39^2+WeightSDS!V$30*$C39+WeightSDS!W$30-0.010431*(1-1/$C39)</f>
        <v>32.333846832363989</v>
      </c>
    </row>
    <row r="53" spans="2:11">
      <c r="B53" s="70"/>
      <c r="C53" s="71"/>
      <c r="D53" s="75"/>
      <c r="E53" s="81"/>
      <c r="H53" s="72"/>
      <c r="J53" s="1">
        <v>123</v>
      </c>
      <c r="K53" s="93">
        <f>WeightSDS!M$32+WeightSDS!N$32/(1+EXP(WeightSDS!O$32+WeightSDS!P$32*$AG3))-0.010431*(1-$AG3/210)</f>
        <v>20.056478553307805</v>
      </c>
    </row>
    <row r="54" spans="2:11">
      <c r="B54" s="70"/>
      <c r="C54" s="71"/>
      <c r="D54" s="75"/>
      <c r="E54" s="81"/>
      <c r="F54" s="81"/>
      <c r="H54" s="72"/>
      <c r="K54" s="74" t="s">
        <v>173</v>
      </c>
    </row>
    <row r="55" spans="2:11">
      <c r="B55" s="70"/>
      <c r="C55" s="71"/>
      <c r="D55" s="75"/>
      <c r="E55" s="81"/>
      <c r="F55" s="81"/>
      <c r="H55" s="72"/>
      <c r="K55" s="79">
        <f>WeightSDS!P$12*$AG3^7+WeightSDS!Q$12*$AG3^6+WeightSDS!R$12*$AG3^5+WeightSDS!S$12*$AG3^4+WeightSDS!T$12*$AG3^3+WeightSDS!U$12*$AG3^2+WeightSDS!V$12*$AG3+WeightSDS!W$12</f>
        <v>0.148630769</v>
      </c>
    </row>
    <row r="56" spans="2:11" ht="14.25" thickBot="1">
      <c r="B56" s="70" t="s">
        <v>114</v>
      </c>
      <c r="C56" s="71"/>
      <c r="E56" s="81"/>
      <c r="F56" s="81"/>
      <c r="H56" s="72"/>
      <c r="J56" s="1">
        <v>162</v>
      </c>
      <c r="K56" s="85">
        <f>WeightSDS!P$14*$AG3^7+WeightSDS!Q$14*$AG3^6+WeightSDS!R$14*$AG3^5+WeightSDS!S$14*$AG3^4+WeightSDS!T$14*$AG3^3+WeightSDS!U$14*$AG3^2+WeightSDS!V$14*$AG3+WeightSDS!W$14</f>
        <v>0.14931116</v>
      </c>
    </row>
    <row r="57" spans="2:11" ht="15" thickTop="1" thickBot="1">
      <c r="B57" s="70"/>
      <c r="C57" s="77">
        <v>186</v>
      </c>
      <c r="D57" s="83">
        <f>C57*V9+W9</f>
        <v>184.14</v>
      </c>
      <c r="E57" s="93">
        <f>M$32+N$32/(1+EXP(O$32+P$32*$C57))-0.010431*(1-$C57/210)</f>
        <v>51.155846818060027</v>
      </c>
      <c r="F57" s="83">
        <f>$U$18+($V$18-$U$18)/24*($C57-186)-0.005</f>
        <v>0.13919999999999999</v>
      </c>
      <c r="H57" s="72"/>
    </row>
    <row r="58" spans="2:11" ht="14.25" thickTop="1">
      <c r="B58" s="70" t="s">
        <v>115</v>
      </c>
      <c r="C58" s="71"/>
      <c r="D58" s="81"/>
      <c r="F58" s="81"/>
      <c r="G58" s="81"/>
      <c r="H58" s="72"/>
    </row>
    <row r="59" spans="2:11">
      <c r="B59" s="70"/>
      <c r="C59" s="71"/>
      <c r="D59" s="81"/>
      <c r="F59" s="81"/>
      <c r="G59" s="81"/>
      <c r="H59" s="72"/>
      <c r="K59" s="1" t="s">
        <v>174</v>
      </c>
    </row>
    <row r="60" spans="2:11">
      <c r="B60" s="70"/>
      <c r="C60" s="71"/>
      <c r="D60" s="81"/>
      <c r="E60" s="81"/>
      <c r="F60" s="81"/>
      <c r="G60" s="71"/>
      <c r="H60" s="72"/>
      <c r="K60" s="79">
        <f>WeightSDS!O$17*$AG3^8+WeightSDS!P$17*$AG3^7+WeightSDS!Q$17*$AG3^6+WeightSDS!R$17*$AG3^5+WeightSDS!S$17*$AG3^4+WeightSDS!T$17*$AG3^3+WeightSDS!U$17*$AG3^2+WeightSDS!V$17*$AG3+WeightSDS!W$17</f>
        <v>0.14604529399999999</v>
      </c>
    </row>
    <row r="61" spans="2:11">
      <c r="B61" s="86"/>
      <c r="C61" s="87"/>
      <c r="D61" s="87"/>
      <c r="E61" s="87"/>
      <c r="F61" s="87"/>
      <c r="G61" s="87"/>
      <c r="H61" s="88"/>
      <c r="J61" s="1">
        <v>156</v>
      </c>
      <c r="K61" s="94">
        <f>WeightSDS!$U$18+(WeightSDS!$V$18-WeightSDS!$U$18)/24*($AG3-186)+WeightSDS!$W$18*(-$AG3+186)^2-0.005</f>
        <v>1.3226870000000002</v>
      </c>
    </row>
    <row r="62" spans="2:11">
      <c r="J62" s="1">
        <v>186</v>
      </c>
      <c r="K62" s="83">
        <f>WeightSDS!$U$18+(WeightSDS!$V$18-WeightSDS!$U$18)/24*($AG3-186)-0.005</f>
        <v>0.18101899999999987</v>
      </c>
    </row>
    <row r="66" spans="2:4">
      <c r="B66" s="1" t="s">
        <v>184</v>
      </c>
    </row>
    <row r="67" spans="2:4">
      <c r="B67" s="91" t="s">
        <v>15</v>
      </c>
      <c r="C67" s="1" t="s">
        <v>19</v>
      </c>
      <c r="D67" s="1" t="s">
        <v>18</v>
      </c>
    </row>
    <row r="68" spans="2:4">
      <c r="B68" s="91">
        <f>IF(小児慢性疾病意見書記載項目計算!C4="M",P$5*B71^7+Q$5*B71^6+R$5*B71^5+S$5*B71^4+T$5*B71^3+U$5*B71^2+V$5*B71+W$5,IF(B71&lt;186,P$8*B71^7+Q$8*B71^6+R$8*B71^5+S$8*B71^4+T$8*B71^3+U$8*B71^2+V$8*B71+W$8,$U$9-$V$9*(B71-$W$9)))</f>
        <v>0.75407122999999998</v>
      </c>
      <c r="C68" s="1">
        <f>IF(小児慢性疾病意見書記載項目計算!C4="M",IF(B71&lt;45,M$23*B71^10+N$23*B71^9+O$23*B71^8+P$23*B71^7+Q$23*B71^6+R$23*B71^5+S$23*B71^4+T$23*B71^3+U$23*B71^2+V$23*B71+W$23,IF(B71&lt;153,M$25*B71^10+N$25*B71^9+O$25*B71^8+P$25*B71^7+Q$25*B71^6+R$25*B71^5+S$25*B71^4+T$25*B71^3+U$25*B71^2+V$25*B71+W$25,M$27+N$27/(1+EXP(O$27+P$27*B71)))),IF(B71&lt;43.8,M$29*B71^10+N$29*B71^9+O$29*B71^8+P$29*B71^7+Q$29*B71^6+R$29*B71^5+S$29*B71^4+T$29*B71^3+U$29*B71^2+V$29*B71+W$29-0.010431*(1-B71/210),IF(B71&lt;123,M$30*B71^10+N$30*B71^9+O$30*B71^8+P$30*B71^7+Q$30*B71^6+R$30*B71^5+S$30*B71^4+T$30*B71^3+U$30*B71^2+V$30*B71+W$30-0.010431*(1-1/B71),M$32+N$32/(1+EXP(O$32+P$32*B71))-0.010431*(1-B71/210))))</f>
        <v>2.9500001032655536</v>
      </c>
      <c r="D68" s="1">
        <f>IF(小児慢性疾病意見書記載項目計算!C4="M",IF(B71&lt;162,P$12*B71^7+Q$12*B71^6+R$12*B71^5+S$12*B71^4+T$12*B71^3+U$12*B71^2+V$12*B71+W$12,P$14*B71^7+Q$14*B71^6+R$14*B71^5+S$14*B71^4+T$14*B71^3+U$14*B71^2+V$14*B71+W$14),IF(B71&lt;156,O$17*B71^8+P$17*B71^7+Q$17*B71^6+R$17*B71^5+S$17*B71^4+T$17*B71^3+U$17*B71^2+V$17*B71+W$17,IF(B71&lt;186,$U$18+($V$18-$U$18)/24*(B71-186)+$W$18*(-B71+186)^2-0.005,$U$18+($V$18-$U$18)/24*(B71-186)-0.005)))</f>
        <v>0.14604529399999999</v>
      </c>
    </row>
    <row r="70" spans="2:4">
      <c r="B70" s="1" t="s">
        <v>185</v>
      </c>
    </row>
    <row r="71" spans="2:4">
      <c r="B71" s="1">
        <f>BMILMS!B45*12+BMILMS!C45</f>
        <v>0</v>
      </c>
    </row>
    <row r="79" spans="2:4">
      <c r="B79" s="91" t="s">
        <v>15</v>
      </c>
      <c r="C79" s="1" t="s">
        <v>19</v>
      </c>
      <c r="D79" s="1" t="s">
        <v>18</v>
      </c>
    </row>
    <row r="80" spans="2:4">
      <c r="B80" s="91">
        <f>IF(小児慢性疾病意見書記載項目計算!C4="M",P$5*B83^7+Q$5*B83^6+R$5*B83^5+S$5*B83^4+T$5*B83^3+U$5*B83^2+V$5*B83+W$5,IF(B83&lt;186,P$8*B83^7+Q$8*B83^6+R$8*B83^5+S$8*B83^4+T$8*B83^3+U$8*B83^2+V$8*B83+W$8,$U$9-$V$9*(B83-$W$9)))</f>
        <v>0.75407122999999998</v>
      </c>
      <c r="C80" s="1">
        <f>IF(小児慢性疾病意見書記載項目計算!C4="M",IF(B83&lt;45,M$23*B83^10+N$23*B83^9+O$23*B83^8+P$23*B83^7+Q$23*B83^6+R$23*B83^5+S$23*B83^4+T$23*B83^3+U$23*B83^2+V$23*B83+W$23,IF(B83&lt;153,M$25*B83^10+N$25*B83^9+O$25*B83^8+P$25*B83^7+Q$25*B83^6+R$25*B83^5+S$25*B83^4+T$25*B83^3+U$25*B83^2+V$25*B83+W$25,M$27+N$27/(1+EXP(O$27+P$27*B83)))),IF(B83&lt;43.8,M$29*B83^10+N$29*B83^9+O$29*B83^8+P$29*B83^7+Q$29*B83^6+R$29*B83^5+S$29*B83^4+T$29*B83^3+U$29*B83^2+V$29*B83+W$29-0.010431*(1-B83/210),IF(B83&lt;123,M$30*B83^10+N$30*B83^9+O$30*B83^8+P$30*B83^7+Q$30*B83^6+R$30*B83^5+S$30*B83^4+T$30*B83^3+U$30*B83^2+V$30*B83+W$30-0.010431*(1-1/B83),M$32+N$32/(1+EXP(O$32+P$32*B83))-0.010431*(1-B83/210))))</f>
        <v>2.9500001032655536</v>
      </c>
      <c r="D80" s="1">
        <f>IF(小児慢性疾病意見書記載項目計算!C4="M",IF(B83&lt;162,P$12*B83^7+Q$12*B83^6+R$12*B83^5+S$12*B83^4+T$12*B83^3+U$12*B83^2+V$12*B83+W$12,P$14*B83^7+Q$14*B83^6+R$14*B83^5+S$14*B83^4+T$14*B83^3+U$14*B83^2+V$14*B83+W$14),IF(B83&lt;156,O$17*B83^8+P$17*B83^7+Q$17*B83^6+R$17*B83^5+S$17*B83^4+T$17*B83^3+U$17*B83^2+V$17*B83+W$17,IF(B83&lt;186,$U$18+($V$18-$U$18)/24*(B83-186)+$W$18*(-B83+186)^2-0.005,$U$18+($V$18-$U$18)/24*(B83-186)-0.005)))</f>
        <v>0.14604529399999999</v>
      </c>
    </row>
    <row r="82" spans="2:2">
      <c r="B82" s="1" t="s">
        <v>242</v>
      </c>
    </row>
    <row r="83" spans="2:2">
      <c r="B83" s="1">
        <f>BMILMS!F45*12+BMILMS!G45</f>
        <v>0</v>
      </c>
    </row>
  </sheetData>
  <sheetProtection password="8E09" sheet="1" objects="1" scenarios="1" selectLockedCells="1" selectUnlockedCells="1"/>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3:U83"/>
  <sheetViews>
    <sheetView topLeftCell="V1" workbookViewId="0">
      <selection sqref="A1:U1048576"/>
    </sheetView>
  </sheetViews>
  <sheetFormatPr defaultRowHeight="13.5"/>
  <cols>
    <col min="1" max="21" width="9" hidden="1" customWidth="1"/>
  </cols>
  <sheetData>
    <row r="3" spans="1:21" ht="14.25">
      <c r="A3" s="120" t="s">
        <v>220</v>
      </c>
      <c r="B3" s="121"/>
      <c r="C3" s="122"/>
      <c r="D3" s="121"/>
      <c r="E3" s="122"/>
      <c r="F3" s="123"/>
      <c r="G3" s="123"/>
      <c r="H3" s="123"/>
      <c r="I3" s="123"/>
      <c r="J3" s="123"/>
      <c r="K3" s="121"/>
      <c r="L3" s="124" t="s">
        <v>221</v>
      </c>
      <c r="M3" s="121"/>
      <c r="N3" s="122"/>
      <c r="O3" s="121"/>
      <c r="P3" s="122"/>
      <c r="Q3" s="123"/>
      <c r="R3" s="123"/>
      <c r="S3" s="123"/>
      <c r="T3" s="123"/>
      <c r="U3" s="123"/>
    </row>
    <row r="4" spans="1:21" ht="14.25">
      <c r="A4" s="120"/>
      <c r="B4" s="121"/>
      <c r="C4" s="122"/>
      <c r="D4" s="121"/>
      <c r="E4" s="122"/>
      <c r="F4" s="123"/>
      <c r="G4" s="123"/>
      <c r="H4" s="123"/>
      <c r="I4" s="123"/>
      <c r="J4" s="123"/>
      <c r="K4" s="121"/>
      <c r="L4" s="124"/>
      <c r="M4" s="121"/>
      <c r="N4" s="122"/>
      <c r="O4" s="121"/>
      <c r="P4" s="122"/>
      <c r="Q4" s="123"/>
      <c r="R4" s="123"/>
      <c r="S4" s="123"/>
      <c r="T4" s="123"/>
      <c r="U4" s="123"/>
    </row>
    <row r="5" spans="1:21" ht="14.25">
      <c r="B5" s="125" t="s">
        <v>222</v>
      </c>
      <c r="C5" s="126" t="s">
        <v>223</v>
      </c>
      <c r="D5" s="127" t="s">
        <v>224</v>
      </c>
      <c r="E5" s="128" t="s">
        <v>225</v>
      </c>
      <c r="F5" s="129" t="s">
        <v>226</v>
      </c>
      <c r="G5" s="129" t="s">
        <v>227</v>
      </c>
      <c r="H5" s="130" t="s">
        <v>228</v>
      </c>
      <c r="I5" s="130" t="s">
        <v>229</v>
      </c>
      <c r="J5" s="130" t="s">
        <v>230</v>
      </c>
      <c r="L5" s="121"/>
      <c r="M5" s="125" t="s">
        <v>222</v>
      </c>
      <c r="N5" s="126" t="s">
        <v>223</v>
      </c>
      <c r="O5" s="127" t="s">
        <v>224</v>
      </c>
      <c r="P5" s="128" t="s">
        <v>225</v>
      </c>
      <c r="Q5" s="129" t="s">
        <v>226</v>
      </c>
      <c r="R5" s="129" t="s">
        <v>227</v>
      </c>
      <c r="S5" s="130" t="s">
        <v>228</v>
      </c>
      <c r="T5" s="129" t="s">
        <v>231</v>
      </c>
      <c r="U5" s="129" t="s">
        <v>232</v>
      </c>
    </row>
    <row r="6" spans="1:21" ht="14.25">
      <c r="B6" s="131">
        <v>0</v>
      </c>
      <c r="C6" s="132">
        <v>0.65800000000000003</v>
      </c>
      <c r="D6" s="133">
        <v>67</v>
      </c>
      <c r="E6" s="134">
        <v>0.52400000000000002</v>
      </c>
      <c r="F6" s="135">
        <v>11</v>
      </c>
      <c r="G6" s="135">
        <v>35</v>
      </c>
      <c r="H6" s="135">
        <v>67</v>
      </c>
      <c r="I6" s="135">
        <v>105</v>
      </c>
      <c r="J6" s="135">
        <v>149</v>
      </c>
      <c r="L6" s="121"/>
      <c r="M6" s="131">
        <v>0</v>
      </c>
      <c r="N6" s="132">
        <v>0.56299999999999994</v>
      </c>
      <c r="O6" s="133">
        <v>69</v>
      </c>
      <c r="P6" s="134">
        <v>0.51</v>
      </c>
      <c r="Q6" s="135">
        <v>15</v>
      </c>
      <c r="R6" s="135">
        <v>38</v>
      </c>
      <c r="S6" s="135">
        <v>69</v>
      </c>
      <c r="T6" s="135">
        <v>107</v>
      </c>
      <c r="U6" s="135">
        <v>154</v>
      </c>
    </row>
    <row r="7" spans="1:21" ht="14.25">
      <c r="B7" s="131">
        <v>1</v>
      </c>
      <c r="C7" s="132">
        <v>0.64700000000000002</v>
      </c>
      <c r="D7" s="133">
        <v>69</v>
      </c>
      <c r="E7" s="134">
        <v>0.498</v>
      </c>
      <c r="F7" s="135">
        <v>14</v>
      </c>
      <c r="G7" s="135">
        <v>38</v>
      </c>
      <c r="H7" s="135">
        <v>69</v>
      </c>
      <c r="I7" s="135">
        <v>106</v>
      </c>
      <c r="J7" s="135">
        <v>148</v>
      </c>
      <c r="L7" s="121"/>
      <c r="M7" s="131">
        <v>1</v>
      </c>
      <c r="N7" s="132">
        <v>0.49</v>
      </c>
      <c r="O7" s="133">
        <v>85</v>
      </c>
      <c r="P7" s="134">
        <v>0.48</v>
      </c>
      <c r="Q7" s="135">
        <v>23</v>
      </c>
      <c r="R7" s="135">
        <v>49</v>
      </c>
      <c r="S7" s="135">
        <v>85</v>
      </c>
      <c r="T7" s="135">
        <v>130</v>
      </c>
      <c r="U7" s="135">
        <v>186</v>
      </c>
    </row>
    <row r="8" spans="1:21" ht="14.25">
      <c r="B8" s="131">
        <v>2</v>
      </c>
      <c r="C8" s="132">
        <v>0.63500000000000001</v>
      </c>
      <c r="D8" s="133">
        <v>74</v>
      </c>
      <c r="E8" s="134">
        <v>0.46899999999999997</v>
      </c>
      <c r="F8" s="135">
        <v>18</v>
      </c>
      <c r="G8" s="135">
        <v>42</v>
      </c>
      <c r="H8" s="135">
        <v>74</v>
      </c>
      <c r="I8" s="135">
        <v>111</v>
      </c>
      <c r="J8" s="135">
        <v>154</v>
      </c>
      <c r="L8" s="121"/>
      <c r="M8" s="131">
        <v>2</v>
      </c>
      <c r="N8" s="132">
        <v>0.41899999999999998</v>
      </c>
      <c r="O8" s="133">
        <v>99</v>
      </c>
      <c r="P8" s="134">
        <v>0.45100000000000001</v>
      </c>
      <c r="Q8" s="135">
        <v>32</v>
      </c>
      <c r="R8" s="135">
        <v>60</v>
      </c>
      <c r="S8" s="135">
        <v>99</v>
      </c>
      <c r="T8" s="135">
        <v>150</v>
      </c>
      <c r="U8" s="135">
        <v>213</v>
      </c>
    </row>
    <row r="9" spans="1:21" ht="14.25">
      <c r="B9" s="131">
        <v>3</v>
      </c>
      <c r="C9" s="132">
        <v>0.622</v>
      </c>
      <c r="D9" s="133">
        <v>82</v>
      </c>
      <c r="E9" s="134">
        <v>0.432</v>
      </c>
      <c r="F9" s="135">
        <v>24</v>
      </c>
      <c r="G9" s="135">
        <v>50</v>
      </c>
      <c r="H9" s="135">
        <v>82</v>
      </c>
      <c r="I9" s="135">
        <v>120</v>
      </c>
      <c r="J9" s="135">
        <v>164</v>
      </c>
      <c r="L9" s="121"/>
      <c r="M9" s="131">
        <v>3</v>
      </c>
      <c r="N9" s="132">
        <v>0.35</v>
      </c>
      <c r="O9" s="133">
        <v>108</v>
      </c>
      <c r="P9" s="134">
        <v>0.42199999999999999</v>
      </c>
      <c r="Q9" s="135">
        <v>40</v>
      </c>
      <c r="R9" s="135">
        <v>69</v>
      </c>
      <c r="S9" s="135">
        <v>108</v>
      </c>
      <c r="T9" s="135">
        <v>161</v>
      </c>
      <c r="U9" s="135">
        <v>227</v>
      </c>
    </row>
    <row r="10" spans="1:21" ht="14.25">
      <c r="B10" s="131">
        <v>4</v>
      </c>
      <c r="C10" s="132">
        <v>0.60699999999999998</v>
      </c>
      <c r="D10" s="133">
        <v>93</v>
      </c>
      <c r="E10" s="134">
        <v>0.39</v>
      </c>
      <c r="F10" s="135">
        <v>32</v>
      </c>
      <c r="G10" s="135">
        <v>60</v>
      </c>
      <c r="H10" s="135">
        <v>93</v>
      </c>
      <c r="I10" s="135">
        <v>132</v>
      </c>
      <c r="J10" s="135">
        <v>176</v>
      </c>
      <c r="L10" s="121"/>
      <c r="M10" s="131">
        <v>4</v>
      </c>
      <c r="N10" s="132">
        <v>0.28299999999999997</v>
      </c>
      <c r="O10" s="133">
        <v>116</v>
      </c>
      <c r="P10" s="134">
        <v>0.39500000000000002</v>
      </c>
      <c r="Q10" s="135">
        <v>48</v>
      </c>
      <c r="R10" s="135">
        <v>77</v>
      </c>
      <c r="S10" s="135">
        <v>116</v>
      </c>
      <c r="T10" s="135">
        <v>169</v>
      </c>
      <c r="U10" s="135">
        <v>238</v>
      </c>
    </row>
    <row r="11" spans="1:21" ht="14.25">
      <c r="B11" s="131">
        <v>5</v>
      </c>
      <c r="C11" s="132">
        <v>0.59199999999999997</v>
      </c>
      <c r="D11" s="133">
        <v>108</v>
      </c>
      <c r="E11" s="134">
        <v>0.34899999999999998</v>
      </c>
      <c r="F11" s="135">
        <v>44</v>
      </c>
      <c r="G11" s="135">
        <v>73</v>
      </c>
      <c r="H11" s="135">
        <v>108</v>
      </c>
      <c r="I11" s="135">
        <v>148</v>
      </c>
      <c r="J11" s="135">
        <v>193</v>
      </c>
      <c r="L11" s="121"/>
      <c r="M11" s="131">
        <v>5</v>
      </c>
      <c r="N11" s="132">
        <v>0.22</v>
      </c>
      <c r="O11" s="133">
        <v>126</v>
      </c>
      <c r="P11" s="134">
        <v>0.372</v>
      </c>
      <c r="Q11" s="135">
        <v>56</v>
      </c>
      <c r="R11" s="135">
        <v>86</v>
      </c>
      <c r="S11" s="135">
        <v>126</v>
      </c>
      <c r="T11" s="135">
        <v>181</v>
      </c>
      <c r="U11" s="135">
        <v>252</v>
      </c>
    </row>
    <row r="12" spans="1:21" ht="14.25">
      <c r="B12" s="131">
        <v>6</v>
      </c>
      <c r="C12" s="132">
        <v>0.57699999999999996</v>
      </c>
      <c r="D12" s="133">
        <v>124</v>
      </c>
      <c r="E12" s="134">
        <v>0.32400000000000001</v>
      </c>
      <c r="F12" s="135">
        <v>55</v>
      </c>
      <c r="G12" s="135">
        <v>86</v>
      </c>
      <c r="H12" s="135">
        <v>124</v>
      </c>
      <c r="I12" s="135">
        <v>166</v>
      </c>
      <c r="J12" s="135">
        <v>215</v>
      </c>
      <c r="L12" s="121"/>
      <c r="M12" s="131">
        <v>6</v>
      </c>
      <c r="N12" s="132">
        <v>0.16200000000000001</v>
      </c>
      <c r="O12" s="133">
        <v>147</v>
      </c>
      <c r="P12" s="134">
        <v>0.35499999999999998</v>
      </c>
      <c r="Q12" s="135">
        <v>69</v>
      </c>
      <c r="R12" s="135">
        <v>102</v>
      </c>
      <c r="S12" s="135">
        <v>147</v>
      </c>
      <c r="T12" s="135">
        <v>207</v>
      </c>
      <c r="U12" s="135">
        <v>287</v>
      </c>
    </row>
    <row r="13" spans="1:21" ht="14.25">
      <c r="B13" s="131">
        <v>7</v>
      </c>
      <c r="C13" s="132">
        <v>0.56100000000000005</v>
      </c>
      <c r="D13" s="133">
        <v>142</v>
      </c>
      <c r="E13" s="134">
        <v>0.32500000000000001</v>
      </c>
      <c r="F13" s="135">
        <v>63</v>
      </c>
      <c r="G13" s="135">
        <v>99</v>
      </c>
      <c r="H13" s="135">
        <v>142</v>
      </c>
      <c r="I13" s="135">
        <v>192</v>
      </c>
      <c r="J13" s="135">
        <v>247</v>
      </c>
      <c r="L13" s="121"/>
      <c r="M13" s="131">
        <v>7</v>
      </c>
      <c r="N13" s="132">
        <v>0.109</v>
      </c>
      <c r="O13" s="133">
        <v>183</v>
      </c>
      <c r="P13" s="134">
        <v>0.34599999999999997</v>
      </c>
      <c r="Q13" s="135">
        <v>89</v>
      </c>
      <c r="R13" s="135">
        <v>129</v>
      </c>
      <c r="S13" s="135">
        <v>183</v>
      </c>
      <c r="T13" s="135">
        <v>257</v>
      </c>
      <c r="U13" s="135">
        <v>357</v>
      </c>
    </row>
    <row r="14" spans="1:21" ht="14.25">
      <c r="B14" s="131">
        <v>8</v>
      </c>
      <c r="C14" s="132">
        <v>0.54500000000000004</v>
      </c>
      <c r="D14" s="133">
        <v>165</v>
      </c>
      <c r="E14" s="134">
        <v>0.33500000000000002</v>
      </c>
      <c r="F14" s="135">
        <v>72</v>
      </c>
      <c r="G14" s="135">
        <v>114</v>
      </c>
      <c r="H14" s="135">
        <v>165</v>
      </c>
      <c r="I14" s="135">
        <v>225</v>
      </c>
      <c r="J14" s="135">
        <v>292</v>
      </c>
      <c r="L14" s="121"/>
      <c r="M14" s="131">
        <v>8</v>
      </c>
      <c r="N14" s="132">
        <v>6.5000000000000002E-2</v>
      </c>
      <c r="O14" s="133">
        <v>224</v>
      </c>
      <c r="P14" s="134">
        <v>0.34200000000000003</v>
      </c>
      <c r="Q14" s="135">
        <v>111</v>
      </c>
      <c r="R14" s="135">
        <v>159</v>
      </c>
      <c r="S14" s="135">
        <v>224</v>
      </c>
      <c r="T14" s="135">
        <v>314</v>
      </c>
      <c r="U14" s="135">
        <v>438</v>
      </c>
    </row>
    <row r="15" spans="1:21" ht="14.25">
      <c r="B15" s="131">
        <v>9</v>
      </c>
      <c r="C15" s="132">
        <v>0.52700000000000002</v>
      </c>
      <c r="D15" s="133">
        <v>195</v>
      </c>
      <c r="E15" s="134">
        <v>0.34200000000000003</v>
      </c>
      <c r="F15" s="135">
        <v>84</v>
      </c>
      <c r="G15" s="135">
        <v>134</v>
      </c>
      <c r="H15" s="135">
        <v>195</v>
      </c>
      <c r="I15" s="135">
        <v>267</v>
      </c>
      <c r="J15" s="135">
        <v>350</v>
      </c>
      <c r="L15" s="121"/>
      <c r="M15" s="131">
        <v>9</v>
      </c>
      <c r="N15" s="132">
        <v>2.8000000000000001E-2</v>
      </c>
      <c r="O15" s="133">
        <v>264</v>
      </c>
      <c r="P15" s="134">
        <v>0.33900000000000002</v>
      </c>
      <c r="Q15" s="135">
        <v>133</v>
      </c>
      <c r="R15" s="135">
        <v>188</v>
      </c>
      <c r="S15" s="135">
        <v>264</v>
      </c>
      <c r="T15" s="135">
        <v>370</v>
      </c>
      <c r="U15" s="135">
        <v>517</v>
      </c>
    </row>
    <row r="16" spans="1:21" ht="14.25">
      <c r="B16" s="131">
        <v>10</v>
      </c>
      <c r="C16" s="132">
        <v>0.50900000000000001</v>
      </c>
      <c r="D16" s="133">
        <v>233</v>
      </c>
      <c r="E16" s="134">
        <v>0.34799999999999998</v>
      </c>
      <c r="F16" s="135">
        <v>99</v>
      </c>
      <c r="G16" s="135">
        <v>159</v>
      </c>
      <c r="H16" s="135">
        <v>233</v>
      </c>
      <c r="I16" s="135">
        <v>321</v>
      </c>
      <c r="J16" s="135">
        <v>423</v>
      </c>
      <c r="L16" s="121"/>
      <c r="M16" s="131">
        <v>10</v>
      </c>
      <c r="N16" s="132">
        <v>0</v>
      </c>
      <c r="O16" s="133">
        <v>302</v>
      </c>
      <c r="P16" s="134">
        <v>0.33300000000000002</v>
      </c>
      <c r="Q16" s="135">
        <v>155</v>
      </c>
      <c r="R16" s="135">
        <v>217</v>
      </c>
      <c r="S16" s="135">
        <v>302</v>
      </c>
      <c r="T16" s="135">
        <v>422</v>
      </c>
      <c r="U16" s="135">
        <v>588</v>
      </c>
    </row>
    <row r="17" spans="2:21" ht="14.25">
      <c r="B17" s="131">
        <v>11</v>
      </c>
      <c r="C17" s="132">
        <v>0.49299999999999999</v>
      </c>
      <c r="D17" s="133">
        <v>272</v>
      </c>
      <c r="E17" s="134">
        <v>0.35499999999999998</v>
      </c>
      <c r="F17" s="135">
        <v>113</v>
      </c>
      <c r="G17" s="135">
        <v>184</v>
      </c>
      <c r="H17" s="135">
        <v>272</v>
      </c>
      <c r="I17" s="135">
        <v>377</v>
      </c>
      <c r="J17" s="135">
        <v>499</v>
      </c>
      <c r="L17" s="121"/>
      <c r="M17" s="131">
        <v>11</v>
      </c>
      <c r="N17" s="132">
        <v>-2.1000000000000001E-2</v>
      </c>
      <c r="O17" s="133">
        <v>333</v>
      </c>
      <c r="P17" s="134">
        <v>0.32300000000000001</v>
      </c>
      <c r="Q17" s="135">
        <v>175</v>
      </c>
      <c r="R17" s="135">
        <v>241</v>
      </c>
      <c r="S17" s="135">
        <v>333</v>
      </c>
      <c r="T17" s="135">
        <v>460</v>
      </c>
      <c r="U17" s="135">
        <v>638</v>
      </c>
    </row>
    <row r="18" spans="2:21" ht="14.25">
      <c r="B18" s="131">
        <v>12</v>
      </c>
      <c r="C18" s="132">
        <v>0.48099999999999998</v>
      </c>
      <c r="D18" s="133">
        <v>301</v>
      </c>
      <c r="E18" s="134">
        <v>0.35899999999999999</v>
      </c>
      <c r="F18" s="135">
        <v>125</v>
      </c>
      <c r="G18" s="135">
        <v>203</v>
      </c>
      <c r="H18" s="135">
        <v>301</v>
      </c>
      <c r="I18" s="135">
        <v>419</v>
      </c>
      <c r="J18" s="135">
        <v>557</v>
      </c>
      <c r="L18" s="121"/>
      <c r="M18" s="131">
        <v>12</v>
      </c>
      <c r="N18" s="132">
        <v>-3.5999999999999997E-2</v>
      </c>
      <c r="O18" s="133">
        <v>348</v>
      </c>
      <c r="P18" s="134">
        <v>0.312</v>
      </c>
      <c r="Q18" s="135">
        <v>188</v>
      </c>
      <c r="R18" s="135">
        <v>255</v>
      </c>
      <c r="S18" s="135">
        <v>348</v>
      </c>
      <c r="T18" s="135">
        <v>476</v>
      </c>
      <c r="U18" s="135">
        <v>654</v>
      </c>
    </row>
    <row r="19" spans="2:21" ht="14.25">
      <c r="B19" s="131">
        <v>13</v>
      </c>
      <c r="C19" s="132">
        <v>0.47299999999999998</v>
      </c>
      <c r="D19" s="133">
        <v>315</v>
      </c>
      <c r="E19" s="134">
        <v>0.35299999999999998</v>
      </c>
      <c r="F19" s="135">
        <v>133</v>
      </c>
      <c r="G19" s="135">
        <v>214</v>
      </c>
      <c r="H19" s="135">
        <v>315</v>
      </c>
      <c r="I19" s="135">
        <v>436</v>
      </c>
      <c r="J19" s="135">
        <v>579</v>
      </c>
      <c r="L19" s="121"/>
      <c r="M19" s="131">
        <v>13</v>
      </c>
      <c r="N19" s="132">
        <v>-4.4999999999999998E-2</v>
      </c>
      <c r="O19" s="133">
        <v>349</v>
      </c>
      <c r="P19" s="134">
        <v>0.30099999999999999</v>
      </c>
      <c r="Q19" s="135">
        <v>193</v>
      </c>
      <c r="R19" s="135">
        <v>259</v>
      </c>
      <c r="S19" s="135">
        <v>349</v>
      </c>
      <c r="T19" s="135">
        <v>473</v>
      </c>
      <c r="U19" s="135">
        <v>643</v>
      </c>
    </row>
    <row r="20" spans="2:21" ht="14.25">
      <c r="B20" s="131">
        <v>14</v>
      </c>
      <c r="C20" s="132">
        <v>0.46800000000000003</v>
      </c>
      <c r="D20" s="133">
        <v>315</v>
      </c>
      <c r="E20" s="134">
        <v>0.34200000000000003</v>
      </c>
      <c r="F20" s="135">
        <v>138</v>
      </c>
      <c r="G20" s="135">
        <v>217</v>
      </c>
      <c r="H20" s="135">
        <v>315</v>
      </c>
      <c r="I20" s="135">
        <v>433</v>
      </c>
      <c r="J20" s="135">
        <v>570</v>
      </c>
      <c r="L20" s="121"/>
      <c r="M20" s="131">
        <v>14</v>
      </c>
      <c r="N20" s="132">
        <v>-0.05</v>
      </c>
      <c r="O20" s="133">
        <v>344</v>
      </c>
      <c r="P20" s="134">
        <v>0.29399999999999998</v>
      </c>
      <c r="Q20" s="135">
        <v>193</v>
      </c>
      <c r="R20" s="135">
        <v>257</v>
      </c>
      <c r="S20" s="135">
        <v>344</v>
      </c>
      <c r="T20" s="135">
        <v>463</v>
      </c>
      <c r="U20" s="135">
        <v>625</v>
      </c>
    </row>
    <row r="21" spans="2:21" ht="14.25">
      <c r="B21" s="131">
        <v>15</v>
      </c>
      <c r="C21" s="132">
        <v>0.46500000000000002</v>
      </c>
      <c r="D21" s="133">
        <v>310</v>
      </c>
      <c r="E21" s="134">
        <v>0.33100000000000002</v>
      </c>
      <c r="F21" s="135">
        <v>141</v>
      </c>
      <c r="G21" s="135">
        <v>217</v>
      </c>
      <c r="H21" s="135">
        <v>310</v>
      </c>
      <c r="I21" s="135">
        <v>422</v>
      </c>
      <c r="J21" s="135">
        <v>552</v>
      </c>
      <c r="L21" s="121"/>
      <c r="M21" s="131">
        <v>15</v>
      </c>
      <c r="N21" s="132">
        <v>-5.1999999999999998E-2</v>
      </c>
      <c r="O21" s="133">
        <v>341</v>
      </c>
      <c r="P21" s="134">
        <v>0.28999999999999998</v>
      </c>
      <c r="Q21" s="135">
        <v>192</v>
      </c>
      <c r="R21" s="135">
        <v>256</v>
      </c>
      <c r="S21" s="135">
        <v>341</v>
      </c>
      <c r="T21" s="135">
        <v>456</v>
      </c>
      <c r="U21" s="135">
        <v>614</v>
      </c>
    </row>
    <row r="22" spans="2:21" ht="14.25">
      <c r="B22" s="131">
        <v>16</v>
      </c>
      <c r="C22" s="132">
        <v>0.46400000000000002</v>
      </c>
      <c r="D22" s="133">
        <v>307</v>
      </c>
      <c r="E22" s="134">
        <v>0.32600000000000001</v>
      </c>
      <c r="F22" s="135">
        <v>142</v>
      </c>
      <c r="G22" s="135">
        <v>216</v>
      </c>
      <c r="H22" s="135">
        <v>307</v>
      </c>
      <c r="I22" s="135">
        <v>416</v>
      </c>
      <c r="J22" s="135">
        <v>543</v>
      </c>
      <c r="L22" s="121"/>
      <c r="M22" s="131">
        <v>16</v>
      </c>
      <c r="N22" s="132">
        <v>-5.1999999999999998E-2</v>
      </c>
      <c r="O22" s="133">
        <v>340</v>
      </c>
      <c r="P22" s="134">
        <v>0.28899999999999998</v>
      </c>
      <c r="Q22" s="135">
        <v>192</v>
      </c>
      <c r="R22" s="135">
        <v>255</v>
      </c>
      <c r="S22" s="135">
        <v>340</v>
      </c>
      <c r="T22" s="135">
        <v>455</v>
      </c>
      <c r="U22" s="135">
        <v>611</v>
      </c>
    </row>
    <row r="23" spans="2:21" ht="14.25">
      <c r="B23" s="131">
        <v>17</v>
      </c>
      <c r="C23" s="132">
        <v>0.46400000000000002</v>
      </c>
      <c r="D23" s="133">
        <v>306</v>
      </c>
      <c r="E23" s="134">
        <v>0.32400000000000001</v>
      </c>
      <c r="F23" s="135">
        <v>142</v>
      </c>
      <c r="G23" s="135">
        <v>216</v>
      </c>
      <c r="H23" s="135">
        <v>306</v>
      </c>
      <c r="I23" s="135">
        <v>414</v>
      </c>
      <c r="J23" s="135">
        <v>540</v>
      </c>
      <c r="L23" s="121"/>
      <c r="M23" s="131">
        <v>17</v>
      </c>
      <c r="N23" s="132">
        <v>-5.3999999999999999E-2</v>
      </c>
      <c r="O23" s="133">
        <v>335</v>
      </c>
      <c r="P23" s="134">
        <v>0.28599999999999998</v>
      </c>
      <c r="Q23" s="135">
        <v>191</v>
      </c>
      <c r="R23" s="135">
        <v>252</v>
      </c>
      <c r="S23" s="135">
        <v>335</v>
      </c>
      <c r="T23" s="135">
        <v>447</v>
      </c>
      <c r="U23" s="135">
        <v>599</v>
      </c>
    </row>
    <row r="24" spans="2:21" ht="14.25">
      <c r="B24" s="131">
        <v>18</v>
      </c>
      <c r="C24" s="132">
        <v>0.46200000000000002</v>
      </c>
      <c r="D24" s="133">
        <v>301</v>
      </c>
      <c r="E24" s="134">
        <v>0.317</v>
      </c>
      <c r="F24" s="135">
        <v>142</v>
      </c>
      <c r="G24" s="135">
        <v>214</v>
      </c>
      <c r="H24" s="135">
        <v>301</v>
      </c>
      <c r="I24" s="135">
        <v>405</v>
      </c>
      <c r="J24" s="135">
        <v>526</v>
      </c>
      <c r="L24" s="121"/>
      <c r="M24" s="131">
        <v>18</v>
      </c>
      <c r="N24" s="132">
        <v>-5.7000000000000002E-2</v>
      </c>
      <c r="O24" s="133">
        <v>326</v>
      </c>
      <c r="P24" s="134">
        <v>0.27900000000000003</v>
      </c>
      <c r="Q24" s="135">
        <v>188</v>
      </c>
      <c r="R24" s="135">
        <v>247</v>
      </c>
      <c r="S24" s="135">
        <v>326</v>
      </c>
      <c r="T24" s="135">
        <v>431</v>
      </c>
      <c r="U24" s="135">
        <v>574</v>
      </c>
    </row>
    <row r="25" spans="2:21" ht="14.25">
      <c r="B25" s="131">
        <v>19</v>
      </c>
      <c r="C25" s="132">
        <v>0.46100000000000002</v>
      </c>
      <c r="D25" s="133">
        <v>292</v>
      </c>
      <c r="E25" s="134">
        <v>0.30599999999999999</v>
      </c>
      <c r="F25" s="135">
        <v>143</v>
      </c>
      <c r="G25" s="135">
        <v>210</v>
      </c>
      <c r="H25" s="135">
        <v>292</v>
      </c>
      <c r="I25" s="135">
        <v>389</v>
      </c>
      <c r="J25" s="135">
        <v>501</v>
      </c>
      <c r="L25" s="121"/>
      <c r="M25" s="131">
        <v>19</v>
      </c>
      <c r="N25" s="132">
        <v>-0.06</v>
      </c>
      <c r="O25" s="133">
        <v>311</v>
      </c>
      <c r="P25" s="134">
        <v>0.27100000000000002</v>
      </c>
      <c r="Q25" s="135">
        <v>182</v>
      </c>
      <c r="R25" s="135">
        <v>238</v>
      </c>
      <c r="S25" s="135">
        <v>311</v>
      </c>
      <c r="T25" s="135">
        <v>408</v>
      </c>
      <c r="U25" s="135">
        <v>539</v>
      </c>
    </row>
    <row r="26" spans="2:21" ht="14.25">
      <c r="B26" s="131">
        <v>20</v>
      </c>
      <c r="C26" s="132">
        <v>0.45800000000000002</v>
      </c>
      <c r="D26" s="133">
        <v>280</v>
      </c>
      <c r="E26" s="134">
        <v>0.29299999999999998</v>
      </c>
      <c r="F26" s="135">
        <v>142</v>
      </c>
      <c r="G26" s="135">
        <v>204</v>
      </c>
      <c r="H26" s="135">
        <v>280</v>
      </c>
      <c r="I26" s="135">
        <v>368</v>
      </c>
      <c r="J26" s="135">
        <v>470</v>
      </c>
      <c r="L26" s="121"/>
      <c r="M26" s="131">
        <v>20</v>
      </c>
      <c r="N26" s="132">
        <v>-6.2E-2</v>
      </c>
      <c r="O26" s="133">
        <v>293</v>
      </c>
      <c r="P26" s="134">
        <v>0.26100000000000001</v>
      </c>
      <c r="Q26" s="135">
        <v>175</v>
      </c>
      <c r="R26" s="135">
        <v>226</v>
      </c>
      <c r="S26" s="135">
        <v>293</v>
      </c>
      <c r="T26" s="135">
        <v>381</v>
      </c>
      <c r="U26" s="135">
        <v>499</v>
      </c>
    </row>
    <row r="27" spans="2:21" ht="14.25">
      <c r="B27" s="131">
        <v>21</v>
      </c>
      <c r="C27" s="132">
        <v>0.45600000000000002</v>
      </c>
      <c r="D27" s="133">
        <v>265</v>
      </c>
      <c r="E27" s="134">
        <v>0.28000000000000003</v>
      </c>
      <c r="F27" s="135">
        <v>139</v>
      </c>
      <c r="G27" s="135">
        <v>197</v>
      </c>
      <c r="H27" s="135">
        <v>265</v>
      </c>
      <c r="I27" s="135">
        <v>345</v>
      </c>
      <c r="J27" s="135">
        <v>436</v>
      </c>
      <c r="L27" s="121"/>
      <c r="M27" s="131">
        <v>21</v>
      </c>
      <c r="N27" s="132">
        <v>-6.3E-2</v>
      </c>
      <c r="O27" s="133">
        <v>275</v>
      </c>
      <c r="P27" s="134">
        <v>0.252</v>
      </c>
      <c r="Q27" s="135">
        <v>168</v>
      </c>
      <c r="R27" s="135">
        <v>214</v>
      </c>
      <c r="S27" s="135">
        <v>275</v>
      </c>
      <c r="T27" s="135">
        <v>355</v>
      </c>
      <c r="U27" s="135">
        <v>459</v>
      </c>
    </row>
    <row r="28" spans="2:21" ht="14.25">
      <c r="B28" s="131">
        <v>22</v>
      </c>
      <c r="C28" s="132">
        <v>0.45400000000000001</v>
      </c>
      <c r="D28" s="133">
        <v>251</v>
      </c>
      <c r="E28" s="134">
        <v>0.26900000000000002</v>
      </c>
      <c r="F28" s="135">
        <v>135</v>
      </c>
      <c r="G28" s="135">
        <v>188</v>
      </c>
      <c r="H28" s="135">
        <v>251</v>
      </c>
      <c r="I28" s="135">
        <v>323</v>
      </c>
      <c r="J28" s="135">
        <v>405</v>
      </c>
      <c r="L28" s="121"/>
      <c r="M28" s="131">
        <v>22</v>
      </c>
      <c r="N28" s="132">
        <v>-6.2E-2</v>
      </c>
      <c r="O28" s="133">
        <v>259</v>
      </c>
      <c r="P28" s="134">
        <v>0.24299999999999999</v>
      </c>
      <c r="Q28" s="135">
        <v>161</v>
      </c>
      <c r="R28" s="135">
        <v>204</v>
      </c>
      <c r="S28" s="135">
        <v>259</v>
      </c>
      <c r="T28" s="135">
        <v>331</v>
      </c>
      <c r="U28" s="135">
        <v>425</v>
      </c>
    </row>
    <row r="29" spans="2:21" ht="14.25">
      <c r="B29" s="131">
        <v>23</v>
      </c>
      <c r="C29" s="132">
        <v>0.45200000000000001</v>
      </c>
      <c r="D29" s="133">
        <v>237</v>
      </c>
      <c r="E29" s="134">
        <v>0.26</v>
      </c>
      <c r="F29" s="135">
        <v>131</v>
      </c>
      <c r="G29" s="135">
        <v>180</v>
      </c>
      <c r="H29" s="135">
        <v>237</v>
      </c>
      <c r="I29" s="135">
        <v>304</v>
      </c>
      <c r="J29" s="135">
        <v>379</v>
      </c>
      <c r="L29" s="121"/>
      <c r="M29" s="131">
        <v>23</v>
      </c>
      <c r="N29" s="132">
        <v>-0.06</v>
      </c>
      <c r="O29" s="133">
        <v>247</v>
      </c>
      <c r="P29" s="134">
        <v>0.23499999999999999</v>
      </c>
      <c r="Q29" s="135">
        <v>155</v>
      </c>
      <c r="R29" s="135">
        <v>195</v>
      </c>
      <c r="S29" s="135">
        <v>247</v>
      </c>
      <c r="T29" s="135">
        <v>312</v>
      </c>
      <c r="U29" s="135">
        <v>397</v>
      </c>
    </row>
    <row r="30" spans="2:21" ht="14.25">
      <c r="B30" s="131">
        <v>24</v>
      </c>
      <c r="C30" s="132">
        <v>0.44900000000000001</v>
      </c>
      <c r="D30" s="133">
        <v>226</v>
      </c>
      <c r="E30" s="134">
        <v>0.252</v>
      </c>
      <c r="F30" s="135">
        <v>128</v>
      </c>
      <c r="G30" s="135">
        <v>173</v>
      </c>
      <c r="H30" s="135">
        <v>226</v>
      </c>
      <c r="I30" s="135">
        <v>287</v>
      </c>
      <c r="J30" s="135">
        <v>356</v>
      </c>
      <c r="L30" s="121"/>
      <c r="M30" s="131">
        <v>24</v>
      </c>
      <c r="N30" s="132">
        <v>-5.6000000000000001E-2</v>
      </c>
      <c r="O30" s="133">
        <v>237</v>
      </c>
      <c r="P30" s="134">
        <v>0.22800000000000001</v>
      </c>
      <c r="Q30" s="135">
        <v>151</v>
      </c>
      <c r="R30" s="135">
        <v>189</v>
      </c>
      <c r="S30" s="135">
        <v>237</v>
      </c>
      <c r="T30" s="135">
        <v>297</v>
      </c>
      <c r="U30" s="135">
        <v>375</v>
      </c>
    </row>
    <row r="31" spans="2:21" ht="14.25">
      <c r="B31" s="131">
        <v>25</v>
      </c>
      <c r="C31" s="132">
        <v>0.44700000000000001</v>
      </c>
      <c r="D31" s="133">
        <v>216</v>
      </c>
      <c r="E31" s="134">
        <v>0.245</v>
      </c>
      <c r="F31" s="135">
        <v>125</v>
      </c>
      <c r="G31" s="135">
        <v>167</v>
      </c>
      <c r="H31" s="135">
        <v>216</v>
      </c>
      <c r="I31" s="135">
        <v>273</v>
      </c>
      <c r="J31" s="135">
        <v>337</v>
      </c>
      <c r="L31" s="121"/>
      <c r="M31" s="131">
        <v>25</v>
      </c>
      <c r="N31" s="132">
        <v>-5.0999999999999997E-2</v>
      </c>
      <c r="O31" s="133">
        <v>228</v>
      </c>
      <c r="P31" s="134">
        <v>0.222</v>
      </c>
      <c r="Q31" s="135">
        <v>147</v>
      </c>
      <c r="R31" s="135">
        <v>183</v>
      </c>
      <c r="S31" s="135">
        <v>228</v>
      </c>
      <c r="T31" s="135">
        <v>286</v>
      </c>
      <c r="U31" s="135">
        <v>358</v>
      </c>
    </row>
    <row r="32" spans="2:21" ht="14.25">
      <c r="B32" s="131">
        <v>26</v>
      </c>
      <c r="C32" s="132">
        <v>0.56100000000000005</v>
      </c>
      <c r="D32" s="133">
        <v>212</v>
      </c>
      <c r="E32" s="134">
        <v>0.248</v>
      </c>
      <c r="F32" s="135">
        <v>119</v>
      </c>
      <c r="G32" s="135">
        <v>163</v>
      </c>
      <c r="H32" s="135">
        <v>212</v>
      </c>
      <c r="I32" s="135">
        <v>268</v>
      </c>
      <c r="J32" s="135">
        <v>329</v>
      </c>
      <c r="L32" s="121"/>
      <c r="M32" s="131">
        <v>26</v>
      </c>
      <c r="N32" s="132">
        <v>7.8E-2</v>
      </c>
      <c r="O32" s="133">
        <v>223</v>
      </c>
      <c r="P32" s="134">
        <v>0.20899999999999999</v>
      </c>
      <c r="Q32" s="135">
        <v>146</v>
      </c>
      <c r="R32" s="135">
        <v>180</v>
      </c>
      <c r="S32" s="135">
        <v>223</v>
      </c>
      <c r="T32" s="135">
        <v>274</v>
      </c>
      <c r="U32" s="135">
        <v>336</v>
      </c>
    </row>
    <row r="33" spans="2:21" ht="14.25">
      <c r="B33" s="131">
        <v>27</v>
      </c>
      <c r="C33" s="132">
        <v>0.55600000000000005</v>
      </c>
      <c r="D33" s="133">
        <v>208</v>
      </c>
      <c r="E33" s="134">
        <v>0.248</v>
      </c>
      <c r="F33" s="135">
        <v>116</v>
      </c>
      <c r="G33" s="135">
        <v>159</v>
      </c>
      <c r="H33" s="135">
        <v>208</v>
      </c>
      <c r="I33" s="135">
        <v>262</v>
      </c>
      <c r="J33" s="135">
        <v>322</v>
      </c>
      <c r="L33" s="121"/>
      <c r="M33" s="131">
        <v>27</v>
      </c>
      <c r="N33" s="132">
        <v>9.9000000000000005E-2</v>
      </c>
      <c r="O33" s="133">
        <v>217</v>
      </c>
      <c r="P33" s="134">
        <v>0.21</v>
      </c>
      <c r="Q33" s="135">
        <v>141</v>
      </c>
      <c r="R33" s="135">
        <v>176</v>
      </c>
      <c r="S33" s="135">
        <v>217</v>
      </c>
      <c r="T33" s="135">
        <v>267</v>
      </c>
      <c r="U33" s="135">
        <v>328</v>
      </c>
    </row>
    <row r="34" spans="2:21" ht="14.25">
      <c r="B34" s="131">
        <v>28</v>
      </c>
      <c r="C34" s="132">
        <v>0.55000000000000004</v>
      </c>
      <c r="D34" s="133">
        <v>203</v>
      </c>
      <c r="E34" s="134">
        <v>0.249</v>
      </c>
      <c r="F34" s="135">
        <v>114</v>
      </c>
      <c r="G34" s="135">
        <v>155</v>
      </c>
      <c r="H34" s="135">
        <v>203</v>
      </c>
      <c r="I34" s="135">
        <v>256</v>
      </c>
      <c r="J34" s="135">
        <v>315</v>
      </c>
      <c r="L34" s="121"/>
      <c r="M34" s="131">
        <v>28</v>
      </c>
      <c r="N34" s="132">
        <v>0.12</v>
      </c>
      <c r="O34" s="133">
        <v>212</v>
      </c>
      <c r="P34" s="134">
        <v>0.21099999999999999</v>
      </c>
      <c r="Q34" s="135">
        <v>137</v>
      </c>
      <c r="R34" s="135">
        <v>171</v>
      </c>
      <c r="S34" s="135">
        <v>212</v>
      </c>
      <c r="T34" s="135">
        <v>261</v>
      </c>
      <c r="U34" s="135">
        <v>320</v>
      </c>
    </row>
    <row r="35" spans="2:21" ht="14.25">
      <c r="B35" s="131">
        <v>29</v>
      </c>
      <c r="C35" s="132">
        <v>0.54400000000000004</v>
      </c>
      <c r="D35" s="133">
        <v>199</v>
      </c>
      <c r="E35" s="134">
        <v>0.249</v>
      </c>
      <c r="F35" s="135">
        <v>111</v>
      </c>
      <c r="G35" s="135">
        <v>152</v>
      </c>
      <c r="H35" s="135">
        <v>199</v>
      </c>
      <c r="I35" s="135">
        <v>251</v>
      </c>
      <c r="J35" s="135">
        <v>309</v>
      </c>
      <c r="L35" s="121"/>
      <c r="M35" s="131">
        <v>29</v>
      </c>
      <c r="N35" s="132">
        <v>0.14000000000000001</v>
      </c>
      <c r="O35" s="133">
        <v>206</v>
      </c>
      <c r="P35" s="134">
        <v>0.21199999999999999</v>
      </c>
      <c r="Q35" s="135">
        <v>133</v>
      </c>
      <c r="R35" s="135">
        <v>166</v>
      </c>
      <c r="S35" s="135">
        <v>206</v>
      </c>
      <c r="T35" s="135">
        <v>254</v>
      </c>
      <c r="U35" s="135">
        <v>312</v>
      </c>
    </row>
    <row r="36" spans="2:21" ht="14.25">
      <c r="B36" s="131">
        <v>30</v>
      </c>
      <c r="C36" s="132">
        <v>0.53700000000000003</v>
      </c>
      <c r="D36" s="133">
        <v>195</v>
      </c>
      <c r="E36" s="134">
        <v>0.249</v>
      </c>
      <c r="F36" s="135">
        <v>109</v>
      </c>
      <c r="G36" s="135">
        <v>149</v>
      </c>
      <c r="H36" s="135">
        <v>195</v>
      </c>
      <c r="I36" s="135">
        <v>246</v>
      </c>
      <c r="J36" s="135">
        <v>303</v>
      </c>
      <c r="L36" s="121"/>
      <c r="M36" s="131">
        <v>30</v>
      </c>
      <c r="N36" s="132">
        <v>0.158</v>
      </c>
      <c r="O36" s="133">
        <v>201</v>
      </c>
      <c r="P36" s="134">
        <v>0.21299999999999999</v>
      </c>
      <c r="Q36" s="135">
        <v>129</v>
      </c>
      <c r="R36" s="135">
        <v>162</v>
      </c>
      <c r="S36" s="135">
        <v>201</v>
      </c>
      <c r="T36" s="135">
        <v>248</v>
      </c>
      <c r="U36" s="135">
        <v>304</v>
      </c>
    </row>
    <row r="37" spans="2:21" ht="14.25">
      <c r="B37" s="131">
        <v>31</v>
      </c>
      <c r="C37" s="132">
        <v>0.52900000000000003</v>
      </c>
      <c r="D37" s="133">
        <v>191</v>
      </c>
      <c r="E37" s="134">
        <v>0.25</v>
      </c>
      <c r="F37" s="135">
        <v>107</v>
      </c>
      <c r="G37" s="135">
        <v>146</v>
      </c>
      <c r="H37" s="135">
        <v>191</v>
      </c>
      <c r="I37" s="135">
        <v>241</v>
      </c>
      <c r="J37" s="135">
        <v>297</v>
      </c>
      <c r="L37" s="121"/>
      <c r="M37" s="131">
        <v>31</v>
      </c>
      <c r="N37" s="132">
        <v>0.17599999999999999</v>
      </c>
      <c r="O37" s="133">
        <v>196</v>
      </c>
      <c r="P37" s="134">
        <v>0.214</v>
      </c>
      <c r="Q37" s="135">
        <v>126</v>
      </c>
      <c r="R37" s="135">
        <v>158</v>
      </c>
      <c r="S37" s="135">
        <v>196</v>
      </c>
      <c r="T37" s="135">
        <v>242</v>
      </c>
      <c r="U37" s="135">
        <v>297</v>
      </c>
    </row>
    <row r="38" spans="2:21" ht="14.25">
      <c r="B38" s="131">
        <v>32</v>
      </c>
      <c r="C38" s="132">
        <v>0.52</v>
      </c>
      <c r="D38" s="133">
        <v>187</v>
      </c>
      <c r="E38" s="134">
        <v>0.25</v>
      </c>
      <c r="F38" s="135">
        <v>105</v>
      </c>
      <c r="G38" s="135">
        <v>143</v>
      </c>
      <c r="H38" s="135">
        <v>187</v>
      </c>
      <c r="I38" s="135">
        <v>237</v>
      </c>
      <c r="J38" s="135">
        <v>292</v>
      </c>
      <c r="L38" s="121"/>
      <c r="M38" s="131">
        <v>32</v>
      </c>
      <c r="N38" s="132">
        <v>0.192</v>
      </c>
      <c r="O38" s="133">
        <v>192</v>
      </c>
      <c r="P38" s="134">
        <v>0.215</v>
      </c>
      <c r="Q38" s="135">
        <v>122</v>
      </c>
      <c r="R38" s="135">
        <v>154</v>
      </c>
      <c r="S38" s="135">
        <v>192</v>
      </c>
      <c r="T38" s="135">
        <v>237</v>
      </c>
      <c r="U38" s="135">
        <v>290</v>
      </c>
    </row>
    <row r="39" spans="2:21" ht="14.25">
      <c r="B39" s="131">
        <v>33</v>
      </c>
      <c r="C39" s="132">
        <v>0.51100000000000001</v>
      </c>
      <c r="D39" s="133">
        <v>184</v>
      </c>
      <c r="E39" s="134">
        <v>0.25</v>
      </c>
      <c r="F39" s="135">
        <v>103</v>
      </c>
      <c r="G39" s="135">
        <v>141</v>
      </c>
      <c r="H39" s="135">
        <v>184</v>
      </c>
      <c r="I39" s="135">
        <v>233</v>
      </c>
      <c r="J39" s="135">
        <v>287</v>
      </c>
      <c r="L39" s="121"/>
      <c r="M39" s="131">
        <v>33</v>
      </c>
      <c r="N39" s="132">
        <v>0.20599999999999999</v>
      </c>
      <c r="O39" s="133">
        <v>187</v>
      </c>
      <c r="P39" s="134">
        <v>0.217</v>
      </c>
      <c r="Q39" s="135">
        <v>119</v>
      </c>
      <c r="R39" s="135">
        <v>150</v>
      </c>
      <c r="S39" s="135">
        <v>187</v>
      </c>
      <c r="T39" s="135">
        <v>231</v>
      </c>
      <c r="U39" s="135">
        <v>283</v>
      </c>
    </row>
    <row r="40" spans="2:21" ht="14.25">
      <c r="B40" s="131">
        <v>34</v>
      </c>
      <c r="C40" s="132">
        <v>0.5</v>
      </c>
      <c r="D40" s="133">
        <v>181</v>
      </c>
      <c r="E40" s="134">
        <v>0.251</v>
      </c>
      <c r="F40" s="135">
        <v>102</v>
      </c>
      <c r="G40" s="135">
        <v>138</v>
      </c>
      <c r="H40" s="135">
        <v>181</v>
      </c>
      <c r="I40" s="135">
        <v>229</v>
      </c>
      <c r="J40" s="135">
        <v>283</v>
      </c>
      <c r="L40" s="121"/>
      <c r="M40" s="131">
        <v>34</v>
      </c>
      <c r="N40" s="132">
        <v>0.219</v>
      </c>
      <c r="O40" s="133">
        <v>183</v>
      </c>
      <c r="P40" s="134">
        <v>0.218</v>
      </c>
      <c r="Q40" s="135">
        <v>115</v>
      </c>
      <c r="R40" s="135">
        <v>146</v>
      </c>
      <c r="S40" s="135">
        <v>183</v>
      </c>
      <c r="T40" s="135">
        <v>226</v>
      </c>
      <c r="U40" s="135">
        <v>277</v>
      </c>
    </row>
    <row r="41" spans="2:21" ht="14.25">
      <c r="B41" s="131">
        <v>35</v>
      </c>
      <c r="C41" s="132">
        <v>0.48799999999999999</v>
      </c>
      <c r="D41" s="133">
        <v>178</v>
      </c>
      <c r="E41" s="134">
        <v>0.251</v>
      </c>
      <c r="F41" s="135">
        <v>100</v>
      </c>
      <c r="G41" s="135">
        <v>136</v>
      </c>
      <c r="H41" s="135">
        <v>178</v>
      </c>
      <c r="I41" s="135">
        <v>226</v>
      </c>
      <c r="J41" s="135">
        <v>279</v>
      </c>
      <c r="L41" s="121"/>
      <c r="M41" s="131">
        <v>35</v>
      </c>
      <c r="N41" s="132">
        <v>0.23100000000000001</v>
      </c>
      <c r="O41" s="133">
        <v>178</v>
      </c>
      <c r="P41" s="134">
        <v>0.22</v>
      </c>
      <c r="Q41" s="135">
        <v>112</v>
      </c>
      <c r="R41" s="135">
        <v>142</v>
      </c>
      <c r="S41" s="135">
        <v>178</v>
      </c>
      <c r="T41" s="135">
        <v>221</v>
      </c>
      <c r="U41" s="135">
        <v>271</v>
      </c>
    </row>
    <row r="42" spans="2:21" ht="14.25">
      <c r="B42" s="131">
        <v>36</v>
      </c>
      <c r="C42" s="132">
        <v>0.47599999999999998</v>
      </c>
      <c r="D42" s="133">
        <v>175</v>
      </c>
      <c r="E42" s="134">
        <v>0.251</v>
      </c>
      <c r="F42" s="135">
        <v>99</v>
      </c>
      <c r="G42" s="135">
        <v>134</v>
      </c>
      <c r="H42" s="135">
        <v>175</v>
      </c>
      <c r="I42" s="135">
        <v>222</v>
      </c>
      <c r="J42" s="135">
        <v>275</v>
      </c>
      <c r="L42" s="121"/>
      <c r="M42" s="131">
        <v>36</v>
      </c>
      <c r="N42" s="132">
        <v>0.24099999999999999</v>
      </c>
      <c r="O42" s="133">
        <v>174</v>
      </c>
      <c r="P42" s="134">
        <v>0.221</v>
      </c>
      <c r="Q42" s="135">
        <v>109</v>
      </c>
      <c r="R42" s="135">
        <v>139</v>
      </c>
      <c r="S42" s="135">
        <v>174</v>
      </c>
      <c r="T42" s="135">
        <v>216</v>
      </c>
      <c r="U42" s="135">
        <v>265</v>
      </c>
    </row>
    <row r="43" spans="2:21" ht="14.25">
      <c r="B43" s="131">
        <v>37</v>
      </c>
      <c r="C43" s="132">
        <v>0.46200000000000002</v>
      </c>
      <c r="D43" s="133">
        <v>173</v>
      </c>
      <c r="E43" s="134">
        <v>0.252</v>
      </c>
      <c r="F43" s="135">
        <v>97</v>
      </c>
      <c r="G43" s="135">
        <v>132</v>
      </c>
      <c r="H43" s="135">
        <v>173</v>
      </c>
      <c r="I43" s="135">
        <v>219</v>
      </c>
      <c r="J43" s="135">
        <v>272</v>
      </c>
      <c r="L43" s="121"/>
      <c r="M43" s="131">
        <v>37</v>
      </c>
      <c r="N43" s="132">
        <v>0.25</v>
      </c>
      <c r="O43" s="133">
        <v>170</v>
      </c>
      <c r="P43" s="134">
        <v>0.223</v>
      </c>
      <c r="Q43" s="135">
        <v>106</v>
      </c>
      <c r="R43" s="135">
        <v>135</v>
      </c>
      <c r="S43" s="135">
        <v>170</v>
      </c>
      <c r="T43" s="135">
        <v>211</v>
      </c>
      <c r="U43" s="135">
        <v>260</v>
      </c>
    </row>
    <row r="44" spans="2:21" ht="14.25">
      <c r="B44" s="131">
        <v>38</v>
      </c>
      <c r="C44" s="132">
        <v>0.44800000000000001</v>
      </c>
      <c r="D44" s="133">
        <v>171</v>
      </c>
      <c r="E44" s="134">
        <v>0.252</v>
      </c>
      <c r="F44" s="135">
        <v>96</v>
      </c>
      <c r="G44" s="135">
        <v>131</v>
      </c>
      <c r="H44" s="135">
        <v>171</v>
      </c>
      <c r="I44" s="135">
        <v>217</v>
      </c>
      <c r="J44" s="135">
        <v>269</v>
      </c>
      <c r="L44" s="121"/>
      <c r="M44" s="131">
        <v>38</v>
      </c>
      <c r="N44" s="132">
        <v>0.25700000000000001</v>
      </c>
      <c r="O44" s="133">
        <v>166</v>
      </c>
      <c r="P44" s="134">
        <v>0.22500000000000001</v>
      </c>
      <c r="Q44" s="135">
        <v>103</v>
      </c>
      <c r="R44" s="135">
        <v>132</v>
      </c>
      <c r="S44" s="135">
        <v>166</v>
      </c>
      <c r="T44" s="135">
        <v>207</v>
      </c>
      <c r="U44" s="135">
        <v>254</v>
      </c>
    </row>
    <row r="45" spans="2:21" ht="14.25">
      <c r="B45" s="131">
        <v>39</v>
      </c>
      <c r="C45" s="132">
        <v>0.432</v>
      </c>
      <c r="D45" s="133">
        <v>168</v>
      </c>
      <c r="E45" s="134">
        <v>0.252</v>
      </c>
      <c r="F45" s="135">
        <v>95</v>
      </c>
      <c r="G45" s="135">
        <v>129</v>
      </c>
      <c r="H45" s="135">
        <v>168</v>
      </c>
      <c r="I45" s="135">
        <v>214</v>
      </c>
      <c r="J45" s="135">
        <v>266</v>
      </c>
      <c r="L45" s="121"/>
      <c r="M45" s="131">
        <v>39</v>
      </c>
      <c r="N45" s="132">
        <v>0.26300000000000001</v>
      </c>
      <c r="O45" s="133">
        <v>163</v>
      </c>
      <c r="P45" s="134">
        <v>0.22700000000000001</v>
      </c>
      <c r="Q45" s="135">
        <v>100</v>
      </c>
      <c r="R45" s="135">
        <v>129</v>
      </c>
      <c r="S45" s="135">
        <v>163</v>
      </c>
      <c r="T45" s="135">
        <v>203</v>
      </c>
      <c r="U45" s="135">
        <v>250</v>
      </c>
    </row>
    <row r="46" spans="2:21" ht="14.25">
      <c r="B46" s="131">
        <v>40</v>
      </c>
      <c r="C46" s="132">
        <v>0.41699999999999998</v>
      </c>
      <c r="D46" s="133">
        <v>166</v>
      </c>
      <c r="E46" s="134">
        <v>0.252</v>
      </c>
      <c r="F46" s="135">
        <v>94</v>
      </c>
      <c r="G46" s="135">
        <v>127</v>
      </c>
      <c r="H46" s="135">
        <v>166</v>
      </c>
      <c r="I46" s="135">
        <v>212</v>
      </c>
      <c r="J46" s="135">
        <v>263</v>
      </c>
      <c r="L46" s="121"/>
      <c r="M46" s="131">
        <v>40</v>
      </c>
      <c r="N46" s="132">
        <v>0.26800000000000002</v>
      </c>
      <c r="O46" s="133">
        <v>159</v>
      </c>
      <c r="P46" s="134">
        <v>0.22900000000000001</v>
      </c>
      <c r="Q46" s="135">
        <v>98</v>
      </c>
      <c r="R46" s="135">
        <v>126</v>
      </c>
      <c r="S46" s="135">
        <v>159</v>
      </c>
      <c r="T46" s="135">
        <v>199</v>
      </c>
      <c r="U46" s="135">
        <v>245</v>
      </c>
    </row>
    <row r="47" spans="2:21" ht="14.25">
      <c r="B47" s="131">
        <v>41</v>
      </c>
      <c r="C47" s="132">
        <v>0.40100000000000002</v>
      </c>
      <c r="D47" s="133">
        <v>165</v>
      </c>
      <c r="E47" s="134">
        <v>0.253</v>
      </c>
      <c r="F47" s="135">
        <v>94</v>
      </c>
      <c r="G47" s="135">
        <v>126</v>
      </c>
      <c r="H47" s="135">
        <v>165</v>
      </c>
      <c r="I47" s="135">
        <v>209</v>
      </c>
      <c r="J47" s="135">
        <v>261</v>
      </c>
      <c r="L47" s="121"/>
      <c r="M47" s="131">
        <v>41</v>
      </c>
      <c r="N47" s="132">
        <v>0.27100000000000002</v>
      </c>
      <c r="O47" s="133">
        <v>156</v>
      </c>
      <c r="P47" s="134">
        <v>0.23100000000000001</v>
      </c>
      <c r="Q47" s="135">
        <v>95</v>
      </c>
      <c r="R47" s="135">
        <v>123</v>
      </c>
      <c r="S47" s="135">
        <v>156</v>
      </c>
      <c r="T47" s="135">
        <v>195</v>
      </c>
      <c r="U47" s="135">
        <v>240</v>
      </c>
    </row>
    <row r="48" spans="2:21" ht="14.25">
      <c r="B48" s="131">
        <v>42</v>
      </c>
      <c r="C48" s="132">
        <v>0.38400000000000001</v>
      </c>
      <c r="D48" s="133">
        <v>163</v>
      </c>
      <c r="E48" s="134">
        <v>0.253</v>
      </c>
      <c r="F48" s="135">
        <v>93</v>
      </c>
      <c r="G48" s="135">
        <v>125</v>
      </c>
      <c r="H48" s="135">
        <v>163</v>
      </c>
      <c r="I48" s="135">
        <v>207</v>
      </c>
      <c r="J48" s="135">
        <v>259</v>
      </c>
      <c r="L48" s="121"/>
      <c r="M48" s="131">
        <v>42</v>
      </c>
      <c r="N48" s="132">
        <v>0.27300000000000002</v>
      </c>
      <c r="O48" s="133">
        <v>153</v>
      </c>
      <c r="P48" s="134">
        <v>0.23300000000000001</v>
      </c>
      <c r="Q48" s="135">
        <v>93</v>
      </c>
      <c r="R48" s="135">
        <v>120</v>
      </c>
      <c r="S48" s="135">
        <v>153</v>
      </c>
      <c r="T48" s="135">
        <v>191</v>
      </c>
      <c r="U48" s="135">
        <v>236</v>
      </c>
    </row>
    <row r="49" spans="2:21" ht="14.25">
      <c r="B49" s="131">
        <v>43</v>
      </c>
      <c r="C49" s="132">
        <v>0.36799999999999999</v>
      </c>
      <c r="D49" s="133">
        <v>161</v>
      </c>
      <c r="E49" s="134">
        <v>0.253</v>
      </c>
      <c r="F49" s="135">
        <v>92</v>
      </c>
      <c r="G49" s="135">
        <v>124</v>
      </c>
      <c r="H49" s="135">
        <v>161</v>
      </c>
      <c r="I49" s="135">
        <v>206</v>
      </c>
      <c r="J49" s="135">
        <v>257</v>
      </c>
      <c r="L49" s="121"/>
      <c r="M49" s="131">
        <v>43</v>
      </c>
      <c r="N49" s="132">
        <v>0.27300000000000002</v>
      </c>
      <c r="O49" s="133">
        <v>150</v>
      </c>
      <c r="P49" s="134">
        <v>0.23499999999999999</v>
      </c>
      <c r="Q49" s="135">
        <v>90</v>
      </c>
      <c r="R49" s="135">
        <v>117</v>
      </c>
      <c r="S49" s="135">
        <v>150</v>
      </c>
      <c r="T49" s="135">
        <v>188</v>
      </c>
      <c r="U49" s="135">
        <v>233</v>
      </c>
    </row>
    <row r="50" spans="2:21" ht="14.25">
      <c r="B50" s="131">
        <v>44</v>
      </c>
      <c r="C50" s="132">
        <v>0.35199999999999998</v>
      </c>
      <c r="D50" s="133">
        <v>160</v>
      </c>
      <c r="E50" s="134">
        <v>0.253</v>
      </c>
      <c r="F50" s="135">
        <v>92</v>
      </c>
      <c r="G50" s="135">
        <v>123</v>
      </c>
      <c r="H50" s="135">
        <v>160</v>
      </c>
      <c r="I50" s="135">
        <v>204</v>
      </c>
      <c r="J50" s="135">
        <v>255</v>
      </c>
      <c r="L50" s="121"/>
      <c r="M50" s="131">
        <v>44</v>
      </c>
      <c r="N50" s="132">
        <v>0.27200000000000002</v>
      </c>
      <c r="O50" s="133">
        <v>147</v>
      </c>
      <c r="P50" s="134">
        <v>0.23699999999999999</v>
      </c>
      <c r="Q50" s="135">
        <v>88</v>
      </c>
      <c r="R50" s="135">
        <v>115</v>
      </c>
      <c r="S50" s="135">
        <v>147</v>
      </c>
      <c r="T50" s="135">
        <v>185</v>
      </c>
      <c r="U50" s="135">
        <v>229</v>
      </c>
    </row>
    <row r="51" spans="2:21" ht="14.25">
      <c r="B51" s="131">
        <v>45</v>
      </c>
      <c r="C51" s="132">
        <v>0.33700000000000002</v>
      </c>
      <c r="D51" s="133">
        <v>159</v>
      </c>
      <c r="E51" s="134">
        <v>0.253</v>
      </c>
      <c r="F51" s="135">
        <v>91</v>
      </c>
      <c r="G51" s="135">
        <v>122</v>
      </c>
      <c r="H51" s="135">
        <v>159</v>
      </c>
      <c r="I51" s="135">
        <v>202</v>
      </c>
      <c r="J51" s="135">
        <v>253</v>
      </c>
      <c r="L51" s="121"/>
      <c r="M51" s="131">
        <v>45</v>
      </c>
      <c r="N51" s="132">
        <v>0.26900000000000002</v>
      </c>
      <c r="O51" s="133">
        <v>145</v>
      </c>
      <c r="P51" s="134">
        <v>0.23899999999999999</v>
      </c>
      <c r="Q51" s="135">
        <v>87</v>
      </c>
      <c r="R51" s="135">
        <v>113</v>
      </c>
      <c r="S51" s="135">
        <v>145</v>
      </c>
      <c r="T51" s="135">
        <v>182</v>
      </c>
      <c r="U51" s="135">
        <v>226</v>
      </c>
    </row>
    <row r="52" spans="2:21" ht="14.25">
      <c r="B52" s="131">
        <v>46</v>
      </c>
      <c r="C52" s="132">
        <v>0.32400000000000001</v>
      </c>
      <c r="D52" s="133">
        <v>157</v>
      </c>
      <c r="E52" s="134">
        <v>0.254</v>
      </c>
      <c r="F52" s="135">
        <v>90</v>
      </c>
      <c r="G52" s="135">
        <v>120</v>
      </c>
      <c r="H52" s="135">
        <v>157</v>
      </c>
      <c r="I52" s="135">
        <v>199</v>
      </c>
      <c r="J52" s="135">
        <v>250</v>
      </c>
      <c r="L52" s="121"/>
      <c r="M52" s="131">
        <v>46</v>
      </c>
      <c r="N52" s="132">
        <v>0.26600000000000001</v>
      </c>
      <c r="O52" s="133">
        <v>142</v>
      </c>
      <c r="P52" s="134">
        <v>0.24099999999999999</v>
      </c>
      <c r="Q52" s="135">
        <v>85</v>
      </c>
      <c r="R52" s="135">
        <v>111</v>
      </c>
      <c r="S52" s="135">
        <v>142</v>
      </c>
      <c r="T52" s="135">
        <v>180</v>
      </c>
      <c r="U52" s="135">
        <v>224</v>
      </c>
    </row>
    <row r="53" spans="2:21" ht="14.25">
      <c r="B53" s="131">
        <v>47</v>
      </c>
      <c r="C53" s="132">
        <v>0.311</v>
      </c>
      <c r="D53" s="133">
        <v>156</v>
      </c>
      <c r="E53" s="134">
        <v>0.254</v>
      </c>
      <c r="F53" s="135">
        <v>90</v>
      </c>
      <c r="G53" s="135">
        <v>120</v>
      </c>
      <c r="H53" s="135">
        <v>156</v>
      </c>
      <c r="I53" s="135">
        <v>199</v>
      </c>
      <c r="J53" s="135">
        <v>250</v>
      </c>
      <c r="L53" s="121"/>
      <c r="M53" s="131">
        <v>47</v>
      </c>
      <c r="N53" s="132">
        <v>0.26100000000000001</v>
      </c>
      <c r="O53" s="133">
        <v>140</v>
      </c>
      <c r="P53" s="134">
        <v>0.24299999999999999</v>
      </c>
      <c r="Q53" s="135">
        <v>83</v>
      </c>
      <c r="R53" s="135">
        <v>109</v>
      </c>
      <c r="S53" s="135">
        <v>140</v>
      </c>
      <c r="T53" s="135">
        <v>177</v>
      </c>
      <c r="U53" s="135">
        <v>221</v>
      </c>
    </row>
    <row r="54" spans="2:21" ht="14.25">
      <c r="B54" s="131">
        <v>48</v>
      </c>
      <c r="C54" s="132">
        <v>0.3</v>
      </c>
      <c r="D54" s="133">
        <v>154</v>
      </c>
      <c r="E54" s="134">
        <v>0.254</v>
      </c>
      <c r="F54" s="135">
        <v>89</v>
      </c>
      <c r="G54" s="135">
        <v>118</v>
      </c>
      <c r="H54" s="135">
        <v>154</v>
      </c>
      <c r="I54" s="135">
        <v>197</v>
      </c>
      <c r="J54" s="135">
        <v>248</v>
      </c>
      <c r="L54" s="121"/>
      <c r="M54" s="131">
        <v>48</v>
      </c>
      <c r="N54" s="132">
        <v>0.255</v>
      </c>
      <c r="O54" s="133">
        <v>138</v>
      </c>
      <c r="P54" s="134">
        <v>0.24399999999999999</v>
      </c>
      <c r="Q54" s="135">
        <v>82</v>
      </c>
      <c r="R54" s="135">
        <v>108</v>
      </c>
      <c r="S54" s="135">
        <v>138</v>
      </c>
      <c r="T54" s="135">
        <v>176</v>
      </c>
      <c r="U54" s="135">
        <v>219</v>
      </c>
    </row>
    <row r="55" spans="2:21" ht="14.25">
      <c r="B55" s="131">
        <v>49</v>
      </c>
      <c r="C55" s="132">
        <v>0.29099999999999998</v>
      </c>
      <c r="D55" s="133">
        <v>153</v>
      </c>
      <c r="E55" s="134">
        <v>0.255</v>
      </c>
      <c r="F55" s="135">
        <v>88</v>
      </c>
      <c r="G55" s="135">
        <v>117</v>
      </c>
      <c r="H55" s="135">
        <v>153</v>
      </c>
      <c r="I55" s="135">
        <v>196</v>
      </c>
      <c r="J55" s="135">
        <v>246</v>
      </c>
      <c r="L55" s="121"/>
      <c r="M55" s="131">
        <v>49</v>
      </c>
      <c r="N55" s="132">
        <v>0.249</v>
      </c>
      <c r="O55" s="133">
        <v>137</v>
      </c>
      <c r="P55" s="134">
        <v>0.246</v>
      </c>
      <c r="Q55" s="135">
        <v>81</v>
      </c>
      <c r="R55" s="135">
        <v>106</v>
      </c>
      <c r="S55" s="135">
        <v>137</v>
      </c>
      <c r="T55" s="135">
        <v>174</v>
      </c>
      <c r="U55" s="135">
        <v>218</v>
      </c>
    </row>
    <row r="56" spans="2:21" ht="14.25">
      <c r="B56" s="131">
        <v>50</v>
      </c>
      <c r="C56" s="132">
        <v>0.28299999999999997</v>
      </c>
      <c r="D56" s="133">
        <v>152</v>
      </c>
      <c r="E56" s="134">
        <v>0.255</v>
      </c>
      <c r="F56" s="135">
        <v>87</v>
      </c>
      <c r="G56" s="135">
        <v>116</v>
      </c>
      <c r="H56" s="135">
        <v>152</v>
      </c>
      <c r="I56" s="135">
        <v>194</v>
      </c>
      <c r="J56" s="135">
        <v>245</v>
      </c>
      <c r="L56" s="121"/>
      <c r="M56" s="131">
        <v>50</v>
      </c>
      <c r="N56" s="132">
        <v>0.24099999999999999</v>
      </c>
      <c r="O56" s="133">
        <v>135</v>
      </c>
      <c r="P56" s="134">
        <v>0.248</v>
      </c>
      <c r="Q56" s="135">
        <v>80</v>
      </c>
      <c r="R56" s="135">
        <v>105</v>
      </c>
      <c r="S56" s="135">
        <v>135</v>
      </c>
      <c r="T56" s="135">
        <v>172</v>
      </c>
      <c r="U56" s="135">
        <v>216</v>
      </c>
    </row>
    <row r="57" spans="2:21" ht="14.25">
      <c r="B57" s="131">
        <v>51</v>
      </c>
      <c r="C57" s="132">
        <v>0.27600000000000002</v>
      </c>
      <c r="D57" s="133">
        <v>151</v>
      </c>
      <c r="E57" s="134">
        <v>0.25600000000000001</v>
      </c>
      <c r="F57" s="135">
        <v>87</v>
      </c>
      <c r="G57" s="135">
        <v>115</v>
      </c>
      <c r="H57" s="135">
        <v>151</v>
      </c>
      <c r="I57" s="135">
        <v>193</v>
      </c>
      <c r="J57" s="135">
        <v>243</v>
      </c>
      <c r="L57" s="121"/>
      <c r="M57" s="131">
        <v>51</v>
      </c>
      <c r="N57" s="132">
        <v>0.23300000000000001</v>
      </c>
      <c r="O57" s="133">
        <v>134</v>
      </c>
      <c r="P57" s="134">
        <v>0.25</v>
      </c>
      <c r="Q57" s="135">
        <v>79</v>
      </c>
      <c r="R57" s="135">
        <v>104</v>
      </c>
      <c r="S57" s="135">
        <v>134</v>
      </c>
      <c r="T57" s="135">
        <v>171</v>
      </c>
      <c r="U57" s="135">
        <v>215</v>
      </c>
    </row>
    <row r="58" spans="2:21" ht="14.25">
      <c r="B58" s="131">
        <v>52</v>
      </c>
      <c r="C58" s="132">
        <v>0.27200000000000002</v>
      </c>
      <c r="D58" s="133">
        <v>149</v>
      </c>
      <c r="E58" s="134">
        <v>0.25700000000000001</v>
      </c>
      <c r="F58" s="135">
        <v>86</v>
      </c>
      <c r="G58" s="135">
        <v>114</v>
      </c>
      <c r="H58" s="135">
        <v>149</v>
      </c>
      <c r="I58" s="135">
        <v>192</v>
      </c>
      <c r="J58" s="135">
        <v>242</v>
      </c>
      <c r="L58" s="121"/>
      <c r="M58" s="131">
        <v>52</v>
      </c>
      <c r="N58" s="132">
        <v>0.22500000000000001</v>
      </c>
      <c r="O58" s="133">
        <v>133</v>
      </c>
      <c r="P58" s="134">
        <v>0.251</v>
      </c>
      <c r="Q58" s="135">
        <v>78</v>
      </c>
      <c r="R58" s="135">
        <v>102</v>
      </c>
      <c r="S58" s="135">
        <v>133</v>
      </c>
      <c r="T58" s="135">
        <v>169</v>
      </c>
      <c r="U58" s="135">
        <v>213</v>
      </c>
    </row>
    <row r="59" spans="2:21" ht="14.25">
      <c r="B59" s="131">
        <v>53</v>
      </c>
      <c r="C59" s="132">
        <v>0.26900000000000002</v>
      </c>
      <c r="D59" s="133">
        <v>148</v>
      </c>
      <c r="E59" s="134">
        <v>0.25800000000000001</v>
      </c>
      <c r="F59" s="135">
        <v>85</v>
      </c>
      <c r="G59" s="135">
        <v>114</v>
      </c>
      <c r="H59" s="135">
        <v>148</v>
      </c>
      <c r="I59" s="135">
        <v>190</v>
      </c>
      <c r="J59" s="135">
        <v>240</v>
      </c>
      <c r="L59" s="121"/>
      <c r="M59" s="131">
        <v>53</v>
      </c>
      <c r="N59" s="132">
        <v>0.216</v>
      </c>
      <c r="O59" s="133">
        <v>131</v>
      </c>
      <c r="P59" s="134">
        <v>0.253</v>
      </c>
      <c r="Q59" s="135">
        <v>77</v>
      </c>
      <c r="R59" s="135">
        <v>101</v>
      </c>
      <c r="S59" s="135">
        <v>131</v>
      </c>
      <c r="T59" s="135">
        <v>168</v>
      </c>
      <c r="U59" s="135">
        <v>212</v>
      </c>
    </row>
    <row r="60" spans="2:21" ht="14.25">
      <c r="B60" s="131">
        <v>54</v>
      </c>
      <c r="C60" s="132">
        <v>0.26700000000000002</v>
      </c>
      <c r="D60" s="133">
        <v>147</v>
      </c>
      <c r="E60" s="134">
        <v>0.25900000000000001</v>
      </c>
      <c r="F60" s="135">
        <v>84</v>
      </c>
      <c r="G60" s="135">
        <v>113</v>
      </c>
      <c r="H60" s="135">
        <v>147</v>
      </c>
      <c r="I60" s="135">
        <v>189</v>
      </c>
      <c r="J60" s="135">
        <v>239</v>
      </c>
      <c r="L60" s="121"/>
      <c r="M60" s="131">
        <v>54</v>
      </c>
      <c r="N60" s="132">
        <v>0.20799999999999999</v>
      </c>
      <c r="O60" s="133">
        <v>130</v>
      </c>
      <c r="P60" s="134">
        <v>0.254</v>
      </c>
      <c r="Q60" s="135">
        <v>76</v>
      </c>
      <c r="R60" s="135">
        <v>100</v>
      </c>
      <c r="S60" s="135">
        <v>130</v>
      </c>
      <c r="T60" s="135">
        <v>167</v>
      </c>
      <c r="U60" s="135">
        <v>211</v>
      </c>
    </row>
    <row r="61" spans="2:21" ht="14.25">
      <c r="B61" s="131">
        <v>55</v>
      </c>
      <c r="C61" s="132">
        <v>0.26800000000000002</v>
      </c>
      <c r="D61" s="133">
        <v>146</v>
      </c>
      <c r="E61" s="134">
        <v>0.26</v>
      </c>
      <c r="F61" s="135">
        <v>84</v>
      </c>
      <c r="G61" s="135">
        <v>112</v>
      </c>
      <c r="H61" s="135">
        <v>146</v>
      </c>
      <c r="I61" s="135">
        <v>188</v>
      </c>
      <c r="J61" s="135">
        <v>238</v>
      </c>
      <c r="L61" s="121"/>
      <c r="M61" s="131">
        <v>55</v>
      </c>
      <c r="N61" s="132">
        <v>0.2</v>
      </c>
      <c r="O61" s="133">
        <v>129</v>
      </c>
      <c r="P61" s="134">
        <v>0.25600000000000001</v>
      </c>
      <c r="Q61" s="135">
        <v>75</v>
      </c>
      <c r="R61" s="135">
        <v>99</v>
      </c>
      <c r="S61" s="135">
        <v>129</v>
      </c>
      <c r="T61" s="135">
        <v>165</v>
      </c>
      <c r="U61" s="135">
        <v>210</v>
      </c>
    </row>
    <row r="62" spans="2:21" ht="14.25">
      <c r="B62" s="131">
        <v>56</v>
      </c>
      <c r="C62" s="132">
        <v>0.27</v>
      </c>
      <c r="D62" s="133">
        <v>145</v>
      </c>
      <c r="E62" s="134">
        <v>0.26100000000000001</v>
      </c>
      <c r="F62" s="135">
        <v>83</v>
      </c>
      <c r="G62" s="135">
        <v>111</v>
      </c>
      <c r="H62" s="135">
        <v>145</v>
      </c>
      <c r="I62" s="135">
        <v>187</v>
      </c>
      <c r="J62" s="135">
        <v>237</v>
      </c>
      <c r="L62" s="121"/>
      <c r="M62" s="131">
        <v>56</v>
      </c>
      <c r="N62" s="132">
        <v>0.193</v>
      </c>
      <c r="O62" s="133">
        <v>128</v>
      </c>
      <c r="P62" s="134">
        <v>0.25700000000000001</v>
      </c>
      <c r="Q62" s="135">
        <v>74</v>
      </c>
      <c r="R62" s="135">
        <v>98</v>
      </c>
      <c r="S62" s="135">
        <v>128</v>
      </c>
      <c r="T62" s="135">
        <v>164</v>
      </c>
      <c r="U62" s="135">
        <v>208</v>
      </c>
    </row>
    <row r="63" spans="2:21" ht="14.25">
      <c r="B63" s="131">
        <v>57</v>
      </c>
      <c r="C63" s="132">
        <v>0.27400000000000002</v>
      </c>
      <c r="D63" s="133">
        <v>144</v>
      </c>
      <c r="E63" s="134">
        <v>0.26300000000000001</v>
      </c>
      <c r="F63" s="135">
        <v>82</v>
      </c>
      <c r="G63" s="135">
        <v>110</v>
      </c>
      <c r="H63" s="135">
        <v>144</v>
      </c>
      <c r="I63" s="135">
        <v>186</v>
      </c>
      <c r="J63" s="135">
        <v>236</v>
      </c>
      <c r="L63" s="121"/>
      <c r="M63" s="131">
        <v>57</v>
      </c>
      <c r="N63" s="132">
        <v>0.186</v>
      </c>
      <c r="O63" s="133">
        <v>126</v>
      </c>
      <c r="P63" s="134">
        <v>0.25900000000000001</v>
      </c>
      <c r="Q63" s="135">
        <v>73</v>
      </c>
      <c r="R63" s="135">
        <v>97</v>
      </c>
      <c r="S63" s="135">
        <v>126</v>
      </c>
      <c r="T63" s="135">
        <v>162</v>
      </c>
      <c r="U63" s="135">
        <v>207</v>
      </c>
    </row>
    <row r="64" spans="2:21" ht="14.25">
      <c r="B64" s="131">
        <v>58</v>
      </c>
      <c r="C64" s="132">
        <v>0.28100000000000003</v>
      </c>
      <c r="D64" s="133">
        <v>143</v>
      </c>
      <c r="E64" s="134">
        <v>0.26400000000000001</v>
      </c>
      <c r="F64" s="135">
        <v>81</v>
      </c>
      <c r="G64" s="135">
        <v>109</v>
      </c>
      <c r="H64" s="135">
        <v>143</v>
      </c>
      <c r="I64" s="135">
        <v>185</v>
      </c>
      <c r="J64" s="135">
        <v>235</v>
      </c>
      <c r="L64" s="121"/>
      <c r="M64" s="131">
        <v>58</v>
      </c>
      <c r="N64" s="132">
        <v>0.18</v>
      </c>
      <c r="O64" s="133">
        <v>125</v>
      </c>
      <c r="P64" s="134">
        <v>0.26</v>
      </c>
      <c r="Q64" s="135">
        <v>72</v>
      </c>
      <c r="R64" s="135">
        <v>95</v>
      </c>
      <c r="S64" s="135">
        <v>125</v>
      </c>
      <c r="T64" s="135">
        <v>161</v>
      </c>
      <c r="U64" s="135">
        <v>205</v>
      </c>
    </row>
    <row r="65" spans="2:21" ht="14.25">
      <c r="B65" s="131">
        <v>59</v>
      </c>
      <c r="C65" s="132">
        <v>0.28899999999999998</v>
      </c>
      <c r="D65" s="133">
        <v>142</v>
      </c>
      <c r="E65" s="134">
        <v>0.26600000000000001</v>
      </c>
      <c r="F65" s="135">
        <v>80</v>
      </c>
      <c r="G65" s="135">
        <v>108</v>
      </c>
      <c r="H65" s="135">
        <v>142</v>
      </c>
      <c r="I65" s="135">
        <v>184</v>
      </c>
      <c r="J65" s="135">
        <v>233</v>
      </c>
      <c r="L65" s="121"/>
      <c r="M65" s="131">
        <v>59</v>
      </c>
      <c r="N65" s="132">
        <v>0.17599999999999999</v>
      </c>
      <c r="O65" s="133">
        <v>123</v>
      </c>
      <c r="P65" s="134">
        <v>0.26200000000000001</v>
      </c>
      <c r="Q65" s="135">
        <v>71</v>
      </c>
      <c r="R65" s="135">
        <v>94</v>
      </c>
      <c r="S65" s="135">
        <v>123</v>
      </c>
      <c r="T65" s="135">
        <v>159</v>
      </c>
      <c r="U65" s="135">
        <v>203</v>
      </c>
    </row>
    <row r="66" spans="2:21" ht="14.25">
      <c r="B66" s="131">
        <v>60</v>
      </c>
      <c r="C66" s="132">
        <v>0.3</v>
      </c>
      <c r="D66" s="133">
        <v>141</v>
      </c>
      <c r="E66" s="134">
        <v>0.26800000000000002</v>
      </c>
      <c r="F66" s="135">
        <v>79</v>
      </c>
      <c r="G66" s="135">
        <v>107</v>
      </c>
      <c r="H66" s="135">
        <v>141</v>
      </c>
      <c r="I66" s="135">
        <v>182</v>
      </c>
      <c r="J66" s="135">
        <v>232</v>
      </c>
      <c r="L66" s="121"/>
      <c r="M66" s="131">
        <v>60</v>
      </c>
      <c r="N66" s="132">
        <v>0.17199999999999999</v>
      </c>
      <c r="O66" s="133">
        <v>121</v>
      </c>
      <c r="P66" s="134">
        <v>0.26300000000000001</v>
      </c>
      <c r="Q66" s="135">
        <v>70</v>
      </c>
      <c r="R66" s="135">
        <v>93</v>
      </c>
      <c r="S66" s="135">
        <v>121</v>
      </c>
      <c r="T66" s="135">
        <v>157</v>
      </c>
      <c r="U66" s="135">
        <v>201</v>
      </c>
    </row>
    <row r="67" spans="2:21" ht="14.25">
      <c r="B67" s="131">
        <v>61</v>
      </c>
      <c r="C67" s="132">
        <v>0.312</v>
      </c>
      <c r="D67" s="133">
        <v>140</v>
      </c>
      <c r="E67" s="134">
        <v>0.27</v>
      </c>
      <c r="F67" s="135">
        <v>77</v>
      </c>
      <c r="G67" s="135">
        <v>105</v>
      </c>
      <c r="H67" s="135">
        <v>140</v>
      </c>
      <c r="I67" s="135">
        <v>181</v>
      </c>
      <c r="J67" s="135">
        <v>230</v>
      </c>
      <c r="L67" s="121"/>
      <c r="M67" s="131">
        <v>61</v>
      </c>
      <c r="N67" s="132">
        <v>0.17</v>
      </c>
      <c r="O67" s="133">
        <v>120</v>
      </c>
      <c r="P67" s="134">
        <v>0.26400000000000001</v>
      </c>
      <c r="Q67" s="135">
        <v>69</v>
      </c>
      <c r="R67" s="135">
        <v>91</v>
      </c>
      <c r="S67" s="135">
        <v>120</v>
      </c>
      <c r="T67" s="135">
        <v>155</v>
      </c>
      <c r="U67" s="135">
        <v>198</v>
      </c>
    </row>
    <row r="68" spans="2:21" ht="14.25">
      <c r="B68" s="131">
        <v>62</v>
      </c>
      <c r="C68" s="132">
        <v>0.32700000000000001</v>
      </c>
      <c r="D68" s="133">
        <v>138</v>
      </c>
      <c r="E68" s="134">
        <v>0.27200000000000002</v>
      </c>
      <c r="F68" s="135">
        <v>76</v>
      </c>
      <c r="G68" s="135">
        <v>104</v>
      </c>
      <c r="H68" s="135">
        <v>138</v>
      </c>
      <c r="I68" s="135">
        <v>180</v>
      </c>
      <c r="J68" s="135">
        <v>228</v>
      </c>
      <c r="L68" s="121"/>
      <c r="M68" s="131">
        <v>62</v>
      </c>
      <c r="N68" s="132">
        <v>0.16800000000000001</v>
      </c>
      <c r="O68" s="133">
        <v>118</v>
      </c>
      <c r="P68" s="134">
        <v>0.26600000000000001</v>
      </c>
      <c r="Q68" s="135">
        <v>68</v>
      </c>
      <c r="R68" s="135">
        <v>90</v>
      </c>
      <c r="S68" s="135">
        <v>118</v>
      </c>
      <c r="T68" s="135">
        <v>153</v>
      </c>
      <c r="U68" s="135">
        <v>196</v>
      </c>
    </row>
    <row r="69" spans="2:21" ht="14.25">
      <c r="B69" s="131">
        <v>63</v>
      </c>
      <c r="C69" s="132">
        <v>0.34399999999999997</v>
      </c>
      <c r="D69" s="133">
        <v>137</v>
      </c>
      <c r="E69" s="134">
        <v>0.27400000000000002</v>
      </c>
      <c r="F69" s="135">
        <v>75</v>
      </c>
      <c r="G69" s="135">
        <v>103</v>
      </c>
      <c r="H69" s="135">
        <v>137</v>
      </c>
      <c r="I69" s="135">
        <v>178</v>
      </c>
      <c r="J69" s="135">
        <v>226</v>
      </c>
      <c r="L69" s="121"/>
      <c r="M69" s="131">
        <v>63</v>
      </c>
      <c r="N69" s="132">
        <v>0.16700000000000001</v>
      </c>
      <c r="O69" s="133">
        <v>116</v>
      </c>
      <c r="P69" s="134">
        <v>0.26700000000000002</v>
      </c>
      <c r="Q69" s="135">
        <v>66</v>
      </c>
      <c r="R69" s="135">
        <v>88</v>
      </c>
      <c r="S69" s="135">
        <v>116</v>
      </c>
      <c r="T69" s="135">
        <v>151</v>
      </c>
      <c r="U69" s="135">
        <v>194</v>
      </c>
    </row>
    <row r="70" spans="2:21" ht="14.25">
      <c r="B70" s="131">
        <v>64</v>
      </c>
      <c r="C70" s="132">
        <v>0.36299999999999999</v>
      </c>
      <c r="D70" s="133">
        <v>135</v>
      </c>
      <c r="E70" s="134">
        <v>0.27600000000000002</v>
      </c>
      <c r="F70" s="135">
        <v>73</v>
      </c>
      <c r="G70" s="135">
        <v>101</v>
      </c>
      <c r="H70" s="135">
        <v>135</v>
      </c>
      <c r="I70" s="135">
        <v>176</v>
      </c>
      <c r="J70" s="135">
        <v>224</v>
      </c>
      <c r="L70" s="121"/>
      <c r="M70" s="131">
        <v>64</v>
      </c>
      <c r="N70" s="132">
        <v>0.16800000000000001</v>
      </c>
      <c r="O70" s="133">
        <v>114</v>
      </c>
      <c r="P70" s="134">
        <v>0.26900000000000002</v>
      </c>
      <c r="Q70" s="135">
        <v>65</v>
      </c>
      <c r="R70" s="135">
        <v>87</v>
      </c>
      <c r="S70" s="135">
        <v>114</v>
      </c>
      <c r="T70" s="135">
        <v>149</v>
      </c>
      <c r="U70" s="135">
        <v>191</v>
      </c>
    </row>
    <row r="71" spans="2:21" ht="14.25">
      <c r="B71" s="131">
        <v>65</v>
      </c>
      <c r="C71" s="132">
        <v>0.38300000000000001</v>
      </c>
      <c r="D71" s="133">
        <v>134</v>
      </c>
      <c r="E71" s="134">
        <v>0.27800000000000002</v>
      </c>
      <c r="F71" s="135">
        <v>72</v>
      </c>
      <c r="G71" s="135">
        <v>100</v>
      </c>
      <c r="H71" s="135">
        <v>134</v>
      </c>
      <c r="I71" s="135">
        <v>174</v>
      </c>
      <c r="J71" s="135">
        <v>221</v>
      </c>
      <c r="L71" s="121"/>
      <c r="M71" s="131">
        <v>65</v>
      </c>
      <c r="N71" s="132">
        <v>0.16900000000000001</v>
      </c>
      <c r="O71" s="133">
        <v>112</v>
      </c>
      <c r="P71" s="134">
        <v>0.27</v>
      </c>
      <c r="Q71" s="135">
        <v>64</v>
      </c>
      <c r="R71" s="135">
        <v>85</v>
      </c>
      <c r="S71" s="135">
        <v>112</v>
      </c>
      <c r="T71" s="135">
        <v>146</v>
      </c>
      <c r="U71" s="135">
        <v>188</v>
      </c>
    </row>
    <row r="72" spans="2:21" ht="14.25">
      <c r="B72" s="131">
        <v>66</v>
      </c>
      <c r="C72" s="132">
        <v>0.40500000000000003</v>
      </c>
      <c r="D72" s="133">
        <v>132</v>
      </c>
      <c r="E72" s="134">
        <v>0.28000000000000003</v>
      </c>
      <c r="F72" s="135">
        <v>70</v>
      </c>
      <c r="G72" s="135">
        <v>98</v>
      </c>
      <c r="H72" s="135">
        <v>132</v>
      </c>
      <c r="I72" s="135">
        <v>172</v>
      </c>
      <c r="J72" s="135">
        <v>219</v>
      </c>
      <c r="L72" s="121"/>
      <c r="M72" s="131">
        <v>66</v>
      </c>
      <c r="N72" s="132">
        <v>0.17</v>
      </c>
      <c r="O72" s="133">
        <v>110</v>
      </c>
      <c r="P72" s="134">
        <v>0.27200000000000002</v>
      </c>
      <c r="Q72" s="135">
        <v>62</v>
      </c>
      <c r="R72" s="135">
        <v>84</v>
      </c>
      <c r="S72" s="135">
        <v>110</v>
      </c>
      <c r="T72" s="135">
        <v>144</v>
      </c>
      <c r="U72" s="135">
        <v>186</v>
      </c>
    </row>
    <row r="73" spans="2:21" ht="14.25">
      <c r="B73" s="131">
        <v>67</v>
      </c>
      <c r="C73" s="132">
        <v>0.42799999999999999</v>
      </c>
      <c r="D73" s="133">
        <v>130</v>
      </c>
      <c r="E73" s="134">
        <v>0.28199999999999997</v>
      </c>
      <c r="F73" s="135">
        <v>68</v>
      </c>
      <c r="G73" s="135">
        <v>96</v>
      </c>
      <c r="H73" s="135">
        <v>130</v>
      </c>
      <c r="I73" s="135">
        <v>170</v>
      </c>
      <c r="J73" s="135">
        <v>216</v>
      </c>
      <c r="L73" s="121"/>
      <c r="M73" s="131">
        <v>67</v>
      </c>
      <c r="N73" s="132">
        <v>0.17299999999999999</v>
      </c>
      <c r="O73" s="133">
        <v>109</v>
      </c>
      <c r="P73" s="134">
        <v>0.27300000000000002</v>
      </c>
      <c r="Q73" s="135">
        <v>61</v>
      </c>
      <c r="R73" s="135">
        <v>82</v>
      </c>
      <c r="S73" s="135">
        <v>109</v>
      </c>
      <c r="T73" s="135">
        <v>142</v>
      </c>
      <c r="U73" s="135">
        <v>183</v>
      </c>
    </row>
    <row r="74" spans="2:21" ht="14.25">
      <c r="B74" s="131">
        <v>68</v>
      </c>
      <c r="C74" s="132">
        <v>0.45300000000000001</v>
      </c>
      <c r="D74" s="133">
        <v>128</v>
      </c>
      <c r="E74" s="134">
        <v>0.28399999999999997</v>
      </c>
      <c r="F74" s="135">
        <v>66</v>
      </c>
      <c r="G74" s="135">
        <v>95</v>
      </c>
      <c r="H74" s="135">
        <v>128</v>
      </c>
      <c r="I74" s="135">
        <v>168</v>
      </c>
      <c r="J74" s="135">
        <v>213</v>
      </c>
      <c r="L74" s="121"/>
      <c r="M74" s="131">
        <v>68</v>
      </c>
      <c r="N74" s="132">
        <v>0.17699999999999999</v>
      </c>
      <c r="O74" s="133">
        <v>107</v>
      </c>
      <c r="P74" s="134">
        <v>0.27500000000000002</v>
      </c>
      <c r="Q74" s="135">
        <v>60</v>
      </c>
      <c r="R74" s="135">
        <v>80</v>
      </c>
      <c r="S74" s="135">
        <v>107</v>
      </c>
      <c r="T74" s="135">
        <v>139</v>
      </c>
      <c r="U74" s="135">
        <v>180</v>
      </c>
    </row>
    <row r="75" spans="2:21" ht="14.25">
      <c r="B75" s="131">
        <v>69</v>
      </c>
      <c r="C75" s="132">
        <v>0.47899999999999998</v>
      </c>
      <c r="D75" s="133">
        <v>126</v>
      </c>
      <c r="E75" s="134">
        <v>0.28699999999999998</v>
      </c>
      <c r="F75" s="135">
        <v>65</v>
      </c>
      <c r="G75" s="135">
        <v>93</v>
      </c>
      <c r="H75" s="135">
        <v>126</v>
      </c>
      <c r="I75" s="135">
        <v>165</v>
      </c>
      <c r="J75" s="135">
        <v>209</v>
      </c>
      <c r="L75" s="121"/>
      <c r="M75" s="131">
        <v>69</v>
      </c>
      <c r="N75" s="132">
        <v>0.18099999999999999</v>
      </c>
      <c r="O75" s="133">
        <v>105</v>
      </c>
      <c r="P75" s="134">
        <v>0.27600000000000002</v>
      </c>
      <c r="Q75" s="135">
        <v>59</v>
      </c>
      <c r="R75" s="135">
        <v>79</v>
      </c>
      <c r="S75" s="135">
        <v>105</v>
      </c>
      <c r="T75" s="135">
        <v>137</v>
      </c>
      <c r="U75" s="135">
        <v>177</v>
      </c>
    </row>
    <row r="76" spans="2:21" ht="14.25">
      <c r="B76" s="131">
        <v>70</v>
      </c>
      <c r="C76" s="132">
        <v>0.50600000000000001</v>
      </c>
      <c r="D76" s="133">
        <v>124</v>
      </c>
      <c r="E76" s="134">
        <v>0.28899999999999998</v>
      </c>
      <c r="F76" s="135">
        <v>63</v>
      </c>
      <c r="G76" s="135">
        <v>91</v>
      </c>
      <c r="H76" s="135">
        <v>124</v>
      </c>
      <c r="I76" s="135">
        <v>162</v>
      </c>
      <c r="J76" s="135">
        <v>206</v>
      </c>
      <c r="L76" s="121"/>
      <c r="M76" s="131">
        <v>70</v>
      </c>
      <c r="N76" s="132">
        <v>0.185</v>
      </c>
      <c r="O76" s="133">
        <v>103</v>
      </c>
      <c r="P76" s="134">
        <v>0.27800000000000002</v>
      </c>
      <c r="Q76" s="135">
        <v>57</v>
      </c>
      <c r="R76" s="135">
        <v>77</v>
      </c>
      <c r="S76" s="135">
        <v>103</v>
      </c>
      <c r="T76" s="135">
        <v>135</v>
      </c>
      <c r="U76" s="135">
        <v>175</v>
      </c>
    </row>
    <row r="77" spans="2:21" ht="14.25">
      <c r="B77" s="131">
        <v>71</v>
      </c>
      <c r="C77" s="132">
        <v>0.53300000000000003</v>
      </c>
      <c r="D77" s="133">
        <v>122</v>
      </c>
      <c r="E77" s="134">
        <v>0.29099999999999998</v>
      </c>
      <c r="F77" s="135">
        <v>61</v>
      </c>
      <c r="G77" s="135">
        <v>89</v>
      </c>
      <c r="H77" s="135">
        <v>122</v>
      </c>
      <c r="I77" s="135">
        <v>160</v>
      </c>
      <c r="J77" s="135">
        <v>202</v>
      </c>
      <c r="L77" s="121"/>
      <c r="M77" s="131">
        <v>71</v>
      </c>
      <c r="N77" s="132">
        <v>0.189</v>
      </c>
      <c r="O77" s="133">
        <v>101</v>
      </c>
      <c r="P77" s="134">
        <v>0.27900000000000003</v>
      </c>
      <c r="Q77" s="135">
        <v>56</v>
      </c>
      <c r="R77" s="135">
        <v>76</v>
      </c>
      <c r="S77" s="135">
        <v>101</v>
      </c>
      <c r="T77" s="135">
        <v>133</v>
      </c>
      <c r="U77" s="135">
        <v>172</v>
      </c>
    </row>
    <row r="78" spans="2:21" ht="14.25">
      <c r="B78" s="131">
        <v>72</v>
      </c>
      <c r="C78" s="132">
        <v>0.56200000000000006</v>
      </c>
      <c r="D78" s="133">
        <v>119</v>
      </c>
      <c r="E78" s="134">
        <v>0.29399999999999998</v>
      </c>
      <c r="F78" s="135">
        <v>58</v>
      </c>
      <c r="G78" s="135">
        <v>87</v>
      </c>
      <c r="H78" s="135">
        <v>119</v>
      </c>
      <c r="I78" s="135">
        <v>157</v>
      </c>
      <c r="J78" s="135">
        <v>198</v>
      </c>
      <c r="L78" s="121"/>
      <c r="M78" s="131">
        <v>72</v>
      </c>
      <c r="N78" s="132">
        <v>0.19400000000000001</v>
      </c>
      <c r="O78" s="133">
        <v>100</v>
      </c>
      <c r="P78" s="134">
        <v>0.28100000000000003</v>
      </c>
      <c r="Q78" s="135">
        <v>55</v>
      </c>
      <c r="R78" s="135">
        <v>75</v>
      </c>
      <c r="S78" s="135">
        <v>100</v>
      </c>
      <c r="T78" s="135">
        <v>131</v>
      </c>
      <c r="U78" s="135">
        <v>170</v>
      </c>
    </row>
    <row r="79" spans="2:21" ht="14.25">
      <c r="B79" s="131">
        <v>73</v>
      </c>
      <c r="C79" s="132">
        <v>0.59099999999999997</v>
      </c>
      <c r="D79" s="133">
        <v>117</v>
      </c>
      <c r="E79" s="134">
        <v>0.29599999999999999</v>
      </c>
      <c r="F79" s="135">
        <v>56</v>
      </c>
      <c r="G79" s="135">
        <v>84</v>
      </c>
      <c r="H79" s="135">
        <v>117</v>
      </c>
      <c r="I79" s="135">
        <v>153</v>
      </c>
      <c r="J79" s="135">
        <v>194</v>
      </c>
      <c r="L79" s="121"/>
      <c r="M79" s="131">
        <v>73</v>
      </c>
      <c r="N79" s="132">
        <v>0.19900000000000001</v>
      </c>
      <c r="O79" s="133">
        <v>98</v>
      </c>
      <c r="P79" s="134">
        <v>0.28199999999999997</v>
      </c>
      <c r="Q79" s="135">
        <v>54</v>
      </c>
      <c r="R79" s="135">
        <v>73</v>
      </c>
      <c r="S79" s="135">
        <v>98</v>
      </c>
      <c r="T79" s="135">
        <v>129</v>
      </c>
      <c r="U79" s="135">
        <v>167</v>
      </c>
    </row>
    <row r="80" spans="2:21" ht="14.25">
      <c r="B80" s="131">
        <v>74</v>
      </c>
      <c r="C80" s="132">
        <v>0.62</v>
      </c>
      <c r="D80" s="133">
        <v>114</v>
      </c>
      <c r="E80" s="134">
        <v>0.29899999999999999</v>
      </c>
      <c r="F80" s="135">
        <v>54</v>
      </c>
      <c r="G80" s="135">
        <v>82</v>
      </c>
      <c r="H80" s="135">
        <v>114</v>
      </c>
      <c r="I80" s="135">
        <v>150</v>
      </c>
      <c r="J80" s="135">
        <v>190</v>
      </c>
      <c r="L80" s="121"/>
      <c r="M80" s="131">
        <v>74</v>
      </c>
      <c r="N80" s="132">
        <v>0.20300000000000001</v>
      </c>
      <c r="O80" s="133">
        <v>96</v>
      </c>
      <c r="P80" s="134">
        <v>0.28399999999999997</v>
      </c>
      <c r="Q80" s="135">
        <v>53</v>
      </c>
      <c r="R80" s="135">
        <v>72</v>
      </c>
      <c r="S80" s="135">
        <v>96</v>
      </c>
      <c r="T80" s="135">
        <v>127</v>
      </c>
      <c r="U80" s="135">
        <v>165</v>
      </c>
    </row>
    <row r="81" spans="2:21" ht="14.25">
      <c r="B81" s="131">
        <v>75</v>
      </c>
      <c r="C81" s="132">
        <v>0.65</v>
      </c>
      <c r="D81" s="133">
        <v>112</v>
      </c>
      <c r="E81" s="134">
        <v>0.30099999999999999</v>
      </c>
      <c r="F81" s="135">
        <v>52</v>
      </c>
      <c r="G81" s="135">
        <v>80</v>
      </c>
      <c r="H81" s="135">
        <v>112</v>
      </c>
      <c r="I81" s="135">
        <v>147</v>
      </c>
      <c r="J81" s="135">
        <v>185</v>
      </c>
      <c r="L81" s="121"/>
      <c r="M81" s="131">
        <v>75</v>
      </c>
      <c r="N81" s="132">
        <v>0.20799999999999999</v>
      </c>
      <c r="O81" s="133">
        <v>95</v>
      </c>
      <c r="P81" s="134">
        <v>0.28599999999999998</v>
      </c>
      <c r="Q81" s="135">
        <v>52</v>
      </c>
      <c r="R81" s="135">
        <v>71</v>
      </c>
      <c r="S81" s="135">
        <v>95</v>
      </c>
      <c r="T81" s="135">
        <v>125</v>
      </c>
      <c r="U81" s="135">
        <v>163</v>
      </c>
    </row>
    <row r="82" spans="2:21" ht="14.25">
      <c r="B82" s="131">
        <v>76</v>
      </c>
      <c r="C82" s="132">
        <v>0.68</v>
      </c>
      <c r="D82" s="133">
        <v>109</v>
      </c>
      <c r="E82" s="134">
        <v>0.30299999999999999</v>
      </c>
      <c r="F82" s="135">
        <v>50</v>
      </c>
      <c r="G82" s="135">
        <v>78</v>
      </c>
      <c r="H82" s="135">
        <v>109</v>
      </c>
      <c r="I82" s="135">
        <v>144</v>
      </c>
      <c r="J82" s="135">
        <v>181</v>
      </c>
      <c r="L82" s="121"/>
      <c r="M82" s="131">
        <v>76</v>
      </c>
      <c r="N82" s="132">
        <v>0.21199999999999999</v>
      </c>
      <c r="O82" s="133">
        <v>93</v>
      </c>
      <c r="P82" s="134">
        <v>0.28699999999999998</v>
      </c>
      <c r="Q82" s="135">
        <v>50</v>
      </c>
      <c r="R82" s="135">
        <v>69</v>
      </c>
      <c r="S82" s="135">
        <v>93</v>
      </c>
      <c r="T82" s="135">
        <v>123</v>
      </c>
      <c r="U82" s="135">
        <v>160</v>
      </c>
    </row>
    <row r="83" spans="2:21" ht="14.25">
      <c r="B83" s="136">
        <v>77</v>
      </c>
      <c r="C83" s="137">
        <v>0.71</v>
      </c>
      <c r="D83" s="138">
        <v>106</v>
      </c>
      <c r="E83" s="139">
        <v>0.30599999999999999</v>
      </c>
      <c r="F83" s="140">
        <v>48</v>
      </c>
      <c r="G83" s="140">
        <v>75</v>
      </c>
      <c r="H83" s="140">
        <v>106</v>
      </c>
      <c r="I83" s="140">
        <v>140</v>
      </c>
      <c r="J83" s="140">
        <v>177</v>
      </c>
      <c r="L83" s="121"/>
      <c r="M83" s="136">
        <v>77</v>
      </c>
      <c r="N83" s="137">
        <v>0.217</v>
      </c>
      <c r="O83" s="138">
        <v>92</v>
      </c>
      <c r="P83" s="139">
        <v>0.28899999999999998</v>
      </c>
      <c r="Q83" s="140">
        <v>49</v>
      </c>
      <c r="R83" s="140">
        <v>68</v>
      </c>
      <c r="S83" s="140">
        <v>92</v>
      </c>
      <c r="T83" s="140">
        <v>121</v>
      </c>
      <c r="U83" s="140">
        <v>158</v>
      </c>
    </row>
  </sheetData>
  <sheetProtection password="8E09" sheet="1" objects="1" scenarios="1" selectLockedCells="1" selectUnlockedCells="1"/>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35"/>
  <sheetViews>
    <sheetView workbookViewId="0">
      <selection activeCell="C4" sqref="C4"/>
    </sheetView>
  </sheetViews>
  <sheetFormatPr defaultRowHeight="13.5"/>
  <cols>
    <col min="1" max="1" width="4.5" customWidth="1"/>
    <col min="2" max="2" width="26.125" customWidth="1"/>
    <col min="3" max="3" width="18" customWidth="1"/>
    <col min="4" max="4" width="2.125" customWidth="1"/>
    <col min="5" max="5" width="26.125" customWidth="1"/>
    <col min="6" max="6" width="18" customWidth="1"/>
    <col min="7" max="7" width="2.5" customWidth="1"/>
    <col min="8" max="9" width="19.125" customWidth="1"/>
    <col min="12" max="12" width="9.875" bestFit="1" customWidth="1"/>
  </cols>
  <sheetData>
    <row r="1" spans="1:19">
      <c r="A1" s="4"/>
      <c r="B1" s="24"/>
      <c r="C1" s="24"/>
      <c r="D1" s="24"/>
      <c r="E1" s="24"/>
      <c r="F1" s="24"/>
      <c r="G1" s="24"/>
      <c r="H1" s="24"/>
      <c r="I1" s="24"/>
      <c r="J1" s="24"/>
      <c r="K1" s="24"/>
      <c r="L1" s="24"/>
      <c r="M1" s="24"/>
      <c r="N1" s="24"/>
      <c r="O1" s="24"/>
      <c r="P1" s="24"/>
      <c r="Q1" s="24"/>
    </row>
    <row r="2" spans="1:19">
      <c r="A2" s="4"/>
      <c r="B2" s="24"/>
      <c r="C2" s="24"/>
      <c r="D2" s="24"/>
      <c r="E2" s="24"/>
      <c r="F2" s="24"/>
      <c r="G2" s="24"/>
      <c r="H2" s="24"/>
      <c r="I2" s="24"/>
      <c r="J2" s="24"/>
      <c r="K2" s="24"/>
      <c r="L2" s="24"/>
      <c r="M2" s="24"/>
      <c r="N2" s="24"/>
      <c r="O2" s="24"/>
      <c r="P2" s="24"/>
      <c r="Q2" s="24"/>
    </row>
    <row r="3" spans="1:19" ht="25.5" customHeight="1">
      <c r="A3" s="4"/>
      <c r="B3" s="39" t="s">
        <v>21</v>
      </c>
      <c r="C3" s="167"/>
      <c r="D3" s="150"/>
      <c r="E3" s="24"/>
      <c r="F3" s="24"/>
      <c r="G3" s="24"/>
      <c r="H3" s="24"/>
      <c r="I3" s="24"/>
      <c r="J3" s="24"/>
      <c r="K3" s="24"/>
      <c r="L3" s="24"/>
      <c r="M3" s="24"/>
      <c r="N3" s="24"/>
      <c r="O3" s="24"/>
      <c r="P3" s="24"/>
      <c r="Q3" s="24"/>
    </row>
    <row r="4" spans="1:19" ht="25.5" customHeight="1">
      <c r="A4" s="4"/>
      <c r="B4" s="39" t="s">
        <v>179</v>
      </c>
      <c r="C4" s="167"/>
      <c r="D4" s="150"/>
      <c r="E4" s="24"/>
      <c r="F4" s="24"/>
      <c r="G4" s="24"/>
      <c r="H4" s="24"/>
      <c r="I4" s="24"/>
      <c r="J4" s="24"/>
      <c r="K4" s="24"/>
      <c r="L4" s="24"/>
      <c r="M4" s="24"/>
      <c r="N4" s="24"/>
      <c r="O4" s="24"/>
      <c r="P4" s="24"/>
      <c r="Q4" s="24"/>
    </row>
    <row r="5" spans="1:19" ht="25.5" customHeight="1">
      <c r="A5" s="4"/>
      <c r="B5" s="39" t="s">
        <v>180</v>
      </c>
      <c r="C5" s="168"/>
      <c r="D5" s="150"/>
      <c r="E5" s="24"/>
      <c r="G5" s="24"/>
      <c r="H5" s="170" t="s">
        <v>264</v>
      </c>
      <c r="I5" s="171"/>
      <c r="J5" s="24"/>
      <c r="K5" s="24"/>
      <c r="L5" s="24"/>
      <c r="M5" s="24"/>
      <c r="N5" s="24"/>
      <c r="O5" s="24"/>
      <c r="P5" s="24"/>
      <c r="Q5" s="24"/>
      <c r="R5" s="24"/>
      <c r="S5" s="27"/>
    </row>
    <row r="6" spans="1:19" ht="25.5" customHeight="1">
      <c r="A6" s="4"/>
      <c r="B6" s="39" t="s">
        <v>253</v>
      </c>
      <c r="C6" s="168"/>
      <c r="D6" s="150"/>
      <c r="E6" s="95" t="s">
        <v>254</v>
      </c>
      <c r="F6" s="168"/>
      <c r="G6" s="24"/>
      <c r="H6" s="165" t="s">
        <v>237</v>
      </c>
      <c r="I6" s="166" t="s">
        <v>209</v>
      </c>
      <c r="J6" s="24"/>
      <c r="K6" s="24"/>
      <c r="L6" s="24"/>
      <c r="M6" s="24"/>
      <c r="N6" s="24"/>
      <c r="O6" s="24"/>
      <c r="P6" s="24"/>
      <c r="Q6" s="24"/>
    </row>
    <row r="7" spans="1:19" ht="25.5" customHeight="1">
      <c r="A7" s="4"/>
      <c r="B7" s="39" t="s">
        <v>197</v>
      </c>
      <c r="C7" s="169"/>
      <c r="D7" s="150"/>
      <c r="E7" s="95" t="s">
        <v>197</v>
      </c>
      <c r="F7" s="169"/>
      <c r="G7" s="24"/>
      <c r="H7" s="158" t="str">
        <f>IF(COUNTA(C5:C7,F6,F7,C4)=6,+BMILMS!B59,"")</f>
        <v/>
      </c>
      <c r="I7" s="46" t="str">
        <f>IF(COUNTA(C4:C7,F6,F7)=6,+BMILMS!C62,"")</f>
        <v/>
      </c>
      <c r="J7" s="24"/>
      <c r="K7" s="24"/>
      <c r="L7" s="24"/>
      <c r="M7" s="24"/>
      <c r="N7" s="24"/>
      <c r="O7" s="24"/>
      <c r="P7" s="24"/>
      <c r="Q7" s="24"/>
    </row>
    <row r="8" spans="1:19" ht="25.5" customHeight="1">
      <c r="A8" s="4"/>
      <c r="B8" s="39" t="s">
        <v>198</v>
      </c>
      <c r="C8" s="169"/>
      <c r="D8" s="150"/>
      <c r="E8" s="95" t="s">
        <v>198</v>
      </c>
      <c r="F8" s="169"/>
      <c r="G8" s="24"/>
      <c r="J8" s="24"/>
      <c r="K8" s="24"/>
      <c r="L8" s="24"/>
      <c r="M8" s="24"/>
      <c r="N8" s="24"/>
      <c r="O8" s="24"/>
      <c r="P8" s="24"/>
      <c r="Q8" s="24"/>
    </row>
    <row r="9" spans="1:19" ht="18.75">
      <c r="A9" s="4"/>
      <c r="D9" s="150"/>
      <c r="E9" s="149"/>
      <c r="F9" s="24"/>
      <c r="G9" s="24"/>
      <c r="J9" s="24"/>
      <c r="K9" s="24"/>
      <c r="L9" s="24"/>
      <c r="M9" s="24"/>
      <c r="N9" s="24"/>
      <c r="O9" s="24"/>
      <c r="P9" s="24"/>
      <c r="Q9" s="24"/>
    </row>
    <row r="10" spans="1:19" ht="25.5" customHeight="1">
      <c r="A10" s="4"/>
      <c r="B10" s="39" t="s">
        <v>199</v>
      </c>
      <c r="C10" s="161" t="str">
        <f>IF(COUNTA(C5:C6)=2,DATEDIF(C5,C6,"Y")+(C6-(DATE(YEAR(C5)+DATEDIF(C5,C6,"Y"),MONTH(C5),DAY(C5))))/(365+IF(MOD(YEAR((DATE(YEAR(C6)-1,MONTH(C5),DAY(C5)))),4)=0,IF((DATE(YEAR(C6)-1,MONTH(C5),DAY(C5)))&gt;DATE(YEAR((DATE(YEAR(C6)-1,MONTH(C5),DAY(C5)))),2,29),0,1),0)+IF(MOD(YEAR(C6),4)=0,IF(C6&gt;DATE(YEAR(C6),2,29),1,0),0)),"")</f>
        <v/>
      </c>
      <c r="D10" s="150"/>
      <c r="E10" s="95" t="s">
        <v>199</v>
      </c>
      <c r="F10" s="161" t="str">
        <f>IF(COUNTA(C5,F6)=2,DATEDIF(C5,F6,"Y")+(F6-(DATE(YEAR(C5)+DATEDIF(C5,F6,"Y"),MONTH(C5),DAY(C5))))/(365+IF(MOD(YEAR((DATE(YEAR(F6)-1,MONTH(C5),DAY(C5)))),4)=0,IF((DATE(YEAR(F6)-1,MONTH(C5),DAY(C5)))&gt;DATE(YEAR((DATE(YEAR(F6)-1,MONTH(C5),DAY(C5)))),2,29),0,1),0)+IF(MOD(YEAR(F6),4)=0,IF(F6&gt;DATE(YEAR(F6),2,29),1,0),0)),"")</f>
        <v/>
      </c>
      <c r="G10" s="24"/>
      <c r="H10" s="163"/>
      <c r="J10" s="24"/>
      <c r="K10" s="24"/>
      <c r="L10" s="24"/>
      <c r="M10" s="24"/>
      <c r="N10" s="24"/>
      <c r="O10" s="24"/>
      <c r="P10" s="24"/>
      <c r="Q10" s="24"/>
    </row>
    <row r="11" spans="1:19" ht="25.5" customHeight="1">
      <c r="A11" s="4"/>
      <c r="B11" s="39" t="s">
        <v>55</v>
      </c>
      <c r="C11" s="45" t="str">
        <f>IF(COUNTA(C5:C6)=2,BMILMS!B45&amp;"歳 "&amp;BMILMS!C45&amp;"か月","")</f>
        <v/>
      </c>
      <c r="D11" s="150"/>
      <c r="E11" s="95" t="s">
        <v>55</v>
      </c>
      <c r="F11" s="45" t="str">
        <f>IF(COUNTA(C5,F6)=2,BMILMS!F45&amp;"歳 "&amp;BMILMS!G45&amp;"か月","")</f>
        <v/>
      </c>
      <c r="G11" s="24"/>
      <c r="J11" s="24"/>
      <c r="K11" s="24"/>
      <c r="L11" s="24"/>
      <c r="M11" s="24"/>
      <c r="N11" s="24"/>
      <c r="O11" s="24"/>
      <c r="P11" s="24"/>
      <c r="Q11" s="24"/>
    </row>
    <row r="12" spans="1:19" ht="25.5" customHeight="1">
      <c r="A12" s="4"/>
      <c r="B12" s="24"/>
      <c r="C12" s="1"/>
      <c r="D12" s="150"/>
      <c r="G12" s="24"/>
      <c r="J12" s="24"/>
      <c r="K12" s="24"/>
      <c r="L12" s="24"/>
      <c r="M12" s="24"/>
      <c r="N12" s="24"/>
      <c r="O12" s="24"/>
      <c r="P12" s="24"/>
      <c r="Q12" s="24"/>
    </row>
    <row r="13" spans="1:19" ht="25.5" customHeight="1">
      <c r="A13" s="4"/>
      <c r="B13" s="39" t="s">
        <v>30</v>
      </c>
      <c r="C13" s="46" t="str">
        <f>IF(COUNTA(C4:C7)=4,IF(C10&gt;17.583,"*",(C7-(INDEX(IF(C4="F",Hfemalemean,Hmalemean),BMILMS!C45+1,INT(C10)+1)))/(INDEX(IF(C4="F",Hfemalesd,Hmalesd),BMILMS!C45+1,INT(C10)+1))),"")</f>
        <v/>
      </c>
      <c r="D13" s="150"/>
      <c r="E13" s="39" t="s">
        <v>30</v>
      </c>
      <c r="F13" s="46" t="str">
        <f>IF(COUNTA(C4,C5, F6,F7)=4,IF(F10&gt;17.583,"*",(F7-(INDEX(IF(C4="F",Hfemalemean,Hmalemean),BMILMS!G45+1,INT(F10)+1)))/(INDEX(IF(C4="F",Hfemalesd,Hmalesd),BMILMS!G45+1,INT(F10)+1))),"")</f>
        <v/>
      </c>
      <c r="G13" s="24"/>
      <c r="H13" s="24"/>
      <c r="I13" s="24"/>
      <c r="J13" s="24"/>
      <c r="K13" s="24"/>
      <c r="L13" s="24"/>
      <c r="M13" s="24"/>
      <c r="N13" s="24"/>
      <c r="O13" s="24"/>
      <c r="P13" s="24"/>
      <c r="Q13" s="24"/>
    </row>
    <row r="14" spans="1:19" ht="25.5" customHeight="1">
      <c r="A14" s="4"/>
      <c r="B14" s="39" t="s">
        <v>181</v>
      </c>
      <c r="C14" s="46" t="str">
        <f>IF(COUNTA(C4,C5,C6,C8)=4,IF(C10&gt;17.583,"*",((C8/WeightSDS!C68)^(WeightSDS!B68)-1)/WeightSDS!B68/WeightSDS!D68),"")</f>
        <v/>
      </c>
      <c r="D14" s="150"/>
      <c r="E14" s="39" t="s">
        <v>181</v>
      </c>
      <c r="F14" s="46" t="str">
        <f>IF(COUNTA(C4,C5,F6,F8)=4,IF(F10&gt;17.583,"*",((F8/WeightSDS!C80)^(WeightSDS!B80)-1)/WeightSDS!B80/WeightSDS!D80),"")</f>
        <v/>
      </c>
      <c r="G14" s="24"/>
      <c r="H14" s="24"/>
      <c r="I14" s="24"/>
      <c r="J14" s="24"/>
      <c r="K14" s="24"/>
      <c r="L14" s="24"/>
      <c r="M14" s="24"/>
      <c r="N14" s="24"/>
      <c r="O14" s="24"/>
      <c r="P14" s="24"/>
      <c r="Q14" s="24"/>
    </row>
    <row r="15" spans="1:19" ht="25.5" customHeight="1">
      <c r="A15" s="4"/>
      <c r="B15" s="39" t="s">
        <v>200</v>
      </c>
      <c r="C15" s="47" t="str">
        <f>IF(COUNTA(C4:C8)=5,IF(C10&lt;1,"*",IF(C10&gt;=6,"*",IF(C7&gt;=120,"*",IF(C7&lt;70,"*",(C8-BMILMS!B46)/BMILMS!B46*100)))),"")</f>
        <v/>
      </c>
      <c r="D15" s="152"/>
      <c r="E15" s="39" t="s">
        <v>200</v>
      </c>
      <c r="F15" s="47" t="str">
        <f>IF(COUNTA(C4,C5,F6:F8)=5,IF(F10&lt;1,"*",IF(F10&gt;=6,"*",IF(F7&gt;=120,"*",IF(F7&lt;70,"*",(F8-BMILMS!F46)/BMILMS!F46*100)))),"")</f>
        <v/>
      </c>
      <c r="G15" s="24"/>
      <c r="H15" s="24"/>
      <c r="I15" s="24"/>
      <c r="J15" s="24"/>
      <c r="K15" s="24"/>
      <c r="L15" s="24"/>
      <c r="M15" s="24"/>
      <c r="N15" s="24"/>
      <c r="O15" s="24"/>
      <c r="P15" s="24"/>
      <c r="Q15" s="24"/>
    </row>
    <row r="16" spans="1:19" ht="25.5" customHeight="1">
      <c r="A16" s="4"/>
      <c r="B16" s="39" t="s">
        <v>201</v>
      </c>
      <c r="C16" s="47" t="str">
        <f>IF(COUNTA(C4:C8)=5,IF(C10&lt;6,"*",IF(C10&gt;=17.583,"*",(C8-C7*INDEX(IF(C4="F",muratafemale,muratamale),INT(C10)-4,1)-INDEX(IF(C4="F",muratafemale,muratamale),INT(C10)-4,2))/(C7*INDEX(IF(C4="F",muratafemale,muratamale),INT(C10)-4,1)+INDEX(IF(C4="F",muratafemale,muratamale),INT(C10)-4,2))*100)),"")</f>
        <v/>
      </c>
      <c r="D16" s="152"/>
      <c r="E16" s="39" t="s">
        <v>201</v>
      </c>
      <c r="F16" s="47" t="str">
        <f>IF(COUNTA(C4,C5,F6:F8)&lt;5,"",IF(F10&lt;6,"*",IF(F10&gt;=17.583,"*",(F8-F7*INDEX(IF(C4="F",muratafemale,muratamale),INT(F10)-4,1)-INDEX(IF(C4="F",muratafemale,muratamale),INT(F10)-4,2))/(F7*INDEX(IF(C4="F",muratafemale,muratamale),INT(F10)-4,1)+INDEX(IF(C4="F",muratafemale,muratamale),INT(F10)-4,2))*100)))</f>
        <v/>
      </c>
      <c r="G16" s="24"/>
      <c r="H16" s="24"/>
      <c r="I16" s="24"/>
      <c r="J16" s="24"/>
      <c r="K16" s="24"/>
      <c r="L16" s="24"/>
      <c r="M16" s="24"/>
      <c r="N16" s="24"/>
      <c r="O16" s="24"/>
      <c r="P16" s="24"/>
      <c r="Q16" s="24"/>
    </row>
    <row r="17" spans="1:19" ht="25.5" customHeight="1">
      <c r="A17" s="4"/>
      <c r="B17" s="39" t="s">
        <v>202</v>
      </c>
      <c r="C17" s="47" t="str">
        <f>IF(COUNTA(C4:C8)=5,IF(C7&gt;=IF(C4="M",181,174),"*",IF(C7&lt;101,"*",IF(C10&lt;6,"*",IF(C10&gt;=17.583,"*",(C8-BMILMS!C46)/BMILMS!C46*100)))),"")</f>
        <v/>
      </c>
      <c r="D17" s="152"/>
      <c r="E17" s="39" t="s">
        <v>202</v>
      </c>
      <c r="F17" s="47" t="str">
        <f>IF(COUNTA(C4,C5,F6:F8)=5,IF(F7&gt;=IF(C4="M",181,174),"*",IF(F7&lt;101,"*",IF(F10&lt;6,"*",IF(F10&gt;=17.583,"*",(F8-BMILMS!G46)/BMILMS!G46*100)))),"")</f>
        <v/>
      </c>
      <c r="G17" s="24"/>
      <c r="H17" s="24"/>
      <c r="I17" s="24"/>
      <c r="J17" s="24"/>
      <c r="K17" s="24"/>
      <c r="L17" s="24"/>
      <c r="M17" s="24"/>
      <c r="N17" s="24"/>
      <c r="O17" s="24"/>
      <c r="P17" s="24"/>
      <c r="Q17" s="24"/>
    </row>
    <row r="18" spans="1:19" ht="25.5" customHeight="1">
      <c r="A18" s="4"/>
      <c r="B18" s="39" t="s">
        <v>203</v>
      </c>
      <c r="C18" s="47" t="str">
        <f>IF(COUNTA(C4:C8)=5,C8/C7^2*10000,"")</f>
        <v/>
      </c>
      <c r="D18" s="152"/>
      <c r="E18" s="39" t="s">
        <v>203</v>
      </c>
      <c r="F18" s="47" t="str">
        <f>IF(COUNTA(C4,C5,F6:F8)=5,F8/F7^2*10000,"")</f>
        <v/>
      </c>
      <c r="G18" s="24"/>
      <c r="H18" s="24"/>
      <c r="I18" s="24"/>
      <c r="J18" s="24"/>
      <c r="K18" s="24"/>
      <c r="L18" s="24"/>
      <c r="M18" s="24"/>
      <c r="N18" s="24"/>
      <c r="O18" s="24"/>
      <c r="P18" s="24"/>
      <c r="Q18" s="24"/>
    </row>
    <row r="19" spans="1:19" ht="25.5" customHeight="1">
      <c r="A19" s="4"/>
      <c r="B19" s="39" t="s">
        <v>204</v>
      </c>
      <c r="C19" s="47" t="str">
        <f>IF(COUNTA(C4:C8)=5,IF(C10&gt;17.583,"*",NORMSDIST(((C18/BMILMS!C39)^(BMILMS!B39)-1)/BMILMS!B39/BMILMS!D39)*100),"")</f>
        <v/>
      </c>
      <c r="D19" s="152"/>
      <c r="E19" s="39" t="s">
        <v>204</v>
      </c>
      <c r="F19" s="47" t="str">
        <f>IF(COUNTA(C4,C5,F6:F8)=5,IF(F10&gt;17.583,"*",NORMSDIST(((F18/BMILMS!G39)^(BMILMS!F39)-1)/BMILMS!F39/BMILMS!H39)*100),"")</f>
        <v/>
      </c>
      <c r="G19" s="24"/>
      <c r="H19" s="24"/>
      <c r="I19" s="24"/>
      <c r="J19" s="24"/>
      <c r="K19" s="24"/>
      <c r="L19" s="24"/>
      <c r="M19" s="24"/>
      <c r="N19" s="24"/>
      <c r="O19" s="24"/>
      <c r="P19" s="24"/>
      <c r="Q19" s="24"/>
    </row>
    <row r="20" spans="1:19" ht="25.5" customHeight="1">
      <c r="A20" s="4"/>
      <c r="B20" s="39" t="s">
        <v>205</v>
      </c>
      <c r="C20" s="46" t="str">
        <f>IF(COUNTA(C4,C5,C6,C7,C8)=5,IF(C10&gt;17.583,"*",((C18/BMILMS!C39)^(BMILMS!B39)-1)/BMILMS!B39/BMILMS!D39),"")</f>
        <v/>
      </c>
      <c r="D20" s="151"/>
      <c r="E20" s="39" t="s">
        <v>23</v>
      </c>
      <c r="F20" s="46" t="str">
        <f>IF(COUNTA(C4,C5,F6:F8)=5,IF(F10&gt;17.583,"*",((F18/BMILMS!G39)^(BMILMS!F39)-1)/BMILMS!F39/BMILMS!H39),"")</f>
        <v/>
      </c>
      <c r="G20" s="24"/>
      <c r="H20" s="24"/>
      <c r="I20" s="24"/>
      <c r="J20" s="24"/>
      <c r="K20" s="24"/>
      <c r="L20" s="24"/>
      <c r="M20" s="24"/>
      <c r="N20" s="24"/>
      <c r="O20" s="24"/>
      <c r="P20" s="24"/>
      <c r="Q20" s="24"/>
    </row>
    <row r="21" spans="1:19" ht="12.75" customHeight="1">
      <c r="A21" s="4"/>
      <c r="B21" s="4"/>
      <c r="C21" s="4"/>
      <c r="D21" s="4"/>
      <c r="F21" s="1"/>
      <c r="G21" s="24"/>
      <c r="H21" s="24"/>
      <c r="I21" s="24"/>
      <c r="J21" s="24"/>
      <c r="K21" s="24"/>
      <c r="L21" s="24"/>
      <c r="M21" s="24"/>
      <c r="N21" s="24"/>
      <c r="O21" s="24"/>
      <c r="P21" s="24"/>
      <c r="Q21" s="24"/>
    </row>
    <row r="22" spans="1:19">
      <c r="A22" s="4"/>
      <c r="B22" t="s">
        <v>189</v>
      </c>
    </row>
    <row r="23" spans="1:19">
      <c r="A23" s="4"/>
      <c r="B23" t="s">
        <v>190</v>
      </c>
    </row>
    <row r="24" spans="1:19">
      <c r="A24" s="4"/>
      <c r="B24" t="s">
        <v>188</v>
      </c>
    </row>
    <row r="25" spans="1:19">
      <c r="A25" s="4"/>
    </row>
    <row r="26" spans="1:19">
      <c r="A26" s="4"/>
      <c r="C26" s="24"/>
      <c r="D26" s="24"/>
      <c r="E26" s="24"/>
      <c r="F26" s="24"/>
      <c r="G26" s="24"/>
      <c r="H26" s="24"/>
      <c r="I26" s="24"/>
      <c r="J26" s="24"/>
      <c r="K26" s="24"/>
      <c r="L26" s="24"/>
      <c r="M26" s="24"/>
      <c r="N26" s="24"/>
      <c r="O26" s="24"/>
      <c r="P26" s="24"/>
      <c r="Q26" s="24"/>
      <c r="R26" s="24"/>
      <c r="S26" s="24"/>
    </row>
    <row r="27" spans="1:19">
      <c r="A27" s="4"/>
      <c r="C27" s="24"/>
      <c r="D27" s="24"/>
      <c r="E27" s="24"/>
      <c r="F27" s="24"/>
      <c r="G27" s="24"/>
      <c r="H27" s="24"/>
      <c r="I27" s="24"/>
      <c r="J27" s="24"/>
      <c r="K27" s="24"/>
      <c r="L27" s="24"/>
      <c r="M27" s="24"/>
      <c r="N27" s="24"/>
      <c r="O27" s="24"/>
      <c r="P27" s="24"/>
      <c r="Q27" s="24"/>
      <c r="R27" s="24"/>
      <c r="S27" s="24"/>
    </row>
    <row r="28" spans="1:19">
      <c r="A28" s="4"/>
      <c r="C28" s="24"/>
      <c r="D28" s="24"/>
      <c r="E28" s="24"/>
      <c r="F28" s="24"/>
      <c r="G28" s="24"/>
      <c r="H28" s="24"/>
      <c r="I28" s="24"/>
      <c r="J28" s="24"/>
      <c r="K28" s="24"/>
      <c r="L28" s="24"/>
      <c r="M28" s="24"/>
      <c r="N28" s="24"/>
      <c r="O28" s="24"/>
      <c r="P28" s="24"/>
      <c r="Q28" s="24"/>
      <c r="R28" s="24"/>
      <c r="S28" s="24"/>
    </row>
    <row r="29" spans="1:19">
      <c r="A29" s="4"/>
      <c r="B29" s="24"/>
      <c r="C29" s="24"/>
      <c r="D29" s="24"/>
      <c r="E29" s="24"/>
      <c r="F29" s="24"/>
      <c r="G29" s="24"/>
      <c r="H29" s="24"/>
      <c r="I29" s="24"/>
      <c r="J29" s="24"/>
      <c r="K29" s="24"/>
      <c r="L29" s="24"/>
      <c r="M29" s="24"/>
      <c r="N29" s="24"/>
      <c r="O29" s="24"/>
      <c r="P29" s="24"/>
      <c r="Q29" s="24"/>
      <c r="R29" s="24"/>
      <c r="S29" s="24"/>
    </row>
    <row r="30" spans="1:19">
      <c r="A30" s="4"/>
      <c r="B30" s="24"/>
      <c r="C30" s="24"/>
      <c r="D30" s="24"/>
      <c r="E30" s="24"/>
      <c r="F30" s="24"/>
      <c r="G30" s="24"/>
      <c r="H30" s="24"/>
      <c r="I30" s="24"/>
      <c r="J30" s="24"/>
      <c r="K30" s="24"/>
      <c r="L30" s="24"/>
      <c r="M30" s="24"/>
      <c r="N30" s="24"/>
      <c r="O30" s="24"/>
      <c r="P30" s="24"/>
      <c r="Q30" s="24"/>
      <c r="R30" s="24"/>
      <c r="S30" s="24"/>
    </row>
    <row r="31" spans="1:19">
      <c r="B31" s="24"/>
      <c r="C31" s="24"/>
      <c r="D31" s="24"/>
      <c r="E31" s="24"/>
      <c r="F31" s="24"/>
      <c r="G31" s="24"/>
      <c r="H31" s="24"/>
      <c r="I31" s="24"/>
      <c r="J31" s="24"/>
      <c r="K31" s="24"/>
      <c r="L31" s="24"/>
      <c r="M31" s="24"/>
      <c r="N31" s="24"/>
      <c r="O31" s="24"/>
      <c r="P31" s="24"/>
      <c r="Q31" s="24"/>
      <c r="R31" s="24"/>
      <c r="S31" s="24"/>
    </row>
    <row r="32" spans="1:19">
      <c r="B32" s="24"/>
      <c r="C32" s="24"/>
      <c r="D32" s="24"/>
      <c r="E32" s="24"/>
      <c r="F32" s="24"/>
      <c r="G32" s="24"/>
      <c r="H32" s="24"/>
      <c r="I32" s="24"/>
      <c r="J32" s="24"/>
      <c r="K32" s="24"/>
      <c r="L32" s="24"/>
      <c r="M32" s="24"/>
      <c r="N32" s="24"/>
      <c r="O32" s="24"/>
      <c r="P32" s="24"/>
      <c r="Q32" s="24"/>
      <c r="R32" s="24"/>
      <c r="S32" s="24"/>
    </row>
    <row r="33" spans="2:19">
      <c r="B33" s="24"/>
      <c r="C33" s="24"/>
      <c r="D33" s="24"/>
      <c r="E33" s="24"/>
      <c r="F33" s="24"/>
      <c r="G33" s="24"/>
      <c r="H33" s="24"/>
      <c r="I33" s="24"/>
      <c r="J33" s="24"/>
      <c r="K33" s="24"/>
      <c r="L33" s="24"/>
      <c r="M33" s="24"/>
      <c r="N33" s="24"/>
      <c r="O33" s="24"/>
      <c r="P33" s="24"/>
      <c r="Q33" s="24"/>
      <c r="R33" s="24"/>
      <c r="S33" s="24"/>
    </row>
    <row r="34" spans="2:19">
      <c r="B34" s="24"/>
      <c r="C34" s="24"/>
      <c r="D34" s="24"/>
      <c r="E34" s="24"/>
      <c r="F34" s="24"/>
      <c r="G34" s="24"/>
      <c r="H34" s="24"/>
      <c r="I34" s="24"/>
      <c r="J34" s="24"/>
      <c r="K34" s="24"/>
      <c r="L34" s="24"/>
      <c r="M34" s="24"/>
      <c r="N34" s="24"/>
      <c r="O34" s="24"/>
      <c r="P34" s="24"/>
      <c r="Q34" s="24"/>
      <c r="R34" s="24"/>
      <c r="S34" s="24"/>
    </row>
    <row r="35" spans="2:19">
      <c r="B35" s="24"/>
      <c r="C35" s="24"/>
      <c r="D35" s="24"/>
      <c r="E35" s="24"/>
      <c r="F35" s="24"/>
      <c r="G35" s="24"/>
      <c r="H35" s="24"/>
      <c r="I35" s="24"/>
      <c r="J35" s="24"/>
      <c r="K35" s="24"/>
      <c r="L35" s="24"/>
      <c r="M35" s="24"/>
      <c r="N35" s="24"/>
      <c r="O35" s="24"/>
      <c r="P35" s="24"/>
      <c r="Q35" s="24"/>
      <c r="R35" s="24"/>
      <c r="S35" s="24"/>
    </row>
  </sheetData>
  <sheetProtection password="8E09" sheet="1" objects="1" scenarios="1" formatCells="0" formatColumns="0" formatRows="0" insertColumns="0" insertRows="0"/>
  <mergeCells count="1">
    <mergeCell ref="H5:I5"/>
  </mergeCells>
  <phoneticPr fontId="1"/>
  <dataValidations count="1">
    <dataValidation type="list" allowBlank="1" showInputMessage="1" showErrorMessage="1" sqref="C4:D4">
      <formula1>sex</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BC57"/>
  <sheetViews>
    <sheetView workbookViewId="0">
      <pane xSplit="3" ySplit="7" topLeftCell="D8" activePane="bottomRight" state="frozen"/>
      <selection pane="topRight" activeCell="D1" sqref="D1"/>
      <selection pane="bottomLeft" activeCell="A8" sqref="A8"/>
      <selection pane="bottomRight" activeCell="D4" sqref="D4"/>
    </sheetView>
  </sheetViews>
  <sheetFormatPr defaultRowHeight="13.5"/>
  <cols>
    <col min="1" max="1" width="2.875" style="24" customWidth="1"/>
    <col min="2" max="2" width="5.75" style="24" customWidth="1"/>
    <col min="3" max="3" width="17.125" style="24" customWidth="1"/>
    <col min="4" max="4" width="12.5" style="24" customWidth="1"/>
    <col min="5" max="7" width="6.375" style="24" customWidth="1"/>
    <col min="8" max="8" width="9.875" style="26" customWidth="1"/>
    <col min="9" max="11" width="6.875" style="26" customWidth="1"/>
    <col min="12" max="16" width="6.25" style="24" customWidth="1"/>
    <col min="17" max="17" width="9.5" style="24" customWidth="1"/>
    <col min="18" max="18" width="11" style="24" customWidth="1"/>
    <col min="19" max="19" width="7.125" customWidth="1"/>
    <col min="20" max="20" width="7.125" style="24" customWidth="1"/>
    <col min="21" max="23" width="7.75" style="24" customWidth="1"/>
    <col min="24" max="25" width="7.75" style="24" hidden="1" customWidth="1"/>
    <col min="26" max="26" width="10.625" style="24" hidden="1" customWidth="1"/>
    <col min="27" max="36" width="9" hidden="1" customWidth="1"/>
    <col min="37" max="37" width="16.75" style="24" hidden="1" customWidth="1"/>
    <col min="38" max="38" width="3.625" style="27" hidden="1" customWidth="1"/>
    <col min="39" max="41" width="4.25" style="24" hidden="1" customWidth="1"/>
    <col min="42" max="42" width="5" style="24" hidden="1" customWidth="1"/>
    <col min="43" max="43" width="8" style="24" hidden="1" customWidth="1"/>
    <col min="44" max="45" width="14.5" style="24" hidden="1" customWidth="1"/>
    <col min="46" max="46" width="10.875" style="24" hidden="1" customWidth="1"/>
    <col min="47" max="55" width="9" style="24" hidden="1" customWidth="1"/>
    <col min="56" max="85" width="9" style="24" customWidth="1"/>
    <col min="86" max="16384" width="9" style="24"/>
  </cols>
  <sheetData>
    <row r="1" spans="2:55" ht="14.25" thickBot="1">
      <c r="J1" s="65"/>
      <c r="K1" s="65"/>
      <c r="L1" s="4"/>
      <c r="M1" s="4"/>
      <c r="N1" s="4"/>
      <c r="O1" s="4"/>
      <c r="P1" s="4"/>
      <c r="Q1" s="4"/>
      <c r="R1" s="4"/>
    </row>
    <row r="2" spans="2:55">
      <c r="B2" s="96"/>
      <c r="C2" s="97"/>
      <c r="D2" s="97"/>
      <c r="E2" s="117"/>
      <c r="H2" s="24"/>
      <c r="I2" s="24"/>
      <c r="J2" s="24"/>
      <c r="K2" s="24"/>
      <c r="Q2" s="4"/>
      <c r="R2" s="4"/>
      <c r="S2" s="35"/>
      <c r="AA2" s="24"/>
      <c r="AB2" s="24"/>
      <c r="AC2" s="24"/>
      <c r="AD2" s="24"/>
      <c r="AE2" s="24"/>
      <c r="AF2" s="24"/>
      <c r="AG2" s="24"/>
      <c r="AI2" s="24"/>
    </row>
    <row r="3" spans="2:55" ht="27" customHeight="1">
      <c r="B3" s="98" t="s">
        <v>210</v>
      </c>
      <c r="C3" s="99" t="s">
        <v>21</v>
      </c>
      <c r="D3" s="99" t="s">
        <v>39</v>
      </c>
      <c r="E3" s="118" t="s">
        <v>40</v>
      </c>
      <c r="G3" s="143"/>
      <c r="H3" s="24"/>
      <c r="I3" s="24"/>
      <c r="J3" s="24"/>
      <c r="K3" s="24"/>
      <c r="Q3" s="4"/>
      <c r="R3" s="4"/>
      <c r="AA3" s="24"/>
    </row>
    <row r="4" spans="2:55" ht="14.25" thickBot="1">
      <c r="B4" s="100"/>
      <c r="C4" s="101"/>
      <c r="D4" s="102"/>
      <c r="E4" s="119"/>
      <c r="H4" s="24"/>
      <c r="I4" s="24"/>
      <c r="J4" s="24"/>
      <c r="K4" s="24"/>
      <c r="Q4" s="4"/>
      <c r="R4" s="4"/>
    </row>
    <row r="5" spans="2:55" ht="14.25" thickBot="1">
      <c r="J5" s="65"/>
      <c r="K5" s="65"/>
      <c r="L5" s="4"/>
      <c r="M5" s="4"/>
      <c r="N5" s="4"/>
      <c r="O5" s="4"/>
      <c r="P5" s="4"/>
      <c r="Q5" s="4"/>
      <c r="R5" s="4"/>
    </row>
    <row r="6" spans="2:55">
      <c r="C6" s="173" t="s">
        <v>251</v>
      </c>
      <c r="D6" s="104"/>
      <c r="E6" s="104"/>
      <c r="F6" s="104"/>
      <c r="G6" s="104"/>
      <c r="H6" s="105"/>
      <c r="I6" s="106" t="s">
        <v>59</v>
      </c>
      <c r="J6" s="172" t="s">
        <v>58</v>
      </c>
      <c r="K6" s="172"/>
      <c r="L6" s="104"/>
      <c r="M6" s="104"/>
      <c r="N6" s="104"/>
      <c r="O6" s="104"/>
      <c r="P6" s="104"/>
      <c r="Q6" s="103"/>
      <c r="R6" s="104"/>
      <c r="S6" s="96"/>
      <c r="T6" s="117"/>
      <c r="AA6" s="24"/>
      <c r="AB6" s="24"/>
      <c r="AC6" s="24"/>
      <c r="AD6" s="24"/>
      <c r="AE6" s="24"/>
      <c r="AF6" s="24"/>
      <c r="AG6" s="24"/>
      <c r="AI6" s="24"/>
      <c r="AJ6" s="24"/>
      <c r="AU6" s="24" t="s">
        <v>233</v>
      </c>
      <c r="BA6" s="4" t="s">
        <v>214</v>
      </c>
    </row>
    <row r="7" spans="2:55" s="4" customFormat="1" ht="81" customHeight="1" thickBot="1">
      <c r="C7" s="174"/>
      <c r="D7" s="112" t="s">
        <v>38</v>
      </c>
      <c r="E7" s="108" t="s">
        <v>37</v>
      </c>
      <c r="F7" s="108" t="s">
        <v>36</v>
      </c>
      <c r="G7" s="108" t="s">
        <v>214</v>
      </c>
      <c r="H7" s="109" t="s">
        <v>30</v>
      </c>
      <c r="I7" s="111" t="s">
        <v>54</v>
      </c>
      <c r="J7" s="111" t="s">
        <v>53</v>
      </c>
      <c r="K7" s="111" t="s">
        <v>54</v>
      </c>
      <c r="L7" s="112" t="s">
        <v>215</v>
      </c>
      <c r="M7" s="112" t="s">
        <v>216</v>
      </c>
      <c r="N7" s="112" t="s">
        <v>217</v>
      </c>
      <c r="O7" s="110" t="s">
        <v>218</v>
      </c>
      <c r="P7" s="110" t="s">
        <v>219</v>
      </c>
      <c r="Q7" s="107" t="s">
        <v>60</v>
      </c>
      <c r="R7" s="112" t="s">
        <v>55</v>
      </c>
      <c r="S7" s="154" t="s">
        <v>239</v>
      </c>
      <c r="T7" s="153" t="s">
        <v>238</v>
      </c>
      <c r="U7" s="24"/>
      <c r="V7" s="24"/>
      <c r="W7" s="24"/>
      <c r="X7" s="24"/>
      <c r="Y7" s="24"/>
      <c r="Z7" s="24" t="s">
        <v>236</v>
      </c>
      <c r="AA7" s="24"/>
      <c r="AB7" s="24"/>
      <c r="AC7" s="24"/>
      <c r="AD7" s="34" t="s">
        <v>240</v>
      </c>
      <c r="AE7" s="34" t="s">
        <v>241</v>
      </c>
      <c r="AF7" s="24"/>
      <c r="AG7" s="24"/>
      <c r="AI7" s="24"/>
      <c r="AJ7" s="24"/>
      <c r="AK7" s="32"/>
      <c r="AL7" s="113" t="s">
        <v>24</v>
      </c>
      <c r="AM7" s="7" t="s">
        <v>25</v>
      </c>
      <c r="AN7" s="7"/>
      <c r="AO7" s="20"/>
      <c r="AP7" s="7"/>
      <c r="AQ7" s="20" t="s">
        <v>56</v>
      </c>
      <c r="AR7" s="20" t="s">
        <v>57</v>
      </c>
      <c r="AS7" s="20"/>
      <c r="AT7"/>
      <c r="AU7" t="s">
        <v>211</v>
      </c>
      <c r="AV7" t="s">
        <v>212</v>
      </c>
      <c r="AW7" t="s">
        <v>213</v>
      </c>
      <c r="AX7" s="4" t="s">
        <v>29</v>
      </c>
      <c r="BA7" t="s">
        <v>211</v>
      </c>
      <c r="BB7" t="s">
        <v>212</v>
      </c>
      <c r="BC7" t="s">
        <v>213</v>
      </c>
    </row>
    <row r="8" spans="2:55" s="4" customFormat="1">
      <c r="B8" s="43"/>
      <c r="C8" s="145"/>
      <c r="D8" s="22"/>
      <c r="E8" s="114"/>
      <c r="F8" s="114"/>
      <c r="G8" s="114"/>
      <c r="H8" s="48" t="str">
        <f t="shared" ref="H8:H39" si="0">IF(COUNTA($E$4,$D$4,D8,E8)=4,IF(Q8&gt;17.583,"*",(E8-(INDEX(IF($E$4="F",Hfemalemean,Hmalemean),AM8+1,INT(Q8)+1)))/(INDEX(IF($E$4="F",Hfemalesd,Hmalesd),AM8+1,INT(Q8)+1))),"")</f>
        <v/>
      </c>
      <c r="I8" s="115" t="str">
        <f>IF(COUNTA($E$4,$D$4,D8,E8,F8)=5,IF(Q8&lt;1,"*",IF(Q8&gt;=6,"*",IF(E8&gt;=120,"*",IF(E8&lt;70,"*",(F8-AQ8)/AQ8*100)))),"")</f>
        <v/>
      </c>
      <c r="J8" s="115" t="str">
        <f t="shared" ref="J8:J39" si="1">IF(COUNTA($E$4,$D$4,D8,E8,F8)&lt;5,"",IF(Q8&lt;6,"*",IF(Q8&gt;=17.583,"*",(F8-E8*INDEX(IF($E$4="F",muratafemale,muratamale),INT(Q8)-4,1)-INDEX(IF($E$4="F",muratafemale,muratamale),INT(Q8)-4,2))/(E8*INDEX(IF($E$4="F",muratafemale,muratamale),INT(Q8)-4,1)+INDEX(IF($E$4="F",muratafemale,muratamale),INT(Q8)-4,2))*100)))</f>
        <v/>
      </c>
      <c r="K8" s="115" t="str">
        <f t="shared" ref="K8:K14" si="2">IF(COUNTA($E$4,$D$4,D8,E8,F8)=5,IF(E8&gt;=IF($E$4="M",181,174),"*",IF(E8&lt;101,"*",IF(Q8&lt;6,"*",IF(Q8&gt;=17.583,"*",(F8-AR8)/AR8*100)))),"")</f>
        <v/>
      </c>
      <c r="L8" s="48" t="str">
        <f>IF(COUNTA($E$4,$D$4,D8,E8,F8)=5,F8/E8^2*10000,"")</f>
        <v/>
      </c>
      <c r="M8" s="115" t="str">
        <f t="shared" ref="M8:M39" si="3">IF(COUNTA($E$4,$D$4,D8,E8,F8)=5,IF(Q8&gt;17.583,"*",NORMSDIST(((L8/AV8)^(AU8)-1)/AU8/AW8)*100),"")</f>
        <v/>
      </c>
      <c r="N8" s="48" t="str">
        <f t="shared" ref="N8:N39" si="4">IF(COUNTA($E$4,$D$4,D8,E8,F8)=5,IF(Q8&gt;17.583,"*",((L8/AV8)^(AU8)-1)/AU8/AW8),"")</f>
        <v/>
      </c>
      <c r="O8" s="115" t="str">
        <f t="shared" ref="O8:O39" si="5">IF(COUNTA($E$4,$D$4,D8,G8)=4,IF(Q8&gt;77,"*",NORMSDIST(((G8/BB8)^(BA8)-1)/BA8/BC8)*100),"")</f>
        <v/>
      </c>
      <c r="P8" s="48" t="str">
        <f t="shared" ref="P8:P39" si="6">IF(COUNTA($E$4,$D$4,D8,G8)=4,IF(Q8&gt;77,"*",((G8/BB8)^(BA8)-1)/BA8/BC8),"")</f>
        <v/>
      </c>
      <c r="Q8" s="162" t="str">
        <f>IF(COUNT($D$4,D8)=2,DATEDIF($D$4,D8,"Y")+(D8-(DATE(YEAR($D$4)+DATEDIF($D$4,D8,"Y"),MONTH($D$4),DAY($D$4))))/(365+IF(MOD(YEAR((DATE(YEAR(D8)-1,MONTH($D$4),DAY($D$4)))),4)=0,IF((DATE(YEAR(D8)-1,MONTH($D$4),DAY($D$4)))&gt;DATE(YEAR((DATE(YEAR(D8)-1,MONTH($D$4),DAY($D$4)))),2,29),0,1),0)+IF(MOD(YEAR(D8),4)=0,IF(D8&gt;DATE(YEAR(D8),2,29),1,0),0)),"")</f>
        <v/>
      </c>
      <c r="R8" s="48" t="str">
        <f>IF(Q8="","",AL8&amp;"歳"&amp;AM8&amp;"か月")</f>
        <v/>
      </c>
      <c r="S8" s="144" t="str">
        <f>IF(X8=1,"",IF(AB8=AB7,"",(AB8-AB7)/(Z8-Z7)))</f>
        <v/>
      </c>
      <c r="T8" s="144" t="str">
        <f t="shared" ref="T8:T12" si="7">IF(COUNT(S8)=1,IF(X8=1,"",IF(COUNTA(C8)=1,IF(AD8&lt;1,"NA",IF(AD8&gt;=17,IF(AE8&gt;=IF($D$4="M",10,4),"NA",IF(AY8&gt;AY7,AJ8,"NA")),IF(AY8&gt;AY7,AJ8,"NA"))),"")),"")</f>
        <v/>
      </c>
      <c r="U8" s="24"/>
      <c r="V8" s="24"/>
      <c r="W8" s="24"/>
      <c r="X8" s="24">
        <f>COUNTA(C8)+X7</f>
        <v>0</v>
      </c>
      <c r="Y8" s="24"/>
      <c r="Z8" s="24"/>
      <c r="AA8" s="24" t="str">
        <f>IF(COUNTA(C8)=1,E8,"")</f>
        <v/>
      </c>
      <c r="AB8" s="24">
        <f t="shared" ref="AB8:AB57" si="8">IF(COUNTA(C8)=1,E8,AB7)</f>
        <v>0</v>
      </c>
      <c r="AD8" s="24"/>
      <c r="AE8" s="24"/>
      <c r="AF8" s="24"/>
      <c r="AG8" s="24"/>
      <c r="AI8" s="24"/>
      <c r="AJ8" s="24"/>
      <c r="AK8" s="31"/>
      <c r="AL8" s="35">
        <f>DATEDIF($D$4,D8,"Y")</f>
        <v>0</v>
      </c>
      <c r="AM8" s="24">
        <f>DATEDIF($D$4,D8,"YM")</f>
        <v>0</v>
      </c>
      <c r="AN8" s="24"/>
      <c r="AO8" s="41"/>
      <c r="AP8" s="116"/>
      <c r="AQ8" s="63">
        <f t="shared" ref="AQ8:AQ39" si="9">IF($E$4="M",2.06*10^-3*E8^2-0.1166*E8+6.5273,2.49*10^-3*E8^2-0.1858*E8+9.036)</f>
        <v>9.0359999999999996</v>
      </c>
      <c r="AR8" s="63">
        <f t="shared" ref="AR8:AR39" si="10">((E8/100)^3*INDEX(itoOI,IF($E$4="M",0,3)+IF(E8&lt;140,1,IF(E8&lt;=149,2,3)),1)+(E8/100)^2*INDEX(itoOI,IF($E$4="M",0,3)+IF(E8&lt;140,1,IF(E8&lt;=149,2,3)),2)+(E8/100)*INDEX(itoOI,IF($E$4="M",0,3)+IF(E8&lt;140,1,IF(E8&lt;=149,2,3)),3)+INDEX(itoOI,IF($E$4="M",0,3)+IF(E8&lt;140,1,IF(E8&lt;=149,2,3)),4))</f>
        <v>-184.49199999999999</v>
      </c>
      <c r="AS8" s="63"/>
      <c r="AT8"/>
      <c r="AU8">
        <f>IF($E$4="M",IF(AX8&lt;78,BMILMS!$D$5*AX8^3+BMILMS!$E$5*AX8^2+BMILMS!$F$5*AX8+BMILMS!$G$5,IF(AX8&lt;150,BMILMS!$D$6*AX8^3+BMILMS!$E$6*AX8^2+BMILMS!$F$6*AX8+BMILMS!$G$6,BMILMS!$D$7*AX8^3+BMILMS!$E$7*AX8^2+BMILMS!$F$7*AX8+BMILMS!$G$7)),IF(AX8&lt;69,BMILMS!$D$9*AX8^3+BMILMS!$E$9*AX8^2+BMILMS!$F$9*AX8+BMILMS!$G$9,IF(AX8&lt;150,BMILMS!$D$10*AX8^3+BMILMS!$E$10*AX8^2+BMILMS!$F$10*AX8+BMILMS!$G$10,BMILMS!$D$11*AX8^3+BMILMS!$E$11*AX8^2+BMILMS!$F$11*AX8+BMILMS!$G$11)))</f>
        <v>0.79584630099999998</v>
      </c>
      <c r="AV8">
        <f>IF($E$4="M",(IF(AX8&lt;2.5,BMILMS!$D$21*AX8^3+BMILMS!$E$21*AX8^2+BMILMS!$F$21*AX8+BMILMS!$G$21,IF(AX8&lt;9.5,BMILMS!$D$22*AX8^3+BMILMS!$E$22*AX8^2+BMILMS!$F$22*AX8+BMILMS!$G$22,IF(AX8&lt;26.75,BMILMS!$D$23*AX8^3+BMILMS!$E$23*AX8^2+BMILMS!$F$23*AX8+BMILMS!$G$23,IF(AX8&lt;90,BMILMS!$D$24*AX8^3+BMILMS!$E$24*AX8^2+BMILMS!$F$24*AX8+BMILMS!$G$24,BMILMS!$D$25*AX8^3+BMILMS!$E$25*AX8^2+BMILMS!$F$25*AX8+BMILMS!$G$25))))),(IF(AX8&lt;2.5,BMILMS!$D$27*AX8^3+BMILMS!$E$27*AX8^2+BMILMS!$F$27*AX8+BMILMS!$G$27,IF(AX8&lt;9.5,BMILMS!$D$28*AX8^3+BMILMS!$E$28*AX8^2+BMILMS!$F$28*AX8+BMILMS!$G$28,IF(AX8&lt;26.75,BMILMS!$D$29*AX8^3+BMILMS!$E$29*AX8^2+BMILMS!$F$29*AX8+BMILMS!$G$29,IF(AX8&lt;90,BMILMS!$D$30*AX8^3+BMILMS!$E$30*AX8^2+BMILMS!$F$30*AX8+BMILMS!$G$30,IF(AX8&lt;150,BMILMS!$D$31*AX8^3+BMILMS!$E$31*AX8^2+BMILMS!$F$31*AX8+BMILMS!$G$31,BMILMS!$D$32*AX8^3+BMILMS!$E$32*AX8^2+BMILMS!$F$32*AX8+BMILMS!$G$32)))))))</f>
        <v>12.568967990000001</v>
      </c>
      <c r="AW8">
        <f>IF($E$4="M",(IF(AX8&lt;90,BMILMS!$D$14*AX8^3+BMILMS!$E$14*AX8^2+BMILMS!$F$14*AX8+BMILMS!$G$14,BMILMS!$D$15*AX8^3+BMILMS!$E$15*AX8^2+BMILMS!$F$15*AX8+BMILMS!$G$15)),(IF(AX8&lt;90,BMILMS!$D$17*AX8^3+BMILMS!$E$17*AX8^2+BMILMS!$F$17*AX8+BMILMS!$G$17,BMILMS!$D$18*AX8^3+BMILMS!$E$18*AX8^2+BMILMS!$F$18*AX8+BMILMS!$G$18)))</f>
        <v>8.8969350000000003E-2</v>
      </c>
      <c r="AX8" s="24">
        <f t="shared" ref="AX8:AX14" si="11">AL8*12+AM8</f>
        <v>0</v>
      </c>
      <c r="AY8" s="24">
        <f>IF(COUNTA(C8)=1,AX8,AY7)</f>
        <v>0</v>
      </c>
      <c r="BA8">
        <f t="shared" ref="BA8:BA33" si="12">INDEX(IF($E$4="M",IGFmale, IGFfemale), AL8+1,1)</f>
        <v>0.56299999999999994</v>
      </c>
      <c r="BB8">
        <f t="shared" ref="BB8:BB33" si="13">INDEX(IF($E$4="M",IGFmale, IGFfemale), AL8+1,2)</f>
        <v>69</v>
      </c>
      <c r="BC8">
        <f t="shared" ref="BC8:BC33" si="14">INDEX(IF($E$4="M",IGFmale, IGFfemale), AL8+1,3)</f>
        <v>0.51</v>
      </c>
    </row>
    <row r="9" spans="2:55" s="4" customFormat="1">
      <c r="B9" s="43"/>
      <c r="C9" s="145"/>
      <c r="D9" s="22"/>
      <c r="E9" s="114"/>
      <c r="F9" s="114"/>
      <c r="G9" s="114"/>
      <c r="H9" s="48" t="str">
        <f t="shared" si="0"/>
        <v/>
      </c>
      <c r="I9" s="115" t="str">
        <f>IF(COUNTA($E$4,$D$4,D9,E9,F9)=5,IF(Q9&lt;1,"*",IF(Q9&gt;=6,"*",IF(E9&gt;=120,"*",IF(E9&lt;70,"*",(F9-AQ9)/AQ9*100)))),"")</f>
        <v/>
      </c>
      <c r="J9" s="115" t="str">
        <f t="shared" si="1"/>
        <v/>
      </c>
      <c r="K9" s="115" t="str">
        <f t="shared" si="2"/>
        <v/>
      </c>
      <c r="L9" s="48" t="str">
        <f>IF(COUNTA($E$4,$D$4,D9,E9,F9)=5,F9/E9^2*10000,"")</f>
        <v/>
      </c>
      <c r="M9" s="115" t="str">
        <f t="shared" si="3"/>
        <v/>
      </c>
      <c r="N9" s="48" t="str">
        <f t="shared" si="4"/>
        <v/>
      </c>
      <c r="O9" s="115" t="str">
        <f t="shared" si="5"/>
        <v/>
      </c>
      <c r="P9" s="48" t="str">
        <f t="shared" si="6"/>
        <v/>
      </c>
      <c r="Q9" s="162" t="str">
        <f>IF(COUNT($D$4,D9)=2,DATEDIF($D$4,D9,"Y")+(D9-(DATE(YEAR($D$4)+DATEDIF($D$4,D9,"Y"),MONTH($D$4),DAY($D$4))))/(365+IF(MOD(YEAR((DATE(YEAR(D9)-1,MONTH($D$4),DAY($D$4)))),4)=0,IF((DATE(YEAR(D9)-1,MONTH($D$4),DAY($D$4)))&gt;DATE(YEAR((DATE(YEAR(D9)-1,MONTH($D$4),DAY($D$4)))),2,29),0,1),0)+IF(MOD(YEAR(D9),4)=0,IF(D9&gt;DATE(YEAR(D9),2,29),1,0),0)),"")</f>
        <v/>
      </c>
      <c r="R9" s="48" t="str">
        <f t="shared" ref="R9:R57" si="15">IF(Q9="","",AL9&amp;"歳"&amp;AM9&amp;"か月")</f>
        <v/>
      </c>
      <c r="S9" s="144" t="str">
        <f t="shared" ref="S9:S57" si="16">IF(X9=1,"",IF(AB9=AB8,"",(AB9-AB8)/(Z9-Z8)))</f>
        <v/>
      </c>
      <c r="T9" s="144" t="str">
        <f t="shared" si="7"/>
        <v/>
      </c>
      <c r="U9" s="24"/>
      <c r="V9" s="24"/>
      <c r="W9" s="24"/>
      <c r="X9" s="24">
        <f t="shared" ref="X9:X57" si="17">COUNTA(C9)+X8</f>
        <v>0</v>
      </c>
      <c r="Y9" s="24"/>
      <c r="Z9" s="24" t="str">
        <f>IF(COUNTA(C9)=1,Q9,Q8)</f>
        <v/>
      </c>
      <c r="AA9" s="24" t="str">
        <f>IF(COUNTA(C9)=1,E9,"")</f>
        <v/>
      </c>
      <c r="AB9" s="24">
        <f t="shared" si="8"/>
        <v>0</v>
      </c>
      <c r="AD9" s="24" t="e">
        <f>ROUNDDOWN(Z8+(Z9-Z8)/2,0)</f>
        <v>#VALUE!</v>
      </c>
      <c r="AE9" s="24" t="e">
        <f>ROUNDDOWN((Z8+(Z9-Z8)/2-AD9)*12,0)</f>
        <v>#VALUE!</v>
      </c>
      <c r="AF9" s="24" t="e">
        <f t="shared" ref="AF9:AF20" si="18">INDEX(IF($E$4="M",MHVaverage,FHVaverage),AE9+1,AD9+1)</f>
        <v>#VALUE!</v>
      </c>
      <c r="AG9" s="24" t="e">
        <f t="shared" ref="AG9:AG20" si="19">INDEX(IF($E$4="M",MHVstd,FHVstd),AE9+1,AD9+1)</f>
        <v>#VALUE!</v>
      </c>
      <c r="AI9" s="24"/>
      <c r="AJ9" s="24" t="e">
        <f>(S9-AF9)/AG9</f>
        <v>#VALUE!</v>
      </c>
      <c r="AK9" s="31"/>
      <c r="AL9" s="35">
        <f t="shared" ref="AL9:AL57" si="20">DATEDIF($D$4,D9,"Y")</f>
        <v>0</v>
      </c>
      <c r="AM9" s="24">
        <f t="shared" ref="AM9:AM57" si="21">DATEDIF($D$4,D9,"YM")</f>
        <v>0</v>
      </c>
      <c r="AN9" s="24"/>
      <c r="AO9" s="116"/>
      <c r="AP9" s="116"/>
      <c r="AQ9" s="63">
        <f t="shared" si="9"/>
        <v>9.0359999999999996</v>
      </c>
      <c r="AR9" s="63">
        <f t="shared" si="10"/>
        <v>-184.49199999999999</v>
      </c>
      <c r="AS9" s="63"/>
      <c r="AT9"/>
      <c r="AU9">
        <f>IF($E$4="M",IF(AX9&lt;78,BMILMS!$D$5*AX9^3+BMILMS!$E$5*AX9^2+BMILMS!$F$5*AX9+BMILMS!$G$5,IF(AX9&lt;150,BMILMS!$D$6*AX9^3+BMILMS!$E$6*AX9^2+BMILMS!$F$6*AX9+BMILMS!$G$6,BMILMS!$D$7*AX9^3+BMILMS!$E$7*AX9^2+BMILMS!$F$7*AX9+BMILMS!$G$7)),IF(AX9&lt;69,BMILMS!$D$9*AX9^3+BMILMS!$E$9*AX9^2+BMILMS!$F$9*AX9+BMILMS!$G$9,IF(AX9&lt;150,BMILMS!$D$10*AX9^3+BMILMS!$E$10*AX9^2+BMILMS!$F$10*AX9+BMILMS!$G$10,BMILMS!$D$11*AX9^3+BMILMS!$E$11*AX9^2+BMILMS!$F$11*AX9+BMILMS!$G$11)))</f>
        <v>0.79584630099999998</v>
      </c>
      <c r="AV9">
        <f>IF($E$4="M",(IF(AX9&lt;2.5,BMILMS!$D$21*AX9^3+BMILMS!$E$21*AX9^2+BMILMS!$F$21*AX9+BMILMS!$G$21,IF(AX9&lt;9.5,BMILMS!$D$22*AX9^3+BMILMS!$E$22*AX9^2+BMILMS!$F$22*AX9+BMILMS!$G$22,IF(AX9&lt;26.75,BMILMS!$D$23*AX9^3+BMILMS!$E$23*AX9^2+BMILMS!$F$23*AX9+BMILMS!$G$23,IF(AX9&lt;90,BMILMS!$D$24*AX9^3+BMILMS!$E$24*AX9^2+BMILMS!$F$24*AX9+BMILMS!$G$24,BMILMS!$D$25*AX9^3+BMILMS!$E$25*AX9^2+BMILMS!$F$25*AX9+BMILMS!$G$25))))),(IF(AX9&lt;2.5,BMILMS!$D$27*AX9^3+BMILMS!$E$27*AX9^2+BMILMS!$F$27*AX9+BMILMS!$G$27,IF(AX9&lt;9.5,BMILMS!$D$28*AX9^3+BMILMS!$E$28*AX9^2+BMILMS!$F$28*AX9+BMILMS!$G$28,IF(AX9&lt;26.75,BMILMS!$D$29*AX9^3+BMILMS!$E$29*AX9^2+BMILMS!$F$29*AX9+BMILMS!$G$29,IF(AX9&lt;90,BMILMS!$D$30*AX9^3+BMILMS!$E$30*AX9^2+BMILMS!$F$30*AX9+BMILMS!$G$30,IF(AX9&lt;150,BMILMS!$D$31*AX9^3+BMILMS!$E$31*AX9^2+BMILMS!$F$31*AX9+BMILMS!$G$31,BMILMS!$D$32*AX9^3+BMILMS!$E$32*AX9^2+BMILMS!$F$32*AX9+BMILMS!$G$32)))))))</f>
        <v>12.568967990000001</v>
      </c>
      <c r="AW9">
        <f>IF($E$4="M",(IF(AX9&lt;90,BMILMS!$D$14*AX9^3+BMILMS!$E$14*AX9^2+BMILMS!$F$14*AX9+BMILMS!$G$14,BMILMS!$D$15*AX9^3+BMILMS!$E$15*AX9^2+BMILMS!$F$15*AX9+BMILMS!$G$15)),(IF(AX9&lt;90,BMILMS!$D$17*AX9^3+BMILMS!$E$17*AX9^2+BMILMS!$F$17*AX9+BMILMS!$G$17,BMILMS!$D$18*AX9^3+BMILMS!$E$18*AX9^2+BMILMS!$F$18*AX9+BMILMS!$G$18)))</f>
        <v>8.8969350000000003E-2</v>
      </c>
      <c r="AX9" s="24">
        <f t="shared" si="11"/>
        <v>0</v>
      </c>
      <c r="AY9" s="24">
        <f t="shared" ref="AY9:AY57" si="22">IF(COUNTA(C9)=1,AX9,AY8)</f>
        <v>0</v>
      </c>
      <c r="BA9">
        <f t="shared" si="12"/>
        <v>0.56299999999999994</v>
      </c>
      <c r="BB9">
        <f t="shared" si="13"/>
        <v>69</v>
      </c>
      <c r="BC9">
        <f t="shared" si="14"/>
        <v>0.51</v>
      </c>
    </row>
    <row r="10" spans="2:55" s="4" customFormat="1">
      <c r="B10" s="43"/>
      <c r="C10" s="145"/>
      <c r="D10" s="22"/>
      <c r="E10" s="114"/>
      <c r="F10" s="114"/>
      <c r="G10" s="114"/>
      <c r="H10" s="48" t="str">
        <f t="shared" si="0"/>
        <v/>
      </c>
      <c r="I10" s="115" t="str">
        <f t="shared" ref="I10:I57" si="23">IF(COUNTA($E$4,$D$4,D10,E10,F10)=5,IF(Q10&lt;1,"*",IF(Q10&gt;=6,"*",IF(E10&gt;=120,"*",IF(E10&lt;70,"*",(F10-AQ10)/AQ10*100)))),"")</f>
        <v/>
      </c>
      <c r="J10" s="115" t="str">
        <f t="shared" si="1"/>
        <v/>
      </c>
      <c r="K10" s="115" t="str">
        <f t="shared" si="2"/>
        <v/>
      </c>
      <c r="L10" s="48" t="str">
        <f t="shared" ref="L10:L57" si="24">IF(COUNTA($E$4,$D$4,D10,E10,F10)=5,F10/E10^2*10000,"")</f>
        <v/>
      </c>
      <c r="M10" s="115" t="str">
        <f t="shared" si="3"/>
        <v/>
      </c>
      <c r="N10" s="48" t="str">
        <f t="shared" si="4"/>
        <v/>
      </c>
      <c r="O10" s="115" t="str">
        <f t="shared" si="5"/>
        <v/>
      </c>
      <c r="P10" s="48" t="str">
        <f t="shared" si="6"/>
        <v/>
      </c>
      <c r="Q10" s="162" t="str">
        <f>IF(COUNT($D$4,D10)=2,DATEDIF($D$4,D10,"Y")+(D10-(DATE(YEAR($D$4)+DATEDIF($D$4,D10,"Y"),MONTH($D$4),DAY($D$4))))/(365+IF(MOD(YEAR((DATE(YEAR(D10)-1,MONTH($D$4),DAY($D$4)))),4)=0,IF((DATE(YEAR(D10)-1,MONTH($D$4),DAY($D$4)))&gt;DATE(YEAR((DATE(YEAR(D10)-1,MONTH($D$4),DAY($D$4)))),2,29),0,1),0)+IF(MOD(YEAR(D10),4)=0,IF(D10&gt;DATE(YEAR(D10),2,29),1,0),0)),"")</f>
        <v/>
      </c>
      <c r="R10" s="48" t="str">
        <f t="shared" si="15"/>
        <v/>
      </c>
      <c r="S10" s="144" t="str">
        <f t="shared" si="16"/>
        <v/>
      </c>
      <c r="T10" s="144" t="str">
        <f t="shared" si="7"/>
        <v/>
      </c>
      <c r="U10" s="24"/>
      <c r="V10" s="24"/>
      <c r="W10" s="24"/>
      <c r="X10" s="24">
        <f t="shared" si="17"/>
        <v>0</v>
      </c>
      <c r="Y10" s="24"/>
      <c r="Z10" s="24" t="str">
        <f t="shared" ref="Z10:Z24" si="25">IF(COUNTA(C10)=1,Q10,Z9)</f>
        <v/>
      </c>
      <c r="AA10" s="24" t="str">
        <f t="shared" ref="AA10:AA57" si="26">IF(COUNTA(C10)=1,E10,"")</f>
        <v/>
      </c>
      <c r="AB10" s="24">
        <f t="shared" si="8"/>
        <v>0</v>
      </c>
      <c r="AD10" s="24" t="e">
        <f>ROUNDDOWN(Z9+(Z10-Z9)/2,0)</f>
        <v>#VALUE!</v>
      </c>
      <c r="AE10" s="24" t="e">
        <f>ROUNDDOWN((Z9+(Z10-Z9)/2-AD10)*12,0)</f>
        <v>#VALUE!</v>
      </c>
      <c r="AF10" s="24" t="e">
        <f t="shared" si="18"/>
        <v>#VALUE!</v>
      </c>
      <c r="AG10" s="24" t="e">
        <f t="shared" si="19"/>
        <v>#VALUE!</v>
      </c>
      <c r="AI10" s="24"/>
      <c r="AJ10" s="24" t="e">
        <f>(S10-AF10)/AG10</f>
        <v>#VALUE!</v>
      </c>
      <c r="AK10" s="31"/>
      <c r="AL10" s="35">
        <f t="shared" si="20"/>
        <v>0</v>
      </c>
      <c r="AM10" s="24">
        <f t="shared" si="21"/>
        <v>0</v>
      </c>
      <c r="AN10" s="24"/>
      <c r="AO10" s="116"/>
      <c r="AP10" s="116"/>
      <c r="AQ10" s="63">
        <f t="shared" si="9"/>
        <v>9.0359999999999996</v>
      </c>
      <c r="AR10" s="63">
        <f t="shared" si="10"/>
        <v>-184.49199999999999</v>
      </c>
      <c r="AS10" s="63"/>
      <c r="AT10"/>
      <c r="AU10">
        <f>IF($E$4="M",IF(AX10&lt;78,BMILMS!$D$5*AX10^3+BMILMS!$E$5*AX10^2+BMILMS!$F$5*AX10+BMILMS!$G$5,IF(AX10&lt;150,BMILMS!$D$6*AX10^3+BMILMS!$E$6*AX10^2+BMILMS!$F$6*AX10+BMILMS!$G$6,BMILMS!$D$7*AX10^3+BMILMS!$E$7*AX10^2+BMILMS!$F$7*AX10+BMILMS!$G$7)),IF(AX10&lt;69,BMILMS!$D$9*AX10^3+BMILMS!$E$9*AX10^2+BMILMS!$F$9*AX10+BMILMS!$G$9,IF(AX10&lt;150,BMILMS!$D$10*AX10^3+BMILMS!$E$10*AX10^2+BMILMS!$F$10*AX10+BMILMS!$G$10,BMILMS!$D$11*AX10^3+BMILMS!$E$11*AX10^2+BMILMS!$F$11*AX10+BMILMS!$G$11)))</f>
        <v>0.79584630099999998</v>
      </c>
      <c r="AV10">
        <f>IF($E$4="M",(IF(AX10&lt;2.5,BMILMS!$D$21*AX10^3+BMILMS!$E$21*AX10^2+BMILMS!$F$21*AX10+BMILMS!$G$21,IF(AX10&lt;9.5,BMILMS!$D$22*AX10^3+BMILMS!$E$22*AX10^2+BMILMS!$F$22*AX10+BMILMS!$G$22,IF(AX10&lt;26.75,BMILMS!$D$23*AX10^3+BMILMS!$E$23*AX10^2+BMILMS!$F$23*AX10+BMILMS!$G$23,IF(AX10&lt;90,BMILMS!$D$24*AX10^3+BMILMS!$E$24*AX10^2+BMILMS!$F$24*AX10+BMILMS!$G$24,BMILMS!$D$25*AX10^3+BMILMS!$E$25*AX10^2+BMILMS!$F$25*AX10+BMILMS!$G$25))))),(IF(AX10&lt;2.5,BMILMS!$D$27*AX10^3+BMILMS!$E$27*AX10^2+BMILMS!$F$27*AX10+BMILMS!$G$27,IF(AX10&lt;9.5,BMILMS!$D$28*AX10^3+BMILMS!$E$28*AX10^2+BMILMS!$F$28*AX10+BMILMS!$G$28,IF(AX10&lt;26.75,BMILMS!$D$29*AX10^3+BMILMS!$E$29*AX10^2+BMILMS!$F$29*AX10+BMILMS!$G$29,IF(AX10&lt;90,BMILMS!$D$30*AX10^3+BMILMS!$E$30*AX10^2+BMILMS!$F$30*AX10+BMILMS!$G$30,IF(AX10&lt;150,BMILMS!$D$31*AX10^3+BMILMS!$E$31*AX10^2+BMILMS!$F$31*AX10+BMILMS!$G$31,BMILMS!$D$32*AX10^3+BMILMS!$E$32*AX10^2+BMILMS!$F$32*AX10+BMILMS!$G$32)))))))</f>
        <v>12.568967990000001</v>
      </c>
      <c r="AW10">
        <f>IF($E$4="M",(IF(AX10&lt;90,BMILMS!$D$14*AX10^3+BMILMS!$E$14*AX10^2+BMILMS!$F$14*AX10+BMILMS!$G$14,BMILMS!$D$15*AX10^3+BMILMS!$E$15*AX10^2+BMILMS!$F$15*AX10+BMILMS!$G$15)),(IF(AX10&lt;90,BMILMS!$D$17*AX10^3+BMILMS!$E$17*AX10^2+BMILMS!$F$17*AX10+BMILMS!$G$17,BMILMS!$D$18*AX10^3+BMILMS!$E$18*AX10^2+BMILMS!$F$18*AX10+BMILMS!$G$18)))</f>
        <v>8.8969350000000003E-2</v>
      </c>
      <c r="AX10" s="24">
        <f t="shared" si="11"/>
        <v>0</v>
      </c>
      <c r="AY10" s="24">
        <f t="shared" si="22"/>
        <v>0</v>
      </c>
      <c r="BA10">
        <f t="shared" si="12"/>
        <v>0.56299999999999994</v>
      </c>
      <c r="BB10">
        <f t="shared" si="13"/>
        <v>69</v>
      </c>
      <c r="BC10">
        <f t="shared" si="14"/>
        <v>0.51</v>
      </c>
    </row>
    <row r="11" spans="2:55" s="4" customFormat="1">
      <c r="B11" s="43"/>
      <c r="C11" s="145"/>
      <c r="D11" s="22"/>
      <c r="E11" s="114"/>
      <c r="F11" s="114"/>
      <c r="G11" s="114"/>
      <c r="H11" s="48" t="str">
        <f t="shared" si="0"/>
        <v/>
      </c>
      <c r="I11" s="115" t="str">
        <f t="shared" si="23"/>
        <v/>
      </c>
      <c r="J11" s="115" t="str">
        <f t="shared" si="1"/>
        <v/>
      </c>
      <c r="K11" s="115" t="str">
        <f t="shared" si="2"/>
        <v/>
      </c>
      <c r="L11" s="48" t="str">
        <f t="shared" si="24"/>
        <v/>
      </c>
      <c r="M11" s="115" t="str">
        <f t="shared" si="3"/>
        <v/>
      </c>
      <c r="N11" s="48" t="str">
        <f t="shared" si="4"/>
        <v/>
      </c>
      <c r="O11" s="115" t="str">
        <f t="shared" si="5"/>
        <v/>
      </c>
      <c r="P11" s="48" t="str">
        <f t="shared" si="6"/>
        <v/>
      </c>
      <c r="Q11" s="162" t="str">
        <f>IF(COUNT($D$4,D11)=2,DATEDIF($D$4,D11,"Y")+(D11-(DATE(YEAR($D$4)+DATEDIF($D$4,D11,"Y"),MONTH($D$4),DAY($D$4))))/(365+IF(MOD(YEAR((DATE(YEAR(D11)-1,MONTH($D$4),DAY($D$4)))),4)=0,IF((DATE(YEAR(D11)-1,MONTH($D$4),DAY($D$4)))&gt;DATE(YEAR((DATE(YEAR(D11)-1,MONTH($D$4),DAY($D$4)))),2,29),0,1),0)+IF(MOD(YEAR(D11),4)=0,IF(D11&gt;DATE(YEAR(D11),2,29),1,0),0)),"")</f>
        <v/>
      </c>
      <c r="R11" s="48" t="str">
        <f t="shared" si="15"/>
        <v/>
      </c>
      <c r="S11" s="144" t="str">
        <f t="shared" si="16"/>
        <v/>
      </c>
      <c r="T11" s="144" t="str">
        <f t="shared" si="7"/>
        <v/>
      </c>
      <c r="U11" s="24"/>
      <c r="V11" s="24"/>
      <c r="W11" s="24"/>
      <c r="X11" s="24">
        <f t="shared" si="17"/>
        <v>0</v>
      </c>
      <c r="Y11" s="24"/>
      <c r="Z11" s="24" t="str">
        <f t="shared" si="25"/>
        <v/>
      </c>
      <c r="AA11" s="24" t="str">
        <f t="shared" si="26"/>
        <v/>
      </c>
      <c r="AB11" s="24">
        <f>IF(COUNTA(C11)=1,E11,AB10)</f>
        <v>0</v>
      </c>
      <c r="AD11" s="24" t="e">
        <f>ROUNDDOWN(Z10+(Z11-Z10)/2,0)</f>
        <v>#VALUE!</v>
      </c>
      <c r="AE11" s="24" t="e">
        <f>ROUNDDOWN((Z10+(Z11-Z10)/2-AD11)*12,0)</f>
        <v>#VALUE!</v>
      </c>
      <c r="AF11" s="24" t="e">
        <f t="shared" si="18"/>
        <v>#VALUE!</v>
      </c>
      <c r="AG11" s="24" t="e">
        <f t="shared" si="19"/>
        <v>#VALUE!</v>
      </c>
      <c r="AI11" s="24"/>
      <c r="AJ11" s="24" t="e">
        <f>(S11-AF11)/AG11</f>
        <v>#VALUE!</v>
      </c>
      <c r="AK11" s="31"/>
      <c r="AL11" s="35">
        <f t="shared" si="20"/>
        <v>0</v>
      </c>
      <c r="AM11" s="24">
        <f t="shared" si="21"/>
        <v>0</v>
      </c>
      <c r="AN11" s="24"/>
      <c r="AO11" s="116"/>
      <c r="AP11" s="116"/>
      <c r="AQ11" s="63">
        <f t="shared" si="9"/>
        <v>9.0359999999999996</v>
      </c>
      <c r="AR11" s="63">
        <f t="shared" si="10"/>
        <v>-184.49199999999999</v>
      </c>
      <c r="AS11" s="63"/>
      <c r="AT11"/>
      <c r="AU11">
        <f>IF($E$4="M",IF(AX11&lt;78,BMILMS!$D$5*AX11^3+BMILMS!$E$5*AX11^2+BMILMS!$F$5*AX11+BMILMS!$G$5,IF(AX11&lt;150,BMILMS!$D$6*AX11^3+BMILMS!$E$6*AX11^2+BMILMS!$F$6*AX11+BMILMS!$G$6,BMILMS!$D$7*AX11^3+BMILMS!$E$7*AX11^2+BMILMS!$F$7*AX11+BMILMS!$G$7)),IF(AX11&lt;69,BMILMS!$D$9*AX11^3+BMILMS!$E$9*AX11^2+BMILMS!$F$9*AX11+BMILMS!$G$9,IF(AX11&lt;150,BMILMS!$D$10*AX11^3+BMILMS!$E$10*AX11^2+BMILMS!$F$10*AX11+BMILMS!$G$10,BMILMS!$D$11*AX11^3+BMILMS!$E$11*AX11^2+BMILMS!$F$11*AX11+BMILMS!$G$11)))</f>
        <v>0.79584630099999998</v>
      </c>
      <c r="AV11">
        <f>IF($E$4="M",(IF(AX11&lt;2.5,BMILMS!$D$21*AX11^3+BMILMS!$E$21*AX11^2+BMILMS!$F$21*AX11+BMILMS!$G$21,IF(AX11&lt;9.5,BMILMS!$D$22*AX11^3+BMILMS!$E$22*AX11^2+BMILMS!$F$22*AX11+BMILMS!$G$22,IF(AX11&lt;26.75,BMILMS!$D$23*AX11^3+BMILMS!$E$23*AX11^2+BMILMS!$F$23*AX11+BMILMS!$G$23,IF(AX11&lt;90,BMILMS!$D$24*AX11^3+BMILMS!$E$24*AX11^2+BMILMS!$F$24*AX11+BMILMS!$G$24,BMILMS!$D$25*AX11^3+BMILMS!$E$25*AX11^2+BMILMS!$F$25*AX11+BMILMS!$G$25))))),(IF(AX11&lt;2.5,BMILMS!$D$27*AX11^3+BMILMS!$E$27*AX11^2+BMILMS!$F$27*AX11+BMILMS!$G$27,IF(AX11&lt;9.5,BMILMS!$D$28*AX11^3+BMILMS!$E$28*AX11^2+BMILMS!$F$28*AX11+BMILMS!$G$28,IF(AX11&lt;26.75,BMILMS!$D$29*AX11^3+BMILMS!$E$29*AX11^2+BMILMS!$F$29*AX11+BMILMS!$G$29,IF(AX11&lt;90,BMILMS!$D$30*AX11^3+BMILMS!$E$30*AX11^2+BMILMS!$F$30*AX11+BMILMS!$G$30,IF(AX11&lt;150,BMILMS!$D$31*AX11^3+BMILMS!$E$31*AX11^2+BMILMS!$F$31*AX11+BMILMS!$G$31,BMILMS!$D$32*AX11^3+BMILMS!$E$32*AX11^2+BMILMS!$F$32*AX11+BMILMS!$G$32)))))))</f>
        <v>12.568967990000001</v>
      </c>
      <c r="AW11">
        <f>IF($E$4="M",(IF(AX11&lt;90,BMILMS!$D$14*AX11^3+BMILMS!$E$14*AX11^2+BMILMS!$F$14*AX11+BMILMS!$G$14,BMILMS!$D$15*AX11^3+BMILMS!$E$15*AX11^2+BMILMS!$F$15*AX11+BMILMS!$G$15)),(IF(AX11&lt;90,BMILMS!$D$17*AX11^3+BMILMS!$E$17*AX11^2+BMILMS!$F$17*AX11+BMILMS!$G$17,BMILMS!$D$18*AX11^3+BMILMS!$E$18*AX11^2+BMILMS!$F$18*AX11+BMILMS!$G$18)))</f>
        <v>8.8969350000000003E-2</v>
      </c>
      <c r="AX11" s="24">
        <f t="shared" si="11"/>
        <v>0</v>
      </c>
      <c r="AY11" s="24">
        <f t="shared" si="22"/>
        <v>0</v>
      </c>
      <c r="BA11">
        <f t="shared" si="12"/>
        <v>0.56299999999999994</v>
      </c>
      <c r="BB11">
        <f t="shared" si="13"/>
        <v>69</v>
      </c>
      <c r="BC11">
        <f t="shared" si="14"/>
        <v>0.51</v>
      </c>
    </row>
    <row r="12" spans="2:55" s="4" customFormat="1">
      <c r="B12" s="43"/>
      <c r="C12" s="145"/>
      <c r="D12" s="22"/>
      <c r="E12" s="114"/>
      <c r="F12" s="114"/>
      <c r="G12" s="114"/>
      <c r="H12" s="48" t="str">
        <f t="shared" si="0"/>
        <v/>
      </c>
      <c r="I12" s="115" t="str">
        <f t="shared" si="23"/>
        <v/>
      </c>
      <c r="J12" s="115" t="str">
        <f t="shared" si="1"/>
        <v/>
      </c>
      <c r="K12" s="115" t="str">
        <f t="shared" si="2"/>
        <v/>
      </c>
      <c r="L12" s="48" t="str">
        <f t="shared" si="24"/>
        <v/>
      </c>
      <c r="M12" s="115" t="str">
        <f t="shared" si="3"/>
        <v/>
      </c>
      <c r="N12" s="48" t="str">
        <f t="shared" si="4"/>
        <v/>
      </c>
      <c r="O12" s="115" t="str">
        <f t="shared" si="5"/>
        <v/>
      </c>
      <c r="P12" s="48" t="str">
        <f t="shared" si="6"/>
        <v/>
      </c>
      <c r="Q12" s="162" t="str">
        <f>IF(COUNT($D$4,D12)=2,DATEDIF($D$4,D12,"Y")+(D12-(DATE(YEAR($D$4)+DATEDIF($D$4,D12,"Y"),MONTH($D$4),DAY($D$4))))/(365+IF(MOD(YEAR((DATE(YEAR(D12)-1,MONTH($D$4),DAY($D$4)))),4)=0,IF((DATE(YEAR(D12)-1,MONTH($D$4),DAY($D$4)))&gt;DATE(YEAR((DATE(YEAR(D12)-1,MONTH($D$4),DAY($D$4)))),2,29),0,1),0)+IF(MOD(YEAR(D12),4)=0,IF(D12&gt;DATE(YEAR(D12),2,29),1,0),0)),"")</f>
        <v/>
      </c>
      <c r="R12" s="48" t="str">
        <f t="shared" si="15"/>
        <v/>
      </c>
      <c r="S12" s="144" t="str">
        <f t="shared" si="16"/>
        <v/>
      </c>
      <c r="T12" s="144" t="str">
        <f t="shared" si="7"/>
        <v/>
      </c>
      <c r="U12" s="24"/>
      <c r="V12" s="24"/>
      <c r="W12" s="24"/>
      <c r="X12" s="24">
        <f t="shared" si="17"/>
        <v>0</v>
      </c>
      <c r="Y12" s="24"/>
      <c r="Z12" s="24" t="str">
        <f t="shared" si="25"/>
        <v/>
      </c>
      <c r="AA12" s="24" t="str">
        <f>IF(COUNTA(C12)=1,E12,"")</f>
        <v/>
      </c>
      <c r="AB12" s="24">
        <f>IF(COUNTA(C12)=1,E12,AB11)</f>
        <v>0</v>
      </c>
      <c r="AD12" s="24" t="e">
        <f>ROUNDDOWN(Z11+(Z12-Z11)/2,0)</f>
        <v>#VALUE!</v>
      </c>
      <c r="AE12" s="24" t="e">
        <f>ROUNDDOWN((Z11+(Z12-Z11)/2-AD12)*12,0)</f>
        <v>#VALUE!</v>
      </c>
      <c r="AF12" s="24" t="e">
        <f t="shared" si="18"/>
        <v>#VALUE!</v>
      </c>
      <c r="AG12" s="24" t="e">
        <f t="shared" si="19"/>
        <v>#VALUE!</v>
      </c>
      <c r="AI12" s="24"/>
      <c r="AJ12" s="24" t="e">
        <f>(S12-AF12)/AG12</f>
        <v>#VALUE!</v>
      </c>
      <c r="AK12" s="31"/>
      <c r="AL12" s="35">
        <f t="shared" si="20"/>
        <v>0</v>
      </c>
      <c r="AM12" s="24">
        <f t="shared" si="21"/>
        <v>0</v>
      </c>
      <c r="AN12" s="24"/>
      <c r="AO12" s="116"/>
      <c r="AP12" s="116"/>
      <c r="AQ12" s="63">
        <f t="shared" si="9"/>
        <v>9.0359999999999996</v>
      </c>
      <c r="AR12" s="63">
        <f t="shared" si="10"/>
        <v>-184.49199999999999</v>
      </c>
      <c r="AS12" s="63"/>
      <c r="AT12"/>
      <c r="AU12">
        <f>IF($E$4="M",IF(AX12&lt;78,BMILMS!$D$5*AX12^3+BMILMS!$E$5*AX12^2+BMILMS!$F$5*AX12+BMILMS!$G$5,IF(AX12&lt;150,BMILMS!$D$6*AX12^3+BMILMS!$E$6*AX12^2+BMILMS!$F$6*AX12+BMILMS!$G$6,BMILMS!$D$7*AX12^3+BMILMS!$E$7*AX12^2+BMILMS!$F$7*AX12+BMILMS!$G$7)),IF(AX12&lt;69,BMILMS!$D$9*AX12^3+BMILMS!$E$9*AX12^2+BMILMS!$F$9*AX12+BMILMS!$G$9,IF(AX12&lt;150,BMILMS!$D$10*AX12^3+BMILMS!$E$10*AX12^2+BMILMS!$F$10*AX12+BMILMS!$G$10,BMILMS!$D$11*AX12^3+BMILMS!$E$11*AX12^2+BMILMS!$F$11*AX12+BMILMS!$G$11)))</f>
        <v>0.79584630099999998</v>
      </c>
      <c r="AV12">
        <f>IF($E$4="M",(IF(AX12&lt;2.5,BMILMS!$D$21*AX12^3+BMILMS!$E$21*AX12^2+BMILMS!$F$21*AX12+BMILMS!$G$21,IF(AX12&lt;9.5,BMILMS!$D$22*AX12^3+BMILMS!$E$22*AX12^2+BMILMS!$F$22*AX12+BMILMS!$G$22,IF(AX12&lt;26.75,BMILMS!$D$23*AX12^3+BMILMS!$E$23*AX12^2+BMILMS!$F$23*AX12+BMILMS!$G$23,IF(AX12&lt;90,BMILMS!$D$24*AX12^3+BMILMS!$E$24*AX12^2+BMILMS!$F$24*AX12+BMILMS!$G$24,BMILMS!$D$25*AX12^3+BMILMS!$E$25*AX12^2+BMILMS!$F$25*AX12+BMILMS!$G$25))))),(IF(AX12&lt;2.5,BMILMS!$D$27*AX12^3+BMILMS!$E$27*AX12^2+BMILMS!$F$27*AX12+BMILMS!$G$27,IF(AX12&lt;9.5,BMILMS!$D$28*AX12^3+BMILMS!$E$28*AX12^2+BMILMS!$F$28*AX12+BMILMS!$G$28,IF(AX12&lt;26.75,BMILMS!$D$29*AX12^3+BMILMS!$E$29*AX12^2+BMILMS!$F$29*AX12+BMILMS!$G$29,IF(AX12&lt;90,BMILMS!$D$30*AX12^3+BMILMS!$E$30*AX12^2+BMILMS!$F$30*AX12+BMILMS!$G$30,IF(AX12&lt;150,BMILMS!$D$31*AX12^3+BMILMS!$E$31*AX12^2+BMILMS!$F$31*AX12+BMILMS!$G$31,BMILMS!$D$32*AX12^3+BMILMS!$E$32*AX12^2+BMILMS!$F$32*AX12+BMILMS!$G$32)))))))</f>
        <v>12.568967990000001</v>
      </c>
      <c r="AW12">
        <f>IF($E$4="M",(IF(AX12&lt;90,BMILMS!$D$14*AX12^3+BMILMS!$E$14*AX12^2+BMILMS!$F$14*AX12+BMILMS!$G$14,BMILMS!$D$15*AX12^3+BMILMS!$E$15*AX12^2+BMILMS!$F$15*AX12+BMILMS!$G$15)),(IF(AX12&lt;90,BMILMS!$D$17*AX12^3+BMILMS!$E$17*AX12^2+BMILMS!$F$17*AX12+BMILMS!$G$17,BMILMS!$D$18*AX12^3+BMILMS!$E$18*AX12^2+BMILMS!$F$18*AX12+BMILMS!$G$18)))</f>
        <v>8.8969350000000003E-2</v>
      </c>
      <c r="AX12" s="24">
        <f t="shared" si="11"/>
        <v>0</v>
      </c>
      <c r="AY12" s="24">
        <f t="shared" si="22"/>
        <v>0</v>
      </c>
      <c r="BA12">
        <f t="shared" si="12"/>
        <v>0.56299999999999994</v>
      </c>
      <c r="BB12">
        <f t="shared" si="13"/>
        <v>69</v>
      </c>
      <c r="BC12">
        <f t="shared" si="14"/>
        <v>0.51</v>
      </c>
    </row>
    <row r="13" spans="2:55" s="4" customFormat="1">
      <c r="B13" s="43"/>
      <c r="C13" s="145"/>
      <c r="D13" s="22"/>
      <c r="E13" s="114"/>
      <c r="F13" s="114"/>
      <c r="G13" s="114"/>
      <c r="H13" s="48" t="str">
        <f t="shared" si="0"/>
        <v/>
      </c>
      <c r="I13" s="115" t="str">
        <f t="shared" si="23"/>
        <v/>
      </c>
      <c r="J13" s="115" t="str">
        <f t="shared" si="1"/>
        <v/>
      </c>
      <c r="K13" s="115" t="str">
        <f t="shared" si="2"/>
        <v/>
      </c>
      <c r="L13" s="48" t="str">
        <f t="shared" si="24"/>
        <v/>
      </c>
      <c r="M13" s="115" t="str">
        <f t="shared" si="3"/>
        <v/>
      </c>
      <c r="N13" s="48" t="str">
        <f t="shared" si="4"/>
        <v/>
      </c>
      <c r="O13" s="115" t="str">
        <f t="shared" si="5"/>
        <v/>
      </c>
      <c r="P13" s="48" t="str">
        <f t="shared" si="6"/>
        <v/>
      </c>
      <c r="Q13" s="162" t="str">
        <f t="shared" ref="Q13:Q57" si="27">IF(COUNT($D$4,D13)=2,DATEDIF($D$4,D13,"Y")+(D13-(DATE(YEAR($D$4)+DATEDIF($D$4,D13,"Y"),MONTH($D$4),DAY($D$4))))/(365+IF(MOD(YEAR((DATE(YEAR(D13)-1,MONTH($D$4),DAY($D$4)))),4)=0,IF((DATE(YEAR(D13)-1,MONTH($D$4),DAY($D$4)))&gt;DATE(YEAR((DATE(YEAR(D13)-1,MONTH($D$4),DAY($D$4)))),2,29),0,1),0)+IF(MOD(YEAR(D13),4)=0,IF(D13&gt;DATE(YEAR(D13),2,29),1,0),0)),"")</f>
        <v/>
      </c>
      <c r="R13" s="48" t="str">
        <f t="shared" si="15"/>
        <v/>
      </c>
      <c r="S13" s="144" t="str">
        <f>IF(X13=1,"",IF(AB13=AB12,"",(AB13-AB12)/(Z13-Z12)))</f>
        <v/>
      </c>
      <c r="T13" s="144" t="str">
        <f>IF(COUNT(S13)=1,IF(X13=1,"",IF(COUNTA(C13)=1,IF(AD13&lt;1,"NA",IF(AD13&gt;=17,IF(AE13&gt;=IF($D$4="M",10,4),"NA",IF(AY13&gt;AY12,AJ13,"NA")),IF(AY13&gt;AY12,AJ13,"NA"))),"")),"")</f>
        <v/>
      </c>
      <c r="U13" s="24"/>
      <c r="V13" s="24"/>
      <c r="W13" s="24"/>
      <c r="X13" s="24">
        <f t="shared" si="17"/>
        <v>0</v>
      </c>
      <c r="Y13" s="24"/>
      <c r="Z13" s="24" t="str">
        <f t="shared" si="25"/>
        <v/>
      </c>
      <c r="AA13" s="24" t="str">
        <f t="shared" si="26"/>
        <v/>
      </c>
      <c r="AB13" s="24">
        <f>IF(COUNTA(C13)=1,E13,AB12)</f>
        <v>0</v>
      </c>
      <c r="AD13" s="24" t="e">
        <f t="shared" ref="AD13:AD33" si="28">ROUNDDOWN(Z12+(Z13-Z12)/2,0)</f>
        <v>#VALUE!</v>
      </c>
      <c r="AE13" s="24" t="e">
        <f t="shared" ref="AE13:AE33" si="29">ROUNDDOWN((Z12+(Z13-Z12)/2-AD13)*12,0)</f>
        <v>#VALUE!</v>
      </c>
      <c r="AF13" s="24" t="e">
        <f t="shared" si="18"/>
        <v>#VALUE!</v>
      </c>
      <c r="AG13" s="24" t="e">
        <f t="shared" si="19"/>
        <v>#VALUE!</v>
      </c>
      <c r="AI13" s="24"/>
      <c r="AJ13" s="24" t="e">
        <f t="shared" ref="AJ13:AJ57" si="30">(S13-AF13)/AG13</f>
        <v>#VALUE!</v>
      </c>
      <c r="AK13" s="31"/>
      <c r="AL13" s="35">
        <f t="shared" si="20"/>
        <v>0</v>
      </c>
      <c r="AM13" s="24">
        <f t="shared" si="21"/>
        <v>0</v>
      </c>
      <c r="AN13" s="24"/>
      <c r="AO13" s="116"/>
      <c r="AP13" s="116"/>
      <c r="AQ13" s="63">
        <f t="shared" si="9"/>
        <v>9.0359999999999996</v>
      </c>
      <c r="AR13" s="63">
        <f t="shared" si="10"/>
        <v>-184.49199999999999</v>
      </c>
      <c r="AS13" s="63"/>
      <c r="AT13"/>
      <c r="AU13">
        <f>IF($E$4="M",IF(AX13&lt;78,BMILMS!$D$5*AX13^3+BMILMS!$E$5*AX13^2+BMILMS!$F$5*AX13+BMILMS!$G$5,IF(AX13&lt;150,BMILMS!$D$6*AX13^3+BMILMS!$E$6*AX13^2+BMILMS!$F$6*AX13+BMILMS!$G$6,BMILMS!$D$7*AX13^3+BMILMS!$E$7*AX13^2+BMILMS!$F$7*AX13+BMILMS!$G$7)),IF(AX13&lt;69,BMILMS!$D$9*AX13^3+BMILMS!$E$9*AX13^2+BMILMS!$F$9*AX13+BMILMS!$G$9,IF(AX13&lt;150,BMILMS!$D$10*AX13^3+BMILMS!$E$10*AX13^2+BMILMS!$F$10*AX13+BMILMS!$G$10,BMILMS!$D$11*AX13^3+BMILMS!$E$11*AX13^2+BMILMS!$F$11*AX13+BMILMS!$G$11)))</f>
        <v>0.79584630099999998</v>
      </c>
      <c r="AV13">
        <f>IF($E$4="M",(IF(AX13&lt;2.5,BMILMS!$D$21*AX13^3+BMILMS!$E$21*AX13^2+BMILMS!$F$21*AX13+BMILMS!$G$21,IF(AX13&lt;9.5,BMILMS!$D$22*AX13^3+BMILMS!$E$22*AX13^2+BMILMS!$F$22*AX13+BMILMS!$G$22,IF(AX13&lt;26.75,BMILMS!$D$23*AX13^3+BMILMS!$E$23*AX13^2+BMILMS!$F$23*AX13+BMILMS!$G$23,IF(AX13&lt;90,BMILMS!$D$24*AX13^3+BMILMS!$E$24*AX13^2+BMILMS!$F$24*AX13+BMILMS!$G$24,BMILMS!$D$25*AX13^3+BMILMS!$E$25*AX13^2+BMILMS!$F$25*AX13+BMILMS!$G$25))))),(IF(AX13&lt;2.5,BMILMS!$D$27*AX13^3+BMILMS!$E$27*AX13^2+BMILMS!$F$27*AX13+BMILMS!$G$27,IF(AX13&lt;9.5,BMILMS!$D$28*AX13^3+BMILMS!$E$28*AX13^2+BMILMS!$F$28*AX13+BMILMS!$G$28,IF(AX13&lt;26.75,BMILMS!$D$29*AX13^3+BMILMS!$E$29*AX13^2+BMILMS!$F$29*AX13+BMILMS!$G$29,IF(AX13&lt;90,BMILMS!$D$30*AX13^3+BMILMS!$E$30*AX13^2+BMILMS!$F$30*AX13+BMILMS!$G$30,IF(AX13&lt;150,BMILMS!$D$31*AX13^3+BMILMS!$E$31*AX13^2+BMILMS!$F$31*AX13+BMILMS!$G$31,BMILMS!$D$32*AX13^3+BMILMS!$E$32*AX13^2+BMILMS!$F$32*AX13+BMILMS!$G$32)))))))</f>
        <v>12.568967990000001</v>
      </c>
      <c r="AW13">
        <f>IF($E$4="M",(IF(AX13&lt;90,BMILMS!$D$14*AX13^3+BMILMS!$E$14*AX13^2+BMILMS!$F$14*AX13+BMILMS!$G$14,BMILMS!$D$15*AX13^3+BMILMS!$E$15*AX13^2+BMILMS!$F$15*AX13+BMILMS!$G$15)),(IF(AX13&lt;90,BMILMS!$D$17*AX13^3+BMILMS!$E$17*AX13^2+BMILMS!$F$17*AX13+BMILMS!$G$17,BMILMS!$D$18*AX13^3+BMILMS!$E$18*AX13^2+BMILMS!$F$18*AX13+BMILMS!$G$18)))</f>
        <v>8.8969350000000003E-2</v>
      </c>
      <c r="AX13" s="24">
        <f t="shared" si="11"/>
        <v>0</v>
      </c>
      <c r="AY13" s="24">
        <f t="shared" si="22"/>
        <v>0</v>
      </c>
      <c r="BA13">
        <f t="shared" si="12"/>
        <v>0.56299999999999994</v>
      </c>
      <c r="BB13">
        <f t="shared" si="13"/>
        <v>69</v>
      </c>
      <c r="BC13">
        <f t="shared" si="14"/>
        <v>0.51</v>
      </c>
    </row>
    <row r="14" spans="2:55" s="4" customFormat="1">
      <c r="B14" s="43"/>
      <c r="C14" s="145"/>
      <c r="D14" s="22"/>
      <c r="E14" s="114"/>
      <c r="F14" s="114"/>
      <c r="G14" s="114"/>
      <c r="H14" s="48" t="str">
        <f t="shared" si="0"/>
        <v/>
      </c>
      <c r="I14" s="115" t="str">
        <f t="shared" si="23"/>
        <v/>
      </c>
      <c r="J14" s="115" t="str">
        <f t="shared" si="1"/>
        <v/>
      </c>
      <c r="K14" s="115" t="str">
        <f t="shared" si="2"/>
        <v/>
      </c>
      <c r="L14" s="48" t="str">
        <f t="shared" si="24"/>
        <v/>
      </c>
      <c r="M14" s="115" t="str">
        <f t="shared" si="3"/>
        <v/>
      </c>
      <c r="N14" s="48" t="str">
        <f t="shared" si="4"/>
        <v/>
      </c>
      <c r="O14" s="115" t="str">
        <f t="shared" si="5"/>
        <v/>
      </c>
      <c r="P14" s="48" t="str">
        <f t="shared" si="6"/>
        <v/>
      </c>
      <c r="Q14" s="162" t="str">
        <f t="shared" si="27"/>
        <v/>
      </c>
      <c r="R14" s="48" t="str">
        <f t="shared" si="15"/>
        <v/>
      </c>
      <c r="S14" s="144" t="str">
        <f t="shared" si="16"/>
        <v/>
      </c>
      <c r="T14" s="144" t="str">
        <f t="shared" ref="T14:T57" si="31">IF(COUNT(S14)=1,IF(X14=1,"",IF(COUNTA(C14)=1,IF(AD14&lt;1,"NA",IF(AD14&gt;=17,IF(AE14&gt;=IF($D$4="M",10,4),"NA",IF(AY14&gt;AY13,AJ14,"NA")),IF(AY14&gt;AY13,AJ14,"NA"))),"")),"")</f>
        <v/>
      </c>
      <c r="U14" s="24"/>
      <c r="V14" s="24"/>
      <c r="W14" s="24"/>
      <c r="X14" s="24">
        <f t="shared" si="17"/>
        <v>0</v>
      </c>
      <c r="Y14" s="24"/>
      <c r="Z14" s="24" t="str">
        <f t="shared" si="25"/>
        <v/>
      </c>
      <c r="AA14" s="24" t="str">
        <f t="shared" si="26"/>
        <v/>
      </c>
      <c r="AB14" s="24">
        <f>IF(COUNTA(C14)=1,E14,AB13)</f>
        <v>0</v>
      </c>
      <c r="AD14" s="24" t="e">
        <f t="shared" si="28"/>
        <v>#VALUE!</v>
      </c>
      <c r="AE14" s="24" t="e">
        <f t="shared" si="29"/>
        <v>#VALUE!</v>
      </c>
      <c r="AF14" s="24" t="e">
        <f t="shared" si="18"/>
        <v>#VALUE!</v>
      </c>
      <c r="AG14" s="24" t="e">
        <f t="shared" si="19"/>
        <v>#VALUE!</v>
      </c>
      <c r="AI14" s="24"/>
      <c r="AJ14" s="24" t="e">
        <f t="shared" si="30"/>
        <v>#VALUE!</v>
      </c>
      <c r="AK14" s="31"/>
      <c r="AL14" s="35">
        <f t="shared" si="20"/>
        <v>0</v>
      </c>
      <c r="AM14" s="24">
        <f t="shared" si="21"/>
        <v>0</v>
      </c>
      <c r="AN14" s="24"/>
      <c r="AO14" s="116"/>
      <c r="AP14" s="116"/>
      <c r="AQ14" s="63">
        <f t="shared" si="9"/>
        <v>9.0359999999999996</v>
      </c>
      <c r="AR14" s="63">
        <f t="shared" si="10"/>
        <v>-184.49199999999999</v>
      </c>
      <c r="AS14" s="63"/>
      <c r="AT14"/>
      <c r="AU14">
        <f>IF($E$4="M",IF(AX14&lt;78,BMILMS!$D$5*AX14^3+BMILMS!$E$5*AX14^2+BMILMS!$F$5*AX14+BMILMS!$G$5,IF(AX14&lt;150,BMILMS!$D$6*AX14^3+BMILMS!$E$6*AX14^2+BMILMS!$F$6*AX14+BMILMS!$G$6,BMILMS!$D$7*AX14^3+BMILMS!$E$7*AX14^2+BMILMS!$F$7*AX14+BMILMS!$G$7)),IF(AX14&lt;69,BMILMS!$D$9*AX14^3+BMILMS!$E$9*AX14^2+BMILMS!$F$9*AX14+BMILMS!$G$9,IF(AX14&lt;150,BMILMS!$D$10*AX14^3+BMILMS!$E$10*AX14^2+BMILMS!$F$10*AX14+BMILMS!$G$10,BMILMS!$D$11*AX14^3+BMILMS!$E$11*AX14^2+BMILMS!$F$11*AX14+BMILMS!$G$11)))</f>
        <v>0.79584630099999998</v>
      </c>
      <c r="AV14">
        <f>IF($E$4="M",(IF(AX14&lt;2.5,BMILMS!$D$21*AX14^3+BMILMS!$E$21*AX14^2+BMILMS!$F$21*AX14+BMILMS!$G$21,IF(AX14&lt;9.5,BMILMS!$D$22*AX14^3+BMILMS!$E$22*AX14^2+BMILMS!$F$22*AX14+BMILMS!$G$22,IF(AX14&lt;26.75,BMILMS!$D$23*AX14^3+BMILMS!$E$23*AX14^2+BMILMS!$F$23*AX14+BMILMS!$G$23,IF(AX14&lt;90,BMILMS!$D$24*AX14^3+BMILMS!$E$24*AX14^2+BMILMS!$F$24*AX14+BMILMS!$G$24,BMILMS!$D$25*AX14^3+BMILMS!$E$25*AX14^2+BMILMS!$F$25*AX14+BMILMS!$G$25))))),(IF(AX14&lt;2.5,BMILMS!$D$27*AX14^3+BMILMS!$E$27*AX14^2+BMILMS!$F$27*AX14+BMILMS!$G$27,IF(AX14&lt;9.5,BMILMS!$D$28*AX14^3+BMILMS!$E$28*AX14^2+BMILMS!$F$28*AX14+BMILMS!$G$28,IF(AX14&lt;26.75,BMILMS!$D$29*AX14^3+BMILMS!$E$29*AX14^2+BMILMS!$F$29*AX14+BMILMS!$G$29,IF(AX14&lt;90,BMILMS!$D$30*AX14^3+BMILMS!$E$30*AX14^2+BMILMS!$F$30*AX14+BMILMS!$G$30,IF(AX14&lt;150,BMILMS!$D$31*AX14^3+BMILMS!$E$31*AX14^2+BMILMS!$F$31*AX14+BMILMS!$G$31,BMILMS!$D$32*AX14^3+BMILMS!$E$32*AX14^2+BMILMS!$F$32*AX14+BMILMS!$G$32)))))))</f>
        <v>12.568967990000001</v>
      </c>
      <c r="AW14">
        <f>IF($E$4="M",(IF(AX14&lt;90,BMILMS!$D$14*AX14^3+BMILMS!$E$14*AX14^2+BMILMS!$F$14*AX14+BMILMS!$G$14,BMILMS!$D$15*AX14^3+BMILMS!$E$15*AX14^2+BMILMS!$F$15*AX14+BMILMS!$G$15)),(IF(AX14&lt;90,BMILMS!$D$17*AX14^3+BMILMS!$E$17*AX14^2+BMILMS!$F$17*AX14+BMILMS!$G$17,BMILMS!$D$18*AX14^3+BMILMS!$E$18*AX14^2+BMILMS!$F$18*AX14+BMILMS!$G$18)))</f>
        <v>8.8969350000000003E-2</v>
      </c>
      <c r="AX14" s="24">
        <f t="shared" si="11"/>
        <v>0</v>
      </c>
      <c r="AY14" s="24">
        <f t="shared" si="22"/>
        <v>0</v>
      </c>
      <c r="BA14">
        <f>INDEX(IF($E$4="M",IGFmale, IGFfemale), AL14+1,1)</f>
        <v>0.56299999999999994</v>
      </c>
      <c r="BB14">
        <f t="shared" si="13"/>
        <v>69</v>
      </c>
      <c r="BC14">
        <f t="shared" si="14"/>
        <v>0.51</v>
      </c>
    </row>
    <row r="15" spans="2:55" s="4" customFormat="1">
      <c r="B15" s="43"/>
      <c r="C15" s="145"/>
      <c r="D15" s="22"/>
      <c r="E15" s="114"/>
      <c r="F15" s="114"/>
      <c r="G15" s="114"/>
      <c r="H15" s="48" t="str">
        <f t="shared" si="0"/>
        <v/>
      </c>
      <c r="I15" s="115" t="str">
        <f t="shared" si="23"/>
        <v/>
      </c>
      <c r="J15" s="115" t="str">
        <f t="shared" si="1"/>
        <v/>
      </c>
      <c r="K15" s="115" t="str">
        <f>IF(COUNTA($E$4,$D$4,D15,E15,F15)=5,IF(E15&gt;=IF($E$4="M",181,174),"*",IF(E15&lt;101,"*",IF(Q15&lt;6,"*",IF(Q15&gt;=17.583,"*",(F15-AR15)/AR15*100)))),"")</f>
        <v/>
      </c>
      <c r="L15" s="48" t="str">
        <f t="shared" si="24"/>
        <v/>
      </c>
      <c r="M15" s="115" t="str">
        <f t="shared" si="3"/>
        <v/>
      </c>
      <c r="N15" s="48" t="str">
        <f t="shared" si="4"/>
        <v/>
      </c>
      <c r="O15" s="115" t="str">
        <f t="shared" si="5"/>
        <v/>
      </c>
      <c r="P15" s="48" t="str">
        <f t="shared" si="6"/>
        <v/>
      </c>
      <c r="Q15" s="162" t="str">
        <f t="shared" si="27"/>
        <v/>
      </c>
      <c r="R15" s="48" t="str">
        <f t="shared" si="15"/>
        <v/>
      </c>
      <c r="S15" s="144" t="str">
        <f t="shared" si="16"/>
        <v/>
      </c>
      <c r="T15" s="144" t="str">
        <f t="shared" si="31"/>
        <v/>
      </c>
      <c r="U15" s="24"/>
      <c r="V15" s="24"/>
      <c r="W15" s="24"/>
      <c r="X15" s="24">
        <f t="shared" si="17"/>
        <v>0</v>
      </c>
      <c r="Y15" s="24"/>
      <c r="Z15" s="24" t="str">
        <f t="shared" si="25"/>
        <v/>
      </c>
      <c r="AA15" s="24" t="str">
        <f>IF(COUNTA(C15)=1,E15,"")</f>
        <v/>
      </c>
      <c r="AB15" s="24">
        <f t="shared" si="8"/>
        <v>0</v>
      </c>
      <c r="AD15" s="24" t="e">
        <f t="shared" si="28"/>
        <v>#VALUE!</v>
      </c>
      <c r="AE15" s="24" t="e">
        <f t="shared" si="29"/>
        <v>#VALUE!</v>
      </c>
      <c r="AF15" s="24" t="e">
        <f t="shared" si="18"/>
        <v>#VALUE!</v>
      </c>
      <c r="AG15" s="24" t="e">
        <f t="shared" si="19"/>
        <v>#VALUE!</v>
      </c>
      <c r="AI15" s="24"/>
      <c r="AJ15" s="24" t="e">
        <f t="shared" si="30"/>
        <v>#VALUE!</v>
      </c>
      <c r="AL15" s="35">
        <f t="shared" ref="AL15" si="32">DATEDIF($D$4,D15,"Y")</f>
        <v>0</v>
      </c>
      <c r="AM15" s="24">
        <f>DATEDIF($D$4,D15,"YM")</f>
        <v>0</v>
      </c>
      <c r="AN15" s="24"/>
      <c r="AO15" s="116"/>
      <c r="AP15" s="116"/>
      <c r="AQ15" s="63">
        <f t="shared" si="9"/>
        <v>9.0359999999999996</v>
      </c>
      <c r="AR15" s="63">
        <f t="shared" si="10"/>
        <v>-184.49199999999999</v>
      </c>
      <c r="AS15" s="63"/>
      <c r="AT15"/>
      <c r="AU15">
        <f>IF($E$4="M",IF(AX15&lt;78,BMILMS!$D$5*AX15^3+BMILMS!$E$5*AX15^2+BMILMS!$F$5*AX15+BMILMS!$G$5,IF(AX15&lt;150,BMILMS!$D$6*AX15^3+BMILMS!$E$6*AX15^2+BMILMS!$F$6*AX15+BMILMS!$G$6,BMILMS!$D$7*AX15^3+BMILMS!$E$7*AX15^2+BMILMS!$F$7*AX15+BMILMS!$G$7)),IF(AX15&lt;69,BMILMS!$D$9*AX15^3+BMILMS!$E$9*AX15^2+BMILMS!$F$9*AX15+BMILMS!$G$9,IF(AX15&lt;150,BMILMS!$D$10*AX15^3+BMILMS!$E$10*AX15^2+BMILMS!$F$10*AX15+BMILMS!$G$10,BMILMS!$D$11*AX15^3+BMILMS!$E$11*AX15^2+BMILMS!$F$11*AX15+BMILMS!$G$11)))</f>
        <v>0.79584630099999998</v>
      </c>
      <c r="AV15">
        <f>IF($E$4="M",(IF(AX15&lt;2.5,BMILMS!$D$21*AX15^3+BMILMS!$E$21*AX15^2+BMILMS!$F$21*AX15+BMILMS!$G$21,IF(AX15&lt;9.5,BMILMS!$D$22*AX15^3+BMILMS!$E$22*AX15^2+BMILMS!$F$22*AX15+BMILMS!$G$22,IF(AX15&lt;26.75,BMILMS!$D$23*AX15^3+BMILMS!$E$23*AX15^2+BMILMS!$F$23*AX15+BMILMS!$G$23,IF(AX15&lt;90,BMILMS!$D$24*AX15^3+BMILMS!$E$24*AX15^2+BMILMS!$F$24*AX15+BMILMS!$G$24,BMILMS!$D$25*AX15^3+BMILMS!$E$25*AX15^2+BMILMS!$F$25*AX15+BMILMS!$G$25))))),(IF(AX15&lt;2.5,BMILMS!$D$27*AX15^3+BMILMS!$E$27*AX15^2+BMILMS!$F$27*AX15+BMILMS!$G$27,IF(AX15&lt;9.5,BMILMS!$D$28*AX15^3+BMILMS!$E$28*AX15^2+BMILMS!$F$28*AX15+BMILMS!$G$28,IF(AX15&lt;26.75,BMILMS!$D$29*AX15^3+BMILMS!$E$29*AX15^2+BMILMS!$F$29*AX15+BMILMS!$G$29,IF(AX15&lt;90,BMILMS!$D$30*AX15^3+BMILMS!$E$30*AX15^2+BMILMS!$F$30*AX15+BMILMS!$G$30,IF(AX15&lt;150,BMILMS!$D$31*AX15^3+BMILMS!$E$31*AX15^2+BMILMS!$F$31*AX15+BMILMS!$G$31,BMILMS!$D$32*AX15^3+BMILMS!$E$32*AX15^2+BMILMS!$F$32*AX15+BMILMS!$G$32)))))))</f>
        <v>12.568967990000001</v>
      </c>
      <c r="AW15">
        <f>IF($E$4="M",(IF(AX15&lt;90,BMILMS!$D$14*AX15^3+BMILMS!$E$14*AX15^2+BMILMS!$F$14*AX15+BMILMS!$G$14,BMILMS!$D$15*AX15^3+BMILMS!$E$15*AX15^2+BMILMS!$F$15*AX15+BMILMS!$G$15)),(IF(AX15&lt;90,BMILMS!$D$17*AX15^3+BMILMS!$E$17*AX15^2+BMILMS!$F$17*AX15+BMILMS!$G$17,BMILMS!$D$18*AX15^3+BMILMS!$E$18*AX15^2+BMILMS!$F$18*AX15+BMILMS!$G$18)))</f>
        <v>8.8969350000000003E-2</v>
      </c>
      <c r="AX15" s="24">
        <f t="shared" ref="AX15:AX57" si="33">AL15*12+AM15</f>
        <v>0</v>
      </c>
      <c r="AY15" s="24">
        <f t="shared" si="22"/>
        <v>0</v>
      </c>
      <c r="BA15">
        <f>INDEX(IF($E$4="M",IGFmale, IGFfemale), AL15+1,1)</f>
        <v>0.56299999999999994</v>
      </c>
      <c r="BB15">
        <f t="shared" ref="BB15" si="34">INDEX(IF($E$4="M",IGFmale, IGFfemale), AL15+1,2)</f>
        <v>69</v>
      </c>
      <c r="BC15">
        <f t="shared" ref="BC15" si="35">INDEX(IF($E$4="M",IGFmale, IGFfemale), AL15+1,3)</f>
        <v>0.51</v>
      </c>
    </row>
    <row r="16" spans="2:55" s="4" customFormat="1">
      <c r="B16" s="43"/>
      <c r="C16" s="145"/>
      <c r="D16" s="22"/>
      <c r="E16" s="114"/>
      <c r="F16" s="114"/>
      <c r="G16" s="114"/>
      <c r="H16" s="48" t="str">
        <f>IF(COUNTA($E$4,$D$4,D16,E16)=4,IF(Q16&gt;17.583,"*",(E16-(INDEX(IF($E$4="F",Hfemalemean,Hmalemean),AM16+1,INT(Q16)+1)))/(INDEX(IF($E$4="F",Hfemalesd,Hmalesd),AM16+1,INT(Q16)+1))),"")</f>
        <v/>
      </c>
      <c r="I16" s="115" t="str">
        <f t="shared" si="23"/>
        <v/>
      </c>
      <c r="J16" s="115" t="str">
        <f t="shared" si="1"/>
        <v/>
      </c>
      <c r="K16" s="115" t="str">
        <f t="shared" ref="K16:K57" si="36">IF(COUNTA($E$4,$D$4,D16,E16,F16)=5,IF(E16&gt;=IF($E$4="M",181,174),"*",IF(E16&lt;101,"*",IF(Q16&lt;6,"*",IF(Q16&gt;=17.583,"*",(F16-AR16)/AR16*100)))),"")</f>
        <v/>
      </c>
      <c r="L16" s="48" t="str">
        <f t="shared" si="24"/>
        <v/>
      </c>
      <c r="M16" s="115" t="str">
        <f t="shared" si="3"/>
        <v/>
      </c>
      <c r="N16" s="48" t="str">
        <f t="shared" si="4"/>
        <v/>
      </c>
      <c r="O16" s="115" t="str">
        <f t="shared" si="5"/>
        <v/>
      </c>
      <c r="P16" s="48" t="str">
        <f t="shared" si="6"/>
        <v/>
      </c>
      <c r="Q16" s="162" t="str">
        <f t="shared" si="27"/>
        <v/>
      </c>
      <c r="R16" s="48" t="str">
        <f t="shared" si="15"/>
        <v/>
      </c>
      <c r="S16" s="144" t="str">
        <f t="shared" si="16"/>
        <v/>
      </c>
      <c r="T16" s="144" t="str">
        <f t="shared" si="31"/>
        <v/>
      </c>
      <c r="U16" s="24"/>
      <c r="V16" s="24"/>
      <c r="W16" s="24"/>
      <c r="X16" s="24">
        <f t="shared" si="17"/>
        <v>0</v>
      </c>
      <c r="Y16" s="24"/>
      <c r="Z16" s="24" t="str">
        <f t="shared" si="25"/>
        <v/>
      </c>
      <c r="AA16" s="24" t="str">
        <f t="shared" si="26"/>
        <v/>
      </c>
      <c r="AB16" s="24">
        <f t="shared" si="8"/>
        <v>0</v>
      </c>
      <c r="AD16" s="24" t="e">
        <f t="shared" si="28"/>
        <v>#VALUE!</v>
      </c>
      <c r="AE16" s="24" t="e">
        <f t="shared" si="29"/>
        <v>#VALUE!</v>
      </c>
      <c r="AF16" s="24" t="e">
        <f t="shared" si="18"/>
        <v>#VALUE!</v>
      </c>
      <c r="AG16" s="24" t="e">
        <f t="shared" si="19"/>
        <v>#VALUE!</v>
      </c>
      <c r="AI16" s="24"/>
      <c r="AJ16" s="24" t="e">
        <f t="shared" si="30"/>
        <v>#VALUE!</v>
      </c>
      <c r="AK16" s="31"/>
      <c r="AL16" s="35">
        <f t="shared" si="20"/>
        <v>0</v>
      </c>
      <c r="AM16" s="24">
        <f>DATEDIF($D$4,D16,"YM")</f>
        <v>0</v>
      </c>
      <c r="AN16" s="24"/>
      <c r="AO16" s="116"/>
      <c r="AP16" s="116"/>
      <c r="AQ16" s="63">
        <f t="shared" si="9"/>
        <v>9.0359999999999996</v>
      </c>
      <c r="AR16" s="63">
        <f t="shared" si="10"/>
        <v>-184.49199999999999</v>
      </c>
      <c r="AS16" s="63"/>
      <c r="AT16"/>
      <c r="AU16">
        <f>IF($E$4="M",IF(AX16&lt;78,BMILMS!$D$5*AX16^3+BMILMS!$E$5*AX16^2+BMILMS!$F$5*AX16+BMILMS!$G$5,IF(AX16&lt;150,BMILMS!$D$6*AX16^3+BMILMS!$E$6*AX16^2+BMILMS!$F$6*AX16+BMILMS!$G$6,BMILMS!$D$7*AX16^3+BMILMS!$E$7*AX16^2+BMILMS!$F$7*AX16+BMILMS!$G$7)),IF(AX16&lt;69,BMILMS!$D$9*AX16^3+BMILMS!$E$9*AX16^2+BMILMS!$F$9*AX16+BMILMS!$G$9,IF(AX16&lt;150,BMILMS!$D$10*AX16^3+BMILMS!$E$10*AX16^2+BMILMS!$F$10*AX16+BMILMS!$G$10,BMILMS!$D$11*AX16^3+BMILMS!$E$11*AX16^2+BMILMS!$F$11*AX16+BMILMS!$G$11)))</f>
        <v>0.79584630099999998</v>
      </c>
      <c r="AV16">
        <f>IF($E$4="M",(IF(AX16&lt;2.5,BMILMS!$D$21*AX16^3+BMILMS!$E$21*AX16^2+BMILMS!$F$21*AX16+BMILMS!$G$21,IF(AX16&lt;9.5,BMILMS!$D$22*AX16^3+BMILMS!$E$22*AX16^2+BMILMS!$F$22*AX16+BMILMS!$G$22,IF(AX16&lt;26.75,BMILMS!$D$23*AX16^3+BMILMS!$E$23*AX16^2+BMILMS!$F$23*AX16+BMILMS!$G$23,IF(AX16&lt;90,BMILMS!$D$24*AX16^3+BMILMS!$E$24*AX16^2+BMILMS!$F$24*AX16+BMILMS!$G$24,BMILMS!$D$25*AX16^3+BMILMS!$E$25*AX16^2+BMILMS!$F$25*AX16+BMILMS!$G$25))))),(IF(AX16&lt;2.5,BMILMS!$D$27*AX16^3+BMILMS!$E$27*AX16^2+BMILMS!$F$27*AX16+BMILMS!$G$27,IF(AX16&lt;9.5,BMILMS!$D$28*AX16^3+BMILMS!$E$28*AX16^2+BMILMS!$F$28*AX16+BMILMS!$G$28,IF(AX16&lt;26.75,BMILMS!$D$29*AX16^3+BMILMS!$E$29*AX16^2+BMILMS!$F$29*AX16+BMILMS!$G$29,IF(AX16&lt;90,BMILMS!$D$30*AX16^3+BMILMS!$E$30*AX16^2+BMILMS!$F$30*AX16+BMILMS!$G$30,IF(AX16&lt;150,BMILMS!$D$31*AX16^3+BMILMS!$E$31*AX16^2+BMILMS!$F$31*AX16+BMILMS!$G$31,BMILMS!$D$32*AX16^3+BMILMS!$E$32*AX16^2+BMILMS!$F$32*AX16+BMILMS!$G$32)))))))</f>
        <v>12.568967990000001</v>
      </c>
      <c r="AW16">
        <f>IF($E$4="M",(IF(AX16&lt;90,BMILMS!$D$14*AX16^3+BMILMS!$E$14*AX16^2+BMILMS!$F$14*AX16+BMILMS!$G$14,BMILMS!$D$15*AX16^3+BMILMS!$E$15*AX16^2+BMILMS!$F$15*AX16+BMILMS!$G$15)),(IF(AX16&lt;90,BMILMS!$D$17*AX16^3+BMILMS!$E$17*AX16^2+BMILMS!$F$17*AX16+BMILMS!$G$17,BMILMS!$D$18*AX16^3+BMILMS!$E$18*AX16^2+BMILMS!$F$18*AX16+BMILMS!$G$18)))</f>
        <v>8.8969350000000003E-2</v>
      </c>
      <c r="AX16" s="24">
        <f t="shared" si="33"/>
        <v>0</v>
      </c>
      <c r="AY16" s="24">
        <f t="shared" si="22"/>
        <v>0</v>
      </c>
      <c r="BA16">
        <f t="shared" si="12"/>
        <v>0.56299999999999994</v>
      </c>
      <c r="BB16">
        <f t="shared" si="13"/>
        <v>69</v>
      </c>
      <c r="BC16">
        <f t="shared" si="14"/>
        <v>0.51</v>
      </c>
    </row>
    <row r="17" spans="2:55" s="4" customFormat="1">
      <c r="B17" s="43"/>
      <c r="C17" s="145"/>
      <c r="D17" s="22"/>
      <c r="E17" s="114"/>
      <c r="F17" s="114"/>
      <c r="G17" s="114"/>
      <c r="H17" s="48" t="str">
        <f>IF(COUNTA($E$4,$D$4,D17,E17)=4,IF(Q17&gt;17.583,"*",(E17-(INDEX(IF($E$4="F",Hfemalemean,Hmalemean),AM17+1,INT(Q17)+1)))/(INDEX(IF($E$4="F",Hfemalesd,Hmalesd),AM17+1,INT(Q17)+1))),"")</f>
        <v/>
      </c>
      <c r="I17" s="115" t="str">
        <f t="shared" si="23"/>
        <v/>
      </c>
      <c r="J17" s="115" t="str">
        <f t="shared" si="1"/>
        <v/>
      </c>
      <c r="K17" s="115" t="str">
        <f t="shared" si="36"/>
        <v/>
      </c>
      <c r="L17" s="48" t="str">
        <f t="shared" si="24"/>
        <v/>
      </c>
      <c r="M17" s="115" t="str">
        <f t="shared" si="3"/>
        <v/>
      </c>
      <c r="N17" s="48" t="str">
        <f t="shared" si="4"/>
        <v/>
      </c>
      <c r="O17" s="115" t="str">
        <f t="shared" si="5"/>
        <v/>
      </c>
      <c r="P17" s="48" t="str">
        <f t="shared" si="6"/>
        <v/>
      </c>
      <c r="Q17" s="162" t="str">
        <f t="shared" si="27"/>
        <v/>
      </c>
      <c r="R17" s="48" t="str">
        <f t="shared" si="15"/>
        <v/>
      </c>
      <c r="S17" s="144" t="str">
        <f>IF(X17=1,"",IF(AB17=AB16,"",(AB17-AB16)/(Z17-Z16)))</f>
        <v/>
      </c>
      <c r="T17" s="144" t="str">
        <f t="shared" si="31"/>
        <v/>
      </c>
      <c r="U17" s="24"/>
      <c r="V17" s="24"/>
      <c r="W17" s="24"/>
      <c r="X17" s="24">
        <f t="shared" si="17"/>
        <v>0</v>
      </c>
      <c r="Y17" s="24"/>
      <c r="Z17" s="24" t="str">
        <f t="shared" si="25"/>
        <v/>
      </c>
      <c r="AA17" s="24" t="str">
        <f t="shared" si="26"/>
        <v/>
      </c>
      <c r="AB17" s="24">
        <f t="shared" si="8"/>
        <v>0</v>
      </c>
      <c r="AD17" s="24" t="e">
        <f t="shared" si="28"/>
        <v>#VALUE!</v>
      </c>
      <c r="AE17" s="24" t="e">
        <f t="shared" si="29"/>
        <v>#VALUE!</v>
      </c>
      <c r="AF17" s="24" t="e">
        <f t="shared" si="18"/>
        <v>#VALUE!</v>
      </c>
      <c r="AG17" s="24" t="e">
        <f t="shared" si="19"/>
        <v>#VALUE!</v>
      </c>
      <c r="AI17" s="24"/>
      <c r="AJ17" s="24" t="e">
        <f t="shared" si="30"/>
        <v>#VALUE!</v>
      </c>
      <c r="AK17" s="31"/>
      <c r="AL17" s="35">
        <f t="shared" si="20"/>
        <v>0</v>
      </c>
      <c r="AM17" s="24">
        <f t="shared" si="21"/>
        <v>0</v>
      </c>
      <c r="AN17" s="24"/>
      <c r="AO17" s="116"/>
      <c r="AP17" s="116"/>
      <c r="AQ17" s="63">
        <f t="shared" si="9"/>
        <v>9.0359999999999996</v>
      </c>
      <c r="AR17" s="63">
        <f t="shared" si="10"/>
        <v>-184.49199999999999</v>
      </c>
      <c r="AS17" s="63"/>
      <c r="AT17"/>
      <c r="AU17">
        <f>IF($E$4="M",IF(AX17&lt;78,BMILMS!$D$5*AX17^3+BMILMS!$E$5*AX17^2+BMILMS!$F$5*AX17+BMILMS!$G$5,IF(AX17&lt;150,BMILMS!$D$6*AX17^3+BMILMS!$E$6*AX17^2+BMILMS!$F$6*AX17+BMILMS!$G$6,BMILMS!$D$7*AX17^3+BMILMS!$E$7*AX17^2+BMILMS!$F$7*AX17+BMILMS!$G$7)),IF(AX17&lt;69,BMILMS!$D$9*AX17^3+BMILMS!$E$9*AX17^2+BMILMS!$F$9*AX17+BMILMS!$G$9,IF(AX17&lt;150,BMILMS!$D$10*AX17^3+BMILMS!$E$10*AX17^2+BMILMS!$F$10*AX17+BMILMS!$G$10,BMILMS!$D$11*AX17^3+BMILMS!$E$11*AX17^2+BMILMS!$F$11*AX17+BMILMS!$G$11)))</f>
        <v>0.79584630099999998</v>
      </c>
      <c r="AV17">
        <f>IF($E$4="M",(IF(AX17&lt;2.5,BMILMS!$D$21*AX17^3+BMILMS!$E$21*AX17^2+BMILMS!$F$21*AX17+BMILMS!$G$21,IF(AX17&lt;9.5,BMILMS!$D$22*AX17^3+BMILMS!$E$22*AX17^2+BMILMS!$F$22*AX17+BMILMS!$G$22,IF(AX17&lt;26.75,BMILMS!$D$23*AX17^3+BMILMS!$E$23*AX17^2+BMILMS!$F$23*AX17+BMILMS!$G$23,IF(AX17&lt;90,BMILMS!$D$24*AX17^3+BMILMS!$E$24*AX17^2+BMILMS!$F$24*AX17+BMILMS!$G$24,BMILMS!$D$25*AX17^3+BMILMS!$E$25*AX17^2+BMILMS!$F$25*AX17+BMILMS!$G$25))))),(IF(AX17&lt;2.5,BMILMS!$D$27*AX17^3+BMILMS!$E$27*AX17^2+BMILMS!$F$27*AX17+BMILMS!$G$27,IF(AX17&lt;9.5,BMILMS!$D$28*AX17^3+BMILMS!$E$28*AX17^2+BMILMS!$F$28*AX17+BMILMS!$G$28,IF(AX17&lt;26.75,BMILMS!$D$29*AX17^3+BMILMS!$E$29*AX17^2+BMILMS!$F$29*AX17+BMILMS!$G$29,IF(AX17&lt;90,BMILMS!$D$30*AX17^3+BMILMS!$E$30*AX17^2+BMILMS!$F$30*AX17+BMILMS!$G$30,IF(AX17&lt;150,BMILMS!$D$31*AX17^3+BMILMS!$E$31*AX17^2+BMILMS!$F$31*AX17+BMILMS!$G$31,BMILMS!$D$32*AX17^3+BMILMS!$E$32*AX17^2+BMILMS!$F$32*AX17+BMILMS!$G$32)))))))</f>
        <v>12.568967990000001</v>
      </c>
      <c r="AW17">
        <f>IF($E$4="M",(IF(AX17&lt;90,BMILMS!$D$14*AX17^3+BMILMS!$E$14*AX17^2+BMILMS!$F$14*AX17+BMILMS!$G$14,BMILMS!$D$15*AX17^3+BMILMS!$E$15*AX17^2+BMILMS!$F$15*AX17+BMILMS!$G$15)),(IF(AX17&lt;90,BMILMS!$D$17*AX17^3+BMILMS!$E$17*AX17^2+BMILMS!$F$17*AX17+BMILMS!$G$17,BMILMS!$D$18*AX17^3+BMILMS!$E$18*AX17^2+BMILMS!$F$18*AX17+BMILMS!$G$18)))</f>
        <v>8.8969350000000003E-2</v>
      </c>
      <c r="AX17" s="24">
        <f t="shared" si="33"/>
        <v>0</v>
      </c>
      <c r="AY17" s="24">
        <f t="shared" si="22"/>
        <v>0</v>
      </c>
      <c r="BA17">
        <f t="shared" si="12"/>
        <v>0.56299999999999994</v>
      </c>
      <c r="BB17">
        <f t="shared" si="13"/>
        <v>69</v>
      </c>
      <c r="BC17">
        <f t="shared" si="14"/>
        <v>0.51</v>
      </c>
    </row>
    <row r="18" spans="2:55" s="4" customFormat="1">
      <c r="B18" s="43"/>
      <c r="C18" s="145"/>
      <c r="D18" s="22"/>
      <c r="E18" s="114"/>
      <c r="F18" s="114"/>
      <c r="G18" s="114"/>
      <c r="H18" s="48" t="str">
        <f t="shared" si="0"/>
        <v/>
      </c>
      <c r="I18" s="115" t="str">
        <f t="shared" si="23"/>
        <v/>
      </c>
      <c r="J18" s="115" t="str">
        <f t="shared" si="1"/>
        <v/>
      </c>
      <c r="K18" s="115" t="str">
        <f t="shared" si="36"/>
        <v/>
      </c>
      <c r="L18" s="48" t="str">
        <f t="shared" si="24"/>
        <v/>
      </c>
      <c r="M18" s="115" t="str">
        <f t="shared" si="3"/>
        <v/>
      </c>
      <c r="N18" s="48" t="str">
        <f t="shared" si="4"/>
        <v/>
      </c>
      <c r="O18" s="115" t="str">
        <f t="shared" si="5"/>
        <v/>
      </c>
      <c r="P18" s="48" t="str">
        <f t="shared" si="6"/>
        <v/>
      </c>
      <c r="Q18" s="162" t="str">
        <f t="shared" si="27"/>
        <v/>
      </c>
      <c r="R18" s="48" t="str">
        <f t="shared" si="15"/>
        <v/>
      </c>
      <c r="S18" s="144" t="str">
        <f t="shared" si="16"/>
        <v/>
      </c>
      <c r="T18" s="144" t="str">
        <f t="shared" si="31"/>
        <v/>
      </c>
      <c r="U18" s="24"/>
      <c r="V18" s="24"/>
      <c r="W18" s="24"/>
      <c r="X18" s="24">
        <f t="shared" si="17"/>
        <v>0</v>
      </c>
      <c r="Y18" s="24"/>
      <c r="Z18" s="24" t="str">
        <f t="shared" si="25"/>
        <v/>
      </c>
      <c r="AA18" s="24" t="str">
        <f>IF(COUNTA(C18)=1,E18,"")</f>
        <v/>
      </c>
      <c r="AB18" s="24">
        <f t="shared" si="8"/>
        <v>0</v>
      </c>
      <c r="AD18" s="24" t="e">
        <f t="shared" si="28"/>
        <v>#VALUE!</v>
      </c>
      <c r="AE18" s="24" t="e">
        <f t="shared" si="29"/>
        <v>#VALUE!</v>
      </c>
      <c r="AF18" s="24" t="e">
        <f t="shared" si="18"/>
        <v>#VALUE!</v>
      </c>
      <c r="AG18" s="24" t="e">
        <f t="shared" si="19"/>
        <v>#VALUE!</v>
      </c>
      <c r="AI18" s="24"/>
      <c r="AJ18" s="24" t="e">
        <f t="shared" si="30"/>
        <v>#VALUE!</v>
      </c>
      <c r="AK18" s="31"/>
      <c r="AL18" s="35">
        <f t="shared" si="20"/>
        <v>0</v>
      </c>
      <c r="AM18" s="24">
        <f t="shared" si="21"/>
        <v>0</v>
      </c>
      <c r="AN18" s="24"/>
      <c r="AO18" s="116"/>
      <c r="AP18" s="116"/>
      <c r="AQ18" s="63">
        <f t="shared" si="9"/>
        <v>9.0359999999999996</v>
      </c>
      <c r="AR18" s="63">
        <f t="shared" si="10"/>
        <v>-184.49199999999999</v>
      </c>
      <c r="AS18" s="63"/>
      <c r="AT18"/>
      <c r="AU18">
        <f>IF($E$4="M",IF(AX18&lt;78,BMILMS!$D$5*AX18^3+BMILMS!$E$5*AX18^2+BMILMS!$F$5*AX18+BMILMS!$G$5,IF(AX18&lt;150,BMILMS!$D$6*AX18^3+BMILMS!$E$6*AX18^2+BMILMS!$F$6*AX18+BMILMS!$G$6,BMILMS!$D$7*AX18^3+BMILMS!$E$7*AX18^2+BMILMS!$F$7*AX18+BMILMS!$G$7)),IF(AX18&lt;69,BMILMS!$D$9*AX18^3+BMILMS!$E$9*AX18^2+BMILMS!$F$9*AX18+BMILMS!$G$9,IF(AX18&lt;150,BMILMS!$D$10*AX18^3+BMILMS!$E$10*AX18^2+BMILMS!$F$10*AX18+BMILMS!$G$10,BMILMS!$D$11*AX18^3+BMILMS!$E$11*AX18^2+BMILMS!$F$11*AX18+BMILMS!$G$11)))</f>
        <v>0.79584630099999998</v>
      </c>
      <c r="AV18">
        <f>IF($E$4="M",(IF(AX18&lt;2.5,BMILMS!$D$21*AX18^3+BMILMS!$E$21*AX18^2+BMILMS!$F$21*AX18+BMILMS!$G$21,IF(AX18&lt;9.5,BMILMS!$D$22*AX18^3+BMILMS!$E$22*AX18^2+BMILMS!$F$22*AX18+BMILMS!$G$22,IF(AX18&lt;26.75,BMILMS!$D$23*AX18^3+BMILMS!$E$23*AX18^2+BMILMS!$F$23*AX18+BMILMS!$G$23,IF(AX18&lt;90,BMILMS!$D$24*AX18^3+BMILMS!$E$24*AX18^2+BMILMS!$F$24*AX18+BMILMS!$G$24,BMILMS!$D$25*AX18^3+BMILMS!$E$25*AX18^2+BMILMS!$F$25*AX18+BMILMS!$G$25))))),(IF(AX18&lt;2.5,BMILMS!$D$27*AX18^3+BMILMS!$E$27*AX18^2+BMILMS!$F$27*AX18+BMILMS!$G$27,IF(AX18&lt;9.5,BMILMS!$D$28*AX18^3+BMILMS!$E$28*AX18^2+BMILMS!$F$28*AX18+BMILMS!$G$28,IF(AX18&lt;26.75,BMILMS!$D$29*AX18^3+BMILMS!$E$29*AX18^2+BMILMS!$F$29*AX18+BMILMS!$G$29,IF(AX18&lt;90,BMILMS!$D$30*AX18^3+BMILMS!$E$30*AX18^2+BMILMS!$F$30*AX18+BMILMS!$G$30,IF(AX18&lt;150,BMILMS!$D$31*AX18^3+BMILMS!$E$31*AX18^2+BMILMS!$F$31*AX18+BMILMS!$G$31,BMILMS!$D$32*AX18^3+BMILMS!$E$32*AX18^2+BMILMS!$F$32*AX18+BMILMS!$G$32)))))))</f>
        <v>12.568967990000001</v>
      </c>
      <c r="AW18">
        <f>IF($E$4="M",(IF(AX18&lt;90,BMILMS!$D$14*AX18^3+BMILMS!$E$14*AX18^2+BMILMS!$F$14*AX18+BMILMS!$G$14,BMILMS!$D$15*AX18^3+BMILMS!$E$15*AX18^2+BMILMS!$F$15*AX18+BMILMS!$G$15)),(IF(AX18&lt;90,BMILMS!$D$17*AX18^3+BMILMS!$E$17*AX18^2+BMILMS!$F$17*AX18+BMILMS!$G$17,BMILMS!$D$18*AX18^3+BMILMS!$E$18*AX18^2+BMILMS!$F$18*AX18+BMILMS!$G$18)))</f>
        <v>8.8969350000000003E-2</v>
      </c>
      <c r="AX18" s="24">
        <f t="shared" si="33"/>
        <v>0</v>
      </c>
      <c r="AY18" s="24">
        <f t="shared" si="22"/>
        <v>0</v>
      </c>
      <c r="BA18">
        <f t="shared" si="12"/>
        <v>0.56299999999999994</v>
      </c>
      <c r="BB18">
        <f t="shared" si="13"/>
        <v>69</v>
      </c>
      <c r="BC18">
        <f t="shared" si="14"/>
        <v>0.51</v>
      </c>
    </row>
    <row r="19" spans="2:55" s="4" customFormat="1">
      <c r="B19" s="43"/>
      <c r="C19" s="145"/>
      <c r="D19" s="22"/>
      <c r="E19" s="114"/>
      <c r="F19" s="114"/>
      <c r="G19" s="114"/>
      <c r="H19" s="48" t="str">
        <f t="shared" si="0"/>
        <v/>
      </c>
      <c r="I19" s="115" t="str">
        <f t="shared" si="23"/>
        <v/>
      </c>
      <c r="J19" s="115" t="str">
        <f t="shared" si="1"/>
        <v/>
      </c>
      <c r="K19" s="115" t="str">
        <f t="shared" si="36"/>
        <v/>
      </c>
      <c r="L19" s="48" t="str">
        <f t="shared" si="24"/>
        <v/>
      </c>
      <c r="M19" s="115" t="str">
        <f t="shared" si="3"/>
        <v/>
      </c>
      <c r="N19" s="48" t="str">
        <f t="shared" si="4"/>
        <v/>
      </c>
      <c r="O19" s="115" t="str">
        <f t="shared" si="5"/>
        <v/>
      </c>
      <c r="P19" s="48" t="str">
        <f t="shared" si="6"/>
        <v/>
      </c>
      <c r="Q19" s="162" t="str">
        <f t="shared" si="27"/>
        <v/>
      </c>
      <c r="R19" s="48" t="str">
        <f t="shared" si="15"/>
        <v/>
      </c>
      <c r="S19" s="144" t="str">
        <f t="shared" si="16"/>
        <v/>
      </c>
      <c r="T19" s="144" t="str">
        <f t="shared" si="31"/>
        <v/>
      </c>
      <c r="U19" s="24"/>
      <c r="V19" s="24"/>
      <c r="W19" s="24"/>
      <c r="X19" s="24">
        <f t="shared" si="17"/>
        <v>0</v>
      </c>
      <c r="Y19" s="24"/>
      <c r="Z19" s="24" t="str">
        <f t="shared" si="25"/>
        <v/>
      </c>
      <c r="AA19" s="24" t="str">
        <f>IF(COUNTA(C19)=1,E19,"")</f>
        <v/>
      </c>
      <c r="AB19" s="24">
        <f t="shared" si="8"/>
        <v>0</v>
      </c>
      <c r="AD19" s="24" t="e">
        <f t="shared" si="28"/>
        <v>#VALUE!</v>
      </c>
      <c r="AE19" s="24" t="e">
        <f t="shared" si="29"/>
        <v>#VALUE!</v>
      </c>
      <c r="AF19" s="24" t="e">
        <f t="shared" si="18"/>
        <v>#VALUE!</v>
      </c>
      <c r="AG19" s="24" t="e">
        <f t="shared" si="19"/>
        <v>#VALUE!</v>
      </c>
      <c r="AI19" s="24"/>
      <c r="AJ19" s="24" t="e">
        <f t="shared" si="30"/>
        <v>#VALUE!</v>
      </c>
      <c r="AK19" s="31"/>
      <c r="AL19" s="35">
        <f t="shared" si="20"/>
        <v>0</v>
      </c>
      <c r="AM19" s="24">
        <f t="shared" si="21"/>
        <v>0</v>
      </c>
      <c r="AN19" s="24"/>
      <c r="AO19" s="116"/>
      <c r="AP19" s="116"/>
      <c r="AQ19" s="63">
        <f t="shared" si="9"/>
        <v>9.0359999999999996</v>
      </c>
      <c r="AR19" s="63">
        <f t="shared" si="10"/>
        <v>-184.49199999999999</v>
      </c>
      <c r="AS19" s="63"/>
      <c r="AT19"/>
      <c r="AU19">
        <f>IF($E$4="M",IF(AX19&lt;78,BMILMS!$D$5*AX19^3+BMILMS!$E$5*AX19^2+BMILMS!$F$5*AX19+BMILMS!$G$5,IF(AX19&lt;150,BMILMS!$D$6*AX19^3+BMILMS!$E$6*AX19^2+BMILMS!$F$6*AX19+BMILMS!$G$6,BMILMS!$D$7*AX19^3+BMILMS!$E$7*AX19^2+BMILMS!$F$7*AX19+BMILMS!$G$7)),IF(AX19&lt;69,BMILMS!$D$9*AX19^3+BMILMS!$E$9*AX19^2+BMILMS!$F$9*AX19+BMILMS!$G$9,IF(AX19&lt;150,BMILMS!$D$10*AX19^3+BMILMS!$E$10*AX19^2+BMILMS!$F$10*AX19+BMILMS!$G$10,BMILMS!$D$11*AX19^3+BMILMS!$E$11*AX19^2+BMILMS!$F$11*AX19+BMILMS!$G$11)))</f>
        <v>0.79584630099999998</v>
      </c>
      <c r="AV19">
        <f>IF($E$4="M",(IF(AX19&lt;2.5,BMILMS!$D$21*AX19^3+BMILMS!$E$21*AX19^2+BMILMS!$F$21*AX19+BMILMS!$G$21,IF(AX19&lt;9.5,BMILMS!$D$22*AX19^3+BMILMS!$E$22*AX19^2+BMILMS!$F$22*AX19+BMILMS!$G$22,IF(AX19&lt;26.75,BMILMS!$D$23*AX19^3+BMILMS!$E$23*AX19^2+BMILMS!$F$23*AX19+BMILMS!$G$23,IF(AX19&lt;90,BMILMS!$D$24*AX19^3+BMILMS!$E$24*AX19^2+BMILMS!$F$24*AX19+BMILMS!$G$24,BMILMS!$D$25*AX19^3+BMILMS!$E$25*AX19^2+BMILMS!$F$25*AX19+BMILMS!$G$25))))),(IF(AX19&lt;2.5,BMILMS!$D$27*AX19^3+BMILMS!$E$27*AX19^2+BMILMS!$F$27*AX19+BMILMS!$G$27,IF(AX19&lt;9.5,BMILMS!$D$28*AX19^3+BMILMS!$E$28*AX19^2+BMILMS!$F$28*AX19+BMILMS!$G$28,IF(AX19&lt;26.75,BMILMS!$D$29*AX19^3+BMILMS!$E$29*AX19^2+BMILMS!$F$29*AX19+BMILMS!$G$29,IF(AX19&lt;90,BMILMS!$D$30*AX19^3+BMILMS!$E$30*AX19^2+BMILMS!$F$30*AX19+BMILMS!$G$30,IF(AX19&lt;150,BMILMS!$D$31*AX19^3+BMILMS!$E$31*AX19^2+BMILMS!$F$31*AX19+BMILMS!$G$31,BMILMS!$D$32*AX19^3+BMILMS!$E$32*AX19^2+BMILMS!$F$32*AX19+BMILMS!$G$32)))))))</f>
        <v>12.568967990000001</v>
      </c>
      <c r="AW19">
        <f>IF($E$4="M",(IF(AX19&lt;90,BMILMS!$D$14*AX19^3+BMILMS!$E$14*AX19^2+BMILMS!$F$14*AX19+BMILMS!$G$14,BMILMS!$D$15*AX19^3+BMILMS!$E$15*AX19^2+BMILMS!$F$15*AX19+BMILMS!$G$15)),(IF(AX19&lt;90,BMILMS!$D$17*AX19^3+BMILMS!$E$17*AX19^2+BMILMS!$F$17*AX19+BMILMS!$G$17,BMILMS!$D$18*AX19^3+BMILMS!$E$18*AX19^2+BMILMS!$F$18*AX19+BMILMS!$G$18)))</f>
        <v>8.8969350000000003E-2</v>
      </c>
      <c r="AX19" s="24">
        <f t="shared" si="33"/>
        <v>0</v>
      </c>
      <c r="AY19" s="24">
        <f t="shared" si="22"/>
        <v>0</v>
      </c>
      <c r="BA19">
        <f t="shared" si="12"/>
        <v>0.56299999999999994</v>
      </c>
      <c r="BB19">
        <f t="shared" si="13"/>
        <v>69</v>
      </c>
      <c r="BC19">
        <f t="shared" si="14"/>
        <v>0.51</v>
      </c>
    </row>
    <row r="20" spans="2:55" s="4" customFormat="1">
      <c r="B20" s="43"/>
      <c r="C20" s="145"/>
      <c r="D20" s="22"/>
      <c r="E20" s="114"/>
      <c r="F20" s="114"/>
      <c r="G20" s="114"/>
      <c r="H20" s="48" t="str">
        <f t="shared" si="0"/>
        <v/>
      </c>
      <c r="I20" s="115" t="str">
        <f t="shared" si="23"/>
        <v/>
      </c>
      <c r="J20" s="115" t="str">
        <f t="shared" si="1"/>
        <v/>
      </c>
      <c r="K20" s="115" t="str">
        <f t="shared" si="36"/>
        <v/>
      </c>
      <c r="L20" s="48" t="str">
        <f t="shared" si="24"/>
        <v/>
      </c>
      <c r="M20" s="115" t="str">
        <f t="shared" si="3"/>
        <v/>
      </c>
      <c r="N20" s="48" t="str">
        <f t="shared" si="4"/>
        <v/>
      </c>
      <c r="O20" s="115" t="str">
        <f t="shared" si="5"/>
        <v/>
      </c>
      <c r="P20" s="48" t="str">
        <f t="shared" si="6"/>
        <v/>
      </c>
      <c r="Q20" s="162" t="str">
        <f t="shared" si="27"/>
        <v/>
      </c>
      <c r="R20" s="48" t="str">
        <f t="shared" si="15"/>
        <v/>
      </c>
      <c r="S20" s="144" t="str">
        <f t="shared" si="16"/>
        <v/>
      </c>
      <c r="T20" s="144" t="str">
        <f t="shared" si="31"/>
        <v/>
      </c>
      <c r="U20" s="24"/>
      <c r="V20" s="24"/>
      <c r="W20" s="24"/>
      <c r="X20" s="24">
        <f t="shared" si="17"/>
        <v>0</v>
      </c>
      <c r="Y20" s="24"/>
      <c r="Z20" s="24" t="str">
        <f t="shared" si="25"/>
        <v/>
      </c>
      <c r="AA20" s="24" t="str">
        <f>IF(COUNTA(C20)=1,E20,"")</f>
        <v/>
      </c>
      <c r="AB20" s="24">
        <f t="shared" si="8"/>
        <v>0</v>
      </c>
      <c r="AD20" s="24" t="e">
        <f t="shared" si="28"/>
        <v>#VALUE!</v>
      </c>
      <c r="AE20" s="24" t="e">
        <f t="shared" si="29"/>
        <v>#VALUE!</v>
      </c>
      <c r="AF20" s="24" t="e">
        <f t="shared" si="18"/>
        <v>#VALUE!</v>
      </c>
      <c r="AG20" s="24" t="e">
        <f t="shared" si="19"/>
        <v>#VALUE!</v>
      </c>
      <c r="AI20" s="24"/>
      <c r="AJ20" s="24" t="e">
        <f t="shared" si="30"/>
        <v>#VALUE!</v>
      </c>
      <c r="AK20" s="31"/>
      <c r="AL20" s="35">
        <f t="shared" si="20"/>
        <v>0</v>
      </c>
      <c r="AM20" s="24">
        <f t="shared" si="21"/>
        <v>0</v>
      </c>
      <c r="AN20" s="24"/>
      <c r="AO20" s="116"/>
      <c r="AP20" s="116"/>
      <c r="AQ20" s="63">
        <f t="shared" si="9"/>
        <v>9.0359999999999996</v>
      </c>
      <c r="AR20" s="63">
        <f t="shared" si="10"/>
        <v>-184.49199999999999</v>
      </c>
      <c r="AS20" s="63"/>
      <c r="AT20"/>
      <c r="AU20">
        <f>IF($E$4="M",IF(AX20&lt;78,BMILMS!$D$5*AX20^3+BMILMS!$E$5*AX20^2+BMILMS!$F$5*AX20+BMILMS!$G$5,IF(AX20&lt;150,BMILMS!$D$6*AX20^3+BMILMS!$E$6*AX20^2+BMILMS!$F$6*AX20+BMILMS!$G$6,BMILMS!$D$7*AX20^3+BMILMS!$E$7*AX20^2+BMILMS!$F$7*AX20+BMILMS!$G$7)),IF(AX20&lt;69,BMILMS!$D$9*AX20^3+BMILMS!$E$9*AX20^2+BMILMS!$F$9*AX20+BMILMS!$G$9,IF(AX20&lt;150,BMILMS!$D$10*AX20^3+BMILMS!$E$10*AX20^2+BMILMS!$F$10*AX20+BMILMS!$G$10,BMILMS!$D$11*AX20^3+BMILMS!$E$11*AX20^2+BMILMS!$F$11*AX20+BMILMS!$G$11)))</f>
        <v>0.79584630099999998</v>
      </c>
      <c r="AV20">
        <f>IF($E$4="M",(IF(AX20&lt;2.5,BMILMS!$D$21*AX20^3+BMILMS!$E$21*AX20^2+BMILMS!$F$21*AX20+BMILMS!$G$21,IF(AX20&lt;9.5,BMILMS!$D$22*AX20^3+BMILMS!$E$22*AX20^2+BMILMS!$F$22*AX20+BMILMS!$G$22,IF(AX20&lt;26.75,BMILMS!$D$23*AX20^3+BMILMS!$E$23*AX20^2+BMILMS!$F$23*AX20+BMILMS!$G$23,IF(AX20&lt;90,BMILMS!$D$24*AX20^3+BMILMS!$E$24*AX20^2+BMILMS!$F$24*AX20+BMILMS!$G$24,BMILMS!$D$25*AX20^3+BMILMS!$E$25*AX20^2+BMILMS!$F$25*AX20+BMILMS!$G$25))))),(IF(AX20&lt;2.5,BMILMS!$D$27*AX20^3+BMILMS!$E$27*AX20^2+BMILMS!$F$27*AX20+BMILMS!$G$27,IF(AX20&lt;9.5,BMILMS!$D$28*AX20^3+BMILMS!$E$28*AX20^2+BMILMS!$F$28*AX20+BMILMS!$G$28,IF(AX20&lt;26.75,BMILMS!$D$29*AX20^3+BMILMS!$E$29*AX20^2+BMILMS!$F$29*AX20+BMILMS!$G$29,IF(AX20&lt;90,BMILMS!$D$30*AX20^3+BMILMS!$E$30*AX20^2+BMILMS!$F$30*AX20+BMILMS!$G$30,IF(AX20&lt;150,BMILMS!$D$31*AX20^3+BMILMS!$E$31*AX20^2+BMILMS!$F$31*AX20+BMILMS!$G$31,BMILMS!$D$32*AX20^3+BMILMS!$E$32*AX20^2+BMILMS!$F$32*AX20+BMILMS!$G$32)))))))</f>
        <v>12.568967990000001</v>
      </c>
      <c r="AW20">
        <f>IF($E$4="M",(IF(AX20&lt;90,BMILMS!$D$14*AX20^3+BMILMS!$E$14*AX20^2+BMILMS!$F$14*AX20+BMILMS!$G$14,BMILMS!$D$15*AX20^3+BMILMS!$E$15*AX20^2+BMILMS!$F$15*AX20+BMILMS!$G$15)),(IF(AX20&lt;90,BMILMS!$D$17*AX20^3+BMILMS!$E$17*AX20^2+BMILMS!$F$17*AX20+BMILMS!$G$17,BMILMS!$D$18*AX20^3+BMILMS!$E$18*AX20^2+BMILMS!$F$18*AX20+BMILMS!$G$18)))</f>
        <v>8.8969350000000003E-2</v>
      </c>
      <c r="AX20" s="24">
        <f t="shared" si="33"/>
        <v>0</v>
      </c>
      <c r="AY20" s="24">
        <f t="shared" si="22"/>
        <v>0</v>
      </c>
      <c r="BA20">
        <f t="shared" si="12"/>
        <v>0.56299999999999994</v>
      </c>
      <c r="BB20">
        <f t="shared" si="13"/>
        <v>69</v>
      </c>
      <c r="BC20">
        <f t="shared" si="14"/>
        <v>0.51</v>
      </c>
    </row>
    <row r="21" spans="2:55" s="4" customFormat="1">
      <c r="B21" s="43"/>
      <c r="C21" s="145"/>
      <c r="D21" s="22"/>
      <c r="E21" s="114"/>
      <c r="F21" s="114"/>
      <c r="G21" s="114"/>
      <c r="H21" s="48" t="str">
        <f t="shared" si="0"/>
        <v/>
      </c>
      <c r="I21" s="115" t="str">
        <f t="shared" si="23"/>
        <v/>
      </c>
      <c r="J21" s="115" t="str">
        <f t="shared" si="1"/>
        <v/>
      </c>
      <c r="K21" s="115" t="str">
        <f t="shared" si="36"/>
        <v/>
      </c>
      <c r="L21" s="48" t="str">
        <f t="shared" si="24"/>
        <v/>
      </c>
      <c r="M21" s="115" t="str">
        <f t="shared" si="3"/>
        <v/>
      </c>
      <c r="N21" s="48" t="str">
        <f t="shared" si="4"/>
        <v/>
      </c>
      <c r="O21" s="115" t="str">
        <f t="shared" si="5"/>
        <v/>
      </c>
      <c r="P21" s="48" t="str">
        <f t="shared" si="6"/>
        <v/>
      </c>
      <c r="Q21" s="162" t="str">
        <f t="shared" si="27"/>
        <v/>
      </c>
      <c r="R21" s="48" t="str">
        <f t="shared" si="15"/>
        <v/>
      </c>
      <c r="S21" s="144" t="str">
        <f t="shared" si="16"/>
        <v/>
      </c>
      <c r="T21" s="144" t="str">
        <f t="shared" si="31"/>
        <v/>
      </c>
      <c r="U21" s="24"/>
      <c r="V21" s="24"/>
      <c r="W21" s="24"/>
      <c r="X21" s="24">
        <f t="shared" si="17"/>
        <v>0</v>
      </c>
      <c r="Y21" s="24"/>
      <c r="Z21" s="24" t="str">
        <f t="shared" si="25"/>
        <v/>
      </c>
      <c r="AA21" s="24" t="str">
        <f t="shared" si="26"/>
        <v/>
      </c>
      <c r="AB21" s="24">
        <f t="shared" si="8"/>
        <v>0</v>
      </c>
      <c r="AD21" s="24" t="e">
        <f t="shared" si="28"/>
        <v>#VALUE!</v>
      </c>
      <c r="AE21" s="24" t="e">
        <f t="shared" si="29"/>
        <v>#VALUE!</v>
      </c>
      <c r="AF21" s="24" t="e">
        <f t="shared" ref="AF21:AF57" si="37">INDEX(IF(E5="M",MHVaverage,FHVaverage),AE21+1,AD21+1)</f>
        <v>#VALUE!</v>
      </c>
      <c r="AG21" s="24" t="e">
        <f t="shared" ref="AG21:AG57" si="38">INDEX(IF(E5="M",MHVstd,FHVstd),AE21+1,AD21+1)</f>
        <v>#VALUE!</v>
      </c>
      <c r="AI21" s="24"/>
      <c r="AJ21" s="24" t="e">
        <f t="shared" si="30"/>
        <v>#VALUE!</v>
      </c>
      <c r="AK21" s="31"/>
      <c r="AL21" s="35">
        <f t="shared" si="20"/>
        <v>0</v>
      </c>
      <c r="AM21" s="24">
        <f t="shared" si="21"/>
        <v>0</v>
      </c>
      <c r="AN21" s="24"/>
      <c r="AO21" s="116"/>
      <c r="AP21" s="116"/>
      <c r="AQ21" s="63">
        <f t="shared" si="9"/>
        <v>9.0359999999999996</v>
      </c>
      <c r="AR21" s="63">
        <f t="shared" si="10"/>
        <v>-184.49199999999999</v>
      </c>
      <c r="AS21" s="63"/>
      <c r="AT21"/>
      <c r="AU21">
        <f>IF($E$4="M",IF(AX21&lt;78,BMILMS!$D$5*AX21^3+BMILMS!$E$5*AX21^2+BMILMS!$F$5*AX21+BMILMS!$G$5,IF(AX21&lt;150,BMILMS!$D$6*AX21^3+BMILMS!$E$6*AX21^2+BMILMS!$F$6*AX21+BMILMS!$G$6,BMILMS!$D$7*AX21^3+BMILMS!$E$7*AX21^2+BMILMS!$F$7*AX21+BMILMS!$G$7)),IF(AX21&lt;69,BMILMS!$D$9*AX21^3+BMILMS!$E$9*AX21^2+BMILMS!$F$9*AX21+BMILMS!$G$9,IF(AX21&lt;150,BMILMS!$D$10*AX21^3+BMILMS!$E$10*AX21^2+BMILMS!$F$10*AX21+BMILMS!$G$10,BMILMS!$D$11*AX21^3+BMILMS!$E$11*AX21^2+BMILMS!$F$11*AX21+BMILMS!$G$11)))</f>
        <v>0.79584630099999998</v>
      </c>
      <c r="AV21">
        <f>IF($E$4="M",(IF(AX21&lt;2.5,BMILMS!$D$21*AX21^3+BMILMS!$E$21*AX21^2+BMILMS!$F$21*AX21+BMILMS!$G$21,IF(AX21&lt;9.5,BMILMS!$D$22*AX21^3+BMILMS!$E$22*AX21^2+BMILMS!$F$22*AX21+BMILMS!$G$22,IF(AX21&lt;26.75,BMILMS!$D$23*AX21^3+BMILMS!$E$23*AX21^2+BMILMS!$F$23*AX21+BMILMS!$G$23,IF(AX21&lt;90,BMILMS!$D$24*AX21^3+BMILMS!$E$24*AX21^2+BMILMS!$F$24*AX21+BMILMS!$G$24,BMILMS!$D$25*AX21^3+BMILMS!$E$25*AX21^2+BMILMS!$F$25*AX21+BMILMS!$G$25))))),(IF(AX21&lt;2.5,BMILMS!$D$27*AX21^3+BMILMS!$E$27*AX21^2+BMILMS!$F$27*AX21+BMILMS!$G$27,IF(AX21&lt;9.5,BMILMS!$D$28*AX21^3+BMILMS!$E$28*AX21^2+BMILMS!$F$28*AX21+BMILMS!$G$28,IF(AX21&lt;26.75,BMILMS!$D$29*AX21^3+BMILMS!$E$29*AX21^2+BMILMS!$F$29*AX21+BMILMS!$G$29,IF(AX21&lt;90,BMILMS!$D$30*AX21^3+BMILMS!$E$30*AX21^2+BMILMS!$F$30*AX21+BMILMS!$G$30,IF(AX21&lt;150,BMILMS!$D$31*AX21^3+BMILMS!$E$31*AX21^2+BMILMS!$F$31*AX21+BMILMS!$G$31,BMILMS!$D$32*AX21^3+BMILMS!$E$32*AX21^2+BMILMS!$F$32*AX21+BMILMS!$G$32)))))))</f>
        <v>12.568967990000001</v>
      </c>
      <c r="AW21">
        <f>IF($E$4="M",(IF(AX21&lt;90,BMILMS!$D$14*AX21^3+BMILMS!$E$14*AX21^2+BMILMS!$F$14*AX21+BMILMS!$G$14,BMILMS!$D$15*AX21^3+BMILMS!$E$15*AX21^2+BMILMS!$F$15*AX21+BMILMS!$G$15)),(IF(AX21&lt;90,BMILMS!$D$17*AX21^3+BMILMS!$E$17*AX21^2+BMILMS!$F$17*AX21+BMILMS!$G$17,BMILMS!$D$18*AX21^3+BMILMS!$E$18*AX21^2+BMILMS!$F$18*AX21+BMILMS!$G$18)))</f>
        <v>8.8969350000000003E-2</v>
      </c>
      <c r="AX21" s="24">
        <f t="shared" si="33"/>
        <v>0</v>
      </c>
      <c r="AY21" s="24">
        <f t="shared" si="22"/>
        <v>0</v>
      </c>
      <c r="BA21">
        <f t="shared" si="12"/>
        <v>0.56299999999999994</v>
      </c>
      <c r="BB21">
        <f t="shared" si="13"/>
        <v>69</v>
      </c>
      <c r="BC21">
        <f t="shared" si="14"/>
        <v>0.51</v>
      </c>
    </row>
    <row r="22" spans="2:55" s="4" customFormat="1">
      <c r="B22" s="43"/>
      <c r="C22" s="145"/>
      <c r="D22" s="22"/>
      <c r="E22" s="114"/>
      <c r="F22" s="114"/>
      <c r="G22" s="114"/>
      <c r="H22" s="48" t="str">
        <f t="shared" si="0"/>
        <v/>
      </c>
      <c r="I22" s="115" t="str">
        <f t="shared" si="23"/>
        <v/>
      </c>
      <c r="J22" s="115" t="str">
        <f t="shared" si="1"/>
        <v/>
      </c>
      <c r="K22" s="115" t="str">
        <f t="shared" si="36"/>
        <v/>
      </c>
      <c r="L22" s="48" t="str">
        <f t="shared" si="24"/>
        <v/>
      </c>
      <c r="M22" s="115" t="str">
        <f t="shared" si="3"/>
        <v/>
      </c>
      <c r="N22" s="48" t="str">
        <f t="shared" si="4"/>
        <v/>
      </c>
      <c r="O22" s="115" t="str">
        <f t="shared" si="5"/>
        <v/>
      </c>
      <c r="P22" s="48" t="str">
        <f t="shared" si="6"/>
        <v/>
      </c>
      <c r="Q22" s="162" t="str">
        <f t="shared" si="27"/>
        <v/>
      </c>
      <c r="R22" s="48" t="str">
        <f t="shared" si="15"/>
        <v/>
      </c>
      <c r="S22" s="144" t="str">
        <f t="shared" si="16"/>
        <v/>
      </c>
      <c r="T22" s="144" t="str">
        <f t="shared" si="31"/>
        <v/>
      </c>
      <c r="U22" s="24"/>
      <c r="V22" s="24"/>
      <c r="W22" s="24"/>
      <c r="X22" s="24">
        <f t="shared" si="17"/>
        <v>0</v>
      </c>
      <c r="Y22" s="24"/>
      <c r="Z22" s="24" t="str">
        <f t="shared" si="25"/>
        <v/>
      </c>
      <c r="AA22" s="24" t="str">
        <f t="shared" si="26"/>
        <v/>
      </c>
      <c r="AB22" s="24">
        <f t="shared" si="8"/>
        <v>0</v>
      </c>
      <c r="AD22" s="24" t="e">
        <f t="shared" si="28"/>
        <v>#VALUE!</v>
      </c>
      <c r="AE22" s="24" t="e">
        <f t="shared" si="29"/>
        <v>#VALUE!</v>
      </c>
      <c r="AF22" s="24" t="e">
        <f t="shared" si="37"/>
        <v>#VALUE!</v>
      </c>
      <c r="AG22" s="24" t="e">
        <f t="shared" si="38"/>
        <v>#VALUE!</v>
      </c>
      <c r="AI22" s="24"/>
      <c r="AJ22" s="24" t="e">
        <f t="shared" si="30"/>
        <v>#VALUE!</v>
      </c>
      <c r="AK22" s="31"/>
      <c r="AL22" s="35">
        <f t="shared" si="20"/>
        <v>0</v>
      </c>
      <c r="AM22" s="24">
        <f t="shared" si="21"/>
        <v>0</v>
      </c>
      <c r="AN22" s="24"/>
      <c r="AO22" s="116"/>
      <c r="AP22" s="116"/>
      <c r="AQ22" s="63">
        <f t="shared" si="9"/>
        <v>9.0359999999999996</v>
      </c>
      <c r="AR22" s="63">
        <f t="shared" si="10"/>
        <v>-184.49199999999999</v>
      </c>
      <c r="AS22" s="63"/>
      <c r="AT22"/>
      <c r="AU22">
        <f>IF($E$4="M",IF(AX22&lt;78,BMILMS!$D$5*AX22^3+BMILMS!$E$5*AX22^2+BMILMS!$F$5*AX22+BMILMS!$G$5,IF(AX22&lt;150,BMILMS!$D$6*AX22^3+BMILMS!$E$6*AX22^2+BMILMS!$F$6*AX22+BMILMS!$G$6,BMILMS!$D$7*AX22^3+BMILMS!$E$7*AX22^2+BMILMS!$F$7*AX22+BMILMS!$G$7)),IF(AX22&lt;69,BMILMS!$D$9*AX22^3+BMILMS!$E$9*AX22^2+BMILMS!$F$9*AX22+BMILMS!$G$9,IF(AX22&lt;150,BMILMS!$D$10*AX22^3+BMILMS!$E$10*AX22^2+BMILMS!$F$10*AX22+BMILMS!$G$10,BMILMS!$D$11*AX22^3+BMILMS!$E$11*AX22^2+BMILMS!$F$11*AX22+BMILMS!$G$11)))</f>
        <v>0.79584630099999998</v>
      </c>
      <c r="AV22">
        <f>IF($E$4="M",(IF(AX22&lt;2.5,BMILMS!$D$21*AX22^3+BMILMS!$E$21*AX22^2+BMILMS!$F$21*AX22+BMILMS!$G$21,IF(AX22&lt;9.5,BMILMS!$D$22*AX22^3+BMILMS!$E$22*AX22^2+BMILMS!$F$22*AX22+BMILMS!$G$22,IF(AX22&lt;26.75,BMILMS!$D$23*AX22^3+BMILMS!$E$23*AX22^2+BMILMS!$F$23*AX22+BMILMS!$G$23,IF(AX22&lt;90,BMILMS!$D$24*AX22^3+BMILMS!$E$24*AX22^2+BMILMS!$F$24*AX22+BMILMS!$G$24,BMILMS!$D$25*AX22^3+BMILMS!$E$25*AX22^2+BMILMS!$F$25*AX22+BMILMS!$G$25))))),(IF(AX22&lt;2.5,BMILMS!$D$27*AX22^3+BMILMS!$E$27*AX22^2+BMILMS!$F$27*AX22+BMILMS!$G$27,IF(AX22&lt;9.5,BMILMS!$D$28*AX22^3+BMILMS!$E$28*AX22^2+BMILMS!$F$28*AX22+BMILMS!$G$28,IF(AX22&lt;26.75,BMILMS!$D$29*AX22^3+BMILMS!$E$29*AX22^2+BMILMS!$F$29*AX22+BMILMS!$G$29,IF(AX22&lt;90,BMILMS!$D$30*AX22^3+BMILMS!$E$30*AX22^2+BMILMS!$F$30*AX22+BMILMS!$G$30,IF(AX22&lt;150,BMILMS!$D$31*AX22^3+BMILMS!$E$31*AX22^2+BMILMS!$F$31*AX22+BMILMS!$G$31,BMILMS!$D$32*AX22^3+BMILMS!$E$32*AX22^2+BMILMS!$F$32*AX22+BMILMS!$G$32)))))))</f>
        <v>12.568967990000001</v>
      </c>
      <c r="AW22">
        <f>IF($E$4="M",(IF(AX22&lt;90,BMILMS!$D$14*AX22^3+BMILMS!$E$14*AX22^2+BMILMS!$F$14*AX22+BMILMS!$G$14,BMILMS!$D$15*AX22^3+BMILMS!$E$15*AX22^2+BMILMS!$F$15*AX22+BMILMS!$G$15)),(IF(AX22&lt;90,BMILMS!$D$17*AX22^3+BMILMS!$E$17*AX22^2+BMILMS!$F$17*AX22+BMILMS!$G$17,BMILMS!$D$18*AX22^3+BMILMS!$E$18*AX22^2+BMILMS!$F$18*AX22+BMILMS!$G$18)))</f>
        <v>8.8969350000000003E-2</v>
      </c>
      <c r="AX22" s="24">
        <f t="shared" si="33"/>
        <v>0</v>
      </c>
      <c r="AY22" s="24">
        <f t="shared" si="22"/>
        <v>0</v>
      </c>
      <c r="BA22">
        <f t="shared" si="12"/>
        <v>0.56299999999999994</v>
      </c>
      <c r="BB22">
        <f t="shared" si="13"/>
        <v>69</v>
      </c>
      <c r="BC22">
        <f t="shared" si="14"/>
        <v>0.51</v>
      </c>
    </row>
    <row r="23" spans="2:55" s="4" customFormat="1">
      <c r="B23" s="43"/>
      <c r="C23" s="145"/>
      <c r="D23" s="22"/>
      <c r="E23" s="114"/>
      <c r="F23" s="114"/>
      <c r="G23" s="114"/>
      <c r="H23" s="48" t="str">
        <f t="shared" si="0"/>
        <v/>
      </c>
      <c r="I23" s="115" t="str">
        <f t="shared" si="23"/>
        <v/>
      </c>
      <c r="J23" s="115" t="str">
        <f t="shared" si="1"/>
        <v/>
      </c>
      <c r="K23" s="115" t="str">
        <f t="shared" si="36"/>
        <v/>
      </c>
      <c r="L23" s="48" t="str">
        <f t="shared" si="24"/>
        <v/>
      </c>
      <c r="M23" s="115" t="str">
        <f t="shared" si="3"/>
        <v/>
      </c>
      <c r="N23" s="48" t="str">
        <f t="shared" si="4"/>
        <v/>
      </c>
      <c r="O23" s="115" t="str">
        <f t="shared" si="5"/>
        <v/>
      </c>
      <c r="P23" s="48" t="str">
        <f t="shared" si="6"/>
        <v/>
      </c>
      <c r="Q23" s="162" t="str">
        <f t="shared" si="27"/>
        <v/>
      </c>
      <c r="R23" s="48" t="str">
        <f t="shared" si="15"/>
        <v/>
      </c>
      <c r="S23" s="144" t="str">
        <f t="shared" si="16"/>
        <v/>
      </c>
      <c r="T23" s="144" t="str">
        <f t="shared" si="31"/>
        <v/>
      </c>
      <c r="U23" s="24"/>
      <c r="V23" s="24"/>
      <c r="W23" s="24"/>
      <c r="X23" s="24">
        <f t="shared" si="17"/>
        <v>0</v>
      </c>
      <c r="Y23" s="24"/>
      <c r="Z23" s="24" t="str">
        <f t="shared" si="25"/>
        <v/>
      </c>
      <c r="AA23" s="24" t="str">
        <f t="shared" si="26"/>
        <v/>
      </c>
      <c r="AB23" s="24">
        <f t="shared" si="8"/>
        <v>0</v>
      </c>
      <c r="AD23" s="24" t="e">
        <f t="shared" si="28"/>
        <v>#VALUE!</v>
      </c>
      <c r="AE23" s="24" t="e">
        <f t="shared" si="29"/>
        <v>#VALUE!</v>
      </c>
      <c r="AF23" s="24" t="e">
        <f t="shared" si="37"/>
        <v>#VALUE!</v>
      </c>
      <c r="AG23" s="24" t="e">
        <f t="shared" si="38"/>
        <v>#VALUE!</v>
      </c>
      <c r="AI23" s="24"/>
      <c r="AJ23" s="24" t="e">
        <f t="shared" si="30"/>
        <v>#VALUE!</v>
      </c>
      <c r="AK23" s="31"/>
      <c r="AL23" s="35">
        <f t="shared" si="20"/>
        <v>0</v>
      </c>
      <c r="AM23" s="24">
        <f t="shared" si="21"/>
        <v>0</v>
      </c>
      <c r="AN23" s="24"/>
      <c r="AO23" s="116"/>
      <c r="AP23" s="116"/>
      <c r="AQ23" s="63">
        <f t="shared" si="9"/>
        <v>9.0359999999999996</v>
      </c>
      <c r="AR23" s="63">
        <f t="shared" si="10"/>
        <v>-184.49199999999999</v>
      </c>
      <c r="AS23" s="63"/>
      <c r="AT23"/>
      <c r="AU23">
        <f>IF($E$4="M",IF(AX23&lt;78,BMILMS!$D$5*AX23^3+BMILMS!$E$5*AX23^2+BMILMS!$F$5*AX23+BMILMS!$G$5,IF(AX23&lt;150,BMILMS!$D$6*AX23^3+BMILMS!$E$6*AX23^2+BMILMS!$F$6*AX23+BMILMS!$G$6,BMILMS!$D$7*AX23^3+BMILMS!$E$7*AX23^2+BMILMS!$F$7*AX23+BMILMS!$G$7)),IF(AX23&lt;69,BMILMS!$D$9*AX23^3+BMILMS!$E$9*AX23^2+BMILMS!$F$9*AX23+BMILMS!$G$9,IF(AX23&lt;150,BMILMS!$D$10*AX23^3+BMILMS!$E$10*AX23^2+BMILMS!$F$10*AX23+BMILMS!$G$10,BMILMS!$D$11*AX23^3+BMILMS!$E$11*AX23^2+BMILMS!$F$11*AX23+BMILMS!$G$11)))</f>
        <v>0.79584630099999998</v>
      </c>
      <c r="AV23">
        <f>IF($E$4="M",(IF(AX23&lt;2.5,BMILMS!$D$21*AX23^3+BMILMS!$E$21*AX23^2+BMILMS!$F$21*AX23+BMILMS!$G$21,IF(AX23&lt;9.5,BMILMS!$D$22*AX23^3+BMILMS!$E$22*AX23^2+BMILMS!$F$22*AX23+BMILMS!$G$22,IF(AX23&lt;26.75,BMILMS!$D$23*AX23^3+BMILMS!$E$23*AX23^2+BMILMS!$F$23*AX23+BMILMS!$G$23,IF(AX23&lt;90,BMILMS!$D$24*AX23^3+BMILMS!$E$24*AX23^2+BMILMS!$F$24*AX23+BMILMS!$G$24,BMILMS!$D$25*AX23^3+BMILMS!$E$25*AX23^2+BMILMS!$F$25*AX23+BMILMS!$G$25))))),(IF(AX23&lt;2.5,BMILMS!$D$27*AX23^3+BMILMS!$E$27*AX23^2+BMILMS!$F$27*AX23+BMILMS!$G$27,IF(AX23&lt;9.5,BMILMS!$D$28*AX23^3+BMILMS!$E$28*AX23^2+BMILMS!$F$28*AX23+BMILMS!$G$28,IF(AX23&lt;26.75,BMILMS!$D$29*AX23^3+BMILMS!$E$29*AX23^2+BMILMS!$F$29*AX23+BMILMS!$G$29,IF(AX23&lt;90,BMILMS!$D$30*AX23^3+BMILMS!$E$30*AX23^2+BMILMS!$F$30*AX23+BMILMS!$G$30,IF(AX23&lt;150,BMILMS!$D$31*AX23^3+BMILMS!$E$31*AX23^2+BMILMS!$F$31*AX23+BMILMS!$G$31,BMILMS!$D$32*AX23^3+BMILMS!$E$32*AX23^2+BMILMS!$F$32*AX23+BMILMS!$G$32)))))))</f>
        <v>12.568967990000001</v>
      </c>
      <c r="AW23">
        <f>IF($E$4="M",(IF(AX23&lt;90,BMILMS!$D$14*AX23^3+BMILMS!$E$14*AX23^2+BMILMS!$F$14*AX23+BMILMS!$G$14,BMILMS!$D$15*AX23^3+BMILMS!$E$15*AX23^2+BMILMS!$F$15*AX23+BMILMS!$G$15)),(IF(AX23&lt;90,BMILMS!$D$17*AX23^3+BMILMS!$E$17*AX23^2+BMILMS!$F$17*AX23+BMILMS!$G$17,BMILMS!$D$18*AX23^3+BMILMS!$E$18*AX23^2+BMILMS!$F$18*AX23+BMILMS!$G$18)))</f>
        <v>8.8969350000000003E-2</v>
      </c>
      <c r="AX23" s="24">
        <f t="shared" si="33"/>
        <v>0</v>
      </c>
      <c r="AY23" s="24">
        <f t="shared" si="22"/>
        <v>0</v>
      </c>
      <c r="BA23">
        <f t="shared" si="12"/>
        <v>0.56299999999999994</v>
      </c>
      <c r="BB23">
        <f t="shared" si="13"/>
        <v>69</v>
      </c>
      <c r="BC23">
        <f t="shared" si="14"/>
        <v>0.51</v>
      </c>
    </row>
    <row r="24" spans="2:55" s="4" customFormat="1">
      <c r="B24" s="43"/>
      <c r="C24" s="145"/>
      <c r="D24" s="22"/>
      <c r="E24" s="114"/>
      <c r="F24" s="114"/>
      <c r="G24" s="114"/>
      <c r="H24" s="48" t="str">
        <f t="shared" si="0"/>
        <v/>
      </c>
      <c r="I24" s="115" t="str">
        <f t="shared" si="23"/>
        <v/>
      </c>
      <c r="J24" s="115" t="str">
        <f t="shared" si="1"/>
        <v/>
      </c>
      <c r="K24" s="115" t="str">
        <f t="shared" si="36"/>
        <v/>
      </c>
      <c r="L24" s="48" t="str">
        <f t="shared" si="24"/>
        <v/>
      </c>
      <c r="M24" s="115" t="str">
        <f t="shared" si="3"/>
        <v/>
      </c>
      <c r="N24" s="48" t="str">
        <f t="shared" si="4"/>
        <v/>
      </c>
      <c r="O24" s="115" t="str">
        <f t="shared" si="5"/>
        <v/>
      </c>
      <c r="P24" s="48" t="str">
        <f t="shared" si="6"/>
        <v/>
      </c>
      <c r="Q24" s="162" t="str">
        <f t="shared" si="27"/>
        <v/>
      </c>
      <c r="R24" s="48" t="str">
        <f t="shared" si="15"/>
        <v/>
      </c>
      <c r="S24" s="144" t="str">
        <f t="shared" si="16"/>
        <v/>
      </c>
      <c r="T24" s="144" t="str">
        <f t="shared" si="31"/>
        <v/>
      </c>
      <c r="U24" s="24"/>
      <c r="V24" s="24"/>
      <c r="W24" s="24"/>
      <c r="X24" s="24">
        <f t="shared" si="17"/>
        <v>0</v>
      </c>
      <c r="Y24" s="24"/>
      <c r="Z24" s="24" t="str">
        <f t="shared" si="25"/>
        <v/>
      </c>
      <c r="AA24" s="24" t="str">
        <f t="shared" si="26"/>
        <v/>
      </c>
      <c r="AB24" s="24">
        <f t="shared" si="8"/>
        <v>0</v>
      </c>
      <c r="AD24" s="24" t="e">
        <f t="shared" si="28"/>
        <v>#VALUE!</v>
      </c>
      <c r="AE24" s="24" t="e">
        <f t="shared" si="29"/>
        <v>#VALUE!</v>
      </c>
      <c r="AF24" s="24" t="e">
        <f t="shared" si="37"/>
        <v>#VALUE!</v>
      </c>
      <c r="AG24" s="24" t="e">
        <f t="shared" si="38"/>
        <v>#VALUE!</v>
      </c>
      <c r="AI24" s="24"/>
      <c r="AJ24" s="24" t="e">
        <f t="shared" si="30"/>
        <v>#VALUE!</v>
      </c>
      <c r="AK24" s="31"/>
      <c r="AL24" s="35">
        <f t="shared" si="20"/>
        <v>0</v>
      </c>
      <c r="AM24" s="24">
        <f t="shared" si="21"/>
        <v>0</v>
      </c>
      <c r="AN24" s="24"/>
      <c r="AO24" s="116"/>
      <c r="AP24" s="116"/>
      <c r="AQ24" s="63">
        <f t="shared" si="9"/>
        <v>9.0359999999999996</v>
      </c>
      <c r="AR24" s="63">
        <f t="shared" si="10"/>
        <v>-184.49199999999999</v>
      </c>
      <c r="AS24" s="63"/>
      <c r="AT24"/>
      <c r="AU24">
        <f>IF($E$4="M",IF(AX24&lt;78,BMILMS!$D$5*AX24^3+BMILMS!$E$5*AX24^2+BMILMS!$F$5*AX24+BMILMS!$G$5,IF(AX24&lt;150,BMILMS!$D$6*AX24^3+BMILMS!$E$6*AX24^2+BMILMS!$F$6*AX24+BMILMS!$G$6,BMILMS!$D$7*AX24^3+BMILMS!$E$7*AX24^2+BMILMS!$F$7*AX24+BMILMS!$G$7)),IF(AX24&lt;69,BMILMS!$D$9*AX24^3+BMILMS!$E$9*AX24^2+BMILMS!$F$9*AX24+BMILMS!$G$9,IF(AX24&lt;150,BMILMS!$D$10*AX24^3+BMILMS!$E$10*AX24^2+BMILMS!$F$10*AX24+BMILMS!$G$10,BMILMS!$D$11*AX24^3+BMILMS!$E$11*AX24^2+BMILMS!$F$11*AX24+BMILMS!$G$11)))</f>
        <v>0.79584630099999998</v>
      </c>
      <c r="AV24">
        <f>IF($E$4="M",(IF(AX24&lt;2.5,BMILMS!$D$21*AX24^3+BMILMS!$E$21*AX24^2+BMILMS!$F$21*AX24+BMILMS!$G$21,IF(AX24&lt;9.5,BMILMS!$D$22*AX24^3+BMILMS!$E$22*AX24^2+BMILMS!$F$22*AX24+BMILMS!$G$22,IF(AX24&lt;26.75,BMILMS!$D$23*AX24^3+BMILMS!$E$23*AX24^2+BMILMS!$F$23*AX24+BMILMS!$G$23,IF(AX24&lt;90,BMILMS!$D$24*AX24^3+BMILMS!$E$24*AX24^2+BMILMS!$F$24*AX24+BMILMS!$G$24,BMILMS!$D$25*AX24^3+BMILMS!$E$25*AX24^2+BMILMS!$F$25*AX24+BMILMS!$G$25))))),(IF(AX24&lt;2.5,BMILMS!$D$27*AX24^3+BMILMS!$E$27*AX24^2+BMILMS!$F$27*AX24+BMILMS!$G$27,IF(AX24&lt;9.5,BMILMS!$D$28*AX24^3+BMILMS!$E$28*AX24^2+BMILMS!$F$28*AX24+BMILMS!$G$28,IF(AX24&lt;26.75,BMILMS!$D$29*AX24^3+BMILMS!$E$29*AX24^2+BMILMS!$F$29*AX24+BMILMS!$G$29,IF(AX24&lt;90,BMILMS!$D$30*AX24^3+BMILMS!$E$30*AX24^2+BMILMS!$F$30*AX24+BMILMS!$G$30,IF(AX24&lt;150,BMILMS!$D$31*AX24^3+BMILMS!$E$31*AX24^2+BMILMS!$F$31*AX24+BMILMS!$G$31,BMILMS!$D$32*AX24^3+BMILMS!$E$32*AX24^2+BMILMS!$F$32*AX24+BMILMS!$G$32)))))))</f>
        <v>12.568967990000001</v>
      </c>
      <c r="AW24">
        <f>IF($E$4="M",(IF(AX24&lt;90,BMILMS!$D$14*AX24^3+BMILMS!$E$14*AX24^2+BMILMS!$F$14*AX24+BMILMS!$G$14,BMILMS!$D$15*AX24^3+BMILMS!$E$15*AX24^2+BMILMS!$F$15*AX24+BMILMS!$G$15)),(IF(AX24&lt;90,BMILMS!$D$17*AX24^3+BMILMS!$E$17*AX24^2+BMILMS!$F$17*AX24+BMILMS!$G$17,BMILMS!$D$18*AX24^3+BMILMS!$E$18*AX24^2+BMILMS!$F$18*AX24+BMILMS!$G$18)))</f>
        <v>8.8969350000000003E-2</v>
      </c>
      <c r="AX24" s="24">
        <f t="shared" si="33"/>
        <v>0</v>
      </c>
      <c r="AY24" s="24">
        <f t="shared" si="22"/>
        <v>0</v>
      </c>
      <c r="BA24">
        <f t="shared" si="12"/>
        <v>0.56299999999999994</v>
      </c>
      <c r="BB24">
        <f t="shared" si="13"/>
        <v>69</v>
      </c>
      <c r="BC24">
        <f t="shared" si="14"/>
        <v>0.51</v>
      </c>
    </row>
    <row r="25" spans="2:55" s="4" customFormat="1">
      <c r="B25" s="43"/>
      <c r="C25" s="145"/>
      <c r="D25" s="22"/>
      <c r="E25" s="114"/>
      <c r="F25" s="114"/>
      <c r="G25" s="114"/>
      <c r="H25" s="48" t="str">
        <f t="shared" si="0"/>
        <v/>
      </c>
      <c r="I25" s="115" t="str">
        <f t="shared" si="23"/>
        <v/>
      </c>
      <c r="J25" s="115" t="str">
        <f t="shared" si="1"/>
        <v/>
      </c>
      <c r="K25" s="115" t="str">
        <f t="shared" si="36"/>
        <v/>
      </c>
      <c r="L25" s="48" t="str">
        <f t="shared" si="24"/>
        <v/>
      </c>
      <c r="M25" s="115" t="str">
        <f t="shared" si="3"/>
        <v/>
      </c>
      <c r="N25" s="48" t="str">
        <f t="shared" si="4"/>
        <v/>
      </c>
      <c r="O25" s="115" t="str">
        <f t="shared" si="5"/>
        <v/>
      </c>
      <c r="P25" s="48" t="str">
        <f t="shared" si="6"/>
        <v/>
      </c>
      <c r="Q25" s="162" t="str">
        <f t="shared" si="27"/>
        <v/>
      </c>
      <c r="R25" s="48" t="str">
        <f t="shared" si="15"/>
        <v/>
      </c>
      <c r="S25" s="144" t="str">
        <f t="shared" si="16"/>
        <v/>
      </c>
      <c r="T25" s="144" t="str">
        <f t="shared" si="31"/>
        <v/>
      </c>
      <c r="U25" s="24"/>
      <c r="V25" s="24"/>
      <c r="W25" s="24"/>
      <c r="X25" s="24">
        <f t="shared" si="17"/>
        <v>0</v>
      </c>
      <c r="Y25" s="24"/>
      <c r="Z25" s="24" t="str">
        <f t="shared" ref="Z25:Z57" si="39">IF(COUNTA(C25)=1,Q25,Z24)</f>
        <v/>
      </c>
      <c r="AA25" s="24" t="str">
        <f t="shared" si="26"/>
        <v/>
      </c>
      <c r="AB25" s="24">
        <f t="shared" si="8"/>
        <v>0</v>
      </c>
      <c r="AD25" s="24" t="e">
        <f t="shared" si="28"/>
        <v>#VALUE!</v>
      </c>
      <c r="AE25" s="24" t="e">
        <f t="shared" si="29"/>
        <v>#VALUE!</v>
      </c>
      <c r="AF25" s="24" t="e">
        <f t="shared" si="37"/>
        <v>#VALUE!</v>
      </c>
      <c r="AG25" s="24" t="e">
        <f t="shared" si="38"/>
        <v>#VALUE!</v>
      </c>
      <c r="AI25" s="24"/>
      <c r="AJ25" s="24" t="e">
        <f t="shared" si="30"/>
        <v>#VALUE!</v>
      </c>
      <c r="AK25" s="31"/>
      <c r="AL25" s="35">
        <f t="shared" si="20"/>
        <v>0</v>
      </c>
      <c r="AM25" s="24">
        <f t="shared" si="21"/>
        <v>0</v>
      </c>
      <c r="AN25" s="24"/>
      <c r="AO25" s="116"/>
      <c r="AP25" s="116"/>
      <c r="AQ25" s="63">
        <f t="shared" si="9"/>
        <v>9.0359999999999996</v>
      </c>
      <c r="AR25" s="63">
        <f t="shared" si="10"/>
        <v>-184.49199999999999</v>
      </c>
      <c r="AS25" s="63"/>
      <c r="AT25"/>
      <c r="AU25">
        <f>IF($E$4="M",IF(AX25&lt;78,BMILMS!$D$5*AX25^3+BMILMS!$E$5*AX25^2+BMILMS!$F$5*AX25+BMILMS!$G$5,IF(AX25&lt;150,BMILMS!$D$6*AX25^3+BMILMS!$E$6*AX25^2+BMILMS!$F$6*AX25+BMILMS!$G$6,BMILMS!$D$7*AX25^3+BMILMS!$E$7*AX25^2+BMILMS!$F$7*AX25+BMILMS!$G$7)),IF(AX25&lt;69,BMILMS!$D$9*AX25^3+BMILMS!$E$9*AX25^2+BMILMS!$F$9*AX25+BMILMS!$G$9,IF(AX25&lt;150,BMILMS!$D$10*AX25^3+BMILMS!$E$10*AX25^2+BMILMS!$F$10*AX25+BMILMS!$G$10,BMILMS!$D$11*AX25^3+BMILMS!$E$11*AX25^2+BMILMS!$F$11*AX25+BMILMS!$G$11)))</f>
        <v>0.79584630099999998</v>
      </c>
      <c r="AV25">
        <f>IF($E$4="M",(IF(AX25&lt;2.5,BMILMS!$D$21*AX25^3+BMILMS!$E$21*AX25^2+BMILMS!$F$21*AX25+BMILMS!$G$21,IF(AX25&lt;9.5,BMILMS!$D$22*AX25^3+BMILMS!$E$22*AX25^2+BMILMS!$F$22*AX25+BMILMS!$G$22,IF(AX25&lt;26.75,BMILMS!$D$23*AX25^3+BMILMS!$E$23*AX25^2+BMILMS!$F$23*AX25+BMILMS!$G$23,IF(AX25&lt;90,BMILMS!$D$24*AX25^3+BMILMS!$E$24*AX25^2+BMILMS!$F$24*AX25+BMILMS!$G$24,BMILMS!$D$25*AX25^3+BMILMS!$E$25*AX25^2+BMILMS!$F$25*AX25+BMILMS!$G$25))))),(IF(AX25&lt;2.5,BMILMS!$D$27*AX25^3+BMILMS!$E$27*AX25^2+BMILMS!$F$27*AX25+BMILMS!$G$27,IF(AX25&lt;9.5,BMILMS!$D$28*AX25^3+BMILMS!$E$28*AX25^2+BMILMS!$F$28*AX25+BMILMS!$G$28,IF(AX25&lt;26.75,BMILMS!$D$29*AX25^3+BMILMS!$E$29*AX25^2+BMILMS!$F$29*AX25+BMILMS!$G$29,IF(AX25&lt;90,BMILMS!$D$30*AX25^3+BMILMS!$E$30*AX25^2+BMILMS!$F$30*AX25+BMILMS!$G$30,IF(AX25&lt;150,BMILMS!$D$31*AX25^3+BMILMS!$E$31*AX25^2+BMILMS!$F$31*AX25+BMILMS!$G$31,BMILMS!$D$32*AX25^3+BMILMS!$E$32*AX25^2+BMILMS!$F$32*AX25+BMILMS!$G$32)))))))</f>
        <v>12.568967990000001</v>
      </c>
      <c r="AW25">
        <f>IF($E$4="M",(IF(AX25&lt;90,BMILMS!$D$14*AX25^3+BMILMS!$E$14*AX25^2+BMILMS!$F$14*AX25+BMILMS!$G$14,BMILMS!$D$15*AX25^3+BMILMS!$E$15*AX25^2+BMILMS!$F$15*AX25+BMILMS!$G$15)),(IF(AX25&lt;90,BMILMS!$D$17*AX25^3+BMILMS!$E$17*AX25^2+BMILMS!$F$17*AX25+BMILMS!$G$17,BMILMS!$D$18*AX25^3+BMILMS!$E$18*AX25^2+BMILMS!$F$18*AX25+BMILMS!$G$18)))</f>
        <v>8.8969350000000003E-2</v>
      </c>
      <c r="AX25" s="24">
        <f t="shared" si="33"/>
        <v>0</v>
      </c>
      <c r="AY25" s="24">
        <f t="shared" si="22"/>
        <v>0</v>
      </c>
      <c r="BA25">
        <f t="shared" si="12"/>
        <v>0.56299999999999994</v>
      </c>
      <c r="BB25">
        <f t="shared" si="13"/>
        <v>69</v>
      </c>
      <c r="BC25">
        <f t="shared" si="14"/>
        <v>0.51</v>
      </c>
    </row>
    <row r="26" spans="2:55" s="4" customFormat="1">
      <c r="B26" s="43"/>
      <c r="C26" s="145"/>
      <c r="D26" s="22"/>
      <c r="E26" s="114"/>
      <c r="F26" s="114"/>
      <c r="G26" s="114"/>
      <c r="H26" s="48" t="str">
        <f t="shared" si="0"/>
        <v/>
      </c>
      <c r="I26" s="115" t="str">
        <f t="shared" si="23"/>
        <v/>
      </c>
      <c r="J26" s="115" t="str">
        <f t="shared" si="1"/>
        <v/>
      </c>
      <c r="K26" s="115" t="str">
        <f t="shared" si="36"/>
        <v/>
      </c>
      <c r="L26" s="48" t="str">
        <f t="shared" si="24"/>
        <v/>
      </c>
      <c r="M26" s="115" t="str">
        <f t="shared" si="3"/>
        <v/>
      </c>
      <c r="N26" s="48" t="str">
        <f t="shared" si="4"/>
        <v/>
      </c>
      <c r="O26" s="115" t="str">
        <f t="shared" si="5"/>
        <v/>
      </c>
      <c r="P26" s="48" t="str">
        <f t="shared" si="6"/>
        <v/>
      </c>
      <c r="Q26" s="162" t="str">
        <f t="shared" si="27"/>
        <v/>
      </c>
      <c r="R26" s="48" t="str">
        <f t="shared" si="15"/>
        <v/>
      </c>
      <c r="S26" s="144" t="str">
        <f t="shared" si="16"/>
        <v/>
      </c>
      <c r="T26" s="144" t="str">
        <f t="shared" si="31"/>
        <v/>
      </c>
      <c r="U26" s="24"/>
      <c r="V26" s="24"/>
      <c r="W26" s="24"/>
      <c r="X26" s="24">
        <f t="shared" si="17"/>
        <v>0</v>
      </c>
      <c r="Y26" s="24"/>
      <c r="Z26" s="24" t="str">
        <f t="shared" si="39"/>
        <v/>
      </c>
      <c r="AA26" s="24" t="str">
        <f t="shared" si="26"/>
        <v/>
      </c>
      <c r="AB26" s="24">
        <f t="shared" si="8"/>
        <v>0</v>
      </c>
      <c r="AD26" s="24" t="e">
        <f t="shared" si="28"/>
        <v>#VALUE!</v>
      </c>
      <c r="AE26" s="24" t="e">
        <f t="shared" si="29"/>
        <v>#VALUE!</v>
      </c>
      <c r="AF26" s="24" t="e">
        <f t="shared" si="37"/>
        <v>#VALUE!</v>
      </c>
      <c r="AG26" s="24" t="e">
        <f t="shared" si="38"/>
        <v>#VALUE!</v>
      </c>
      <c r="AI26" s="24"/>
      <c r="AJ26" s="24" t="e">
        <f t="shared" si="30"/>
        <v>#VALUE!</v>
      </c>
      <c r="AK26" s="31"/>
      <c r="AL26" s="35">
        <f t="shared" si="20"/>
        <v>0</v>
      </c>
      <c r="AM26" s="24">
        <f t="shared" si="21"/>
        <v>0</v>
      </c>
      <c r="AN26" s="24"/>
      <c r="AO26" s="116"/>
      <c r="AP26" s="116"/>
      <c r="AQ26" s="63">
        <f t="shared" si="9"/>
        <v>9.0359999999999996</v>
      </c>
      <c r="AR26" s="63">
        <f t="shared" si="10"/>
        <v>-184.49199999999999</v>
      </c>
      <c r="AS26" s="63"/>
      <c r="AT26"/>
      <c r="AU26">
        <f>IF($E$4="M",IF(AX26&lt;78,BMILMS!$D$5*AX26^3+BMILMS!$E$5*AX26^2+BMILMS!$F$5*AX26+BMILMS!$G$5,IF(AX26&lt;150,BMILMS!$D$6*AX26^3+BMILMS!$E$6*AX26^2+BMILMS!$F$6*AX26+BMILMS!$G$6,BMILMS!$D$7*AX26^3+BMILMS!$E$7*AX26^2+BMILMS!$F$7*AX26+BMILMS!$G$7)),IF(AX26&lt;69,BMILMS!$D$9*AX26^3+BMILMS!$E$9*AX26^2+BMILMS!$F$9*AX26+BMILMS!$G$9,IF(AX26&lt;150,BMILMS!$D$10*AX26^3+BMILMS!$E$10*AX26^2+BMILMS!$F$10*AX26+BMILMS!$G$10,BMILMS!$D$11*AX26^3+BMILMS!$E$11*AX26^2+BMILMS!$F$11*AX26+BMILMS!$G$11)))</f>
        <v>0.79584630099999998</v>
      </c>
      <c r="AV26">
        <f>IF($E$4="M",(IF(AX26&lt;2.5,BMILMS!$D$21*AX26^3+BMILMS!$E$21*AX26^2+BMILMS!$F$21*AX26+BMILMS!$G$21,IF(AX26&lt;9.5,BMILMS!$D$22*AX26^3+BMILMS!$E$22*AX26^2+BMILMS!$F$22*AX26+BMILMS!$G$22,IF(AX26&lt;26.75,BMILMS!$D$23*AX26^3+BMILMS!$E$23*AX26^2+BMILMS!$F$23*AX26+BMILMS!$G$23,IF(AX26&lt;90,BMILMS!$D$24*AX26^3+BMILMS!$E$24*AX26^2+BMILMS!$F$24*AX26+BMILMS!$G$24,BMILMS!$D$25*AX26^3+BMILMS!$E$25*AX26^2+BMILMS!$F$25*AX26+BMILMS!$G$25))))),(IF(AX26&lt;2.5,BMILMS!$D$27*AX26^3+BMILMS!$E$27*AX26^2+BMILMS!$F$27*AX26+BMILMS!$G$27,IF(AX26&lt;9.5,BMILMS!$D$28*AX26^3+BMILMS!$E$28*AX26^2+BMILMS!$F$28*AX26+BMILMS!$G$28,IF(AX26&lt;26.75,BMILMS!$D$29*AX26^3+BMILMS!$E$29*AX26^2+BMILMS!$F$29*AX26+BMILMS!$G$29,IF(AX26&lt;90,BMILMS!$D$30*AX26^3+BMILMS!$E$30*AX26^2+BMILMS!$F$30*AX26+BMILMS!$G$30,IF(AX26&lt;150,BMILMS!$D$31*AX26^3+BMILMS!$E$31*AX26^2+BMILMS!$F$31*AX26+BMILMS!$G$31,BMILMS!$D$32*AX26^3+BMILMS!$E$32*AX26^2+BMILMS!$F$32*AX26+BMILMS!$G$32)))))))</f>
        <v>12.568967990000001</v>
      </c>
      <c r="AW26">
        <f>IF($E$4="M",(IF(AX26&lt;90,BMILMS!$D$14*AX26^3+BMILMS!$E$14*AX26^2+BMILMS!$F$14*AX26+BMILMS!$G$14,BMILMS!$D$15*AX26^3+BMILMS!$E$15*AX26^2+BMILMS!$F$15*AX26+BMILMS!$G$15)),(IF(AX26&lt;90,BMILMS!$D$17*AX26^3+BMILMS!$E$17*AX26^2+BMILMS!$F$17*AX26+BMILMS!$G$17,BMILMS!$D$18*AX26^3+BMILMS!$E$18*AX26^2+BMILMS!$F$18*AX26+BMILMS!$G$18)))</f>
        <v>8.8969350000000003E-2</v>
      </c>
      <c r="AX26" s="24">
        <f t="shared" si="33"/>
        <v>0</v>
      </c>
      <c r="AY26" s="24">
        <f t="shared" si="22"/>
        <v>0</v>
      </c>
      <c r="BA26">
        <f t="shared" si="12"/>
        <v>0.56299999999999994</v>
      </c>
      <c r="BB26">
        <f t="shared" si="13"/>
        <v>69</v>
      </c>
      <c r="BC26">
        <f t="shared" si="14"/>
        <v>0.51</v>
      </c>
    </row>
    <row r="27" spans="2:55" s="4" customFormat="1">
      <c r="B27" s="43"/>
      <c r="C27" s="145"/>
      <c r="D27" s="22"/>
      <c r="E27" s="114"/>
      <c r="F27" s="114"/>
      <c r="G27" s="114"/>
      <c r="H27" s="48" t="str">
        <f t="shared" si="0"/>
        <v/>
      </c>
      <c r="I27" s="115" t="str">
        <f t="shared" si="23"/>
        <v/>
      </c>
      <c r="J27" s="115" t="str">
        <f t="shared" si="1"/>
        <v/>
      </c>
      <c r="K27" s="115" t="str">
        <f t="shared" si="36"/>
        <v/>
      </c>
      <c r="L27" s="48" t="str">
        <f t="shared" si="24"/>
        <v/>
      </c>
      <c r="M27" s="115" t="str">
        <f t="shared" si="3"/>
        <v/>
      </c>
      <c r="N27" s="48" t="str">
        <f t="shared" si="4"/>
        <v/>
      </c>
      <c r="O27" s="115" t="str">
        <f t="shared" si="5"/>
        <v/>
      </c>
      <c r="P27" s="48" t="str">
        <f t="shared" si="6"/>
        <v/>
      </c>
      <c r="Q27" s="162" t="str">
        <f t="shared" si="27"/>
        <v/>
      </c>
      <c r="R27" s="48" t="str">
        <f t="shared" si="15"/>
        <v/>
      </c>
      <c r="S27" s="144" t="str">
        <f t="shared" si="16"/>
        <v/>
      </c>
      <c r="T27" s="144" t="str">
        <f t="shared" si="31"/>
        <v/>
      </c>
      <c r="U27" s="24"/>
      <c r="V27" s="24"/>
      <c r="W27" s="24"/>
      <c r="X27" s="24">
        <f t="shared" si="17"/>
        <v>0</v>
      </c>
      <c r="Y27" s="24"/>
      <c r="Z27" s="24" t="str">
        <f t="shared" si="39"/>
        <v/>
      </c>
      <c r="AA27" s="24" t="str">
        <f t="shared" si="26"/>
        <v/>
      </c>
      <c r="AB27" s="24">
        <f t="shared" si="8"/>
        <v>0</v>
      </c>
      <c r="AD27" s="24" t="e">
        <f t="shared" si="28"/>
        <v>#VALUE!</v>
      </c>
      <c r="AE27" s="24" t="e">
        <f t="shared" si="29"/>
        <v>#VALUE!</v>
      </c>
      <c r="AF27" s="24" t="e">
        <f t="shared" si="37"/>
        <v>#VALUE!</v>
      </c>
      <c r="AG27" s="24" t="e">
        <f t="shared" si="38"/>
        <v>#VALUE!</v>
      </c>
      <c r="AI27" s="24"/>
      <c r="AJ27" s="24" t="e">
        <f t="shared" si="30"/>
        <v>#VALUE!</v>
      </c>
      <c r="AK27" s="31"/>
      <c r="AL27" s="35">
        <f t="shared" si="20"/>
        <v>0</v>
      </c>
      <c r="AM27" s="24">
        <f t="shared" si="21"/>
        <v>0</v>
      </c>
      <c r="AN27" s="24"/>
      <c r="AO27" s="116"/>
      <c r="AP27" s="116"/>
      <c r="AQ27" s="63">
        <f t="shared" si="9"/>
        <v>9.0359999999999996</v>
      </c>
      <c r="AR27" s="63">
        <f t="shared" si="10"/>
        <v>-184.49199999999999</v>
      </c>
      <c r="AS27" s="63"/>
      <c r="AT27"/>
      <c r="AU27">
        <f>IF($E$4="M",IF(AX27&lt;78,BMILMS!$D$5*AX27^3+BMILMS!$E$5*AX27^2+BMILMS!$F$5*AX27+BMILMS!$G$5,IF(AX27&lt;150,BMILMS!$D$6*AX27^3+BMILMS!$E$6*AX27^2+BMILMS!$F$6*AX27+BMILMS!$G$6,BMILMS!$D$7*AX27^3+BMILMS!$E$7*AX27^2+BMILMS!$F$7*AX27+BMILMS!$G$7)),IF(AX27&lt;69,BMILMS!$D$9*AX27^3+BMILMS!$E$9*AX27^2+BMILMS!$F$9*AX27+BMILMS!$G$9,IF(AX27&lt;150,BMILMS!$D$10*AX27^3+BMILMS!$E$10*AX27^2+BMILMS!$F$10*AX27+BMILMS!$G$10,BMILMS!$D$11*AX27^3+BMILMS!$E$11*AX27^2+BMILMS!$F$11*AX27+BMILMS!$G$11)))</f>
        <v>0.79584630099999998</v>
      </c>
      <c r="AV27">
        <f>IF($E$4="M",(IF(AX27&lt;2.5,BMILMS!$D$21*AX27^3+BMILMS!$E$21*AX27^2+BMILMS!$F$21*AX27+BMILMS!$G$21,IF(AX27&lt;9.5,BMILMS!$D$22*AX27^3+BMILMS!$E$22*AX27^2+BMILMS!$F$22*AX27+BMILMS!$G$22,IF(AX27&lt;26.75,BMILMS!$D$23*AX27^3+BMILMS!$E$23*AX27^2+BMILMS!$F$23*AX27+BMILMS!$G$23,IF(AX27&lt;90,BMILMS!$D$24*AX27^3+BMILMS!$E$24*AX27^2+BMILMS!$F$24*AX27+BMILMS!$G$24,BMILMS!$D$25*AX27^3+BMILMS!$E$25*AX27^2+BMILMS!$F$25*AX27+BMILMS!$G$25))))),(IF(AX27&lt;2.5,BMILMS!$D$27*AX27^3+BMILMS!$E$27*AX27^2+BMILMS!$F$27*AX27+BMILMS!$G$27,IF(AX27&lt;9.5,BMILMS!$D$28*AX27^3+BMILMS!$E$28*AX27^2+BMILMS!$F$28*AX27+BMILMS!$G$28,IF(AX27&lt;26.75,BMILMS!$D$29*AX27^3+BMILMS!$E$29*AX27^2+BMILMS!$F$29*AX27+BMILMS!$G$29,IF(AX27&lt;90,BMILMS!$D$30*AX27^3+BMILMS!$E$30*AX27^2+BMILMS!$F$30*AX27+BMILMS!$G$30,IF(AX27&lt;150,BMILMS!$D$31*AX27^3+BMILMS!$E$31*AX27^2+BMILMS!$F$31*AX27+BMILMS!$G$31,BMILMS!$D$32*AX27^3+BMILMS!$E$32*AX27^2+BMILMS!$F$32*AX27+BMILMS!$G$32)))))))</f>
        <v>12.568967990000001</v>
      </c>
      <c r="AW27">
        <f>IF($E$4="M",(IF(AX27&lt;90,BMILMS!$D$14*AX27^3+BMILMS!$E$14*AX27^2+BMILMS!$F$14*AX27+BMILMS!$G$14,BMILMS!$D$15*AX27^3+BMILMS!$E$15*AX27^2+BMILMS!$F$15*AX27+BMILMS!$G$15)),(IF(AX27&lt;90,BMILMS!$D$17*AX27^3+BMILMS!$E$17*AX27^2+BMILMS!$F$17*AX27+BMILMS!$G$17,BMILMS!$D$18*AX27^3+BMILMS!$E$18*AX27^2+BMILMS!$F$18*AX27+BMILMS!$G$18)))</f>
        <v>8.8969350000000003E-2</v>
      </c>
      <c r="AX27" s="24">
        <f t="shared" si="33"/>
        <v>0</v>
      </c>
      <c r="AY27" s="24">
        <f t="shared" si="22"/>
        <v>0</v>
      </c>
      <c r="BA27">
        <f t="shared" si="12"/>
        <v>0.56299999999999994</v>
      </c>
      <c r="BB27">
        <f t="shared" si="13"/>
        <v>69</v>
      </c>
      <c r="BC27">
        <f t="shared" si="14"/>
        <v>0.51</v>
      </c>
    </row>
    <row r="28" spans="2:55" s="4" customFormat="1">
      <c r="B28" s="43"/>
      <c r="C28" s="145"/>
      <c r="D28" s="22"/>
      <c r="E28" s="114"/>
      <c r="F28" s="114"/>
      <c r="G28" s="114"/>
      <c r="H28" s="48" t="str">
        <f t="shared" si="0"/>
        <v/>
      </c>
      <c r="I28" s="115" t="str">
        <f t="shared" si="23"/>
        <v/>
      </c>
      <c r="J28" s="115" t="str">
        <f t="shared" si="1"/>
        <v/>
      </c>
      <c r="K28" s="115" t="str">
        <f t="shared" si="36"/>
        <v/>
      </c>
      <c r="L28" s="48" t="str">
        <f t="shared" si="24"/>
        <v/>
      </c>
      <c r="M28" s="115" t="str">
        <f t="shared" si="3"/>
        <v/>
      </c>
      <c r="N28" s="48" t="str">
        <f t="shared" si="4"/>
        <v/>
      </c>
      <c r="O28" s="115" t="str">
        <f t="shared" si="5"/>
        <v/>
      </c>
      <c r="P28" s="48" t="str">
        <f t="shared" si="6"/>
        <v/>
      </c>
      <c r="Q28" s="162" t="str">
        <f t="shared" si="27"/>
        <v/>
      </c>
      <c r="R28" s="48" t="str">
        <f t="shared" si="15"/>
        <v/>
      </c>
      <c r="S28" s="144" t="str">
        <f t="shared" si="16"/>
        <v/>
      </c>
      <c r="T28" s="144" t="str">
        <f t="shared" si="31"/>
        <v/>
      </c>
      <c r="U28" s="24"/>
      <c r="V28" s="24"/>
      <c r="W28" s="24"/>
      <c r="X28" s="24">
        <f t="shared" si="17"/>
        <v>0</v>
      </c>
      <c r="Y28" s="24"/>
      <c r="Z28" s="24" t="str">
        <f t="shared" si="39"/>
        <v/>
      </c>
      <c r="AA28" s="24" t="str">
        <f t="shared" si="26"/>
        <v/>
      </c>
      <c r="AB28" s="24">
        <f t="shared" si="8"/>
        <v>0</v>
      </c>
      <c r="AD28" s="24" t="e">
        <f t="shared" si="28"/>
        <v>#VALUE!</v>
      </c>
      <c r="AE28" s="24" t="e">
        <f t="shared" si="29"/>
        <v>#VALUE!</v>
      </c>
      <c r="AF28" s="24" t="e">
        <f t="shared" si="37"/>
        <v>#VALUE!</v>
      </c>
      <c r="AG28" s="24" t="e">
        <f t="shared" si="38"/>
        <v>#VALUE!</v>
      </c>
      <c r="AI28" s="24"/>
      <c r="AJ28" s="24" t="e">
        <f t="shared" si="30"/>
        <v>#VALUE!</v>
      </c>
      <c r="AK28" s="31"/>
      <c r="AL28" s="35">
        <f t="shared" si="20"/>
        <v>0</v>
      </c>
      <c r="AM28" s="24">
        <f t="shared" si="21"/>
        <v>0</v>
      </c>
      <c r="AN28" s="24"/>
      <c r="AO28" s="116"/>
      <c r="AP28" s="116"/>
      <c r="AQ28" s="63">
        <f t="shared" si="9"/>
        <v>9.0359999999999996</v>
      </c>
      <c r="AR28" s="63">
        <f t="shared" si="10"/>
        <v>-184.49199999999999</v>
      </c>
      <c r="AS28" s="63"/>
      <c r="AT28"/>
      <c r="AU28">
        <f>IF($E$4="M",IF(AX28&lt;78,BMILMS!$D$5*AX28^3+BMILMS!$E$5*AX28^2+BMILMS!$F$5*AX28+BMILMS!$G$5,IF(AX28&lt;150,BMILMS!$D$6*AX28^3+BMILMS!$E$6*AX28^2+BMILMS!$F$6*AX28+BMILMS!$G$6,BMILMS!$D$7*AX28^3+BMILMS!$E$7*AX28^2+BMILMS!$F$7*AX28+BMILMS!$G$7)),IF(AX28&lt;69,BMILMS!$D$9*AX28^3+BMILMS!$E$9*AX28^2+BMILMS!$F$9*AX28+BMILMS!$G$9,IF(AX28&lt;150,BMILMS!$D$10*AX28^3+BMILMS!$E$10*AX28^2+BMILMS!$F$10*AX28+BMILMS!$G$10,BMILMS!$D$11*AX28^3+BMILMS!$E$11*AX28^2+BMILMS!$F$11*AX28+BMILMS!$G$11)))</f>
        <v>0.79584630099999998</v>
      </c>
      <c r="AV28">
        <f>IF($E$4="M",(IF(AX28&lt;2.5,BMILMS!$D$21*AX28^3+BMILMS!$E$21*AX28^2+BMILMS!$F$21*AX28+BMILMS!$G$21,IF(AX28&lt;9.5,BMILMS!$D$22*AX28^3+BMILMS!$E$22*AX28^2+BMILMS!$F$22*AX28+BMILMS!$G$22,IF(AX28&lt;26.75,BMILMS!$D$23*AX28^3+BMILMS!$E$23*AX28^2+BMILMS!$F$23*AX28+BMILMS!$G$23,IF(AX28&lt;90,BMILMS!$D$24*AX28^3+BMILMS!$E$24*AX28^2+BMILMS!$F$24*AX28+BMILMS!$G$24,BMILMS!$D$25*AX28^3+BMILMS!$E$25*AX28^2+BMILMS!$F$25*AX28+BMILMS!$G$25))))),(IF(AX28&lt;2.5,BMILMS!$D$27*AX28^3+BMILMS!$E$27*AX28^2+BMILMS!$F$27*AX28+BMILMS!$G$27,IF(AX28&lt;9.5,BMILMS!$D$28*AX28^3+BMILMS!$E$28*AX28^2+BMILMS!$F$28*AX28+BMILMS!$G$28,IF(AX28&lt;26.75,BMILMS!$D$29*AX28^3+BMILMS!$E$29*AX28^2+BMILMS!$F$29*AX28+BMILMS!$G$29,IF(AX28&lt;90,BMILMS!$D$30*AX28^3+BMILMS!$E$30*AX28^2+BMILMS!$F$30*AX28+BMILMS!$G$30,IF(AX28&lt;150,BMILMS!$D$31*AX28^3+BMILMS!$E$31*AX28^2+BMILMS!$F$31*AX28+BMILMS!$G$31,BMILMS!$D$32*AX28^3+BMILMS!$E$32*AX28^2+BMILMS!$F$32*AX28+BMILMS!$G$32)))))))</f>
        <v>12.568967990000001</v>
      </c>
      <c r="AW28">
        <f>IF($E$4="M",(IF(AX28&lt;90,BMILMS!$D$14*AX28^3+BMILMS!$E$14*AX28^2+BMILMS!$F$14*AX28+BMILMS!$G$14,BMILMS!$D$15*AX28^3+BMILMS!$E$15*AX28^2+BMILMS!$F$15*AX28+BMILMS!$G$15)),(IF(AX28&lt;90,BMILMS!$D$17*AX28^3+BMILMS!$E$17*AX28^2+BMILMS!$F$17*AX28+BMILMS!$G$17,BMILMS!$D$18*AX28^3+BMILMS!$E$18*AX28^2+BMILMS!$F$18*AX28+BMILMS!$G$18)))</f>
        <v>8.8969350000000003E-2</v>
      </c>
      <c r="AX28" s="24">
        <f t="shared" si="33"/>
        <v>0</v>
      </c>
      <c r="AY28" s="24">
        <f t="shared" si="22"/>
        <v>0</v>
      </c>
      <c r="BA28">
        <f t="shared" si="12"/>
        <v>0.56299999999999994</v>
      </c>
      <c r="BB28">
        <f t="shared" si="13"/>
        <v>69</v>
      </c>
      <c r="BC28">
        <f t="shared" si="14"/>
        <v>0.51</v>
      </c>
    </row>
    <row r="29" spans="2:55" s="4" customFormat="1">
      <c r="B29" s="43"/>
      <c r="C29" s="145"/>
      <c r="D29" s="22"/>
      <c r="E29" s="114"/>
      <c r="F29" s="114"/>
      <c r="G29" s="114"/>
      <c r="H29" s="48" t="str">
        <f t="shared" si="0"/>
        <v/>
      </c>
      <c r="I29" s="115" t="str">
        <f t="shared" si="23"/>
        <v/>
      </c>
      <c r="J29" s="115" t="str">
        <f t="shared" si="1"/>
        <v/>
      </c>
      <c r="K29" s="115" t="str">
        <f t="shared" si="36"/>
        <v/>
      </c>
      <c r="L29" s="48" t="str">
        <f t="shared" si="24"/>
        <v/>
      </c>
      <c r="M29" s="115" t="str">
        <f t="shared" si="3"/>
        <v/>
      </c>
      <c r="N29" s="48" t="str">
        <f t="shared" si="4"/>
        <v/>
      </c>
      <c r="O29" s="115" t="str">
        <f t="shared" si="5"/>
        <v/>
      </c>
      <c r="P29" s="48" t="str">
        <f t="shared" si="6"/>
        <v/>
      </c>
      <c r="Q29" s="162" t="str">
        <f t="shared" si="27"/>
        <v/>
      </c>
      <c r="R29" s="48" t="str">
        <f t="shared" si="15"/>
        <v/>
      </c>
      <c r="S29" s="144" t="str">
        <f t="shared" si="16"/>
        <v/>
      </c>
      <c r="T29" s="144" t="str">
        <f t="shared" si="31"/>
        <v/>
      </c>
      <c r="U29" s="24"/>
      <c r="V29" s="24"/>
      <c r="W29" s="24"/>
      <c r="X29" s="24">
        <f t="shared" si="17"/>
        <v>0</v>
      </c>
      <c r="Y29" s="24"/>
      <c r="Z29" s="24" t="str">
        <f t="shared" si="39"/>
        <v/>
      </c>
      <c r="AA29" s="24" t="str">
        <f t="shared" si="26"/>
        <v/>
      </c>
      <c r="AB29" s="24">
        <f t="shared" si="8"/>
        <v>0</v>
      </c>
      <c r="AD29" s="24" t="e">
        <f t="shared" si="28"/>
        <v>#VALUE!</v>
      </c>
      <c r="AE29" s="24" t="e">
        <f t="shared" si="29"/>
        <v>#VALUE!</v>
      </c>
      <c r="AF29" s="24" t="e">
        <f t="shared" si="37"/>
        <v>#VALUE!</v>
      </c>
      <c r="AG29" s="24" t="e">
        <f t="shared" si="38"/>
        <v>#VALUE!</v>
      </c>
      <c r="AI29" s="24"/>
      <c r="AJ29" s="24" t="e">
        <f t="shared" si="30"/>
        <v>#VALUE!</v>
      </c>
      <c r="AK29" s="31"/>
      <c r="AL29" s="35">
        <f t="shared" si="20"/>
        <v>0</v>
      </c>
      <c r="AM29" s="24">
        <f t="shared" si="21"/>
        <v>0</v>
      </c>
      <c r="AN29" s="24"/>
      <c r="AO29" s="116"/>
      <c r="AP29" s="116"/>
      <c r="AQ29" s="63">
        <f t="shared" si="9"/>
        <v>9.0359999999999996</v>
      </c>
      <c r="AR29" s="63">
        <f t="shared" si="10"/>
        <v>-184.49199999999999</v>
      </c>
      <c r="AS29" s="63"/>
      <c r="AT29"/>
      <c r="AU29">
        <f>IF($E$4="M",IF(AX29&lt;78,BMILMS!$D$5*AX29^3+BMILMS!$E$5*AX29^2+BMILMS!$F$5*AX29+BMILMS!$G$5,IF(AX29&lt;150,BMILMS!$D$6*AX29^3+BMILMS!$E$6*AX29^2+BMILMS!$F$6*AX29+BMILMS!$G$6,BMILMS!$D$7*AX29^3+BMILMS!$E$7*AX29^2+BMILMS!$F$7*AX29+BMILMS!$G$7)),IF(AX29&lt;69,BMILMS!$D$9*AX29^3+BMILMS!$E$9*AX29^2+BMILMS!$F$9*AX29+BMILMS!$G$9,IF(AX29&lt;150,BMILMS!$D$10*AX29^3+BMILMS!$E$10*AX29^2+BMILMS!$F$10*AX29+BMILMS!$G$10,BMILMS!$D$11*AX29^3+BMILMS!$E$11*AX29^2+BMILMS!$F$11*AX29+BMILMS!$G$11)))</f>
        <v>0.79584630099999998</v>
      </c>
      <c r="AV29">
        <f>IF($E$4="M",(IF(AX29&lt;2.5,BMILMS!$D$21*AX29^3+BMILMS!$E$21*AX29^2+BMILMS!$F$21*AX29+BMILMS!$G$21,IF(AX29&lt;9.5,BMILMS!$D$22*AX29^3+BMILMS!$E$22*AX29^2+BMILMS!$F$22*AX29+BMILMS!$G$22,IF(AX29&lt;26.75,BMILMS!$D$23*AX29^3+BMILMS!$E$23*AX29^2+BMILMS!$F$23*AX29+BMILMS!$G$23,IF(AX29&lt;90,BMILMS!$D$24*AX29^3+BMILMS!$E$24*AX29^2+BMILMS!$F$24*AX29+BMILMS!$G$24,BMILMS!$D$25*AX29^3+BMILMS!$E$25*AX29^2+BMILMS!$F$25*AX29+BMILMS!$G$25))))),(IF(AX29&lt;2.5,BMILMS!$D$27*AX29^3+BMILMS!$E$27*AX29^2+BMILMS!$F$27*AX29+BMILMS!$G$27,IF(AX29&lt;9.5,BMILMS!$D$28*AX29^3+BMILMS!$E$28*AX29^2+BMILMS!$F$28*AX29+BMILMS!$G$28,IF(AX29&lt;26.75,BMILMS!$D$29*AX29^3+BMILMS!$E$29*AX29^2+BMILMS!$F$29*AX29+BMILMS!$G$29,IF(AX29&lt;90,BMILMS!$D$30*AX29^3+BMILMS!$E$30*AX29^2+BMILMS!$F$30*AX29+BMILMS!$G$30,IF(AX29&lt;150,BMILMS!$D$31*AX29^3+BMILMS!$E$31*AX29^2+BMILMS!$F$31*AX29+BMILMS!$G$31,BMILMS!$D$32*AX29^3+BMILMS!$E$32*AX29^2+BMILMS!$F$32*AX29+BMILMS!$G$32)))))))</f>
        <v>12.568967990000001</v>
      </c>
      <c r="AW29">
        <f>IF($E$4="M",(IF(AX29&lt;90,BMILMS!$D$14*AX29^3+BMILMS!$E$14*AX29^2+BMILMS!$F$14*AX29+BMILMS!$G$14,BMILMS!$D$15*AX29^3+BMILMS!$E$15*AX29^2+BMILMS!$F$15*AX29+BMILMS!$G$15)),(IF(AX29&lt;90,BMILMS!$D$17*AX29^3+BMILMS!$E$17*AX29^2+BMILMS!$F$17*AX29+BMILMS!$G$17,BMILMS!$D$18*AX29^3+BMILMS!$E$18*AX29^2+BMILMS!$F$18*AX29+BMILMS!$G$18)))</f>
        <v>8.8969350000000003E-2</v>
      </c>
      <c r="AX29" s="24">
        <f t="shared" si="33"/>
        <v>0</v>
      </c>
      <c r="AY29" s="24">
        <f t="shared" si="22"/>
        <v>0</v>
      </c>
      <c r="BA29">
        <f t="shared" si="12"/>
        <v>0.56299999999999994</v>
      </c>
      <c r="BB29">
        <f t="shared" si="13"/>
        <v>69</v>
      </c>
      <c r="BC29">
        <f t="shared" si="14"/>
        <v>0.51</v>
      </c>
    </row>
    <row r="30" spans="2:55" s="4" customFormat="1">
      <c r="B30" s="43"/>
      <c r="C30" s="145"/>
      <c r="D30" s="22"/>
      <c r="E30" s="114"/>
      <c r="F30" s="114"/>
      <c r="G30" s="114"/>
      <c r="H30" s="48" t="str">
        <f t="shared" si="0"/>
        <v/>
      </c>
      <c r="I30" s="115" t="str">
        <f t="shared" si="23"/>
        <v/>
      </c>
      <c r="J30" s="115" t="str">
        <f t="shared" si="1"/>
        <v/>
      </c>
      <c r="K30" s="115" t="str">
        <f t="shared" si="36"/>
        <v/>
      </c>
      <c r="L30" s="48" t="str">
        <f t="shared" si="24"/>
        <v/>
      </c>
      <c r="M30" s="115" t="str">
        <f t="shared" si="3"/>
        <v/>
      </c>
      <c r="N30" s="48" t="str">
        <f t="shared" si="4"/>
        <v/>
      </c>
      <c r="O30" s="115" t="str">
        <f t="shared" si="5"/>
        <v/>
      </c>
      <c r="P30" s="48" t="str">
        <f t="shared" si="6"/>
        <v/>
      </c>
      <c r="Q30" s="162" t="str">
        <f t="shared" si="27"/>
        <v/>
      </c>
      <c r="R30" s="48" t="str">
        <f t="shared" si="15"/>
        <v/>
      </c>
      <c r="S30" s="144" t="str">
        <f t="shared" si="16"/>
        <v/>
      </c>
      <c r="T30" s="144" t="str">
        <f t="shared" si="31"/>
        <v/>
      </c>
      <c r="U30" s="24"/>
      <c r="V30" s="24"/>
      <c r="W30" s="24"/>
      <c r="X30" s="24">
        <f t="shared" si="17"/>
        <v>0</v>
      </c>
      <c r="Y30" s="24"/>
      <c r="Z30" s="24" t="str">
        <f t="shared" si="39"/>
        <v/>
      </c>
      <c r="AA30" s="24" t="str">
        <f t="shared" si="26"/>
        <v/>
      </c>
      <c r="AB30" s="24">
        <f t="shared" si="8"/>
        <v>0</v>
      </c>
      <c r="AD30" s="24" t="e">
        <f t="shared" si="28"/>
        <v>#VALUE!</v>
      </c>
      <c r="AE30" s="24" t="e">
        <f t="shared" si="29"/>
        <v>#VALUE!</v>
      </c>
      <c r="AF30" s="24" t="e">
        <f t="shared" si="37"/>
        <v>#VALUE!</v>
      </c>
      <c r="AG30" s="24" t="e">
        <f t="shared" si="38"/>
        <v>#VALUE!</v>
      </c>
      <c r="AI30" s="24"/>
      <c r="AJ30" s="24" t="e">
        <f t="shared" si="30"/>
        <v>#VALUE!</v>
      </c>
      <c r="AK30" s="31"/>
      <c r="AL30" s="35">
        <f t="shared" si="20"/>
        <v>0</v>
      </c>
      <c r="AM30" s="24">
        <f t="shared" si="21"/>
        <v>0</v>
      </c>
      <c r="AN30" s="24"/>
      <c r="AO30" s="116"/>
      <c r="AP30" s="116"/>
      <c r="AQ30" s="63">
        <f t="shared" si="9"/>
        <v>9.0359999999999996</v>
      </c>
      <c r="AR30" s="63">
        <f t="shared" si="10"/>
        <v>-184.49199999999999</v>
      </c>
      <c r="AS30" s="63"/>
      <c r="AT30"/>
      <c r="AU30">
        <f>IF($E$4="M",IF(AX30&lt;78,BMILMS!$D$5*AX30^3+BMILMS!$E$5*AX30^2+BMILMS!$F$5*AX30+BMILMS!$G$5,IF(AX30&lt;150,BMILMS!$D$6*AX30^3+BMILMS!$E$6*AX30^2+BMILMS!$F$6*AX30+BMILMS!$G$6,BMILMS!$D$7*AX30^3+BMILMS!$E$7*AX30^2+BMILMS!$F$7*AX30+BMILMS!$G$7)),IF(AX30&lt;69,BMILMS!$D$9*AX30^3+BMILMS!$E$9*AX30^2+BMILMS!$F$9*AX30+BMILMS!$G$9,IF(AX30&lt;150,BMILMS!$D$10*AX30^3+BMILMS!$E$10*AX30^2+BMILMS!$F$10*AX30+BMILMS!$G$10,BMILMS!$D$11*AX30^3+BMILMS!$E$11*AX30^2+BMILMS!$F$11*AX30+BMILMS!$G$11)))</f>
        <v>0.79584630099999998</v>
      </c>
      <c r="AV30">
        <f>IF($E$4="M",(IF(AX30&lt;2.5,BMILMS!$D$21*AX30^3+BMILMS!$E$21*AX30^2+BMILMS!$F$21*AX30+BMILMS!$G$21,IF(AX30&lt;9.5,BMILMS!$D$22*AX30^3+BMILMS!$E$22*AX30^2+BMILMS!$F$22*AX30+BMILMS!$G$22,IF(AX30&lt;26.75,BMILMS!$D$23*AX30^3+BMILMS!$E$23*AX30^2+BMILMS!$F$23*AX30+BMILMS!$G$23,IF(AX30&lt;90,BMILMS!$D$24*AX30^3+BMILMS!$E$24*AX30^2+BMILMS!$F$24*AX30+BMILMS!$G$24,BMILMS!$D$25*AX30^3+BMILMS!$E$25*AX30^2+BMILMS!$F$25*AX30+BMILMS!$G$25))))),(IF(AX30&lt;2.5,BMILMS!$D$27*AX30^3+BMILMS!$E$27*AX30^2+BMILMS!$F$27*AX30+BMILMS!$G$27,IF(AX30&lt;9.5,BMILMS!$D$28*AX30^3+BMILMS!$E$28*AX30^2+BMILMS!$F$28*AX30+BMILMS!$G$28,IF(AX30&lt;26.75,BMILMS!$D$29*AX30^3+BMILMS!$E$29*AX30^2+BMILMS!$F$29*AX30+BMILMS!$G$29,IF(AX30&lt;90,BMILMS!$D$30*AX30^3+BMILMS!$E$30*AX30^2+BMILMS!$F$30*AX30+BMILMS!$G$30,IF(AX30&lt;150,BMILMS!$D$31*AX30^3+BMILMS!$E$31*AX30^2+BMILMS!$F$31*AX30+BMILMS!$G$31,BMILMS!$D$32*AX30^3+BMILMS!$E$32*AX30^2+BMILMS!$F$32*AX30+BMILMS!$G$32)))))))</f>
        <v>12.568967990000001</v>
      </c>
      <c r="AW30">
        <f>IF($E$4="M",(IF(AX30&lt;90,BMILMS!$D$14*AX30^3+BMILMS!$E$14*AX30^2+BMILMS!$F$14*AX30+BMILMS!$G$14,BMILMS!$D$15*AX30^3+BMILMS!$E$15*AX30^2+BMILMS!$F$15*AX30+BMILMS!$G$15)),(IF(AX30&lt;90,BMILMS!$D$17*AX30^3+BMILMS!$E$17*AX30^2+BMILMS!$F$17*AX30+BMILMS!$G$17,BMILMS!$D$18*AX30^3+BMILMS!$E$18*AX30^2+BMILMS!$F$18*AX30+BMILMS!$G$18)))</f>
        <v>8.8969350000000003E-2</v>
      </c>
      <c r="AX30" s="24">
        <f t="shared" si="33"/>
        <v>0</v>
      </c>
      <c r="AY30" s="24">
        <f t="shared" si="22"/>
        <v>0</v>
      </c>
      <c r="BA30">
        <f t="shared" si="12"/>
        <v>0.56299999999999994</v>
      </c>
      <c r="BB30">
        <f t="shared" si="13"/>
        <v>69</v>
      </c>
      <c r="BC30">
        <f t="shared" si="14"/>
        <v>0.51</v>
      </c>
    </row>
    <row r="31" spans="2:55" s="4" customFormat="1">
      <c r="B31" s="43"/>
      <c r="C31" s="145"/>
      <c r="D31" s="22"/>
      <c r="E31" s="114"/>
      <c r="F31" s="114"/>
      <c r="G31" s="114"/>
      <c r="H31" s="48" t="str">
        <f t="shared" si="0"/>
        <v/>
      </c>
      <c r="I31" s="115" t="str">
        <f t="shared" si="23"/>
        <v/>
      </c>
      <c r="J31" s="115" t="str">
        <f t="shared" si="1"/>
        <v/>
      </c>
      <c r="K31" s="115" t="str">
        <f t="shared" si="36"/>
        <v/>
      </c>
      <c r="L31" s="48" t="str">
        <f t="shared" si="24"/>
        <v/>
      </c>
      <c r="M31" s="115" t="str">
        <f t="shared" si="3"/>
        <v/>
      </c>
      <c r="N31" s="48" t="str">
        <f t="shared" si="4"/>
        <v/>
      </c>
      <c r="O31" s="115" t="str">
        <f t="shared" si="5"/>
        <v/>
      </c>
      <c r="P31" s="48" t="str">
        <f t="shared" si="6"/>
        <v/>
      </c>
      <c r="Q31" s="162" t="str">
        <f t="shared" si="27"/>
        <v/>
      </c>
      <c r="R31" s="48" t="str">
        <f t="shared" si="15"/>
        <v/>
      </c>
      <c r="S31" s="144" t="str">
        <f t="shared" si="16"/>
        <v/>
      </c>
      <c r="T31" s="144" t="str">
        <f t="shared" si="31"/>
        <v/>
      </c>
      <c r="U31" s="24"/>
      <c r="V31" s="24"/>
      <c r="W31" s="24"/>
      <c r="X31" s="24">
        <f t="shared" si="17"/>
        <v>0</v>
      </c>
      <c r="Y31" s="24"/>
      <c r="Z31" s="24" t="str">
        <f t="shared" si="39"/>
        <v/>
      </c>
      <c r="AA31" s="24" t="str">
        <f t="shared" si="26"/>
        <v/>
      </c>
      <c r="AB31" s="24">
        <f t="shared" si="8"/>
        <v>0</v>
      </c>
      <c r="AD31" s="24" t="e">
        <f t="shared" si="28"/>
        <v>#VALUE!</v>
      </c>
      <c r="AE31" s="24" t="e">
        <f t="shared" si="29"/>
        <v>#VALUE!</v>
      </c>
      <c r="AF31" s="24" t="e">
        <f t="shared" si="37"/>
        <v>#VALUE!</v>
      </c>
      <c r="AG31" s="24" t="e">
        <f t="shared" si="38"/>
        <v>#VALUE!</v>
      </c>
      <c r="AI31" s="24"/>
      <c r="AJ31" s="24" t="e">
        <f t="shared" si="30"/>
        <v>#VALUE!</v>
      </c>
      <c r="AK31" s="31"/>
      <c r="AL31" s="35">
        <f t="shared" si="20"/>
        <v>0</v>
      </c>
      <c r="AM31" s="24">
        <f t="shared" si="21"/>
        <v>0</v>
      </c>
      <c r="AN31" s="24"/>
      <c r="AO31" s="116"/>
      <c r="AP31" s="116"/>
      <c r="AQ31" s="63">
        <f t="shared" si="9"/>
        <v>9.0359999999999996</v>
      </c>
      <c r="AR31" s="63">
        <f t="shared" si="10"/>
        <v>-184.49199999999999</v>
      </c>
      <c r="AS31" s="63"/>
      <c r="AT31"/>
      <c r="AU31">
        <f>IF($E$4="M",IF(AX31&lt;78,BMILMS!$D$5*AX31^3+BMILMS!$E$5*AX31^2+BMILMS!$F$5*AX31+BMILMS!$G$5,IF(AX31&lt;150,BMILMS!$D$6*AX31^3+BMILMS!$E$6*AX31^2+BMILMS!$F$6*AX31+BMILMS!$G$6,BMILMS!$D$7*AX31^3+BMILMS!$E$7*AX31^2+BMILMS!$F$7*AX31+BMILMS!$G$7)),IF(AX31&lt;69,BMILMS!$D$9*AX31^3+BMILMS!$E$9*AX31^2+BMILMS!$F$9*AX31+BMILMS!$G$9,IF(AX31&lt;150,BMILMS!$D$10*AX31^3+BMILMS!$E$10*AX31^2+BMILMS!$F$10*AX31+BMILMS!$G$10,BMILMS!$D$11*AX31^3+BMILMS!$E$11*AX31^2+BMILMS!$F$11*AX31+BMILMS!$G$11)))</f>
        <v>0.79584630099999998</v>
      </c>
      <c r="AV31">
        <f>IF($E$4="M",(IF(AX31&lt;2.5,BMILMS!$D$21*AX31^3+BMILMS!$E$21*AX31^2+BMILMS!$F$21*AX31+BMILMS!$G$21,IF(AX31&lt;9.5,BMILMS!$D$22*AX31^3+BMILMS!$E$22*AX31^2+BMILMS!$F$22*AX31+BMILMS!$G$22,IF(AX31&lt;26.75,BMILMS!$D$23*AX31^3+BMILMS!$E$23*AX31^2+BMILMS!$F$23*AX31+BMILMS!$G$23,IF(AX31&lt;90,BMILMS!$D$24*AX31^3+BMILMS!$E$24*AX31^2+BMILMS!$F$24*AX31+BMILMS!$G$24,BMILMS!$D$25*AX31^3+BMILMS!$E$25*AX31^2+BMILMS!$F$25*AX31+BMILMS!$G$25))))),(IF(AX31&lt;2.5,BMILMS!$D$27*AX31^3+BMILMS!$E$27*AX31^2+BMILMS!$F$27*AX31+BMILMS!$G$27,IF(AX31&lt;9.5,BMILMS!$D$28*AX31^3+BMILMS!$E$28*AX31^2+BMILMS!$F$28*AX31+BMILMS!$G$28,IF(AX31&lt;26.75,BMILMS!$D$29*AX31^3+BMILMS!$E$29*AX31^2+BMILMS!$F$29*AX31+BMILMS!$G$29,IF(AX31&lt;90,BMILMS!$D$30*AX31^3+BMILMS!$E$30*AX31^2+BMILMS!$F$30*AX31+BMILMS!$G$30,IF(AX31&lt;150,BMILMS!$D$31*AX31^3+BMILMS!$E$31*AX31^2+BMILMS!$F$31*AX31+BMILMS!$G$31,BMILMS!$D$32*AX31^3+BMILMS!$E$32*AX31^2+BMILMS!$F$32*AX31+BMILMS!$G$32)))))))</f>
        <v>12.568967990000001</v>
      </c>
      <c r="AW31">
        <f>IF($E$4="M",(IF(AX31&lt;90,BMILMS!$D$14*AX31^3+BMILMS!$E$14*AX31^2+BMILMS!$F$14*AX31+BMILMS!$G$14,BMILMS!$D$15*AX31^3+BMILMS!$E$15*AX31^2+BMILMS!$F$15*AX31+BMILMS!$G$15)),(IF(AX31&lt;90,BMILMS!$D$17*AX31^3+BMILMS!$E$17*AX31^2+BMILMS!$F$17*AX31+BMILMS!$G$17,BMILMS!$D$18*AX31^3+BMILMS!$E$18*AX31^2+BMILMS!$F$18*AX31+BMILMS!$G$18)))</f>
        <v>8.8969350000000003E-2</v>
      </c>
      <c r="AX31" s="24">
        <f t="shared" si="33"/>
        <v>0</v>
      </c>
      <c r="AY31" s="24">
        <f t="shared" si="22"/>
        <v>0</v>
      </c>
      <c r="BA31">
        <f t="shared" si="12"/>
        <v>0.56299999999999994</v>
      </c>
      <c r="BB31">
        <f t="shared" si="13"/>
        <v>69</v>
      </c>
      <c r="BC31">
        <f t="shared" si="14"/>
        <v>0.51</v>
      </c>
    </row>
    <row r="32" spans="2:55" s="4" customFormat="1">
      <c r="B32" s="43"/>
      <c r="C32" s="145"/>
      <c r="D32" s="22"/>
      <c r="E32" s="114"/>
      <c r="F32" s="114"/>
      <c r="G32" s="114"/>
      <c r="H32" s="48" t="str">
        <f t="shared" si="0"/>
        <v/>
      </c>
      <c r="I32" s="115" t="str">
        <f t="shared" si="23"/>
        <v/>
      </c>
      <c r="J32" s="115" t="str">
        <f t="shared" si="1"/>
        <v/>
      </c>
      <c r="K32" s="115" t="str">
        <f t="shared" si="36"/>
        <v/>
      </c>
      <c r="L32" s="48" t="str">
        <f t="shared" si="24"/>
        <v/>
      </c>
      <c r="M32" s="115" t="str">
        <f t="shared" si="3"/>
        <v/>
      </c>
      <c r="N32" s="48" t="str">
        <f t="shared" si="4"/>
        <v/>
      </c>
      <c r="O32" s="115" t="str">
        <f t="shared" si="5"/>
        <v/>
      </c>
      <c r="P32" s="48" t="str">
        <f t="shared" si="6"/>
        <v/>
      </c>
      <c r="Q32" s="162" t="str">
        <f t="shared" si="27"/>
        <v/>
      </c>
      <c r="R32" s="48" t="str">
        <f t="shared" si="15"/>
        <v/>
      </c>
      <c r="S32" s="144" t="str">
        <f t="shared" si="16"/>
        <v/>
      </c>
      <c r="T32" s="144" t="str">
        <f t="shared" si="31"/>
        <v/>
      </c>
      <c r="U32" s="24"/>
      <c r="V32" s="24"/>
      <c r="W32" s="24"/>
      <c r="X32" s="24">
        <f t="shared" si="17"/>
        <v>0</v>
      </c>
      <c r="Y32" s="24"/>
      <c r="Z32" s="24" t="str">
        <f t="shared" si="39"/>
        <v/>
      </c>
      <c r="AA32" s="24" t="str">
        <f t="shared" si="26"/>
        <v/>
      </c>
      <c r="AB32" s="24">
        <f t="shared" si="8"/>
        <v>0</v>
      </c>
      <c r="AD32" s="24" t="e">
        <f t="shared" si="28"/>
        <v>#VALUE!</v>
      </c>
      <c r="AE32" s="24" t="e">
        <f t="shared" si="29"/>
        <v>#VALUE!</v>
      </c>
      <c r="AF32" s="24" t="e">
        <f t="shared" si="37"/>
        <v>#VALUE!</v>
      </c>
      <c r="AG32" s="24" t="e">
        <f t="shared" si="38"/>
        <v>#VALUE!</v>
      </c>
      <c r="AI32" s="24"/>
      <c r="AJ32" s="24" t="e">
        <f t="shared" si="30"/>
        <v>#VALUE!</v>
      </c>
      <c r="AK32" s="31"/>
      <c r="AL32" s="35">
        <f t="shared" si="20"/>
        <v>0</v>
      </c>
      <c r="AM32" s="24">
        <f t="shared" si="21"/>
        <v>0</v>
      </c>
      <c r="AN32" s="24"/>
      <c r="AO32" s="116"/>
      <c r="AP32" s="116"/>
      <c r="AQ32" s="63">
        <f t="shared" si="9"/>
        <v>9.0359999999999996</v>
      </c>
      <c r="AR32" s="63">
        <f t="shared" si="10"/>
        <v>-184.49199999999999</v>
      </c>
      <c r="AS32" s="63"/>
      <c r="AT32"/>
      <c r="AU32">
        <f>IF($E$4="M",IF(AX32&lt;78,BMILMS!$D$5*AX32^3+BMILMS!$E$5*AX32^2+BMILMS!$F$5*AX32+BMILMS!$G$5,IF(AX32&lt;150,BMILMS!$D$6*AX32^3+BMILMS!$E$6*AX32^2+BMILMS!$F$6*AX32+BMILMS!$G$6,BMILMS!$D$7*AX32^3+BMILMS!$E$7*AX32^2+BMILMS!$F$7*AX32+BMILMS!$G$7)),IF(AX32&lt;69,BMILMS!$D$9*AX32^3+BMILMS!$E$9*AX32^2+BMILMS!$F$9*AX32+BMILMS!$G$9,IF(AX32&lt;150,BMILMS!$D$10*AX32^3+BMILMS!$E$10*AX32^2+BMILMS!$F$10*AX32+BMILMS!$G$10,BMILMS!$D$11*AX32^3+BMILMS!$E$11*AX32^2+BMILMS!$F$11*AX32+BMILMS!$G$11)))</f>
        <v>0.79584630099999998</v>
      </c>
      <c r="AV32">
        <f>IF($E$4="M",(IF(AX32&lt;2.5,BMILMS!$D$21*AX32^3+BMILMS!$E$21*AX32^2+BMILMS!$F$21*AX32+BMILMS!$G$21,IF(AX32&lt;9.5,BMILMS!$D$22*AX32^3+BMILMS!$E$22*AX32^2+BMILMS!$F$22*AX32+BMILMS!$G$22,IF(AX32&lt;26.75,BMILMS!$D$23*AX32^3+BMILMS!$E$23*AX32^2+BMILMS!$F$23*AX32+BMILMS!$G$23,IF(AX32&lt;90,BMILMS!$D$24*AX32^3+BMILMS!$E$24*AX32^2+BMILMS!$F$24*AX32+BMILMS!$G$24,BMILMS!$D$25*AX32^3+BMILMS!$E$25*AX32^2+BMILMS!$F$25*AX32+BMILMS!$G$25))))),(IF(AX32&lt;2.5,BMILMS!$D$27*AX32^3+BMILMS!$E$27*AX32^2+BMILMS!$F$27*AX32+BMILMS!$G$27,IF(AX32&lt;9.5,BMILMS!$D$28*AX32^3+BMILMS!$E$28*AX32^2+BMILMS!$F$28*AX32+BMILMS!$G$28,IF(AX32&lt;26.75,BMILMS!$D$29*AX32^3+BMILMS!$E$29*AX32^2+BMILMS!$F$29*AX32+BMILMS!$G$29,IF(AX32&lt;90,BMILMS!$D$30*AX32^3+BMILMS!$E$30*AX32^2+BMILMS!$F$30*AX32+BMILMS!$G$30,IF(AX32&lt;150,BMILMS!$D$31*AX32^3+BMILMS!$E$31*AX32^2+BMILMS!$F$31*AX32+BMILMS!$G$31,BMILMS!$D$32*AX32^3+BMILMS!$E$32*AX32^2+BMILMS!$F$32*AX32+BMILMS!$G$32)))))))</f>
        <v>12.568967990000001</v>
      </c>
      <c r="AW32">
        <f>IF($E$4="M",(IF(AX32&lt;90,BMILMS!$D$14*AX32^3+BMILMS!$E$14*AX32^2+BMILMS!$F$14*AX32+BMILMS!$G$14,BMILMS!$D$15*AX32^3+BMILMS!$E$15*AX32^2+BMILMS!$F$15*AX32+BMILMS!$G$15)),(IF(AX32&lt;90,BMILMS!$D$17*AX32^3+BMILMS!$E$17*AX32^2+BMILMS!$F$17*AX32+BMILMS!$G$17,BMILMS!$D$18*AX32^3+BMILMS!$E$18*AX32^2+BMILMS!$F$18*AX32+BMILMS!$G$18)))</f>
        <v>8.8969350000000003E-2</v>
      </c>
      <c r="AX32" s="24">
        <f t="shared" si="33"/>
        <v>0</v>
      </c>
      <c r="AY32" s="24">
        <f t="shared" si="22"/>
        <v>0</v>
      </c>
      <c r="BA32">
        <f t="shared" si="12"/>
        <v>0.56299999999999994</v>
      </c>
      <c r="BB32">
        <f t="shared" si="13"/>
        <v>69</v>
      </c>
      <c r="BC32">
        <f t="shared" si="14"/>
        <v>0.51</v>
      </c>
    </row>
    <row r="33" spans="2:55" s="4" customFormat="1">
      <c r="B33" s="43"/>
      <c r="C33" s="145"/>
      <c r="D33" s="22"/>
      <c r="E33" s="114"/>
      <c r="F33" s="114"/>
      <c r="G33" s="114"/>
      <c r="H33" s="48" t="str">
        <f t="shared" si="0"/>
        <v/>
      </c>
      <c r="I33" s="115" t="str">
        <f t="shared" si="23"/>
        <v/>
      </c>
      <c r="J33" s="115" t="str">
        <f t="shared" si="1"/>
        <v/>
      </c>
      <c r="K33" s="115" t="str">
        <f t="shared" si="36"/>
        <v/>
      </c>
      <c r="L33" s="48" t="str">
        <f t="shared" si="24"/>
        <v/>
      </c>
      <c r="M33" s="115" t="str">
        <f t="shared" si="3"/>
        <v/>
      </c>
      <c r="N33" s="48" t="str">
        <f t="shared" si="4"/>
        <v/>
      </c>
      <c r="O33" s="115" t="str">
        <f t="shared" si="5"/>
        <v/>
      </c>
      <c r="P33" s="48" t="str">
        <f t="shared" si="6"/>
        <v/>
      </c>
      <c r="Q33" s="162" t="str">
        <f t="shared" si="27"/>
        <v/>
      </c>
      <c r="R33" s="48" t="str">
        <f t="shared" si="15"/>
        <v/>
      </c>
      <c r="S33" s="144" t="str">
        <f t="shared" si="16"/>
        <v/>
      </c>
      <c r="T33" s="144" t="str">
        <f t="shared" si="31"/>
        <v/>
      </c>
      <c r="U33" s="24"/>
      <c r="V33" s="24"/>
      <c r="W33" s="24"/>
      <c r="X33" s="24">
        <f t="shared" si="17"/>
        <v>0</v>
      </c>
      <c r="Y33" s="24"/>
      <c r="Z33" s="24" t="str">
        <f t="shared" si="39"/>
        <v/>
      </c>
      <c r="AA33" s="24" t="str">
        <f t="shared" si="26"/>
        <v/>
      </c>
      <c r="AB33" s="24">
        <f t="shared" si="8"/>
        <v>0</v>
      </c>
      <c r="AD33" s="24" t="e">
        <f t="shared" si="28"/>
        <v>#VALUE!</v>
      </c>
      <c r="AE33" s="24" t="e">
        <f t="shared" si="29"/>
        <v>#VALUE!</v>
      </c>
      <c r="AF33" s="24" t="e">
        <f t="shared" si="37"/>
        <v>#VALUE!</v>
      </c>
      <c r="AG33" s="24" t="e">
        <f t="shared" si="38"/>
        <v>#VALUE!</v>
      </c>
      <c r="AI33" s="24"/>
      <c r="AJ33" s="24" t="e">
        <f t="shared" si="30"/>
        <v>#VALUE!</v>
      </c>
      <c r="AK33" s="31"/>
      <c r="AL33" s="35">
        <f t="shared" si="20"/>
        <v>0</v>
      </c>
      <c r="AM33" s="24">
        <f t="shared" si="21"/>
        <v>0</v>
      </c>
      <c r="AN33" s="24"/>
      <c r="AO33" s="116"/>
      <c r="AP33" s="116"/>
      <c r="AQ33" s="63">
        <f t="shared" si="9"/>
        <v>9.0359999999999996</v>
      </c>
      <c r="AR33" s="63">
        <f t="shared" si="10"/>
        <v>-184.49199999999999</v>
      </c>
      <c r="AS33" s="63"/>
      <c r="AT33"/>
      <c r="AU33">
        <f>IF($E$4="M",IF(AX33&lt;78,BMILMS!$D$5*AX33^3+BMILMS!$E$5*AX33^2+BMILMS!$F$5*AX33+BMILMS!$G$5,IF(AX33&lt;150,BMILMS!$D$6*AX33^3+BMILMS!$E$6*AX33^2+BMILMS!$F$6*AX33+BMILMS!$G$6,BMILMS!$D$7*AX33^3+BMILMS!$E$7*AX33^2+BMILMS!$F$7*AX33+BMILMS!$G$7)),IF(AX33&lt;69,BMILMS!$D$9*AX33^3+BMILMS!$E$9*AX33^2+BMILMS!$F$9*AX33+BMILMS!$G$9,IF(AX33&lt;150,BMILMS!$D$10*AX33^3+BMILMS!$E$10*AX33^2+BMILMS!$F$10*AX33+BMILMS!$G$10,BMILMS!$D$11*AX33^3+BMILMS!$E$11*AX33^2+BMILMS!$F$11*AX33+BMILMS!$G$11)))</f>
        <v>0.79584630099999998</v>
      </c>
      <c r="AV33">
        <f>IF($E$4="M",(IF(AX33&lt;2.5,BMILMS!$D$21*AX33^3+BMILMS!$E$21*AX33^2+BMILMS!$F$21*AX33+BMILMS!$G$21,IF(AX33&lt;9.5,BMILMS!$D$22*AX33^3+BMILMS!$E$22*AX33^2+BMILMS!$F$22*AX33+BMILMS!$G$22,IF(AX33&lt;26.75,BMILMS!$D$23*AX33^3+BMILMS!$E$23*AX33^2+BMILMS!$F$23*AX33+BMILMS!$G$23,IF(AX33&lt;90,BMILMS!$D$24*AX33^3+BMILMS!$E$24*AX33^2+BMILMS!$F$24*AX33+BMILMS!$G$24,BMILMS!$D$25*AX33^3+BMILMS!$E$25*AX33^2+BMILMS!$F$25*AX33+BMILMS!$G$25))))),(IF(AX33&lt;2.5,BMILMS!$D$27*AX33^3+BMILMS!$E$27*AX33^2+BMILMS!$F$27*AX33+BMILMS!$G$27,IF(AX33&lt;9.5,BMILMS!$D$28*AX33^3+BMILMS!$E$28*AX33^2+BMILMS!$F$28*AX33+BMILMS!$G$28,IF(AX33&lt;26.75,BMILMS!$D$29*AX33^3+BMILMS!$E$29*AX33^2+BMILMS!$F$29*AX33+BMILMS!$G$29,IF(AX33&lt;90,BMILMS!$D$30*AX33^3+BMILMS!$E$30*AX33^2+BMILMS!$F$30*AX33+BMILMS!$G$30,IF(AX33&lt;150,BMILMS!$D$31*AX33^3+BMILMS!$E$31*AX33^2+BMILMS!$F$31*AX33+BMILMS!$G$31,BMILMS!$D$32*AX33^3+BMILMS!$E$32*AX33^2+BMILMS!$F$32*AX33+BMILMS!$G$32)))))))</f>
        <v>12.568967990000001</v>
      </c>
      <c r="AW33">
        <f>IF($E$4="M",(IF(AX33&lt;90,BMILMS!$D$14*AX33^3+BMILMS!$E$14*AX33^2+BMILMS!$F$14*AX33+BMILMS!$G$14,BMILMS!$D$15*AX33^3+BMILMS!$E$15*AX33^2+BMILMS!$F$15*AX33+BMILMS!$G$15)),(IF(AX33&lt;90,BMILMS!$D$17*AX33^3+BMILMS!$E$17*AX33^2+BMILMS!$F$17*AX33+BMILMS!$G$17,BMILMS!$D$18*AX33^3+BMILMS!$E$18*AX33^2+BMILMS!$F$18*AX33+BMILMS!$G$18)))</f>
        <v>8.8969350000000003E-2</v>
      </c>
      <c r="AX33" s="24">
        <f t="shared" si="33"/>
        <v>0</v>
      </c>
      <c r="AY33" s="24">
        <f t="shared" si="22"/>
        <v>0</v>
      </c>
      <c r="BA33">
        <f t="shared" si="12"/>
        <v>0.56299999999999994</v>
      </c>
      <c r="BB33">
        <f t="shared" si="13"/>
        <v>69</v>
      </c>
      <c r="BC33">
        <f t="shared" si="14"/>
        <v>0.51</v>
      </c>
    </row>
    <row r="34" spans="2:55" s="4" customFormat="1">
      <c r="B34" s="43"/>
      <c r="C34" s="145"/>
      <c r="D34" s="22"/>
      <c r="E34" s="114"/>
      <c r="F34" s="114"/>
      <c r="G34" s="114"/>
      <c r="H34" s="48" t="str">
        <f t="shared" si="0"/>
        <v/>
      </c>
      <c r="I34" s="115" t="str">
        <f t="shared" si="23"/>
        <v/>
      </c>
      <c r="J34" s="115" t="str">
        <f t="shared" si="1"/>
        <v/>
      </c>
      <c r="K34" s="115" t="str">
        <f t="shared" si="36"/>
        <v/>
      </c>
      <c r="L34" s="48" t="str">
        <f t="shared" si="24"/>
        <v/>
      </c>
      <c r="M34" s="115" t="str">
        <f t="shared" si="3"/>
        <v/>
      </c>
      <c r="N34" s="48" t="str">
        <f t="shared" si="4"/>
        <v/>
      </c>
      <c r="O34" s="115" t="str">
        <f t="shared" si="5"/>
        <v/>
      </c>
      <c r="P34" s="48" t="str">
        <f t="shared" si="6"/>
        <v/>
      </c>
      <c r="Q34" s="162" t="str">
        <f t="shared" si="27"/>
        <v/>
      </c>
      <c r="R34" s="48" t="str">
        <f t="shared" si="15"/>
        <v/>
      </c>
      <c r="S34" s="144" t="str">
        <f t="shared" si="16"/>
        <v/>
      </c>
      <c r="T34" s="144" t="str">
        <f t="shared" si="31"/>
        <v/>
      </c>
      <c r="U34" s="24"/>
      <c r="V34" s="24"/>
      <c r="W34" s="24"/>
      <c r="X34" s="24">
        <f t="shared" si="17"/>
        <v>0</v>
      </c>
      <c r="Y34" s="24"/>
      <c r="Z34" s="24" t="str">
        <f t="shared" si="39"/>
        <v/>
      </c>
      <c r="AA34" s="24" t="str">
        <f t="shared" si="26"/>
        <v/>
      </c>
      <c r="AB34" s="24">
        <f t="shared" si="8"/>
        <v>0</v>
      </c>
      <c r="AD34" s="24" t="e">
        <f t="shared" ref="AD34:AD57" si="40">ROUNDDOWN(Z33+(Z34-Z33)/2,0)</f>
        <v>#VALUE!</v>
      </c>
      <c r="AE34" s="24" t="e">
        <f t="shared" ref="AE34:AE57" si="41">ROUNDDOWN((Z33+(Z34-Z33)/2-AD34)*12,0)</f>
        <v>#VALUE!</v>
      </c>
      <c r="AF34" s="24" t="e">
        <f t="shared" si="37"/>
        <v>#VALUE!</v>
      </c>
      <c r="AG34" s="24" t="e">
        <f t="shared" si="38"/>
        <v>#VALUE!</v>
      </c>
      <c r="AI34" s="24"/>
      <c r="AJ34" s="24" t="e">
        <f t="shared" si="30"/>
        <v>#VALUE!</v>
      </c>
      <c r="AK34" s="31"/>
      <c r="AL34" s="35">
        <f t="shared" si="20"/>
        <v>0</v>
      </c>
      <c r="AM34" s="24">
        <f t="shared" si="21"/>
        <v>0</v>
      </c>
      <c r="AN34" s="24"/>
      <c r="AO34" s="116"/>
      <c r="AP34" s="116"/>
      <c r="AQ34" s="63">
        <f t="shared" si="9"/>
        <v>9.0359999999999996</v>
      </c>
      <c r="AR34" s="63">
        <f t="shared" si="10"/>
        <v>-184.49199999999999</v>
      </c>
      <c r="AS34" s="63"/>
      <c r="AT34"/>
      <c r="AU34">
        <f>IF($E$4="M",IF(AX34&lt;78,BMILMS!$D$5*AX34^3+BMILMS!$E$5*AX34^2+BMILMS!$F$5*AX34+BMILMS!$G$5,IF(AX34&lt;150,BMILMS!$D$6*AX34^3+BMILMS!$E$6*AX34^2+BMILMS!$F$6*AX34+BMILMS!$G$6,BMILMS!$D$7*AX34^3+BMILMS!$E$7*AX34^2+BMILMS!$F$7*AX34+BMILMS!$G$7)),IF(AX34&lt;69,BMILMS!$D$9*AX34^3+BMILMS!$E$9*AX34^2+BMILMS!$F$9*AX34+BMILMS!$G$9,IF(AX34&lt;150,BMILMS!$D$10*AX34^3+BMILMS!$E$10*AX34^2+BMILMS!$F$10*AX34+BMILMS!$G$10,BMILMS!$D$11*AX34^3+BMILMS!$E$11*AX34^2+BMILMS!$F$11*AX34+BMILMS!$G$11)))</f>
        <v>0.79584630099999998</v>
      </c>
      <c r="AV34">
        <f>IF($E$4="M",(IF(AX34&lt;2.5,BMILMS!$D$21*AX34^3+BMILMS!$E$21*AX34^2+BMILMS!$F$21*AX34+BMILMS!$G$21,IF(AX34&lt;9.5,BMILMS!$D$22*AX34^3+BMILMS!$E$22*AX34^2+BMILMS!$F$22*AX34+BMILMS!$G$22,IF(AX34&lt;26.75,BMILMS!$D$23*AX34^3+BMILMS!$E$23*AX34^2+BMILMS!$F$23*AX34+BMILMS!$G$23,IF(AX34&lt;90,BMILMS!$D$24*AX34^3+BMILMS!$E$24*AX34^2+BMILMS!$F$24*AX34+BMILMS!$G$24,BMILMS!$D$25*AX34^3+BMILMS!$E$25*AX34^2+BMILMS!$F$25*AX34+BMILMS!$G$25))))),(IF(AX34&lt;2.5,BMILMS!$D$27*AX34^3+BMILMS!$E$27*AX34^2+BMILMS!$F$27*AX34+BMILMS!$G$27,IF(AX34&lt;9.5,BMILMS!$D$28*AX34^3+BMILMS!$E$28*AX34^2+BMILMS!$F$28*AX34+BMILMS!$G$28,IF(AX34&lt;26.75,BMILMS!$D$29*AX34^3+BMILMS!$E$29*AX34^2+BMILMS!$F$29*AX34+BMILMS!$G$29,IF(AX34&lt;90,BMILMS!$D$30*AX34^3+BMILMS!$E$30*AX34^2+BMILMS!$F$30*AX34+BMILMS!$G$30,IF(AX34&lt;150,BMILMS!$D$31*AX34^3+BMILMS!$E$31*AX34^2+BMILMS!$F$31*AX34+BMILMS!$G$31,BMILMS!$D$32*AX34^3+BMILMS!$E$32*AX34^2+BMILMS!$F$32*AX34+BMILMS!$G$32)))))))</f>
        <v>12.568967990000001</v>
      </c>
      <c r="AW34">
        <f>IF($E$4="M",(IF(AX34&lt;90,BMILMS!$D$14*AX34^3+BMILMS!$E$14*AX34^2+BMILMS!$F$14*AX34+BMILMS!$G$14,BMILMS!$D$15*AX34^3+BMILMS!$E$15*AX34^2+BMILMS!$F$15*AX34+BMILMS!$G$15)),(IF(AX34&lt;90,BMILMS!$D$17*AX34^3+BMILMS!$E$17*AX34^2+BMILMS!$F$17*AX34+BMILMS!$G$17,BMILMS!$D$18*AX34^3+BMILMS!$E$18*AX34^2+BMILMS!$F$18*AX34+BMILMS!$G$18)))</f>
        <v>8.8969350000000003E-2</v>
      </c>
      <c r="AX34" s="24">
        <f t="shared" si="33"/>
        <v>0</v>
      </c>
      <c r="AY34" s="24">
        <f t="shared" si="22"/>
        <v>0</v>
      </c>
      <c r="BA34">
        <f t="shared" ref="BA34:BA57" si="42">INDEX(IF($E$4="M",IGFmale, IGFfemale), AL34+1,1)</f>
        <v>0.56299999999999994</v>
      </c>
      <c r="BB34">
        <f t="shared" ref="BB34:BB57" si="43">INDEX(IF($E$4="M",IGFmale, IGFfemale), AL34+1,2)</f>
        <v>69</v>
      </c>
      <c r="BC34">
        <f t="shared" ref="BC34:BC57" si="44">INDEX(IF($E$4="M",IGFmale, IGFfemale), AL34+1,3)</f>
        <v>0.51</v>
      </c>
    </row>
    <row r="35" spans="2:55" s="4" customFormat="1">
      <c r="B35" s="43"/>
      <c r="C35" s="145"/>
      <c r="D35" s="22"/>
      <c r="E35" s="114"/>
      <c r="F35" s="114"/>
      <c r="G35" s="114"/>
      <c r="H35" s="48" t="str">
        <f t="shared" si="0"/>
        <v/>
      </c>
      <c r="I35" s="115" t="str">
        <f t="shared" si="23"/>
        <v/>
      </c>
      <c r="J35" s="115" t="str">
        <f t="shared" si="1"/>
        <v/>
      </c>
      <c r="K35" s="115" t="str">
        <f t="shared" si="36"/>
        <v/>
      </c>
      <c r="L35" s="48" t="str">
        <f t="shared" si="24"/>
        <v/>
      </c>
      <c r="M35" s="115" t="str">
        <f t="shared" si="3"/>
        <v/>
      </c>
      <c r="N35" s="48" t="str">
        <f t="shared" si="4"/>
        <v/>
      </c>
      <c r="O35" s="115" t="str">
        <f t="shared" si="5"/>
        <v/>
      </c>
      <c r="P35" s="48" t="str">
        <f t="shared" si="6"/>
        <v/>
      </c>
      <c r="Q35" s="162" t="str">
        <f t="shared" si="27"/>
        <v/>
      </c>
      <c r="R35" s="48" t="str">
        <f t="shared" si="15"/>
        <v/>
      </c>
      <c r="S35" s="144" t="str">
        <f t="shared" si="16"/>
        <v/>
      </c>
      <c r="T35" s="144" t="str">
        <f t="shared" si="31"/>
        <v/>
      </c>
      <c r="U35" s="24"/>
      <c r="V35" s="24"/>
      <c r="W35" s="24"/>
      <c r="X35" s="24">
        <f t="shared" si="17"/>
        <v>0</v>
      </c>
      <c r="Y35" s="24"/>
      <c r="Z35" s="24" t="str">
        <f t="shared" si="39"/>
        <v/>
      </c>
      <c r="AA35" s="24" t="str">
        <f t="shared" si="26"/>
        <v/>
      </c>
      <c r="AB35" s="24">
        <f t="shared" si="8"/>
        <v>0</v>
      </c>
      <c r="AD35" s="24" t="e">
        <f t="shared" si="40"/>
        <v>#VALUE!</v>
      </c>
      <c r="AE35" s="24" t="e">
        <f t="shared" si="41"/>
        <v>#VALUE!</v>
      </c>
      <c r="AF35" s="24" t="e">
        <f t="shared" si="37"/>
        <v>#VALUE!</v>
      </c>
      <c r="AG35" s="24" t="e">
        <f t="shared" si="38"/>
        <v>#VALUE!</v>
      </c>
      <c r="AI35" s="24"/>
      <c r="AJ35" s="24" t="e">
        <f t="shared" si="30"/>
        <v>#VALUE!</v>
      </c>
      <c r="AK35" s="31"/>
      <c r="AL35" s="35">
        <f t="shared" si="20"/>
        <v>0</v>
      </c>
      <c r="AM35" s="24">
        <f t="shared" si="21"/>
        <v>0</v>
      </c>
      <c r="AN35" s="24"/>
      <c r="AO35" s="116"/>
      <c r="AP35" s="116"/>
      <c r="AQ35" s="63">
        <f t="shared" si="9"/>
        <v>9.0359999999999996</v>
      </c>
      <c r="AR35" s="63">
        <f t="shared" si="10"/>
        <v>-184.49199999999999</v>
      </c>
      <c r="AS35" s="63"/>
      <c r="AT35"/>
      <c r="AU35">
        <f>IF($E$4="M",IF(AX35&lt;78,BMILMS!$D$5*AX35^3+BMILMS!$E$5*AX35^2+BMILMS!$F$5*AX35+BMILMS!$G$5,IF(AX35&lt;150,BMILMS!$D$6*AX35^3+BMILMS!$E$6*AX35^2+BMILMS!$F$6*AX35+BMILMS!$G$6,BMILMS!$D$7*AX35^3+BMILMS!$E$7*AX35^2+BMILMS!$F$7*AX35+BMILMS!$G$7)),IF(AX35&lt;69,BMILMS!$D$9*AX35^3+BMILMS!$E$9*AX35^2+BMILMS!$F$9*AX35+BMILMS!$G$9,IF(AX35&lt;150,BMILMS!$D$10*AX35^3+BMILMS!$E$10*AX35^2+BMILMS!$F$10*AX35+BMILMS!$G$10,BMILMS!$D$11*AX35^3+BMILMS!$E$11*AX35^2+BMILMS!$F$11*AX35+BMILMS!$G$11)))</f>
        <v>0.79584630099999998</v>
      </c>
      <c r="AV35">
        <f>IF($E$4="M",(IF(AX35&lt;2.5,BMILMS!$D$21*AX35^3+BMILMS!$E$21*AX35^2+BMILMS!$F$21*AX35+BMILMS!$G$21,IF(AX35&lt;9.5,BMILMS!$D$22*AX35^3+BMILMS!$E$22*AX35^2+BMILMS!$F$22*AX35+BMILMS!$G$22,IF(AX35&lt;26.75,BMILMS!$D$23*AX35^3+BMILMS!$E$23*AX35^2+BMILMS!$F$23*AX35+BMILMS!$G$23,IF(AX35&lt;90,BMILMS!$D$24*AX35^3+BMILMS!$E$24*AX35^2+BMILMS!$F$24*AX35+BMILMS!$G$24,BMILMS!$D$25*AX35^3+BMILMS!$E$25*AX35^2+BMILMS!$F$25*AX35+BMILMS!$G$25))))),(IF(AX35&lt;2.5,BMILMS!$D$27*AX35^3+BMILMS!$E$27*AX35^2+BMILMS!$F$27*AX35+BMILMS!$G$27,IF(AX35&lt;9.5,BMILMS!$D$28*AX35^3+BMILMS!$E$28*AX35^2+BMILMS!$F$28*AX35+BMILMS!$G$28,IF(AX35&lt;26.75,BMILMS!$D$29*AX35^3+BMILMS!$E$29*AX35^2+BMILMS!$F$29*AX35+BMILMS!$G$29,IF(AX35&lt;90,BMILMS!$D$30*AX35^3+BMILMS!$E$30*AX35^2+BMILMS!$F$30*AX35+BMILMS!$G$30,IF(AX35&lt;150,BMILMS!$D$31*AX35^3+BMILMS!$E$31*AX35^2+BMILMS!$F$31*AX35+BMILMS!$G$31,BMILMS!$D$32*AX35^3+BMILMS!$E$32*AX35^2+BMILMS!$F$32*AX35+BMILMS!$G$32)))))))</f>
        <v>12.568967990000001</v>
      </c>
      <c r="AW35">
        <f>IF($E$4="M",(IF(AX35&lt;90,BMILMS!$D$14*AX35^3+BMILMS!$E$14*AX35^2+BMILMS!$F$14*AX35+BMILMS!$G$14,BMILMS!$D$15*AX35^3+BMILMS!$E$15*AX35^2+BMILMS!$F$15*AX35+BMILMS!$G$15)),(IF(AX35&lt;90,BMILMS!$D$17*AX35^3+BMILMS!$E$17*AX35^2+BMILMS!$F$17*AX35+BMILMS!$G$17,BMILMS!$D$18*AX35^3+BMILMS!$E$18*AX35^2+BMILMS!$F$18*AX35+BMILMS!$G$18)))</f>
        <v>8.8969350000000003E-2</v>
      </c>
      <c r="AX35" s="24">
        <f t="shared" si="33"/>
        <v>0</v>
      </c>
      <c r="AY35" s="24">
        <f t="shared" si="22"/>
        <v>0</v>
      </c>
      <c r="BA35">
        <f t="shared" si="42"/>
        <v>0.56299999999999994</v>
      </c>
      <c r="BB35">
        <f t="shared" si="43"/>
        <v>69</v>
      </c>
      <c r="BC35">
        <f t="shared" si="44"/>
        <v>0.51</v>
      </c>
    </row>
    <row r="36" spans="2:55" s="4" customFormat="1">
      <c r="B36" s="43"/>
      <c r="C36" s="145"/>
      <c r="D36" s="22"/>
      <c r="E36" s="114"/>
      <c r="F36" s="114"/>
      <c r="G36" s="114"/>
      <c r="H36" s="48" t="str">
        <f t="shared" si="0"/>
        <v/>
      </c>
      <c r="I36" s="115" t="str">
        <f t="shared" si="23"/>
        <v/>
      </c>
      <c r="J36" s="115" t="str">
        <f t="shared" si="1"/>
        <v/>
      </c>
      <c r="K36" s="115" t="str">
        <f t="shared" si="36"/>
        <v/>
      </c>
      <c r="L36" s="48" t="str">
        <f t="shared" si="24"/>
        <v/>
      </c>
      <c r="M36" s="115" t="str">
        <f t="shared" si="3"/>
        <v/>
      </c>
      <c r="N36" s="48" t="str">
        <f t="shared" si="4"/>
        <v/>
      </c>
      <c r="O36" s="115" t="str">
        <f t="shared" si="5"/>
        <v/>
      </c>
      <c r="P36" s="48" t="str">
        <f t="shared" si="6"/>
        <v/>
      </c>
      <c r="Q36" s="162" t="str">
        <f t="shared" si="27"/>
        <v/>
      </c>
      <c r="R36" s="48" t="str">
        <f t="shared" si="15"/>
        <v/>
      </c>
      <c r="S36" s="144" t="str">
        <f t="shared" si="16"/>
        <v/>
      </c>
      <c r="T36" s="144" t="str">
        <f t="shared" si="31"/>
        <v/>
      </c>
      <c r="U36" s="24"/>
      <c r="V36" s="24"/>
      <c r="W36" s="24"/>
      <c r="X36" s="24">
        <f t="shared" si="17"/>
        <v>0</v>
      </c>
      <c r="Y36" s="24"/>
      <c r="Z36" s="24" t="str">
        <f t="shared" si="39"/>
        <v/>
      </c>
      <c r="AA36" s="24" t="str">
        <f t="shared" si="26"/>
        <v/>
      </c>
      <c r="AB36" s="24">
        <f t="shared" si="8"/>
        <v>0</v>
      </c>
      <c r="AD36" s="24" t="e">
        <f t="shared" si="40"/>
        <v>#VALUE!</v>
      </c>
      <c r="AE36" s="24" t="e">
        <f t="shared" si="41"/>
        <v>#VALUE!</v>
      </c>
      <c r="AF36" s="24" t="e">
        <f t="shared" si="37"/>
        <v>#VALUE!</v>
      </c>
      <c r="AG36" s="24" t="e">
        <f t="shared" si="38"/>
        <v>#VALUE!</v>
      </c>
      <c r="AI36" s="24"/>
      <c r="AJ36" s="24" t="e">
        <f t="shared" si="30"/>
        <v>#VALUE!</v>
      </c>
      <c r="AK36" s="31"/>
      <c r="AL36" s="35">
        <f t="shared" si="20"/>
        <v>0</v>
      </c>
      <c r="AM36" s="24">
        <f t="shared" si="21"/>
        <v>0</v>
      </c>
      <c r="AN36" s="24"/>
      <c r="AO36" s="116"/>
      <c r="AP36" s="116"/>
      <c r="AQ36" s="63">
        <f t="shared" si="9"/>
        <v>9.0359999999999996</v>
      </c>
      <c r="AR36" s="63">
        <f t="shared" si="10"/>
        <v>-184.49199999999999</v>
      </c>
      <c r="AS36" s="63"/>
      <c r="AT36"/>
      <c r="AU36">
        <f>IF($E$4="M",IF(AX36&lt;78,BMILMS!$D$5*AX36^3+BMILMS!$E$5*AX36^2+BMILMS!$F$5*AX36+BMILMS!$G$5,IF(AX36&lt;150,BMILMS!$D$6*AX36^3+BMILMS!$E$6*AX36^2+BMILMS!$F$6*AX36+BMILMS!$G$6,BMILMS!$D$7*AX36^3+BMILMS!$E$7*AX36^2+BMILMS!$F$7*AX36+BMILMS!$G$7)),IF(AX36&lt;69,BMILMS!$D$9*AX36^3+BMILMS!$E$9*AX36^2+BMILMS!$F$9*AX36+BMILMS!$G$9,IF(AX36&lt;150,BMILMS!$D$10*AX36^3+BMILMS!$E$10*AX36^2+BMILMS!$F$10*AX36+BMILMS!$G$10,BMILMS!$D$11*AX36^3+BMILMS!$E$11*AX36^2+BMILMS!$F$11*AX36+BMILMS!$G$11)))</f>
        <v>0.79584630099999998</v>
      </c>
      <c r="AV36">
        <f>IF($E$4="M",(IF(AX36&lt;2.5,BMILMS!$D$21*AX36^3+BMILMS!$E$21*AX36^2+BMILMS!$F$21*AX36+BMILMS!$G$21,IF(AX36&lt;9.5,BMILMS!$D$22*AX36^3+BMILMS!$E$22*AX36^2+BMILMS!$F$22*AX36+BMILMS!$G$22,IF(AX36&lt;26.75,BMILMS!$D$23*AX36^3+BMILMS!$E$23*AX36^2+BMILMS!$F$23*AX36+BMILMS!$G$23,IF(AX36&lt;90,BMILMS!$D$24*AX36^3+BMILMS!$E$24*AX36^2+BMILMS!$F$24*AX36+BMILMS!$G$24,BMILMS!$D$25*AX36^3+BMILMS!$E$25*AX36^2+BMILMS!$F$25*AX36+BMILMS!$G$25))))),(IF(AX36&lt;2.5,BMILMS!$D$27*AX36^3+BMILMS!$E$27*AX36^2+BMILMS!$F$27*AX36+BMILMS!$G$27,IF(AX36&lt;9.5,BMILMS!$D$28*AX36^3+BMILMS!$E$28*AX36^2+BMILMS!$F$28*AX36+BMILMS!$G$28,IF(AX36&lt;26.75,BMILMS!$D$29*AX36^3+BMILMS!$E$29*AX36^2+BMILMS!$F$29*AX36+BMILMS!$G$29,IF(AX36&lt;90,BMILMS!$D$30*AX36^3+BMILMS!$E$30*AX36^2+BMILMS!$F$30*AX36+BMILMS!$G$30,IF(AX36&lt;150,BMILMS!$D$31*AX36^3+BMILMS!$E$31*AX36^2+BMILMS!$F$31*AX36+BMILMS!$G$31,BMILMS!$D$32*AX36^3+BMILMS!$E$32*AX36^2+BMILMS!$F$32*AX36+BMILMS!$G$32)))))))</f>
        <v>12.568967990000001</v>
      </c>
      <c r="AW36">
        <f>IF($E$4="M",(IF(AX36&lt;90,BMILMS!$D$14*AX36^3+BMILMS!$E$14*AX36^2+BMILMS!$F$14*AX36+BMILMS!$G$14,BMILMS!$D$15*AX36^3+BMILMS!$E$15*AX36^2+BMILMS!$F$15*AX36+BMILMS!$G$15)),(IF(AX36&lt;90,BMILMS!$D$17*AX36^3+BMILMS!$E$17*AX36^2+BMILMS!$F$17*AX36+BMILMS!$G$17,BMILMS!$D$18*AX36^3+BMILMS!$E$18*AX36^2+BMILMS!$F$18*AX36+BMILMS!$G$18)))</f>
        <v>8.8969350000000003E-2</v>
      </c>
      <c r="AX36" s="24">
        <f t="shared" si="33"/>
        <v>0</v>
      </c>
      <c r="AY36" s="24">
        <f t="shared" si="22"/>
        <v>0</v>
      </c>
      <c r="BA36">
        <f t="shared" si="42"/>
        <v>0.56299999999999994</v>
      </c>
      <c r="BB36">
        <f t="shared" si="43"/>
        <v>69</v>
      </c>
      <c r="BC36">
        <f t="shared" si="44"/>
        <v>0.51</v>
      </c>
    </row>
    <row r="37" spans="2:55" s="4" customFormat="1">
      <c r="B37" s="43"/>
      <c r="C37" s="145"/>
      <c r="D37" s="22"/>
      <c r="E37" s="114"/>
      <c r="F37" s="114"/>
      <c r="G37" s="114"/>
      <c r="H37" s="48" t="str">
        <f t="shared" si="0"/>
        <v/>
      </c>
      <c r="I37" s="115" t="str">
        <f t="shared" si="23"/>
        <v/>
      </c>
      <c r="J37" s="115" t="str">
        <f t="shared" si="1"/>
        <v/>
      </c>
      <c r="K37" s="115" t="str">
        <f t="shared" si="36"/>
        <v/>
      </c>
      <c r="L37" s="48" t="str">
        <f t="shared" si="24"/>
        <v/>
      </c>
      <c r="M37" s="115" t="str">
        <f t="shared" si="3"/>
        <v/>
      </c>
      <c r="N37" s="48" t="str">
        <f t="shared" si="4"/>
        <v/>
      </c>
      <c r="O37" s="115" t="str">
        <f t="shared" si="5"/>
        <v/>
      </c>
      <c r="P37" s="48" t="str">
        <f t="shared" si="6"/>
        <v/>
      </c>
      <c r="Q37" s="162" t="str">
        <f t="shared" si="27"/>
        <v/>
      </c>
      <c r="R37" s="48" t="str">
        <f t="shared" si="15"/>
        <v/>
      </c>
      <c r="S37" s="144" t="str">
        <f t="shared" si="16"/>
        <v/>
      </c>
      <c r="T37" s="144" t="str">
        <f t="shared" si="31"/>
        <v/>
      </c>
      <c r="U37" s="24"/>
      <c r="V37" s="24"/>
      <c r="W37" s="24"/>
      <c r="X37" s="24">
        <f t="shared" si="17"/>
        <v>0</v>
      </c>
      <c r="Y37" s="24"/>
      <c r="Z37" s="24" t="str">
        <f t="shared" si="39"/>
        <v/>
      </c>
      <c r="AA37" s="24" t="str">
        <f t="shared" si="26"/>
        <v/>
      </c>
      <c r="AB37" s="24">
        <f t="shared" si="8"/>
        <v>0</v>
      </c>
      <c r="AD37" s="24" t="e">
        <f t="shared" si="40"/>
        <v>#VALUE!</v>
      </c>
      <c r="AE37" s="24" t="e">
        <f t="shared" si="41"/>
        <v>#VALUE!</v>
      </c>
      <c r="AF37" s="24" t="e">
        <f t="shared" si="37"/>
        <v>#VALUE!</v>
      </c>
      <c r="AG37" s="24" t="e">
        <f t="shared" si="38"/>
        <v>#VALUE!</v>
      </c>
      <c r="AI37" s="24"/>
      <c r="AJ37" s="24" t="e">
        <f t="shared" si="30"/>
        <v>#VALUE!</v>
      </c>
      <c r="AK37" s="31"/>
      <c r="AL37" s="35">
        <f t="shared" si="20"/>
        <v>0</v>
      </c>
      <c r="AM37" s="24">
        <f t="shared" si="21"/>
        <v>0</v>
      </c>
      <c r="AN37" s="24"/>
      <c r="AO37" s="116"/>
      <c r="AP37" s="116"/>
      <c r="AQ37" s="63">
        <f t="shared" si="9"/>
        <v>9.0359999999999996</v>
      </c>
      <c r="AR37" s="63">
        <f t="shared" si="10"/>
        <v>-184.49199999999999</v>
      </c>
      <c r="AS37" s="63"/>
      <c r="AT37"/>
      <c r="AU37">
        <f>IF($E$4="M",IF(AX37&lt;78,BMILMS!$D$5*AX37^3+BMILMS!$E$5*AX37^2+BMILMS!$F$5*AX37+BMILMS!$G$5,IF(AX37&lt;150,BMILMS!$D$6*AX37^3+BMILMS!$E$6*AX37^2+BMILMS!$F$6*AX37+BMILMS!$G$6,BMILMS!$D$7*AX37^3+BMILMS!$E$7*AX37^2+BMILMS!$F$7*AX37+BMILMS!$G$7)),IF(AX37&lt;69,BMILMS!$D$9*AX37^3+BMILMS!$E$9*AX37^2+BMILMS!$F$9*AX37+BMILMS!$G$9,IF(AX37&lt;150,BMILMS!$D$10*AX37^3+BMILMS!$E$10*AX37^2+BMILMS!$F$10*AX37+BMILMS!$G$10,BMILMS!$D$11*AX37^3+BMILMS!$E$11*AX37^2+BMILMS!$F$11*AX37+BMILMS!$G$11)))</f>
        <v>0.79584630099999998</v>
      </c>
      <c r="AV37">
        <f>IF($E$4="M",(IF(AX37&lt;2.5,BMILMS!$D$21*AX37^3+BMILMS!$E$21*AX37^2+BMILMS!$F$21*AX37+BMILMS!$G$21,IF(AX37&lt;9.5,BMILMS!$D$22*AX37^3+BMILMS!$E$22*AX37^2+BMILMS!$F$22*AX37+BMILMS!$G$22,IF(AX37&lt;26.75,BMILMS!$D$23*AX37^3+BMILMS!$E$23*AX37^2+BMILMS!$F$23*AX37+BMILMS!$G$23,IF(AX37&lt;90,BMILMS!$D$24*AX37^3+BMILMS!$E$24*AX37^2+BMILMS!$F$24*AX37+BMILMS!$G$24,BMILMS!$D$25*AX37^3+BMILMS!$E$25*AX37^2+BMILMS!$F$25*AX37+BMILMS!$G$25))))),(IF(AX37&lt;2.5,BMILMS!$D$27*AX37^3+BMILMS!$E$27*AX37^2+BMILMS!$F$27*AX37+BMILMS!$G$27,IF(AX37&lt;9.5,BMILMS!$D$28*AX37^3+BMILMS!$E$28*AX37^2+BMILMS!$F$28*AX37+BMILMS!$G$28,IF(AX37&lt;26.75,BMILMS!$D$29*AX37^3+BMILMS!$E$29*AX37^2+BMILMS!$F$29*AX37+BMILMS!$G$29,IF(AX37&lt;90,BMILMS!$D$30*AX37^3+BMILMS!$E$30*AX37^2+BMILMS!$F$30*AX37+BMILMS!$G$30,IF(AX37&lt;150,BMILMS!$D$31*AX37^3+BMILMS!$E$31*AX37^2+BMILMS!$F$31*AX37+BMILMS!$G$31,BMILMS!$D$32*AX37^3+BMILMS!$E$32*AX37^2+BMILMS!$F$32*AX37+BMILMS!$G$32)))))))</f>
        <v>12.568967990000001</v>
      </c>
      <c r="AW37">
        <f>IF($E$4="M",(IF(AX37&lt;90,BMILMS!$D$14*AX37^3+BMILMS!$E$14*AX37^2+BMILMS!$F$14*AX37+BMILMS!$G$14,BMILMS!$D$15*AX37^3+BMILMS!$E$15*AX37^2+BMILMS!$F$15*AX37+BMILMS!$G$15)),(IF(AX37&lt;90,BMILMS!$D$17*AX37^3+BMILMS!$E$17*AX37^2+BMILMS!$F$17*AX37+BMILMS!$G$17,BMILMS!$D$18*AX37^3+BMILMS!$E$18*AX37^2+BMILMS!$F$18*AX37+BMILMS!$G$18)))</f>
        <v>8.8969350000000003E-2</v>
      </c>
      <c r="AX37" s="24">
        <f t="shared" si="33"/>
        <v>0</v>
      </c>
      <c r="AY37" s="24">
        <f t="shared" si="22"/>
        <v>0</v>
      </c>
      <c r="BA37">
        <f t="shared" si="42"/>
        <v>0.56299999999999994</v>
      </c>
      <c r="BB37">
        <f t="shared" si="43"/>
        <v>69</v>
      </c>
      <c r="BC37">
        <f t="shared" si="44"/>
        <v>0.51</v>
      </c>
    </row>
    <row r="38" spans="2:55" s="4" customFormat="1">
      <c r="B38" s="43"/>
      <c r="C38" s="145"/>
      <c r="D38" s="22"/>
      <c r="E38" s="114"/>
      <c r="F38" s="114"/>
      <c r="G38" s="114"/>
      <c r="H38" s="48" t="str">
        <f t="shared" si="0"/>
        <v/>
      </c>
      <c r="I38" s="115" t="str">
        <f t="shared" si="23"/>
        <v/>
      </c>
      <c r="J38" s="115" t="str">
        <f t="shared" si="1"/>
        <v/>
      </c>
      <c r="K38" s="115" t="str">
        <f t="shared" si="36"/>
        <v/>
      </c>
      <c r="L38" s="48" t="str">
        <f t="shared" si="24"/>
        <v/>
      </c>
      <c r="M38" s="115" t="str">
        <f t="shared" si="3"/>
        <v/>
      </c>
      <c r="N38" s="48" t="str">
        <f t="shared" si="4"/>
        <v/>
      </c>
      <c r="O38" s="115" t="str">
        <f t="shared" si="5"/>
        <v/>
      </c>
      <c r="P38" s="48" t="str">
        <f t="shared" si="6"/>
        <v/>
      </c>
      <c r="Q38" s="162" t="str">
        <f t="shared" si="27"/>
        <v/>
      </c>
      <c r="R38" s="48" t="str">
        <f t="shared" si="15"/>
        <v/>
      </c>
      <c r="S38" s="144" t="str">
        <f t="shared" si="16"/>
        <v/>
      </c>
      <c r="T38" s="144" t="str">
        <f t="shared" si="31"/>
        <v/>
      </c>
      <c r="U38" s="24"/>
      <c r="V38" s="24"/>
      <c r="W38" s="24"/>
      <c r="X38" s="24">
        <f t="shared" si="17"/>
        <v>0</v>
      </c>
      <c r="Y38" s="24"/>
      <c r="Z38" s="24" t="str">
        <f t="shared" si="39"/>
        <v/>
      </c>
      <c r="AA38" s="24" t="str">
        <f t="shared" si="26"/>
        <v/>
      </c>
      <c r="AB38" s="24">
        <f t="shared" si="8"/>
        <v>0</v>
      </c>
      <c r="AD38" s="24" t="e">
        <f t="shared" si="40"/>
        <v>#VALUE!</v>
      </c>
      <c r="AE38" s="24" t="e">
        <f t="shared" si="41"/>
        <v>#VALUE!</v>
      </c>
      <c r="AF38" s="24" t="e">
        <f t="shared" si="37"/>
        <v>#VALUE!</v>
      </c>
      <c r="AG38" s="24" t="e">
        <f t="shared" si="38"/>
        <v>#VALUE!</v>
      </c>
      <c r="AI38" s="24"/>
      <c r="AJ38" s="24" t="e">
        <f t="shared" si="30"/>
        <v>#VALUE!</v>
      </c>
      <c r="AK38" s="31"/>
      <c r="AL38" s="35">
        <f t="shared" si="20"/>
        <v>0</v>
      </c>
      <c r="AM38" s="24">
        <f t="shared" si="21"/>
        <v>0</v>
      </c>
      <c r="AN38" s="24"/>
      <c r="AO38" s="116"/>
      <c r="AP38" s="116"/>
      <c r="AQ38" s="63">
        <f t="shared" si="9"/>
        <v>9.0359999999999996</v>
      </c>
      <c r="AR38" s="63">
        <f t="shared" si="10"/>
        <v>-184.49199999999999</v>
      </c>
      <c r="AS38" s="63"/>
      <c r="AT38"/>
      <c r="AU38">
        <f>IF($E$4="M",IF(AX38&lt;78,BMILMS!$D$5*AX38^3+BMILMS!$E$5*AX38^2+BMILMS!$F$5*AX38+BMILMS!$G$5,IF(AX38&lt;150,BMILMS!$D$6*AX38^3+BMILMS!$E$6*AX38^2+BMILMS!$F$6*AX38+BMILMS!$G$6,BMILMS!$D$7*AX38^3+BMILMS!$E$7*AX38^2+BMILMS!$F$7*AX38+BMILMS!$G$7)),IF(AX38&lt;69,BMILMS!$D$9*AX38^3+BMILMS!$E$9*AX38^2+BMILMS!$F$9*AX38+BMILMS!$G$9,IF(AX38&lt;150,BMILMS!$D$10*AX38^3+BMILMS!$E$10*AX38^2+BMILMS!$F$10*AX38+BMILMS!$G$10,BMILMS!$D$11*AX38^3+BMILMS!$E$11*AX38^2+BMILMS!$F$11*AX38+BMILMS!$G$11)))</f>
        <v>0.79584630099999998</v>
      </c>
      <c r="AV38">
        <f>IF($E$4="M",(IF(AX38&lt;2.5,BMILMS!$D$21*AX38^3+BMILMS!$E$21*AX38^2+BMILMS!$F$21*AX38+BMILMS!$G$21,IF(AX38&lt;9.5,BMILMS!$D$22*AX38^3+BMILMS!$E$22*AX38^2+BMILMS!$F$22*AX38+BMILMS!$G$22,IF(AX38&lt;26.75,BMILMS!$D$23*AX38^3+BMILMS!$E$23*AX38^2+BMILMS!$F$23*AX38+BMILMS!$G$23,IF(AX38&lt;90,BMILMS!$D$24*AX38^3+BMILMS!$E$24*AX38^2+BMILMS!$F$24*AX38+BMILMS!$G$24,BMILMS!$D$25*AX38^3+BMILMS!$E$25*AX38^2+BMILMS!$F$25*AX38+BMILMS!$G$25))))),(IF(AX38&lt;2.5,BMILMS!$D$27*AX38^3+BMILMS!$E$27*AX38^2+BMILMS!$F$27*AX38+BMILMS!$G$27,IF(AX38&lt;9.5,BMILMS!$D$28*AX38^3+BMILMS!$E$28*AX38^2+BMILMS!$F$28*AX38+BMILMS!$G$28,IF(AX38&lt;26.75,BMILMS!$D$29*AX38^3+BMILMS!$E$29*AX38^2+BMILMS!$F$29*AX38+BMILMS!$G$29,IF(AX38&lt;90,BMILMS!$D$30*AX38^3+BMILMS!$E$30*AX38^2+BMILMS!$F$30*AX38+BMILMS!$G$30,IF(AX38&lt;150,BMILMS!$D$31*AX38^3+BMILMS!$E$31*AX38^2+BMILMS!$F$31*AX38+BMILMS!$G$31,BMILMS!$D$32*AX38^3+BMILMS!$E$32*AX38^2+BMILMS!$F$32*AX38+BMILMS!$G$32)))))))</f>
        <v>12.568967990000001</v>
      </c>
      <c r="AW38">
        <f>IF($E$4="M",(IF(AX38&lt;90,BMILMS!$D$14*AX38^3+BMILMS!$E$14*AX38^2+BMILMS!$F$14*AX38+BMILMS!$G$14,BMILMS!$D$15*AX38^3+BMILMS!$E$15*AX38^2+BMILMS!$F$15*AX38+BMILMS!$G$15)),(IF(AX38&lt;90,BMILMS!$D$17*AX38^3+BMILMS!$E$17*AX38^2+BMILMS!$F$17*AX38+BMILMS!$G$17,BMILMS!$D$18*AX38^3+BMILMS!$E$18*AX38^2+BMILMS!$F$18*AX38+BMILMS!$G$18)))</f>
        <v>8.8969350000000003E-2</v>
      </c>
      <c r="AX38" s="24">
        <f t="shared" si="33"/>
        <v>0</v>
      </c>
      <c r="AY38" s="24">
        <f t="shared" si="22"/>
        <v>0</v>
      </c>
      <c r="BA38">
        <f t="shared" si="42"/>
        <v>0.56299999999999994</v>
      </c>
      <c r="BB38">
        <f t="shared" si="43"/>
        <v>69</v>
      </c>
      <c r="BC38">
        <f t="shared" si="44"/>
        <v>0.51</v>
      </c>
    </row>
    <row r="39" spans="2:55" s="4" customFormat="1">
      <c r="B39" s="43"/>
      <c r="C39" s="145"/>
      <c r="D39" s="22"/>
      <c r="E39" s="114"/>
      <c r="F39" s="114"/>
      <c r="G39" s="114"/>
      <c r="H39" s="48" t="str">
        <f t="shared" si="0"/>
        <v/>
      </c>
      <c r="I39" s="115" t="str">
        <f t="shared" si="23"/>
        <v/>
      </c>
      <c r="J39" s="115" t="str">
        <f t="shared" si="1"/>
        <v/>
      </c>
      <c r="K39" s="115" t="str">
        <f t="shared" si="36"/>
        <v/>
      </c>
      <c r="L39" s="48" t="str">
        <f t="shared" si="24"/>
        <v/>
      </c>
      <c r="M39" s="115" t="str">
        <f t="shared" si="3"/>
        <v/>
      </c>
      <c r="N39" s="48" t="str">
        <f t="shared" si="4"/>
        <v/>
      </c>
      <c r="O39" s="115" t="str">
        <f t="shared" si="5"/>
        <v/>
      </c>
      <c r="P39" s="48" t="str">
        <f t="shared" si="6"/>
        <v/>
      </c>
      <c r="Q39" s="162" t="str">
        <f t="shared" si="27"/>
        <v/>
      </c>
      <c r="R39" s="48" t="str">
        <f t="shared" si="15"/>
        <v/>
      </c>
      <c r="S39" s="144" t="str">
        <f t="shared" si="16"/>
        <v/>
      </c>
      <c r="T39" s="144" t="str">
        <f t="shared" si="31"/>
        <v/>
      </c>
      <c r="U39" s="24"/>
      <c r="V39" s="24"/>
      <c r="W39" s="24"/>
      <c r="X39" s="24">
        <f t="shared" si="17"/>
        <v>0</v>
      </c>
      <c r="Y39" s="24"/>
      <c r="Z39" s="24" t="str">
        <f t="shared" si="39"/>
        <v/>
      </c>
      <c r="AA39" s="24" t="str">
        <f t="shared" si="26"/>
        <v/>
      </c>
      <c r="AB39" s="24">
        <f t="shared" si="8"/>
        <v>0</v>
      </c>
      <c r="AD39" s="24" t="e">
        <f t="shared" si="40"/>
        <v>#VALUE!</v>
      </c>
      <c r="AE39" s="24" t="e">
        <f t="shared" si="41"/>
        <v>#VALUE!</v>
      </c>
      <c r="AF39" s="24" t="e">
        <f t="shared" si="37"/>
        <v>#VALUE!</v>
      </c>
      <c r="AG39" s="24" t="e">
        <f t="shared" si="38"/>
        <v>#VALUE!</v>
      </c>
      <c r="AI39" s="24"/>
      <c r="AJ39" s="24" t="e">
        <f t="shared" si="30"/>
        <v>#VALUE!</v>
      </c>
      <c r="AK39" s="31"/>
      <c r="AL39" s="35">
        <f t="shared" si="20"/>
        <v>0</v>
      </c>
      <c r="AM39" s="24">
        <f t="shared" si="21"/>
        <v>0</v>
      </c>
      <c r="AN39" s="24"/>
      <c r="AO39" s="116"/>
      <c r="AP39" s="116"/>
      <c r="AQ39" s="63">
        <f t="shared" si="9"/>
        <v>9.0359999999999996</v>
      </c>
      <c r="AR39" s="63">
        <f t="shared" si="10"/>
        <v>-184.49199999999999</v>
      </c>
      <c r="AS39" s="63"/>
      <c r="AT39"/>
      <c r="AU39">
        <f>IF($E$4="M",IF(AX39&lt;78,BMILMS!$D$5*AX39^3+BMILMS!$E$5*AX39^2+BMILMS!$F$5*AX39+BMILMS!$G$5,IF(AX39&lt;150,BMILMS!$D$6*AX39^3+BMILMS!$E$6*AX39^2+BMILMS!$F$6*AX39+BMILMS!$G$6,BMILMS!$D$7*AX39^3+BMILMS!$E$7*AX39^2+BMILMS!$F$7*AX39+BMILMS!$G$7)),IF(AX39&lt;69,BMILMS!$D$9*AX39^3+BMILMS!$E$9*AX39^2+BMILMS!$F$9*AX39+BMILMS!$G$9,IF(AX39&lt;150,BMILMS!$D$10*AX39^3+BMILMS!$E$10*AX39^2+BMILMS!$F$10*AX39+BMILMS!$G$10,BMILMS!$D$11*AX39^3+BMILMS!$E$11*AX39^2+BMILMS!$F$11*AX39+BMILMS!$G$11)))</f>
        <v>0.79584630099999998</v>
      </c>
      <c r="AV39">
        <f>IF($E$4="M",(IF(AX39&lt;2.5,BMILMS!$D$21*AX39^3+BMILMS!$E$21*AX39^2+BMILMS!$F$21*AX39+BMILMS!$G$21,IF(AX39&lt;9.5,BMILMS!$D$22*AX39^3+BMILMS!$E$22*AX39^2+BMILMS!$F$22*AX39+BMILMS!$G$22,IF(AX39&lt;26.75,BMILMS!$D$23*AX39^3+BMILMS!$E$23*AX39^2+BMILMS!$F$23*AX39+BMILMS!$G$23,IF(AX39&lt;90,BMILMS!$D$24*AX39^3+BMILMS!$E$24*AX39^2+BMILMS!$F$24*AX39+BMILMS!$G$24,BMILMS!$D$25*AX39^3+BMILMS!$E$25*AX39^2+BMILMS!$F$25*AX39+BMILMS!$G$25))))),(IF(AX39&lt;2.5,BMILMS!$D$27*AX39^3+BMILMS!$E$27*AX39^2+BMILMS!$F$27*AX39+BMILMS!$G$27,IF(AX39&lt;9.5,BMILMS!$D$28*AX39^3+BMILMS!$E$28*AX39^2+BMILMS!$F$28*AX39+BMILMS!$G$28,IF(AX39&lt;26.75,BMILMS!$D$29*AX39^3+BMILMS!$E$29*AX39^2+BMILMS!$F$29*AX39+BMILMS!$G$29,IF(AX39&lt;90,BMILMS!$D$30*AX39^3+BMILMS!$E$30*AX39^2+BMILMS!$F$30*AX39+BMILMS!$G$30,IF(AX39&lt;150,BMILMS!$D$31*AX39^3+BMILMS!$E$31*AX39^2+BMILMS!$F$31*AX39+BMILMS!$G$31,BMILMS!$D$32*AX39^3+BMILMS!$E$32*AX39^2+BMILMS!$F$32*AX39+BMILMS!$G$32)))))))</f>
        <v>12.568967990000001</v>
      </c>
      <c r="AW39">
        <f>IF($E$4="M",(IF(AX39&lt;90,BMILMS!$D$14*AX39^3+BMILMS!$E$14*AX39^2+BMILMS!$F$14*AX39+BMILMS!$G$14,BMILMS!$D$15*AX39^3+BMILMS!$E$15*AX39^2+BMILMS!$F$15*AX39+BMILMS!$G$15)),(IF(AX39&lt;90,BMILMS!$D$17*AX39^3+BMILMS!$E$17*AX39^2+BMILMS!$F$17*AX39+BMILMS!$G$17,BMILMS!$D$18*AX39^3+BMILMS!$E$18*AX39^2+BMILMS!$F$18*AX39+BMILMS!$G$18)))</f>
        <v>8.8969350000000003E-2</v>
      </c>
      <c r="AX39" s="24">
        <f t="shared" si="33"/>
        <v>0</v>
      </c>
      <c r="AY39" s="24">
        <f t="shared" si="22"/>
        <v>0</v>
      </c>
      <c r="BA39">
        <f t="shared" si="42"/>
        <v>0.56299999999999994</v>
      </c>
      <c r="BB39">
        <f t="shared" si="43"/>
        <v>69</v>
      </c>
      <c r="BC39">
        <f t="shared" si="44"/>
        <v>0.51</v>
      </c>
    </row>
    <row r="40" spans="2:55" s="4" customFormat="1">
      <c r="B40" s="43"/>
      <c r="C40" s="145"/>
      <c r="D40" s="22"/>
      <c r="E40" s="114"/>
      <c r="F40" s="114"/>
      <c r="G40" s="114"/>
      <c r="H40" s="48" t="str">
        <f t="shared" ref="H40:H57" si="45">IF(COUNTA($E$4,$D$4,D40,E40)=4,IF(Q40&gt;17.583,"*",(E40-(INDEX(IF($E$4="F",Hfemalemean,Hmalemean),AM40+1,INT(Q40)+1)))/(INDEX(IF($E$4="F",Hfemalesd,Hmalesd),AM40+1,INT(Q40)+1))),"")</f>
        <v/>
      </c>
      <c r="I40" s="115" t="str">
        <f t="shared" si="23"/>
        <v/>
      </c>
      <c r="J40" s="115" t="str">
        <f t="shared" ref="J40:J57" si="46">IF(COUNTA($E$4,$D$4,D40,E40,F40)&lt;5,"",IF(Q40&lt;6,"*",IF(Q40&gt;=17.583,"*",(F40-E40*INDEX(IF($E$4="F",muratafemale,muratamale),INT(Q40)-4,1)-INDEX(IF($E$4="F",muratafemale,muratamale),INT(Q40)-4,2))/(E40*INDEX(IF($E$4="F",muratafemale,muratamale),INT(Q40)-4,1)+INDEX(IF($E$4="F",muratafemale,muratamale),INT(Q40)-4,2))*100)))</f>
        <v/>
      </c>
      <c r="K40" s="115" t="str">
        <f t="shared" si="36"/>
        <v/>
      </c>
      <c r="L40" s="48" t="str">
        <f t="shared" si="24"/>
        <v/>
      </c>
      <c r="M40" s="115" t="str">
        <f t="shared" ref="M40:M57" si="47">IF(COUNTA($E$4,$D$4,D40,E40,F40)=5,IF(Q40&gt;17.583,"*",NORMSDIST(((L40/AV40)^(AU40)-1)/AU40/AW40)*100),"")</f>
        <v/>
      </c>
      <c r="N40" s="48" t="str">
        <f t="shared" ref="N40:N57" si="48">IF(COUNTA($E$4,$D$4,D40,E40,F40)=5,IF(Q40&gt;17.583,"*",((L40/AV40)^(AU40)-1)/AU40/AW40),"")</f>
        <v/>
      </c>
      <c r="O40" s="115" t="str">
        <f t="shared" ref="O40:O57" si="49">IF(COUNTA($E$4,$D$4,D40,G40)=4,IF(Q40&gt;77,"*",NORMSDIST(((G40/BB40)^(BA40)-1)/BA40/BC40)*100),"")</f>
        <v/>
      </c>
      <c r="P40" s="48" t="str">
        <f t="shared" ref="P40:P57" si="50">IF(COUNTA($E$4,$D$4,D40,G40)=4,IF(Q40&gt;77,"*",((G40/BB40)^(BA40)-1)/BA40/BC40),"")</f>
        <v/>
      </c>
      <c r="Q40" s="162" t="str">
        <f t="shared" si="27"/>
        <v/>
      </c>
      <c r="R40" s="48" t="str">
        <f t="shared" si="15"/>
        <v/>
      </c>
      <c r="S40" s="144" t="str">
        <f t="shared" si="16"/>
        <v/>
      </c>
      <c r="T40" s="144" t="str">
        <f t="shared" si="31"/>
        <v/>
      </c>
      <c r="U40" s="24"/>
      <c r="V40" s="24"/>
      <c r="W40" s="24"/>
      <c r="X40" s="24">
        <f t="shared" si="17"/>
        <v>0</v>
      </c>
      <c r="Y40" s="24"/>
      <c r="Z40" s="24" t="str">
        <f t="shared" si="39"/>
        <v/>
      </c>
      <c r="AA40" s="24" t="str">
        <f t="shared" si="26"/>
        <v/>
      </c>
      <c r="AB40" s="24">
        <f t="shared" si="8"/>
        <v>0</v>
      </c>
      <c r="AD40" s="24" t="e">
        <f t="shared" si="40"/>
        <v>#VALUE!</v>
      </c>
      <c r="AE40" s="24" t="e">
        <f t="shared" si="41"/>
        <v>#VALUE!</v>
      </c>
      <c r="AF40" s="24" t="e">
        <f t="shared" si="37"/>
        <v>#VALUE!</v>
      </c>
      <c r="AG40" s="24" t="e">
        <f t="shared" si="38"/>
        <v>#VALUE!</v>
      </c>
      <c r="AI40" s="24"/>
      <c r="AJ40" s="24" t="e">
        <f t="shared" si="30"/>
        <v>#VALUE!</v>
      </c>
      <c r="AK40" s="31"/>
      <c r="AL40" s="35">
        <f t="shared" si="20"/>
        <v>0</v>
      </c>
      <c r="AM40" s="24">
        <f t="shared" si="21"/>
        <v>0</v>
      </c>
      <c r="AN40" s="24"/>
      <c r="AO40" s="116"/>
      <c r="AP40" s="116"/>
      <c r="AQ40" s="63">
        <f t="shared" ref="AQ40:AQ57" si="51">IF($E$4="M",2.06*10^-3*E40^2-0.1166*E40+6.5273,2.49*10^-3*E40^2-0.1858*E40+9.036)</f>
        <v>9.0359999999999996</v>
      </c>
      <c r="AR40" s="63">
        <f t="shared" ref="AR40:AR57" si="52">((E40/100)^3*INDEX(itoOI,IF($E$4="M",0,3)+IF(E40&lt;140,1,IF(E40&lt;=149,2,3)),1)+(E40/100)^2*INDEX(itoOI,IF($E$4="M",0,3)+IF(E40&lt;140,1,IF(E40&lt;=149,2,3)),2)+(E40/100)*INDEX(itoOI,IF($E$4="M",0,3)+IF(E40&lt;140,1,IF(E40&lt;=149,2,3)),3)+INDEX(itoOI,IF($E$4="M",0,3)+IF(E40&lt;140,1,IF(E40&lt;=149,2,3)),4))</f>
        <v>-184.49199999999999</v>
      </c>
      <c r="AS40" s="63"/>
      <c r="AT40"/>
      <c r="AU40">
        <f>IF($E$4="M",IF(AX40&lt;78,BMILMS!$D$5*AX40^3+BMILMS!$E$5*AX40^2+BMILMS!$F$5*AX40+BMILMS!$G$5,IF(AX40&lt;150,BMILMS!$D$6*AX40^3+BMILMS!$E$6*AX40^2+BMILMS!$F$6*AX40+BMILMS!$G$6,BMILMS!$D$7*AX40^3+BMILMS!$E$7*AX40^2+BMILMS!$F$7*AX40+BMILMS!$G$7)),IF(AX40&lt;69,BMILMS!$D$9*AX40^3+BMILMS!$E$9*AX40^2+BMILMS!$F$9*AX40+BMILMS!$G$9,IF(AX40&lt;150,BMILMS!$D$10*AX40^3+BMILMS!$E$10*AX40^2+BMILMS!$F$10*AX40+BMILMS!$G$10,BMILMS!$D$11*AX40^3+BMILMS!$E$11*AX40^2+BMILMS!$F$11*AX40+BMILMS!$G$11)))</f>
        <v>0.79584630099999998</v>
      </c>
      <c r="AV40">
        <f>IF($E$4="M",(IF(AX40&lt;2.5,BMILMS!$D$21*AX40^3+BMILMS!$E$21*AX40^2+BMILMS!$F$21*AX40+BMILMS!$G$21,IF(AX40&lt;9.5,BMILMS!$D$22*AX40^3+BMILMS!$E$22*AX40^2+BMILMS!$F$22*AX40+BMILMS!$G$22,IF(AX40&lt;26.75,BMILMS!$D$23*AX40^3+BMILMS!$E$23*AX40^2+BMILMS!$F$23*AX40+BMILMS!$G$23,IF(AX40&lt;90,BMILMS!$D$24*AX40^3+BMILMS!$E$24*AX40^2+BMILMS!$F$24*AX40+BMILMS!$G$24,BMILMS!$D$25*AX40^3+BMILMS!$E$25*AX40^2+BMILMS!$F$25*AX40+BMILMS!$G$25))))),(IF(AX40&lt;2.5,BMILMS!$D$27*AX40^3+BMILMS!$E$27*AX40^2+BMILMS!$F$27*AX40+BMILMS!$G$27,IF(AX40&lt;9.5,BMILMS!$D$28*AX40^3+BMILMS!$E$28*AX40^2+BMILMS!$F$28*AX40+BMILMS!$G$28,IF(AX40&lt;26.75,BMILMS!$D$29*AX40^3+BMILMS!$E$29*AX40^2+BMILMS!$F$29*AX40+BMILMS!$G$29,IF(AX40&lt;90,BMILMS!$D$30*AX40^3+BMILMS!$E$30*AX40^2+BMILMS!$F$30*AX40+BMILMS!$G$30,IF(AX40&lt;150,BMILMS!$D$31*AX40^3+BMILMS!$E$31*AX40^2+BMILMS!$F$31*AX40+BMILMS!$G$31,BMILMS!$D$32*AX40^3+BMILMS!$E$32*AX40^2+BMILMS!$F$32*AX40+BMILMS!$G$32)))))))</f>
        <v>12.568967990000001</v>
      </c>
      <c r="AW40">
        <f>IF($E$4="M",(IF(AX40&lt;90,BMILMS!$D$14*AX40^3+BMILMS!$E$14*AX40^2+BMILMS!$F$14*AX40+BMILMS!$G$14,BMILMS!$D$15*AX40^3+BMILMS!$E$15*AX40^2+BMILMS!$F$15*AX40+BMILMS!$G$15)),(IF(AX40&lt;90,BMILMS!$D$17*AX40^3+BMILMS!$E$17*AX40^2+BMILMS!$F$17*AX40+BMILMS!$G$17,BMILMS!$D$18*AX40^3+BMILMS!$E$18*AX40^2+BMILMS!$F$18*AX40+BMILMS!$G$18)))</f>
        <v>8.8969350000000003E-2</v>
      </c>
      <c r="AX40" s="24">
        <f t="shared" si="33"/>
        <v>0</v>
      </c>
      <c r="AY40" s="24">
        <f t="shared" si="22"/>
        <v>0</v>
      </c>
      <c r="BA40">
        <f t="shared" si="42"/>
        <v>0.56299999999999994</v>
      </c>
      <c r="BB40">
        <f t="shared" si="43"/>
        <v>69</v>
      </c>
      <c r="BC40">
        <f t="shared" si="44"/>
        <v>0.51</v>
      </c>
    </row>
    <row r="41" spans="2:55" s="4" customFormat="1">
      <c r="B41" s="43"/>
      <c r="C41" s="145"/>
      <c r="D41" s="22"/>
      <c r="E41" s="114"/>
      <c r="F41" s="114"/>
      <c r="G41" s="114"/>
      <c r="H41" s="48" t="str">
        <f t="shared" si="45"/>
        <v/>
      </c>
      <c r="I41" s="115" t="str">
        <f t="shared" si="23"/>
        <v/>
      </c>
      <c r="J41" s="115" t="str">
        <f t="shared" si="46"/>
        <v/>
      </c>
      <c r="K41" s="115" t="str">
        <f t="shared" si="36"/>
        <v/>
      </c>
      <c r="L41" s="48" t="str">
        <f t="shared" si="24"/>
        <v/>
      </c>
      <c r="M41" s="115" t="str">
        <f t="shared" si="47"/>
        <v/>
      </c>
      <c r="N41" s="48" t="str">
        <f t="shared" si="48"/>
        <v/>
      </c>
      <c r="O41" s="115" t="str">
        <f t="shared" si="49"/>
        <v/>
      </c>
      <c r="P41" s="48" t="str">
        <f t="shared" si="50"/>
        <v/>
      </c>
      <c r="Q41" s="162" t="str">
        <f t="shared" si="27"/>
        <v/>
      </c>
      <c r="R41" s="48" t="str">
        <f t="shared" si="15"/>
        <v/>
      </c>
      <c r="S41" s="144" t="str">
        <f t="shared" si="16"/>
        <v/>
      </c>
      <c r="T41" s="144" t="str">
        <f t="shared" si="31"/>
        <v/>
      </c>
      <c r="U41" s="24"/>
      <c r="V41" s="24"/>
      <c r="W41" s="24"/>
      <c r="X41" s="24">
        <f t="shared" si="17"/>
        <v>0</v>
      </c>
      <c r="Y41" s="24"/>
      <c r="Z41" s="24" t="str">
        <f t="shared" si="39"/>
        <v/>
      </c>
      <c r="AA41" s="24" t="str">
        <f t="shared" si="26"/>
        <v/>
      </c>
      <c r="AB41" s="24">
        <f t="shared" si="8"/>
        <v>0</v>
      </c>
      <c r="AD41" s="24" t="e">
        <f t="shared" si="40"/>
        <v>#VALUE!</v>
      </c>
      <c r="AE41" s="24" t="e">
        <f t="shared" si="41"/>
        <v>#VALUE!</v>
      </c>
      <c r="AF41" s="24" t="e">
        <f t="shared" si="37"/>
        <v>#VALUE!</v>
      </c>
      <c r="AG41" s="24" t="e">
        <f t="shared" si="38"/>
        <v>#VALUE!</v>
      </c>
      <c r="AI41" s="24"/>
      <c r="AJ41" s="24" t="e">
        <f t="shared" si="30"/>
        <v>#VALUE!</v>
      </c>
      <c r="AK41" s="31"/>
      <c r="AL41" s="35">
        <f t="shared" si="20"/>
        <v>0</v>
      </c>
      <c r="AM41" s="24">
        <f t="shared" si="21"/>
        <v>0</v>
      </c>
      <c r="AN41" s="24"/>
      <c r="AO41" s="116"/>
      <c r="AP41" s="116"/>
      <c r="AQ41" s="63">
        <f t="shared" si="51"/>
        <v>9.0359999999999996</v>
      </c>
      <c r="AR41" s="63">
        <f t="shared" si="52"/>
        <v>-184.49199999999999</v>
      </c>
      <c r="AS41" s="63"/>
      <c r="AT41"/>
      <c r="AU41">
        <f>IF($E$4="M",IF(AX41&lt;78,BMILMS!$D$5*AX41^3+BMILMS!$E$5*AX41^2+BMILMS!$F$5*AX41+BMILMS!$G$5,IF(AX41&lt;150,BMILMS!$D$6*AX41^3+BMILMS!$E$6*AX41^2+BMILMS!$F$6*AX41+BMILMS!$G$6,BMILMS!$D$7*AX41^3+BMILMS!$E$7*AX41^2+BMILMS!$F$7*AX41+BMILMS!$G$7)),IF(AX41&lt;69,BMILMS!$D$9*AX41^3+BMILMS!$E$9*AX41^2+BMILMS!$F$9*AX41+BMILMS!$G$9,IF(AX41&lt;150,BMILMS!$D$10*AX41^3+BMILMS!$E$10*AX41^2+BMILMS!$F$10*AX41+BMILMS!$G$10,BMILMS!$D$11*AX41^3+BMILMS!$E$11*AX41^2+BMILMS!$F$11*AX41+BMILMS!$G$11)))</f>
        <v>0.79584630099999998</v>
      </c>
      <c r="AV41">
        <f>IF($E$4="M",(IF(AX41&lt;2.5,BMILMS!$D$21*AX41^3+BMILMS!$E$21*AX41^2+BMILMS!$F$21*AX41+BMILMS!$G$21,IF(AX41&lt;9.5,BMILMS!$D$22*AX41^3+BMILMS!$E$22*AX41^2+BMILMS!$F$22*AX41+BMILMS!$G$22,IF(AX41&lt;26.75,BMILMS!$D$23*AX41^3+BMILMS!$E$23*AX41^2+BMILMS!$F$23*AX41+BMILMS!$G$23,IF(AX41&lt;90,BMILMS!$D$24*AX41^3+BMILMS!$E$24*AX41^2+BMILMS!$F$24*AX41+BMILMS!$G$24,BMILMS!$D$25*AX41^3+BMILMS!$E$25*AX41^2+BMILMS!$F$25*AX41+BMILMS!$G$25))))),(IF(AX41&lt;2.5,BMILMS!$D$27*AX41^3+BMILMS!$E$27*AX41^2+BMILMS!$F$27*AX41+BMILMS!$G$27,IF(AX41&lt;9.5,BMILMS!$D$28*AX41^3+BMILMS!$E$28*AX41^2+BMILMS!$F$28*AX41+BMILMS!$G$28,IF(AX41&lt;26.75,BMILMS!$D$29*AX41^3+BMILMS!$E$29*AX41^2+BMILMS!$F$29*AX41+BMILMS!$G$29,IF(AX41&lt;90,BMILMS!$D$30*AX41^3+BMILMS!$E$30*AX41^2+BMILMS!$F$30*AX41+BMILMS!$G$30,IF(AX41&lt;150,BMILMS!$D$31*AX41^3+BMILMS!$E$31*AX41^2+BMILMS!$F$31*AX41+BMILMS!$G$31,BMILMS!$D$32*AX41^3+BMILMS!$E$32*AX41^2+BMILMS!$F$32*AX41+BMILMS!$G$32)))))))</f>
        <v>12.568967990000001</v>
      </c>
      <c r="AW41">
        <f>IF($E$4="M",(IF(AX41&lt;90,BMILMS!$D$14*AX41^3+BMILMS!$E$14*AX41^2+BMILMS!$F$14*AX41+BMILMS!$G$14,BMILMS!$D$15*AX41^3+BMILMS!$E$15*AX41^2+BMILMS!$F$15*AX41+BMILMS!$G$15)),(IF(AX41&lt;90,BMILMS!$D$17*AX41^3+BMILMS!$E$17*AX41^2+BMILMS!$F$17*AX41+BMILMS!$G$17,BMILMS!$D$18*AX41^3+BMILMS!$E$18*AX41^2+BMILMS!$F$18*AX41+BMILMS!$G$18)))</f>
        <v>8.8969350000000003E-2</v>
      </c>
      <c r="AX41" s="24">
        <f t="shared" si="33"/>
        <v>0</v>
      </c>
      <c r="AY41" s="24">
        <f t="shared" si="22"/>
        <v>0</v>
      </c>
      <c r="BA41">
        <f t="shared" si="42"/>
        <v>0.56299999999999994</v>
      </c>
      <c r="BB41">
        <f t="shared" si="43"/>
        <v>69</v>
      </c>
      <c r="BC41">
        <f t="shared" si="44"/>
        <v>0.51</v>
      </c>
    </row>
    <row r="42" spans="2:55" s="4" customFormat="1">
      <c r="B42" s="43"/>
      <c r="C42" s="145"/>
      <c r="D42" s="22"/>
      <c r="E42" s="114"/>
      <c r="F42" s="114"/>
      <c r="G42" s="114"/>
      <c r="H42" s="48" t="str">
        <f t="shared" si="45"/>
        <v/>
      </c>
      <c r="I42" s="115" t="str">
        <f t="shared" si="23"/>
        <v/>
      </c>
      <c r="J42" s="115" t="str">
        <f t="shared" si="46"/>
        <v/>
      </c>
      <c r="K42" s="115" t="str">
        <f t="shared" si="36"/>
        <v/>
      </c>
      <c r="L42" s="48" t="str">
        <f t="shared" si="24"/>
        <v/>
      </c>
      <c r="M42" s="115" t="str">
        <f t="shared" si="47"/>
        <v/>
      </c>
      <c r="N42" s="48" t="str">
        <f t="shared" si="48"/>
        <v/>
      </c>
      <c r="O42" s="115" t="str">
        <f t="shared" si="49"/>
        <v/>
      </c>
      <c r="P42" s="48" t="str">
        <f t="shared" si="50"/>
        <v/>
      </c>
      <c r="Q42" s="162" t="str">
        <f t="shared" si="27"/>
        <v/>
      </c>
      <c r="R42" s="48" t="str">
        <f t="shared" si="15"/>
        <v/>
      </c>
      <c r="S42" s="144" t="str">
        <f t="shared" si="16"/>
        <v/>
      </c>
      <c r="T42" s="144" t="str">
        <f t="shared" si="31"/>
        <v/>
      </c>
      <c r="U42" s="24"/>
      <c r="V42" s="24"/>
      <c r="W42" s="24"/>
      <c r="X42" s="24">
        <f t="shared" si="17"/>
        <v>0</v>
      </c>
      <c r="Y42" s="24"/>
      <c r="Z42" s="24" t="str">
        <f t="shared" si="39"/>
        <v/>
      </c>
      <c r="AA42" s="24" t="str">
        <f t="shared" si="26"/>
        <v/>
      </c>
      <c r="AB42" s="24">
        <f t="shared" si="8"/>
        <v>0</v>
      </c>
      <c r="AD42" s="24" t="e">
        <f t="shared" si="40"/>
        <v>#VALUE!</v>
      </c>
      <c r="AE42" s="24" t="e">
        <f t="shared" si="41"/>
        <v>#VALUE!</v>
      </c>
      <c r="AF42" s="24" t="e">
        <f t="shared" si="37"/>
        <v>#VALUE!</v>
      </c>
      <c r="AG42" s="24" t="e">
        <f t="shared" si="38"/>
        <v>#VALUE!</v>
      </c>
      <c r="AI42" s="24"/>
      <c r="AJ42" s="24" t="e">
        <f t="shared" si="30"/>
        <v>#VALUE!</v>
      </c>
      <c r="AK42" s="31"/>
      <c r="AL42" s="35">
        <f t="shared" si="20"/>
        <v>0</v>
      </c>
      <c r="AM42" s="24">
        <f t="shared" si="21"/>
        <v>0</v>
      </c>
      <c r="AN42" s="24"/>
      <c r="AO42" s="116"/>
      <c r="AP42" s="116"/>
      <c r="AQ42" s="63">
        <f t="shared" si="51"/>
        <v>9.0359999999999996</v>
      </c>
      <c r="AR42" s="63">
        <f t="shared" si="52"/>
        <v>-184.49199999999999</v>
      </c>
      <c r="AS42" s="63"/>
      <c r="AT42"/>
      <c r="AU42">
        <f>IF($E$4="M",IF(AX42&lt;78,BMILMS!$D$5*AX42^3+BMILMS!$E$5*AX42^2+BMILMS!$F$5*AX42+BMILMS!$G$5,IF(AX42&lt;150,BMILMS!$D$6*AX42^3+BMILMS!$E$6*AX42^2+BMILMS!$F$6*AX42+BMILMS!$G$6,BMILMS!$D$7*AX42^3+BMILMS!$E$7*AX42^2+BMILMS!$F$7*AX42+BMILMS!$G$7)),IF(AX42&lt;69,BMILMS!$D$9*AX42^3+BMILMS!$E$9*AX42^2+BMILMS!$F$9*AX42+BMILMS!$G$9,IF(AX42&lt;150,BMILMS!$D$10*AX42^3+BMILMS!$E$10*AX42^2+BMILMS!$F$10*AX42+BMILMS!$G$10,BMILMS!$D$11*AX42^3+BMILMS!$E$11*AX42^2+BMILMS!$F$11*AX42+BMILMS!$G$11)))</f>
        <v>0.79584630099999998</v>
      </c>
      <c r="AV42">
        <f>IF($E$4="M",(IF(AX42&lt;2.5,BMILMS!$D$21*AX42^3+BMILMS!$E$21*AX42^2+BMILMS!$F$21*AX42+BMILMS!$G$21,IF(AX42&lt;9.5,BMILMS!$D$22*AX42^3+BMILMS!$E$22*AX42^2+BMILMS!$F$22*AX42+BMILMS!$G$22,IF(AX42&lt;26.75,BMILMS!$D$23*AX42^3+BMILMS!$E$23*AX42^2+BMILMS!$F$23*AX42+BMILMS!$G$23,IF(AX42&lt;90,BMILMS!$D$24*AX42^3+BMILMS!$E$24*AX42^2+BMILMS!$F$24*AX42+BMILMS!$G$24,BMILMS!$D$25*AX42^3+BMILMS!$E$25*AX42^2+BMILMS!$F$25*AX42+BMILMS!$G$25))))),(IF(AX42&lt;2.5,BMILMS!$D$27*AX42^3+BMILMS!$E$27*AX42^2+BMILMS!$F$27*AX42+BMILMS!$G$27,IF(AX42&lt;9.5,BMILMS!$D$28*AX42^3+BMILMS!$E$28*AX42^2+BMILMS!$F$28*AX42+BMILMS!$G$28,IF(AX42&lt;26.75,BMILMS!$D$29*AX42^3+BMILMS!$E$29*AX42^2+BMILMS!$F$29*AX42+BMILMS!$G$29,IF(AX42&lt;90,BMILMS!$D$30*AX42^3+BMILMS!$E$30*AX42^2+BMILMS!$F$30*AX42+BMILMS!$G$30,IF(AX42&lt;150,BMILMS!$D$31*AX42^3+BMILMS!$E$31*AX42^2+BMILMS!$F$31*AX42+BMILMS!$G$31,BMILMS!$D$32*AX42^3+BMILMS!$E$32*AX42^2+BMILMS!$F$32*AX42+BMILMS!$G$32)))))))</f>
        <v>12.568967990000001</v>
      </c>
      <c r="AW42">
        <f>IF($E$4="M",(IF(AX42&lt;90,BMILMS!$D$14*AX42^3+BMILMS!$E$14*AX42^2+BMILMS!$F$14*AX42+BMILMS!$G$14,BMILMS!$D$15*AX42^3+BMILMS!$E$15*AX42^2+BMILMS!$F$15*AX42+BMILMS!$G$15)),(IF(AX42&lt;90,BMILMS!$D$17*AX42^3+BMILMS!$E$17*AX42^2+BMILMS!$F$17*AX42+BMILMS!$G$17,BMILMS!$D$18*AX42^3+BMILMS!$E$18*AX42^2+BMILMS!$F$18*AX42+BMILMS!$G$18)))</f>
        <v>8.8969350000000003E-2</v>
      </c>
      <c r="AX42" s="24">
        <f t="shared" si="33"/>
        <v>0</v>
      </c>
      <c r="AY42" s="24">
        <f t="shared" si="22"/>
        <v>0</v>
      </c>
      <c r="BA42">
        <f t="shared" si="42"/>
        <v>0.56299999999999994</v>
      </c>
      <c r="BB42">
        <f t="shared" si="43"/>
        <v>69</v>
      </c>
      <c r="BC42">
        <f t="shared" si="44"/>
        <v>0.51</v>
      </c>
    </row>
    <row r="43" spans="2:55" s="4" customFormat="1">
      <c r="B43" s="43"/>
      <c r="C43" s="145"/>
      <c r="D43" s="22"/>
      <c r="E43" s="114"/>
      <c r="F43" s="114"/>
      <c r="G43" s="114"/>
      <c r="H43" s="48" t="str">
        <f t="shared" si="45"/>
        <v/>
      </c>
      <c r="I43" s="115" t="str">
        <f t="shared" si="23"/>
        <v/>
      </c>
      <c r="J43" s="115" t="str">
        <f t="shared" si="46"/>
        <v/>
      </c>
      <c r="K43" s="115" t="str">
        <f t="shared" si="36"/>
        <v/>
      </c>
      <c r="L43" s="48" t="str">
        <f t="shared" si="24"/>
        <v/>
      </c>
      <c r="M43" s="115" t="str">
        <f t="shared" si="47"/>
        <v/>
      </c>
      <c r="N43" s="48" t="str">
        <f t="shared" si="48"/>
        <v/>
      </c>
      <c r="O43" s="115" t="str">
        <f t="shared" si="49"/>
        <v/>
      </c>
      <c r="P43" s="48" t="str">
        <f t="shared" si="50"/>
        <v/>
      </c>
      <c r="Q43" s="162" t="str">
        <f t="shared" si="27"/>
        <v/>
      </c>
      <c r="R43" s="48" t="str">
        <f t="shared" si="15"/>
        <v/>
      </c>
      <c r="S43" s="144" t="str">
        <f t="shared" si="16"/>
        <v/>
      </c>
      <c r="T43" s="144" t="str">
        <f t="shared" si="31"/>
        <v/>
      </c>
      <c r="U43" s="24"/>
      <c r="V43" s="24"/>
      <c r="W43" s="24"/>
      <c r="X43" s="24">
        <f t="shared" si="17"/>
        <v>0</v>
      </c>
      <c r="Y43" s="24"/>
      <c r="Z43" s="24" t="str">
        <f t="shared" si="39"/>
        <v/>
      </c>
      <c r="AA43" s="24" t="str">
        <f t="shared" si="26"/>
        <v/>
      </c>
      <c r="AB43" s="24">
        <f t="shared" si="8"/>
        <v>0</v>
      </c>
      <c r="AD43" s="24" t="e">
        <f t="shared" si="40"/>
        <v>#VALUE!</v>
      </c>
      <c r="AE43" s="24" t="e">
        <f t="shared" si="41"/>
        <v>#VALUE!</v>
      </c>
      <c r="AF43" s="24" t="e">
        <f t="shared" si="37"/>
        <v>#VALUE!</v>
      </c>
      <c r="AG43" s="24" t="e">
        <f t="shared" si="38"/>
        <v>#VALUE!</v>
      </c>
      <c r="AI43" s="24"/>
      <c r="AJ43" s="24" t="e">
        <f t="shared" si="30"/>
        <v>#VALUE!</v>
      </c>
      <c r="AK43" s="31"/>
      <c r="AL43" s="35">
        <f t="shared" si="20"/>
        <v>0</v>
      </c>
      <c r="AM43" s="24">
        <f t="shared" si="21"/>
        <v>0</v>
      </c>
      <c r="AN43" s="24"/>
      <c r="AO43" s="116"/>
      <c r="AP43" s="116"/>
      <c r="AQ43" s="63">
        <f t="shared" si="51"/>
        <v>9.0359999999999996</v>
      </c>
      <c r="AR43" s="63">
        <f t="shared" si="52"/>
        <v>-184.49199999999999</v>
      </c>
      <c r="AS43" s="63"/>
      <c r="AT43"/>
      <c r="AU43">
        <f>IF($E$4="M",IF(AX43&lt;78,BMILMS!$D$5*AX43^3+BMILMS!$E$5*AX43^2+BMILMS!$F$5*AX43+BMILMS!$G$5,IF(AX43&lt;150,BMILMS!$D$6*AX43^3+BMILMS!$E$6*AX43^2+BMILMS!$F$6*AX43+BMILMS!$G$6,BMILMS!$D$7*AX43^3+BMILMS!$E$7*AX43^2+BMILMS!$F$7*AX43+BMILMS!$G$7)),IF(AX43&lt;69,BMILMS!$D$9*AX43^3+BMILMS!$E$9*AX43^2+BMILMS!$F$9*AX43+BMILMS!$G$9,IF(AX43&lt;150,BMILMS!$D$10*AX43^3+BMILMS!$E$10*AX43^2+BMILMS!$F$10*AX43+BMILMS!$G$10,BMILMS!$D$11*AX43^3+BMILMS!$E$11*AX43^2+BMILMS!$F$11*AX43+BMILMS!$G$11)))</f>
        <v>0.79584630099999998</v>
      </c>
      <c r="AV43">
        <f>IF($E$4="M",(IF(AX43&lt;2.5,BMILMS!$D$21*AX43^3+BMILMS!$E$21*AX43^2+BMILMS!$F$21*AX43+BMILMS!$G$21,IF(AX43&lt;9.5,BMILMS!$D$22*AX43^3+BMILMS!$E$22*AX43^2+BMILMS!$F$22*AX43+BMILMS!$G$22,IF(AX43&lt;26.75,BMILMS!$D$23*AX43^3+BMILMS!$E$23*AX43^2+BMILMS!$F$23*AX43+BMILMS!$G$23,IF(AX43&lt;90,BMILMS!$D$24*AX43^3+BMILMS!$E$24*AX43^2+BMILMS!$F$24*AX43+BMILMS!$G$24,BMILMS!$D$25*AX43^3+BMILMS!$E$25*AX43^2+BMILMS!$F$25*AX43+BMILMS!$G$25))))),(IF(AX43&lt;2.5,BMILMS!$D$27*AX43^3+BMILMS!$E$27*AX43^2+BMILMS!$F$27*AX43+BMILMS!$G$27,IF(AX43&lt;9.5,BMILMS!$D$28*AX43^3+BMILMS!$E$28*AX43^2+BMILMS!$F$28*AX43+BMILMS!$G$28,IF(AX43&lt;26.75,BMILMS!$D$29*AX43^3+BMILMS!$E$29*AX43^2+BMILMS!$F$29*AX43+BMILMS!$G$29,IF(AX43&lt;90,BMILMS!$D$30*AX43^3+BMILMS!$E$30*AX43^2+BMILMS!$F$30*AX43+BMILMS!$G$30,IF(AX43&lt;150,BMILMS!$D$31*AX43^3+BMILMS!$E$31*AX43^2+BMILMS!$F$31*AX43+BMILMS!$G$31,BMILMS!$D$32*AX43^3+BMILMS!$E$32*AX43^2+BMILMS!$F$32*AX43+BMILMS!$G$32)))))))</f>
        <v>12.568967990000001</v>
      </c>
      <c r="AW43">
        <f>IF($E$4="M",(IF(AX43&lt;90,BMILMS!$D$14*AX43^3+BMILMS!$E$14*AX43^2+BMILMS!$F$14*AX43+BMILMS!$G$14,BMILMS!$D$15*AX43^3+BMILMS!$E$15*AX43^2+BMILMS!$F$15*AX43+BMILMS!$G$15)),(IF(AX43&lt;90,BMILMS!$D$17*AX43^3+BMILMS!$E$17*AX43^2+BMILMS!$F$17*AX43+BMILMS!$G$17,BMILMS!$D$18*AX43^3+BMILMS!$E$18*AX43^2+BMILMS!$F$18*AX43+BMILMS!$G$18)))</f>
        <v>8.8969350000000003E-2</v>
      </c>
      <c r="AX43" s="24">
        <f t="shared" si="33"/>
        <v>0</v>
      </c>
      <c r="AY43" s="24">
        <f t="shared" si="22"/>
        <v>0</v>
      </c>
      <c r="BA43">
        <f t="shared" si="42"/>
        <v>0.56299999999999994</v>
      </c>
      <c r="BB43">
        <f t="shared" si="43"/>
        <v>69</v>
      </c>
      <c r="BC43">
        <f t="shared" si="44"/>
        <v>0.51</v>
      </c>
    </row>
    <row r="44" spans="2:55" s="4" customFormat="1">
      <c r="B44" s="43"/>
      <c r="C44" s="145"/>
      <c r="D44" s="22"/>
      <c r="E44" s="114"/>
      <c r="F44" s="114"/>
      <c r="G44" s="114"/>
      <c r="H44" s="48" t="str">
        <f t="shared" si="45"/>
        <v/>
      </c>
      <c r="I44" s="115" t="str">
        <f t="shared" si="23"/>
        <v/>
      </c>
      <c r="J44" s="115" t="str">
        <f t="shared" si="46"/>
        <v/>
      </c>
      <c r="K44" s="115" t="str">
        <f t="shared" si="36"/>
        <v/>
      </c>
      <c r="L44" s="48" t="str">
        <f t="shared" si="24"/>
        <v/>
      </c>
      <c r="M44" s="115" t="str">
        <f t="shared" si="47"/>
        <v/>
      </c>
      <c r="N44" s="48" t="str">
        <f t="shared" si="48"/>
        <v/>
      </c>
      <c r="O44" s="115" t="str">
        <f t="shared" si="49"/>
        <v/>
      </c>
      <c r="P44" s="48" t="str">
        <f t="shared" si="50"/>
        <v/>
      </c>
      <c r="Q44" s="162" t="str">
        <f t="shared" si="27"/>
        <v/>
      </c>
      <c r="R44" s="48" t="str">
        <f t="shared" si="15"/>
        <v/>
      </c>
      <c r="S44" s="144" t="str">
        <f t="shared" si="16"/>
        <v/>
      </c>
      <c r="T44" s="144" t="str">
        <f t="shared" si="31"/>
        <v/>
      </c>
      <c r="U44" s="24"/>
      <c r="V44" s="24"/>
      <c r="W44" s="24"/>
      <c r="X44" s="24">
        <f t="shared" si="17"/>
        <v>0</v>
      </c>
      <c r="Y44" s="24"/>
      <c r="Z44" s="24" t="str">
        <f t="shared" si="39"/>
        <v/>
      </c>
      <c r="AA44" s="24" t="str">
        <f t="shared" si="26"/>
        <v/>
      </c>
      <c r="AB44" s="24">
        <f t="shared" si="8"/>
        <v>0</v>
      </c>
      <c r="AD44" s="24" t="e">
        <f t="shared" si="40"/>
        <v>#VALUE!</v>
      </c>
      <c r="AE44" s="24" t="e">
        <f t="shared" si="41"/>
        <v>#VALUE!</v>
      </c>
      <c r="AF44" s="24" t="e">
        <f t="shared" si="37"/>
        <v>#VALUE!</v>
      </c>
      <c r="AG44" s="24" t="e">
        <f t="shared" si="38"/>
        <v>#VALUE!</v>
      </c>
      <c r="AI44" s="24"/>
      <c r="AJ44" s="24" t="e">
        <f t="shared" si="30"/>
        <v>#VALUE!</v>
      </c>
      <c r="AK44" s="31"/>
      <c r="AL44" s="35">
        <f t="shared" si="20"/>
        <v>0</v>
      </c>
      <c r="AM44" s="24">
        <f t="shared" si="21"/>
        <v>0</v>
      </c>
      <c r="AN44" s="24"/>
      <c r="AO44" s="116"/>
      <c r="AP44" s="116"/>
      <c r="AQ44" s="63">
        <f t="shared" si="51"/>
        <v>9.0359999999999996</v>
      </c>
      <c r="AR44" s="63">
        <f t="shared" si="52"/>
        <v>-184.49199999999999</v>
      </c>
      <c r="AS44" s="63"/>
      <c r="AT44"/>
      <c r="AU44">
        <f>IF($E$4="M",IF(AX44&lt;78,BMILMS!$D$5*AX44^3+BMILMS!$E$5*AX44^2+BMILMS!$F$5*AX44+BMILMS!$G$5,IF(AX44&lt;150,BMILMS!$D$6*AX44^3+BMILMS!$E$6*AX44^2+BMILMS!$F$6*AX44+BMILMS!$G$6,BMILMS!$D$7*AX44^3+BMILMS!$E$7*AX44^2+BMILMS!$F$7*AX44+BMILMS!$G$7)),IF(AX44&lt;69,BMILMS!$D$9*AX44^3+BMILMS!$E$9*AX44^2+BMILMS!$F$9*AX44+BMILMS!$G$9,IF(AX44&lt;150,BMILMS!$D$10*AX44^3+BMILMS!$E$10*AX44^2+BMILMS!$F$10*AX44+BMILMS!$G$10,BMILMS!$D$11*AX44^3+BMILMS!$E$11*AX44^2+BMILMS!$F$11*AX44+BMILMS!$G$11)))</f>
        <v>0.79584630099999998</v>
      </c>
      <c r="AV44">
        <f>IF($E$4="M",(IF(AX44&lt;2.5,BMILMS!$D$21*AX44^3+BMILMS!$E$21*AX44^2+BMILMS!$F$21*AX44+BMILMS!$G$21,IF(AX44&lt;9.5,BMILMS!$D$22*AX44^3+BMILMS!$E$22*AX44^2+BMILMS!$F$22*AX44+BMILMS!$G$22,IF(AX44&lt;26.75,BMILMS!$D$23*AX44^3+BMILMS!$E$23*AX44^2+BMILMS!$F$23*AX44+BMILMS!$G$23,IF(AX44&lt;90,BMILMS!$D$24*AX44^3+BMILMS!$E$24*AX44^2+BMILMS!$F$24*AX44+BMILMS!$G$24,BMILMS!$D$25*AX44^3+BMILMS!$E$25*AX44^2+BMILMS!$F$25*AX44+BMILMS!$G$25))))),(IF(AX44&lt;2.5,BMILMS!$D$27*AX44^3+BMILMS!$E$27*AX44^2+BMILMS!$F$27*AX44+BMILMS!$G$27,IF(AX44&lt;9.5,BMILMS!$D$28*AX44^3+BMILMS!$E$28*AX44^2+BMILMS!$F$28*AX44+BMILMS!$G$28,IF(AX44&lt;26.75,BMILMS!$D$29*AX44^3+BMILMS!$E$29*AX44^2+BMILMS!$F$29*AX44+BMILMS!$G$29,IF(AX44&lt;90,BMILMS!$D$30*AX44^3+BMILMS!$E$30*AX44^2+BMILMS!$F$30*AX44+BMILMS!$G$30,IF(AX44&lt;150,BMILMS!$D$31*AX44^3+BMILMS!$E$31*AX44^2+BMILMS!$F$31*AX44+BMILMS!$G$31,BMILMS!$D$32*AX44^3+BMILMS!$E$32*AX44^2+BMILMS!$F$32*AX44+BMILMS!$G$32)))))))</f>
        <v>12.568967990000001</v>
      </c>
      <c r="AW44">
        <f>IF($E$4="M",(IF(AX44&lt;90,BMILMS!$D$14*AX44^3+BMILMS!$E$14*AX44^2+BMILMS!$F$14*AX44+BMILMS!$G$14,BMILMS!$D$15*AX44^3+BMILMS!$E$15*AX44^2+BMILMS!$F$15*AX44+BMILMS!$G$15)),(IF(AX44&lt;90,BMILMS!$D$17*AX44^3+BMILMS!$E$17*AX44^2+BMILMS!$F$17*AX44+BMILMS!$G$17,BMILMS!$D$18*AX44^3+BMILMS!$E$18*AX44^2+BMILMS!$F$18*AX44+BMILMS!$G$18)))</f>
        <v>8.8969350000000003E-2</v>
      </c>
      <c r="AX44" s="24">
        <f t="shared" si="33"/>
        <v>0</v>
      </c>
      <c r="AY44" s="24">
        <f t="shared" si="22"/>
        <v>0</v>
      </c>
      <c r="BA44">
        <f t="shared" si="42"/>
        <v>0.56299999999999994</v>
      </c>
      <c r="BB44">
        <f t="shared" si="43"/>
        <v>69</v>
      </c>
      <c r="BC44">
        <f t="shared" si="44"/>
        <v>0.51</v>
      </c>
    </row>
    <row r="45" spans="2:55" s="4" customFormat="1">
      <c r="B45" s="43"/>
      <c r="C45" s="145"/>
      <c r="D45" s="22"/>
      <c r="E45" s="114"/>
      <c r="F45" s="114"/>
      <c r="G45" s="114"/>
      <c r="H45" s="48" t="str">
        <f t="shared" si="45"/>
        <v/>
      </c>
      <c r="I45" s="115" t="str">
        <f t="shared" si="23"/>
        <v/>
      </c>
      <c r="J45" s="115" t="str">
        <f t="shared" si="46"/>
        <v/>
      </c>
      <c r="K45" s="115" t="str">
        <f t="shared" si="36"/>
        <v/>
      </c>
      <c r="L45" s="48" t="str">
        <f t="shared" si="24"/>
        <v/>
      </c>
      <c r="M45" s="115" t="str">
        <f t="shared" si="47"/>
        <v/>
      </c>
      <c r="N45" s="48" t="str">
        <f t="shared" si="48"/>
        <v/>
      </c>
      <c r="O45" s="115" t="str">
        <f t="shared" si="49"/>
        <v/>
      </c>
      <c r="P45" s="48" t="str">
        <f t="shared" si="50"/>
        <v/>
      </c>
      <c r="Q45" s="162" t="str">
        <f t="shared" si="27"/>
        <v/>
      </c>
      <c r="R45" s="48" t="str">
        <f t="shared" si="15"/>
        <v/>
      </c>
      <c r="S45" s="144" t="str">
        <f t="shared" si="16"/>
        <v/>
      </c>
      <c r="T45" s="144" t="str">
        <f t="shared" si="31"/>
        <v/>
      </c>
      <c r="U45" s="24"/>
      <c r="V45" s="24"/>
      <c r="W45" s="24"/>
      <c r="X45" s="24">
        <f t="shared" si="17"/>
        <v>0</v>
      </c>
      <c r="Y45" s="24"/>
      <c r="Z45" s="24" t="str">
        <f t="shared" si="39"/>
        <v/>
      </c>
      <c r="AA45" s="24" t="str">
        <f t="shared" si="26"/>
        <v/>
      </c>
      <c r="AB45" s="24">
        <f t="shared" si="8"/>
        <v>0</v>
      </c>
      <c r="AD45" s="24" t="e">
        <f t="shared" si="40"/>
        <v>#VALUE!</v>
      </c>
      <c r="AE45" s="24" t="e">
        <f t="shared" si="41"/>
        <v>#VALUE!</v>
      </c>
      <c r="AF45" s="24" t="e">
        <f t="shared" si="37"/>
        <v>#VALUE!</v>
      </c>
      <c r="AG45" s="24" t="e">
        <f t="shared" si="38"/>
        <v>#VALUE!</v>
      </c>
      <c r="AI45" s="24"/>
      <c r="AJ45" s="24" t="e">
        <f t="shared" si="30"/>
        <v>#VALUE!</v>
      </c>
      <c r="AK45" s="31"/>
      <c r="AL45" s="35">
        <f t="shared" si="20"/>
        <v>0</v>
      </c>
      <c r="AM45" s="24">
        <f t="shared" si="21"/>
        <v>0</v>
      </c>
      <c r="AN45" s="24"/>
      <c r="AO45" s="116"/>
      <c r="AP45" s="116"/>
      <c r="AQ45" s="63">
        <f t="shared" si="51"/>
        <v>9.0359999999999996</v>
      </c>
      <c r="AR45" s="63">
        <f t="shared" si="52"/>
        <v>-184.49199999999999</v>
      </c>
      <c r="AS45" s="63"/>
      <c r="AT45"/>
      <c r="AU45">
        <f>IF($E$4="M",IF(AX45&lt;78,BMILMS!$D$5*AX45^3+BMILMS!$E$5*AX45^2+BMILMS!$F$5*AX45+BMILMS!$G$5,IF(AX45&lt;150,BMILMS!$D$6*AX45^3+BMILMS!$E$6*AX45^2+BMILMS!$F$6*AX45+BMILMS!$G$6,BMILMS!$D$7*AX45^3+BMILMS!$E$7*AX45^2+BMILMS!$F$7*AX45+BMILMS!$G$7)),IF(AX45&lt;69,BMILMS!$D$9*AX45^3+BMILMS!$E$9*AX45^2+BMILMS!$F$9*AX45+BMILMS!$G$9,IF(AX45&lt;150,BMILMS!$D$10*AX45^3+BMILMS!$E$10*AX45^2+BMILMS!$F$10*AX45+BMILMS!$G$10,BMILMS!$D$11*AX45^3+BMILMS!$E$11*AX45^2+BMILMS!$F$11*AX45+BMILMS!$G$11)))</f>
        <v>0.79584630099999998</v>
      </c>
      <c r="AV45">
        <f>IF($E$4="M",(IF(AX45&lt;2.5,BMILMS!$D$21*AX45^3+BMILMS!$E$21*AX45^2+BMILMS!$F$21*AX45+BMILMS!$G$21,IF(AX45&lt;9.5,BMILMS!$D$22*AX45^3+BMILMS!$E$22*AX45^2+BMILMS!$F$22*AX45+BMILMS!$G$22,IF(AX45&lt;26.75,BMILMS!$D$23*AX45^3+BMILMS!$E$23*AX45^2+BMILMS!$F$23*AX45+BMILMS!$G$23,IF(AX45&lt;90,BMILMS!$D$24*AX45^3+BMILMS!$E$24*AX45^2+BMILMS!$F$24*AX45+BMILMS!$G$24,BMILMS!$D$25*AX45^3+BMILMS!$E$25*AX45^2+BMILMS!$F$25*AX45+BMILMS!$G$25))))),(IF(AX45&lt;2.5,BMILMS!$D$27*AX45^3+BMILMS!$E$27*AX45^2+BMILMS!$F$27*AX45+BMILMS!$G$27,IF(AX45&lt;9.5,BMILMS!$D$28*AX45^3+BMILMS!$E$28*AX45^2+BMILMS!$F$28*AX45+BMILMS!$G$28,IF(AX45&lt;26.75,BMILMS!$D$29*AX45^3+BMILMS!$E$29*AX45^2+BMILMS!$F$29*AX45+BMILMS!$G$29,IF(AX45&lt;90,BMILMS!$D$30*AX45^3+BMILMS!$E$30*AX45^2+BMILMS!$F$30*AX45+BMILMS!$G$30,IF(AX45&lt;150,BMILMS!$D$31*AX45^3+BMILMS!$E$31*AX45^2+BMILMS!$F$31*AX45+BMILMS!$G$31,BMILMS!$D$32*AX45^3+BMILMS!$E$32*AX45^2+BMILMS!$F$32*AX45+BMILMS!$G$32)))))))</f>
        <v>12.568967990000001</v>
      </c>
      <c r="AW45">
        <f>IF($E$4="M",(IF(AX45&lt;90,BMILMS!$D$14*AX45^3+BMILMS!$E$14*AX45^2+BMILMS!$F$14*AX45+BMILMS!$G$14,BMILMS!$D$15*AX45^3+BMILMS!$E$15*AX45^2+BMILMS!$F$15*AX45+BMILMS!$G$15)),(IF(AX45&lt;90,BMILMS!$D$17*AX45^3+BMILMS!$E$17*AX45^2+BMILMS!$F$17*AX45+BMILMS!$G$17,BMILMS!$D$18*AX45^3+BMILMS!$E$18*AX45^2+BMILMS!$F$18*AX45+BMILMS!$G$18)))</f>
        <v>8.8969350000000003E-2</v>
      </c>
      <c r="AX45" s="24">
        <f t="shared" si="33"/>
        <v>0</v>
      </c>
      <c r="AY45" s="24">
        <f t="shared" si="22"/>
        <v>0</v>
      </c>
      <c r="BA45">
        <f t="shared" si="42"/>
        <v>0.56299999999999994</v>
      </c>
      <c r="BB45">
        <f t="shared" si="43"/>
        <v>69</v>
      </c>
      <c r="BC45">
        <f t="shared" si="44"/>
        <v>0.51</v>
      </c>
    </row>
    <row r="46" spans="2:55" s="4" customFormat="1">
      <c r="B46" s="43"/>
      <c r="C46" s="145"/>
      <c r="D46" s="22"/>
      <c r="E46" s="114"/>
      <c r="F46" s="114"/>
      <c r="G46" s="114"/>
      <c r="H46" s="48" t="str">
        <f t="shared" si="45"/>
        <v/>
      </c>
      <c r="I46" s="115" t="str">
        <f t="shared" si="23"/>
        <v/>
      </c>
      <c r="J46" s="115" t="str">
        <f t="shared" si="46"/>
        <v/>
      </c>
      <c r="K46" s="115" t="str">
        <f t="shared" si="36"/>
        <v/>
      </c>
      <c r="L46" s="48" t="str">
        <f t="shared" si="24"/>
        <v/>
      </c>
      <c r="M46" s="115" t="str">
        <f t="shared" si="47"/>
        <v/>
      </c>
      <c r="N46" s="48" t="str">
        <f t="shared" si="48"/>
        <v/>
      </c>
      <c r="O46" s="115" t="str">
        <f t="shared" si="49"/>
        <v/>
      </c>
      <c r="P46" s="48" t="str">
        <f t="shared" si="50"/>
        <v/>
      </c>
      <c r="Q46" s="162" t="str">
        <f t="shared" si="27"/>
        <v/>
      </c>
      <c r="R46" s="48" t="str">
        <f t="shared" si="15"/>
        <v/>
      </c>
      <c r="S46" s="144" t="str">
        <f t="shared" si="16"/>
        <v/>
      </c>
      <c r="T46" s="144" t="str">
        <f t="shared" si="31"/>
        <v/>
      </c>
      <c r="U46" s="24"/>
      <c r="V46" s="24"/>
      <c r="W46" s="24"/>
      <c r="X46" s="24">
        <f t="shared" si="17"/>
        <v>0</v>
      </c>
      <c r="Y46" s="24"/>
      <c r="Z46" s="24" t="str">
        <f t="shared" si="39"/>
        <v/>
      </c>
      <c r="AA46" s="24" t="str">
        <f t="shared" si="26"/>
        <v/>
      </c>
      <c r="AB46" s="24">
        <f t="shared" si="8"/>
        <v>0</v>
      </c>
      <c r="AD46" s="24" t="e">
        <f t="shared" si="40"/>
        <v>#VALUE!</v>
      </c>
      <c r="AE46" s="24" t="e">
        <f t="shared" si="41"/>
        <v>#VALUE!</v>
      </c>
      <c r="AF46" s="24" t="e">
        <f t="shared" si="37"/>
        <v>#VALUE!</v>
      </c>
      <c r="AG46" s="24" t="e">
        <f t="shared" si="38"/>
        <v>#VALUE!</v>
      </c>
      <c r="AI46" s="24"/>
      <c r="AJ46" s="24" t="e">
        <f t="shared" si="30"/>
        <v>#VALUE!</v>
      </c>
      <c r="AK46" s="31"/>
      <c r="AL46" s="35">
        <f t="shared" si="20"/>
        <v>0</v>
      </c>
      <c r="AM46" s="24">
        <f t="shared" si="21"/>
        <v>0</v>
      </c>
      <c r="AN46" s="24"/>
      <c r="AO46" s="116"/>
      <c r="AP46" s="116"/>
      <c r="AQ46" s="63">
        <f t="shared" si="51"/>
        <v>9.0359999999999996</v>
      </c>
      <c r="AR46" s="63">
        <f t="shared" si="52"/>
        <v>-184.49199999999999</v>
      </c>
      <c r="AS46" s="63"/>
      <c r="AT46"/>
      <c r="AU46">
        <f>IF($E$4="M",IF(AX46&lt;78,BMILMS!$D$5*AX46^3+BMILMS!$E$5*AX46^2+BMILMS!$F$5*AX46+BMILMS!$G$5,IF(AX46&lt;150,BMILMS!$D$6*AX46^3+BMILMS!$E$6*AX46^2+BMILMS!$F$6*AX46+BMILMS!$G$6,BMILMS!$D$7*AX46^3+BMILMS!$E$7*AX46^2+BMILMS!$F$7*AX46+BMILMS!$G$7)),IF(AX46&lt;69,BMILMS!$D$9*AX46^3+BMILMS!$E$9*AX46^2+BMILMS!$F$9*AX46+BMILMS!$G$9,IF(AX46&lt;150,BMILMS!$D$10*AX46^3+BMILMS!$E$10*AX46^2+BMILMS!$F$10*AX46+BMILMS!$G$10,BMILMS!$D$11*AX46^3+BMILMS!$E$11*AX46^2+BMILMS!$F$11*AX46+BMILMS!$G$11)))</f>
        <v>0.79584630099999998</v>
      </c>
      <c r="AV46">
        <f>IF($E$4="M",(IF(AX46&lt;2.5,BMILMS!$D$21*AX46^3+BMILMS!$E$21*AX46^2+BMILMS!$F$21*AX46+BMILMS!$G$21,IF(AX46&lt;9.5,BMILMS!$D$22*AX46^3+BMILMS!$E$22*AX46^2+BMILMS!$F$22*AX46+BMILMS!$G$22,IF(AX46&lt;26.75,BMILMS!$D$23*AX46^3+BMILMS!$E$23*AX46^2+BMILMS!$F$23*AX46+BMILMS!$G$23,IF(AX46&lt;90,BMILMS!$D$24*AX46^3+BMILMS!$E$24*AX46^2+BMILMS!$F$24*AX46+BMILMS!$G$24,BMILMS!$D$25*AX46^3+BMILMS!$E$25*AX46^2+BMILMS!$F$25*AX46+BMILMS!$G$25))))),(IF(AX46&lt;2.5,BMILMS!$D$27*AX46^3+BMILMS!$E$27*AX46^2+BMILMS!$F$27*AX46+BMILMS!$G$27,IF(AX46&lt;9.5,BMILMS!$D$28*AX46^3+BMILMS!$E$28*AX46^2+BMILMS!$F$28*AX46+BMILMS!$G$28,IF(AX46&lt;26.75,BMILMS!$D$29*AX46^3+BMILMS!$E$29*AX46^2+BMILMS!$F$29*AX46+BMILMS!$G$29,IF(AX46&lt;90,BMILMS!$D$30*AX46^3+BMILMS!$E$30*AX46^2+BMILMS!$F$30*AX46+BMILMS!$G$30,IF(AX46&lt;150,BMILMS!$D$31*AX46^3+BMILMS!$E$31*AX46^2+BMILMS!$F$31*AX46+BMILMS!$G$31,BMILMS!$D$32*AX46^3+BMILMS!$E$32*AX46^2+BMILMS!$F$32*AX46+BMILMS!$G$32)))))))</f>
        <v>12.568967990000001</v>
      </c>
      <c r="AW46">
        <f>IF($E$4="M",(IF(AX46&lt;90,BMILMS!$D$14*AX46^3+BMILMS!$E$14*AX46^2+BMILMS!$F$14*AX46+BMILMS!$G$14,BMILMS!$D$15*AX46^3+BMILMS!$E$15*AX46^2+BMILMS!$F$15*AX46+BMILMS!$G$15)),(IF(AX46&lt;90,BMILMS!$D$17*AX46^3+BMILMS!$E$17*AX46^2+BMILMS!$F$17*AX46+BMILMS!$G$17,BMILMS!$D$18*AX46^3+BMILMS!$E$18*AX46^2+BMILMS!$F$18*AX46+BMILMS!$G$18)))</f>
        <v>8.8969350000000003E-2</v>
      </c>
      <c r="AX46" s="24">
        <f t="shared" si="33"/>
        <v>0</v>
      </c>
      <c r="AY46" s="24">
        <f t="shared" si="22"/>
        <v>0</v>
      </c>
      <c r="BA46">
        <f t="shared" si="42"/>
        <v>0.56299999999999994</v>
      </c>
      <c r="BB46">
        <f t="shared" si="43"/>
        <v>69</v>
      </c>
      <c r="BC46">
        <f t="shared" si="44"/>
        <v>0.51</v>
      </c>
    </row>
    <row r="47" spans="2:55" s="4" customFormat="1">
      <c r="B47" s="43"/>
      <c r="C47" s="145"/>
      <c r="D47" s="22"/>
      <c r="E47" s="114"/>
      <c r="F47" s="114"/>
      <c r="G47" s="114"/>
      <c r="H47" s="48" t="str">
        <f t="shared" si="45"/>
        <v/>
      </c>
      <c r="I47" s="115" t="str">
        <f t="shared" si="23"/>
        <v/>
      </c>
      <c r="J47" s="115" t="str">
        <f t="shared" si="46"/>
        <v/>
      </c>
      <c r="K47" s="115" t="str">
        <f t="shared" si="36"/>
        <v/>
      </c>
      <c r="L47" s="48" t="str">
        <f t="shared" si="24"/>
        <v/>
      </c>
      <c r="M47" s="115" t="str">
        <f t="shared" si="47"/>
        <v/>
      </c>
      <c r="N47" s="48" t="str">
        <f t="shared" si="48"/>
        <v/>
      </c>
      <c r="O47" s="115" t="str">
        <f t="shared" si="49"/>
        <v/>
      </c>
      <c r="P47" s="48" t="str">
        <f t="shared" si="50"/>
        <v/>
      </c>
      <c r="Q47" s="162" t="str">
        <f t="shared" si="27"/>
        <v/>
      </c>
      <c r="R47" s="48" t="str">
        <f t="shared" si="15"/>
        <v/>
      </c>
      <c r="S47" s="144" t="str">
        <f t="shared" si="16"/>
        <v/>
      </c>
      <c r="T47" s="144" t="str">
        <f t="shared" si="31"/>
        <v/>
      </c>
      <c r="U47" s="24"/>
      <c r="V47" s="24"/>
      <c r="W47" s="24"/>
      <c r="X47" s="24">
        <f t="shared" si="17"/>
        <v>0</v>
      </c>
      <c r="Y47" s="24"/>
      <c r="Z47" s="24" t="str">
        <f t="shared" si="39"/>
        <v/>
      </c>
      <c r="AA47" s="24" t="str">
        <f t="shared" si="26"/>
        <v/>
      </c>
      <c r="AB47" s="24">
        <f t="shared" si="8"/>
        <v>0</v>
      </c>
      <c r="AD47" s="24" t="e">
        <f t="shared" si="40"/>
        <v>#VALUE!</v>
      </c>
      <c r="AE47" s="24" t="e">
        <f t="shared" si="41"/>
        <v>#VALUE!</v>
      </c>
      <c r="AF47" s="24" t="e">
        <f t="shared" si="37"/>
        <v>#VALUE!</v>
      </c>
      <c r="AG47" s="24" t="e">
        <f t="shared" si="38"/>
        <v>#VALUE!</v>
      </c>
      <c r="AI47" s="24"/>
      <c r="AJ47" s="24" t="e">
        <f t="shared" si="30"/>
        <v>#VALUE!</v>
      </c>
      <c r="AK47" s="31"/>
      <c r="AL47" s="35">
        <f t="shared" si="20"/>
        <v>0</v>
      </c>
      <c r="AM47" s="24">
        <f t="shared" si="21"/>
        <v>0</v>
      </c>
      <c r="AN47" s="24"/>
      <c r="AO47" s="116"/>
      <c r="AP47" s="116"/>
      <c r="AQ47" s="63">
        <f t="shared" si="51"/>
        <v>9.0359999999999996</v>
      </c>
      <c r="AR47" s="63">
        <f t="shared" si="52"/>
        <v>-184.49199999999999</v>
      </c>
      <c r="AS47" s="63"/>
      <c r="AT47"/>
      <c r="AU47">
        <f>IF($E$4="M",IF(AX47&lt;78,BMILMS!$D$5*AX47^3+BMILMS!$E$5*AX47^2+BMILMS!$F$5*AX47+BMILMS!$G$5,IF(AX47&lt;150,BMILMS!$D$6*AX47^3+BMILMS!$E$6*AX47^2+BMILMS!$F$6*AX47+BMILMS!$G$6,BMILMS!$D$7*AX47^3+BMILMS!$E$7*AX47^2+BMILMS!$F$7*AX47+BMILMS!$G$7)),IF(AX47&lt;69,BMILMS!$D$9*AX47^3+BMILMS!$E$9*AX47^2+BMILMS!$F$9*AX47+BMILMS!$G$9,IF(AX47&lt;150,BMILMS!$D$10*AX47^3+BMILMS!$E$10*AX47^2+BMILMS!$F$10*AX47+BMILMS!$G$10,BMILMS!$D$11*AX47^3+BMILMS!$E$11*AX47^2+BMILMS!$F$11*AX47+BMILMS!$G$11)))</f>
        <v>0.79584630099999998</v>
      </c>
      <c r="AV47">
        <f>IF($E$4="M",(IF(AX47&lt;2.5,BMILMS!$D$21*AX47^3+BMILMS!$E$21*AX47^2+BMILMS!$F$21*AX47+BMILMS!$G$21,IF(AX47&lt;9.5,BMILMS!$D$22*AX47^3+BMILMS!$E$22*AX47^2+BMILMS!$F$22*AX47+BMILMS!$G$22,IF(AX47&lt;26.75,BMILMS!$D$23*AX47^3+BMILMS!$E$23*AX47^2+BMILMS!$F$23*AX47+BMILMS!$G$23,IF(AX47&lt;90,BMILMS!$D$24*AX47^3+BMILMS!$E$24*AX47^2+BMILMS!$F$24*AX47+BMILMS!$G$24,BMILMS!$D$25*AX47^3+BMILMS!$E$25*AX47^2+BMILMS!$F$25*AX47+BMILMS!$G$25))))),(IF(AX47&lt;2.5,BMILMS!$D$27*AX47^3+BMILMS!$E$27*AX47^2+BMILMS!$F$27*AX47+BMILMS!$G$27,IF(AX47&lt;9.5,BMILMS!$D$28*AX47^3+BMILMS!$E$28*AX47^2+BMILMS!$F$28*AX47+BMILMS!$G$28,IF(AX47&lt;26.75,BMILMS!$D$29*AX47^3+BMILMS!$E$29*AX47^2+BMILMS!$F$29*AX47+BMILMS!$G$29,IF(AX47&lt;90,BMILMS!$D$30*AX47^3+BMILMS!$E$30*AX47^2+BMILMS!$F$30*AX47+BMILMS!$G$30,IF(AX47&lt;150,BMILMS!$D$31*AX47^3+BMILMS!$E$31*AX47^2+BMILMS!$F$31*AX47+BMILMS!$G$31,BMILMS!$D$32*AX47^3+BMILMS!$E$32*AX47^2+BMILMS!$F$32*AX47+BMILMS!$G$32)))))))</f>
        <v>12.568967990000001</v>
      </c>
      <c r="AW47">
        <f>IF($E$4="M",(IF(AX47&lt;90,BMILMS!$D$14*AX47^3+BMILMS!$E$14*AX47^2+BMILMS!$F$14*AX47+BMILMS!$G$14,BMILMS!$D$15*AX47^3+BMILMS!$E$15*AX47^2+BMILMS!$F$15*AX47+BMILMS!$G$15)),(IF(AX47&lt;90,BMILMS!$D$17*AX47^3+BMILMS!$E$17*AX47^2+BMILMS!$F$17*AX47+BMILMS!$G$17,BMILMS!$D$18*AX47^3+BMILMS!$E$18*AX47^2+BMILMS!$F$18*AX47+BMILMS!$G$18)))</f>
        <v>8.8969350000000003E-2</v>
      </c>
      <c r="AX47" s="24">
        <f t="shared" si="33"/>
        <v>0</v>
      </c>
      <c r="AY47" s="24">
        <f t="shared" si="22"/>
        <v>0</v>
      </c>
      <c r="BA47">
        <f t="shared" si="42"/>
        <v>0.56299999999999994</v>
      </c>
      <c r="BB47">
        <f t="shared" si="43"/>
        <v>69</v>
      </c>
      <c r="BC47">
        <f t="shared" si="44"/>
        <v>0.51</v>
      </c>
    </row>
    <row r="48" spans="2:55" s="4" customFormat="1">
      <c r="B48" s="43"/>
      <c r="C48" s="145"/>
      <c r="D48" s="22"/>
      <c r="E48" s="114"/>
      <c r="F48" s="114"/>
      <c r="G48" s="114"/>
      <c r="H48" s="48" t="str">
        <f t="shared" si="45"/>
        <v/>
      </c>
      <c r="I48" s="115" t="str">
        <f t="shared" si="23"/>
        <v/>
      </c>
      <c r="J48" s="115" t="str">
        <f t="shared" si="46"/>
        <v/>
      </c>
      <c r="K48" s="115" t="str">
        <f t="shared" si="36"/>
        <v/>
      </c>
      <c r="L48" s="48" t="str">
        <f t="shared" si="24"/>
        <v/>
      </c>
      <c r="M48" s="115" t="str">
        <f t="shared" si="47"/>
        <v/>
      </c>
      <c r="N48" s="48" t="str">
        <f t="shared" si="48"/>
        <v/>
      </c>
      <c r="O48" s="115" t="str">
        <f t="shared" si="49"/>
        <v/>
      </c>
      <c r="P48" s="48" t="str">
        <f t="shared" si="50"/>
        <v/>
      </c>
      <c r="Q48" s="162" t="str">
        <f t="shared" si="27"/>
        <v/>
      </c>
      <c r="R48" s="48" t="str">
        <f t="shared" si="15"/>
        <v/>
      </c>
      <c r="S48" s="144" t="str">
        <f t="shared" si="16"/>
        <v/>
      </c>
      <c r="T48" s="144" t="str">
        <f t="shared" si="31"/>
        <v/>
      </c>
      <c r="U48" s="24"/>
      <c r="V48" s="24"/>
      <c r="W48" s="24"/>
      <c r="X48" s="24">
        <f t="shared" si="17"/>
        <v>0</v>
      </c>
      <c r="Y48" s="24"/>
      <c r="Z48" s="24" t="str">
        <f t="shared" si="39"/>
        <v/>
      </c>
      <c r="AA48" s="24" t="str">
        <f t="shared" si="26"/>
        <v/>
      </c>
      <c r="AB48" s="24">
        <f t="shared" si="8"/>
        <v>0</v>
      </c>
      <c r="AD48" s="24" t="e">
        <f t="shared" si="40"/>
        <v>#VALUE!</v>
      </c>
      <c r="AE48" s="24" t="e">
        <f t="shared" si="41"/>
        <v>#VALUE!</v>
      </c>
      <c r="AF48" s="24" t="e">
        <f t="shared" si="37"/>
        <v>#VALUE!</v>
      </c>
      <c r="AG48" s="24" t="e">
        <f t="shared" si="38"/>
        <v>#VALUE!</v>
      </c>
      <c r="AI48" s="24"/>
      <c r="AJ48" s="24" t="e">
        <f t="shared" si="30"/>
        <v>#VALUE!</v>
      </c>
      <c r="AK48" s="31"/>
      <c r="AL48" s="35">
        <f t="shared" si="20"/>
        <v>0</v>
      </c>
      <c r="AM48" s="24">
        <f t="shared" si="21"/>
        <v>0</v>
      </c>
      <c r="AN48" s="24"/>
      <c r="AO48" s="116"/>
      <c r="AP48" s="116"/>
      <c r="AQ48" s="63">
        <f t="shared" si="51"/>
        <v>9.0359999999999996</v>
      </c>
      <c r="AR48" s="63">
        <f t="shared" si="52"/>
        <v>-184.49199999999999</v>
      </c>
      <c r="AS48" s="63"/>
      <c r="AT48"/>
      <c r="AU48">
        <f>IF($E$4="M",IF(AX48&lt;78,BMILMS!$D$5*AX48^3+BMILMS!$E$5*AX48^2+BMILMS!$F$5*AX48+BMILMS!$G$5,IF(AX48&lt;150,BMILMS!$D$6*AX48^3+BMILMS!$E$6*AX48^2+BMILMS!$F$6*AX48+BMILMS!$G$6,BMILMS!$D$7*AX48^3+BMILMS!$E$7*AX48^2+BMILMS!$F$7*AX48+BMILMS!$G$7)),IF(AX48&lt;69,BMILMS!$D$9*AX48^3+BMILMS!$E$9*AX48^2+BMILMS!$F$9*AX48+BMILMS!$G$9,IF(AX48&lt;150,BMILMS!$D$10*AX48^3+BMILMS!$E$10*AX48^2+BMILMS!$F$10*AX48+BMILMS!$G$10,BMILMS!$D$11*AX48^3+BMILMS!$E$11*AX48^2+BMILMS!$F$11*AX48+BMILMS!$G$11)))</f>
        <v>0.79584630099999998</v>
      </c>
      <c r="AV48">
        <f>IF($E$4="M",(IF(AX48&lt;2.5,BMILMS!$D$21*AX48^3+BMILMS!$E$21*AX48^2+BMILMS!$F$21*AX48+BMILMS!$G$21,IF(AX48&lt;9.5,BMILMS!$D$22*AX48^3+BMILMS!$E$22*AX48^2+BMILMS!$F$22*AX48+BMILMS!$G$22,IF(AX48&lt;26.75,BMILMS!$D$23*AX48^3+BMILMS!$E$23*AX48^2+BMILMS!$F$23*AX48+BMILMS!$G$23,IF(AX48&lt;90,BMILMS!$D$24*AX48^3+BMILMS!$E$24*AX48^2+BMILMS!$F$24*AX48+BMILMS!$G$24,BMILMS!$D$25*AX48^3+BMILMS!$E$25*AX48^2+BMILMS!$F$25*AX48+BMILMS!$G$25))))),(IF(AX48&lt;2.5,BMILMS!$D$27*AX48^3+BMILMS!$E$27*AX48^2+BMILMS!$F$27*AX48+BMILMS!$G$27,IF(AX48&lt;9.5,BMILMS!$D$28*AX48^3+BMILMS!$E$28*AX48^2+BMILMS!$F$28*AX48+BMILMS!$G$28,IF(AX48&lt;26.75,BMILMS!$D$29*AX48^3+BMILMS!$E$29*AX48^2+BMILMS!$F$29*AX48+BMILMS!$G$29,IF(AX48&lt;90,BMILMS!$D$30*AX48^3+BMILMS!$E$30*AX48^2+BMILMS!$F$30*AX48+BMILMS!$G$30,IF(AX48&lt;150,BMILMS!$D$31*AX48^3+BMILMS!$E$31*AX48^2+BMILMS!$F$31*AX48+BMILMS!$G$31,BMILMS!$D$32*AX48^3+BMILMS!$E$32*AX48^2+BMILMS!$F$32*AX48+BMILMS!$G$32)))))))</f>
        <v>12.568967990000001</v>
      </c>
      <c r="AW48">
        <f>IF($E$4="M",(IF(AX48&lt;90,BMILMS!$D$14*AX48^3+BMILMS!$E$14*AX48^2+BMILMS!$F$14*AX48+BMILMS!$G$14,BMILMS!$D$15*AX48^3+BMILMS!$E$15*AX48^2+BMILMS!$F$15*AX48+BMILMS!$G$15)),(IF(AX48&lt;90,BMILMS!$D$17*AX48^3+BMILMS!$E$17*AX48^2+BMILMS!$F$17*AX48+BMILMS!$G$17,BMILMS!$D$18*AX48^3+BMILMS!$E$18*AX48^2+BMILMS!$F$18*AX48+BMILMS!$G$18)))</f>
        <v>8.8969350000000003E-2</v>
      </c>
      <c r="AX48" s="24">
        <f t="shared" si="33"/>
        <v>0</v>
      </c>
      <c r="AY48" s="24">
        <f t="shared" si="22"/>
        <v>0</v>
      </c>
      <c r="BA48">
        <f t="shared" si="42"/>
        <v>0.56299999999999994</v>
      </c>
      <c r="BB48">
        <f t="shared" si="43"/>
        <v>69</v>
      </c>
      <c r="BC48">
        <f t="shared" si="44"/>
        <v>0.51</v>
      </c>
    </row>
    <row r="49" spans="2:55" s="4" customFormat="1">
      <c r="B49" s="43"/>
      <c r="C49" s="145"/>
      <c r="D49" s="22"/>
      <c r="E49" s="114"/>
      <c r="F49" s="114"/>
      <c r="G49" s="114"/>
      <c r="H49" s="48" t="str">
        <f t="shared" si="45"/>
        <v/>
      </c>
      <c r="I49" s="115" t="str">
        <f t="shared" si="23"/>
        <v/>
      </c>
      <c r="J49" s="115" t="str">
        <f t="shared" si="46"/>
        <v/>
      </c>
      <c r="K49" s="115" t="str">
        <f t="shared" si="36"/>
        <v/>
      </c>
      <c r="L49" s="48" t="str">
        <f t="shared" si="24"/>
        <v/>
      </c>
      <c r="M49" s="115" t="str">
        <f t="shared" si="47"/>
        <v/>
      </c>
      <c r="N49" s="48" t="str">
        <f t="shared" si="48"/>
        <v/>
      </c>
      <c r="O49" s="115" t="str">
        <f t="shared" si="49"/>
        <v/>
      </c>
      <c r="P49" s="48" t="str">
        <f t="shared" si="50"/>
        <v/>
      </c>
      <c r="Q49" s="162" t="str">
        <f t="shared" si="27"/>
        <v/>
      </c>
      <c r="R49" s="48" t="str">
        <f t="shared" si="15"/>
        <v/>
      </c>
      <c r="S49" s="144" t="str">
        <f t="shared" si="16"/>
        <v/>
      </c>
      <c r="T49" s="144" t="str">
        <f t="shared" si="31"/>
        <v/>
      </c>
      <c r="U49" s="24"/>
      <c r="V49" s="24"/>
      <c r="W49" s="24"/>
      <c r="X49" s="24">
        <f t="shared" si="17"/>
        <v>0</v>
      </c>
      <c r="Y49" s="24"/>
      <c r="Z49" s="24" t="str">
        <f t="shared" si="39"/>
        <v/>
      </c>
      <c r="AA49" s="24" t="str">
        <f t="shared" si="26"/>
        <v/>
      </c>
      <c r="AB49" s="24">
        <f t="shared" si="8"/>
        <v>0</v>
      </c>
      <c r="AD49" s="24" t="e">
        <f t="shared" si="40"/>
        <v>#VALUE!</v>
      </c>
      <c r="AE49" s="24" t="e">
        <f t="shared" si="41"/>
        <v>#VALUE!</v>
      </c>
      <c r="AF49" s="24" t="e">
        <f t="shared" si="37"/>
        <v>#VALUE!</v>
      </c>
      <c r="AG49" s="24" t="e">
        <f t="shared" si="38"/>
        <v>#VALUE!</v>
      </c>
      <c r="AI49" s="24"/>
      <c r="AJ49" s="24" t="e">
        <f t="shared" si="30"/>
        <v>#VALUE!</v>
      </c>
      <c r="AK49" s="31"/>
      <c r="AL49" s="35">
        <f t="shared" si="20"/>
        <v>0</v>
      </c>
      <c r="AM49" s="24">
        <f t="shared" si="21"/>
        <v>0</v>
      </c>
      <c r="AN49" s="24"/>
      <c r="AO49" s="116"/>
      <c r="AP49" s="116"/>
      <c r="AQ49" s="63">
        <f t="shared" si="51"/>
        <v>9.0359999999999996</v>
      </c>
      <c r="AR49" s="63">
        <f t="shared" si="52"/>
        <v>-184.49199999999999</v>
      </c>
      <c r="AS49" s="63"/>
      <c r="AT49"/>
      <c r="AU49">
        <f>IF($E$4="M",IF(AX49&lt;78,BMILMS!$D$5*AX49^3+BMILMS!$E$5*AX49^2+BMILMS!$F$5*AX49+BMILMS!$G$5,IF(AX49&lt;150,BMILMS!$D$6*AX49^3+BMILMS!$E$6*AX49^2+BMILMS!$F$6*AX49+BMILMS!$G$6,BMILMS!$D$7*AX49^3+BMILMS!$E$7*AX49^2+BMILMS!$F$7*AX49+BMILMS!$G$7)),IF(AX49&lt;69,BMILMS!$D$9*AX49^3+BMILMS!$E$9*AX49^2+BMILMS!$F$9*AX49+BMILMS!$G$9,IF(AX49&lt;150,BMILMS!$D$10*AX49^3+BMILMS!$E$10*AX49^2+BMILMS!$F$10*AX49+BMILMS!$G$10,BMILMS!$D$11*AX49^3+BMILMS!$E$11*AX49^2+BMILMS!$F$11*AX49+BMILMS!$G$11)))</f>
        <v>0.79584630099999998</v>
      </c>
      <c r="AV49">
        <f>IF($E$4="M",(IF(AX49&lt;2.5,BMILMS!$D$21*AX49^3+BMILMS!$E$21*AX49^2+BMILMS!$F$21*AX49+BMILMS!$G$21,IF(AX49&lt;9.5,BMILMS!$D$22*AX49^3+BMILMS!$E$22*AX49^2+BMILMS!$F$22*AX49+BMILMS!$G$22,IF(AX49&lt;26.75,BMILMS!$D$23*AX49^3+BMILMS!$E$23*AX49^2+BMILMS!$F$23*AX49+BMILMS!$G$23,IF(AX49&lt;90,BMILMS!$D$24*AX49^3+BMILMS!$E$24*AX49^2+BMILMS!$F$24*AX49+BMILMS!$G$24,BMILMS!$D$25*AX49^3+BMILMS!$E$25*AX49^2+BMILMS!$F$25*AX49+BMILMS!$G$25))))),(IF(AX49&lt;2.5,BMILMS!$D$27*AX49^3+BMILMS!$E$27*AX49^2+BMILMS!$F$27*AX49+BMILMS!$G$27,IF(AX49&lt;9.5,BMILMS!$D$28*AX49^3+BMILMS!$E$28*AX49^2+BMILMS!$F$28*AX49+BMILMS!$G$28,IF(AX49&lt;26.75,BMILMS!$D$29*AX49^3+BMILMS!$E$29*AX49^2+BMILMS!$F$29*AX49+BMILMS!$G$29,IF(AX49&lt;90,BMILMS!$D$30*AX49^3+BMILMS!$E$30*AX49^2+BMILMS!$F$30*AX49+BMILMS!$G$30,IF(AX49&lt;150,BMILMS!$D$31*AX49^3+BMILMS!$E$31*AX49^2+BMILMS!$F$31*AX49+BMILMS!$G$31,BMILMS!$D$32*AX49^3+BMILMS!$E$32*AX49^2+BMILMS!$F$32*AX49+BMILMS!$G$32)))))))</f>
        <v>12.568967990000001</v>
      </c>
      <c r="AW49">
        <f>IF($E$4="M",(IF(AX49&lt;90,BMILMS!$D$14*AX49^3+BMILMS!$E$14*AX49^2+BMILMS!$F$14*AX49+BMILMS!$G$14,BMILMS!$D$15*AX49^3+BMILMS!$E$15*AX49^2+BMILMS!$F$15*AX49+BMILMS!$G$15)),(IF(AX49&lt;90,BMILMS!$D$17*AX49^3+BMILMS!$E$17*AX49^2+BMILMS!$F$17*AX49+BMILMS!$G$17,BMILMS!$D$18*AX49^3+BMILMS!$E$18*AX49^2+BMILMS!$F$18*AX49+BMILMS!$G$18)))</f>
        <v>8.8969350000000003E-2</v>
      </c>
      <c r="AX49" s="24">
        <f t="shared" si="33"/>
        <v>0</v>
      </c>
      <c r="AY49" s="24">
        <f t="shared" si="22"/>
        <v>0</v>
      </c>
      <c r="BA49">
        <f t="shared" si="42"/>
        <v>0.56299999999999994</v>
      </c>
      <c r="BB49">
        <f t="shared" si="43"/>
        <v>69</v>
      </c>
      <c r="BC49">
        <f t="shared" si="44"/>
        <v>0.51</v>
      </c>
    </row>
    <row r="50" spans="2:55" s="4" customFormat="1">
      <c r="B50" s="43"/>
      <c r="C50" s="145"/>
      <c r="D50" s="22"/>
      <c r="E50" s="114"/>
      <c r="F50" s="114"/>
      <c r="G50" s="114"/>
      <c r="H50" s="48" t="str">
        <f t="shared" si="45"/>
        <v/>
      </c>
      <c r="I50" s="115" t="str">
        <f t="shared" si="23"/>
        <v/>
      </c>
      <c r="J50" s="115" t="str">
        <f t="shared" si="46"/>
        <v/>
      </c>
      <c r="K50" s="115" t="str">
        <f t="shared" si="36"/>
        <v/>
      </c>
      <c r="L50" s="48" t="str">
        <f t="shared" si="24"/>
        <v/>
      </c>
      <c r="M50" s="115" t="str">
        <f t="shared" si="47"/>
        <v/>
      </c>
      <c r="N50" s="48" t="str">
        <f t="shared" si="48"/>
        <v/>
      </c>
      <c r="O50" s="115" t="str">
        <f t="shared" si="49"/>
        <v/>
      </c>
      <c r="P50" s="48" t="str">
        <f t="shared" si="50"/>
        <v/>
      </c>
      <c r="Q50" s="162" t="str">
        <f t="shared" si="27"/>
        <v/>
      </c>
      <c r="R50" s="48" t="str">
        <f t="shared" si="15"/>
        <v/>
      </c>
      <c r="S50" s="144" t="str">
        <f t="shared" si="16"/>
        <v/>
      </c>
      <c r="T50" s="144" t="str">
        <f t="shared" si="31"/>
        <v/>
      </c>
      <c r="U50" s="24"/>
      <c r="V50" s="24"/>
      <c r="W50" s="24"/>
      <c r="X50" s="24">
        <f t="shared" si="17"/>
        <v>0</v>
      </c>
      <c r="Y50" s="24"/>
      <c r="Z50" s="24" t="str">
        <f t="shared" si="39"/>
        <v/>
      </c>
      <c r="AA50" s="24" t="str">
        <f t="shared" si="26"/>
        <v/>
      </c>
      <c r="AB50" s="24">
        <f t="shared" si="8"/>
        <v>0</v>
      </c>
      <c r="AD50" s="24" t="e">
        <f t="shared" si="40"/>
        <v>#VALUE!</v>
      </c>
      <c r="AE50" s="24" t="e">
        <f t="shared" si="41"/>
        <v>#VALUE!</v>
      </c>
      <c r="AF50" s="24" t="e">
        <f t="shared" si="37"/>
        <v>#VALUE!</v>
      </c>
      <c r="AG50" s="24" t="e">
        <f t="shared" si="38"/>
        <v>#VALUE!</v>
      </c>
      <c r="AI50" s="24"/>
      <c r="AJ50" s="24" t="e">
        <f t="shared" si="30"/>
        <v>#VALUE!</v>
      </c>
      <c r="AK50" s="31"/>
      <c r="AL50" s="35">
        <f t="shared" si="20"/>
        <v>0</v>
      </c>
      <c r="AM50" s="24">
        <f t="shared" si="21"/>
        <v>0</v>
      </c>
      <c r="AN50" s="24"/>
      <c r="AO50" s="116"/>
      <c r="AP50" s="116"/>
      <c r="AQ50" s="63">
        <f t="shared" si="51"/>
        <v>9.0359999999999996</v>
      </c>
      <c r="AR50" s="63">
        <f t="shared" si="52"/>
        <v>-184.49199999999999</v>
      </c>
      <c r="AS50" s="63"/>
      <c r="AT50"/>
      <c r="AU50">
        <f>IF($E$4="M",IF(AX50&lt;78,BMILMS!$D$5*AX50^3+BMILMS!$E$5*AX50^2+BMILMS!$F$5*AX50+BMILMS!$G$5,IF(AX50&lt;150,BMILMS!$D$6*AX50^3+BMILMS!$E$6*AX50^2+BMILMS!$F$6*AX50+BMILMS!$G$6,BMILMS!$D$7*AX50^3+BMILMS!$E$7*AX50^2+BMILMS!$F$7*AX50+BMILMS!$G$7)),IF(AX50&lt;69,BMILMS!$D$9*AX50^3+BMILMS!$E$9*AX50^2+BMILMS!$F$9*AX50+BMILMS!$G$9,IF(AX50&lt;150,BMILMS!$D$10*AX50^3+BMILMS!$E$10*AX50^2+BMILMS!$F$10*AX50+BMILMS!$G$10,BMILMS!$D$11*AX50^3+BMILMS!$E$11*AX50^2+BMILMS!$F$11*AX50+BMILMS!$G$11)))</f>
        <v>0.79584630099999998</v>
      </c>
      <c r="AV50">
        <f>IF($E$4="M",(IF(AX50&lt;2.5,BMILMS!$D$21*AX50^3+BMILMS!$E$21*AX50^2+BMILMS!$F$21*AX50+BMILMS!$G$21,IF(AX50&lt;9.5,BMILMS!$D$22*AX50^3+BMILMS!$E$22*AX50^2+BMILMS!$F$22*AX50+BMILMS!$G$22,IF(AX50&lt;26.75,BMILMS!$D$23*AX50^3+BMILMS!$E$23*AX50^2+BMILMS!$F$23*AX50+BMILMS!$G$23,IF(AX50&lt;90,BMILMS!$D$24*AX50^3+BMILMS!$E$24*AX50^2+BMILMS!$F$24*AX50+BMILMS!$G$24,BMILMS!$D$25*AX50^3+BMILMS!$E$25*AX50^2+BMILMS!$F$25*AX50+BMILMS!$G$25))))),(IF(AX50&lt;2.5,BMILMS!$D$27*AX50^3+BMILMS!$E$27*AX50^2+BMILMS!$F$27*AX50+BMILMS!$G$27,IF(AX50&lt;9.5,BMILMS!$D$28*AX50^3+BMILMS!$E$28*AX50^2+BMILMS!$F$28*AX50+BMILMS!$G$28,IF(AX50&lt;26.75,BMILMS!$D$29*AX50^3+BMILMS!$E$29*AX50^2+BMILMS!$F$29*AX50+BMILMS!$G$29,IF(AX50&lt;90,BMILMS!$D$30*AX50^3+BMILMS!$E$30*AX50^2+BMILMS!$F$30*AX50+BMILMS!$G$30,IF(AX50&lt;150,BMILMS!$D$31*AX50^3+BMILMS!$E$31*AX50^2+BMILMS!$F$31*AX50+BMILMS!$G$31,BMILMS!$D$32*AX50^3+BMILMS!$E$32*AX50^2+BMILMS!$F$32*AX50+BMILMS!$G$32)))))))</f>
        <v>12.568967990000001</v>
      </c>
      <c r="AW50">
        <f>IF($E$4="M",(IF(AX50&lt;90,BMILMS!$D$14*AX50^3+BMILMS!$E$14*AX50^2+BMILMS!$F$14*AX50+BMILMS!$G$14,BMILMS!$D$15*AX50^3+BMILMS!$E$15*AX50^2+BMILMS!$F$15*AX50+BMILMS!$G$15)),(IF(AX50&lt;90,BMILMS!$D$17*AX50^3+BMILMS!$E$17*AX50^2+BMILMS!$F$17*AX50+BMILMS!$G$17,BMILMS!$D$18*AX50^3+BMILMS!$E$18*AX50^2+BMILMS!$F$18*AX50+BMILMS!$G$18)))</f>
        <v>8.8969350000000003E-2</v>
      </c>
      <c r="AX50" s="24">
        <f t="shared" si="33"/>
        <v>0</v>
      </c>
      <c r="AY50" s="24">
        <f t="shared" si="22"/>
        <v>0</v>
      </c>
      <c r="BA50">
        <f t="shared" si="42"/>
        <v>0.56299999999999994</v>
      </c>
      <c r="BB50">
        <f t="shared" si="43"/>
        <v>69</v>
      </c>
      <c r="BC50">
        <f t="shared" si="44"/>
        <v>0.51</v>
      </c>
    </row>
    <row r="51" spans="2:55" s="4" customFormat="1">
      <c r="B51" s="43"/>
      <c r="C51" s="145"/>
      <c r="D51" s="22"/>
      <c r="E51" s="114"/>
      <c r="F51" s="114"/>
      <c r="G51" s="114"/>
      <c r="H51" s="48" t="str">
        <f t="shared" si="45"/>
        <v/>
      </c>
      <c r="I51" s="115" t="str">
        <f t="shared" si="23"/>
        <v/>
      </c>
      <c r="J51" s="115" t="str">
        <f t="shared" si="46"/>
        <v/>
      </c>
      <c r="K51" s="115" t="str">
        <f t="shared" si="36"/>
        <v/>
      </c>
      <c r="L51" s="48" t="str">
        <f t="shared" si="24"/>
        <v/>
      </c>
      <c r="M51" s="115" t="str">
        <f t="shared" si="47"/>
        <v/>
      </c>
      <c r="N51" s="48" t="str">
        <f t="shared" si="48"/>
        <v/>
      </c>
      <c r="O51" s="115" t="str">
        <f t="shared" si="49"/>
        <v/>
      </c>
      <c r="P51" s="48" t="str">
        <f t="shared" si="50"/>
        <v/>
      </c>
      <c r="Q51" s="162" t="str">
        <f t="shared" si="27"/>
        <v/>
      </c>
      <c r="R51" s="48" t="str">
        <f t="shared" si="15"/>
        <v/>
      </c>
      <c r="S51" s="144" t="str">
        <f t="shared" si="16"/>
        <v/>
      </c>
      <c r="T51" s="144" t="str">
        <f t="shared" si="31"/>
        <v/>
      </c>
      <c r="U51" s="24"/>
      <c r="V51" s="24"/>
      <c r="W51" s="24"/>
      <c r="X51" s="24">
        <f t="shared" si="17"/>
        <v>0</v>
      </c>
      <c r="Y51" s="24"/>
      <c r="Z51" s="24" t="str">
        <f t="shared" si="39"/>
        <v/>
      </c>
      <c r="AA51" s="24" t="str">
        <f t="shared" si="26"/>
        <v/>
      </c>
      <c r="AB51" s="24">
        <f t="shared" si="8"/>
        <v>0</v>
      </c>
      <c r="AD51" s="24" t="e">
        <f t="shared" si="40"/>
        <v>#VALUE!</v>
      </c>
      <c r="AE51" s="24" t="e">
        <f t="shared" si="41"/>
        <v>#VALUE!</v>
      </c>
      <c r="AF51" s="24" t="e">
        <f t="shared" si="37"/>
        <v>#VALUE!</v>
      </c>
      <c r="AG51" s="24" t="e">
        <f t="shared" si="38"/>
        <v>#VALUE!</v>
      </c>
      <c r="AI51" s="24"/>
      <c r="AJ51" s="24" t="e">
        <f t="shared" si="30"/>
        <v>#VALUE!</v>
      </c>
      <c r="AK51" s="31"/>
      <c r="AL51" s="35">
        <f t="shared" si="20"/>
        <v>0</v>
      </c>
      <c r="AM51" s="24">
        <f t="shared" si="21"/>
        <v>0</v>
      </c>
      <c r="AN51" s="24"/>
      <c r="AO51" s="116"/>
      <c r="AP51" s="116"/>
      <c r="AQ51" s="63">
        <f t="shared" si="51"/>
        <v>9.0359999999999996</v>
      </c>
      <c r="AR51" s="63">
        <f t="shared" si="52"/>
        <v>-184.49199999999999</v>
      </c>
      <c r="AS51" s="63"/>
      <c r="AT51"/>
      <c r="AU51">
        <f>IF($E$4="M",IF(AX51&lt;78,BMILMS!$D$5*AX51^3+BMILMS!$E$5*AX51^2+BMILMS!$F$5*AX51+BMILMS!$G$5,IF(AX51&lt;150,BMILMS!$D$6*AX51^3+BMILMS!$E$6*AX51^2+BMILMS!$F$6*AX51+BMILMS!$G$6,BMILMS!$D$7*AX51^3+BMILMS!$E$7*AX51^2+BMILMS!$F$7*AX51+BMILMS!$G$7)),IF(AX51&lt;69,BMILMS!$D$9*AX51^3+BMILMS!$E$9*AX51^2+BMILMS!$F$9*AX51+BMILMS!$G$9,IF(AX51&lt;150,BMILMS!$D$10*AX51^3+BMILMS!$E$10*AX51^2+BMILMS!$F$10*AX51+BMILMS!$G$10,BMILMS!$D$11*AX51^3+BMILMS!$E$11*AX51^2+BMILMS!$F$11*AX51+BMILMS!$G$11)))</f>
        <v>0.79584630099999998</v>
      </c>
      <c r="AV51">
        <f>IF($E$4="M",(IF(AX51&lt;2.5,BMILMS!$D$21*AX51^3+BMILMS!$E$21*AX51^2+BMILMS!$F$21*AX51+BMILMS!$G$21,IF(AX51&lt;9.5,BMILMS!$D$22*AX51^3+BMILMS!$E$22*AX51^2+BMILMS!$F$22*AX51+BMILMS!$G$22,IF(AX51&lt;26.75,BMILMS!$D$23*AX51^3+BMILMS!$E$23*AX51^2+BMILMS!$F$23*AX51+BMILMS!$G$23,IF(AX51&lt;90,BMILMS!$D$24*AX51^3+BMILMS!$E$24*AX51^2+BMILMS!$F$24*AX51+BMILMS!$G$24,BMILMS!$D$25*AX51^3+BMILMS!$E$25*AX51^2+BMILMS!$F$25*AX51+BMILMS!$G$25))))),(IF(AX51&lt;2.5,BMILMS!$D$27*AX51^3+BMILMS!$E$27*AX51^2+BMILMS!$F$27*AX51+BMILMS!$G$27,IF(AX51&lt;9.5,BMILMS!$D$28*AX51^3+BMILMS!$E$28*AX51^2+BMILMS!$F$28*AX51+BMILMS!$G$28,IF(AX51&lt;26.75,BMILMS!$D$29*AX51^3+BMILMS!$E$29*AX51^2+BMILMS!$F$29*AX51+BMILMS!$G$29,IF(AX51&lt;90,BMILMS!$D$30*AX51^3+BMILMS!$E$30*AX51^2+BMILMS!$F$30*AX51+BMILMS!$G$30,IF(AX51&lt;150,BMILMS!$D$31*AX51^3+BMILMS!$E$31*AX51^2+BMILMS!$F$31*AX51+BMILMS!$G$31,BMILMS!$D$32*AX51^3+BMILMS!$E$32*AX51^2+BMILMS!$F$32*AX51+BMILMS!$G$32)))))))</f>
        <v>12.568967990000001</v>
      </c>
      <c r="AW51">
        <f>IF($E$4="M",(IF(AX51&lt;90,BMILMS!$D$14*AX51^3+BMILMS!$E$14*AX51^2+BMILMS!$F$14*AX51+BMILMS!$G$14,BMILMS!$D$15*AX51^3+BMILMS!$E$15*AX51^2+BMILMS!$F$15*AX51+BMILMS!$G$15)),(IF(AX51&lt;90,BMILMS!$D$17*AX51^3+BMILMS!$E$17*AX51^2+BMILMS!$F$17*AX51+BMILMS!$G$17,BMILMS!$D$18*AX51^3+BMILMS!$E$18*AX51^2+BMILMS!$F$18*AX51+BMILMS!$G$18)))</f>
        <v>8.8969350000000003E-2</v>
      </c>
      <c r="AX51" s="24">
        <f t="shared" si="33"/>
        <v>0</v>
      </c>
      <c r="AY51" s="24">
        <f t="shared" si="22"/>
        <v>0</v>
      </c>
      <c r="BA51">
        <f t="shared" si="42"/>
        <v>0.56299999999999994</v>
      </c>
      <c r="BB51">
        <f t="shared" si="43"/>
        <v>69</v>
      </c>
      <c r="BC51">
        <f t="shared" si="44"/>
        <v>0.51</v>
      </c>
    </row>
    <row r="52" spans="2:55" s="4" customFormat="1">
      <c r="B52" s="43"/>
      <c r="C52" s="145"/>
      <c r="D52" s="22"/>
      <c r="E52" s="114"/>
      <c r="F52" s="114"/>
      <c r="G52" s="114"/>
      <c r="H52" s="48" t="str">
        <f t="shared" si="45"/>
        <v/>
      </c>
      <c r="I52" s="115" t="str">
        <f t="shared" si="23"/>
        <v/>
      </c>
      <c r="J52" s="115" t="str">
        <f t="shared" si="46"/>
        <v/>
      </c>
      <c r="K52" s="115" t="str">
        <f t="shared" si="36"/>
        <v/>
      </c>
      <c r="L52" s="48" t="str">
        <f t="shared" si="24"/>
        <v/>
      </c>
      <c r="M52" s="115" t="str">
        <f t="shared" si="47"/>
        <v/>
      </c>
      <c r="N52" s="48" t="str">
        <f t="shared" si="48"/>
        <v/>
      </c>
      <c r="O52" s="115" t="str">
        <f t="shared" si="49"/>
        <v/>
      </c>
      <c r="P52" s="48" t="str">
        <f t="shared" si="50"/>
        <v/>
      </c>
      <c r="Q52" s="162" t="str">
        <f t="shared" si="27"/>
        <v/>
      </c>
      <c r="R52" s="48" t="str">
        <f t="shared" si="15"/>
        <v/>
      </c>
      <c r="S52" s="144" t="str">
        <f t="shared" si="16"/>
        <v/>
      </c>
      <c r="T52" s="144" t="str">
        <f t="shared" si="31"/>
        <v/>
      </c>
      <c r="U52" s="24"/>
      <c r="V52" s="24"/>
      <c r="W52" s="24"/>
      <c r="X52" s="24">
        <f t="shared" si="17"/>
        <v>0</v>
      </c>
      <c r="Y52" s="24"/>
      <c r="Z52" s="24" t="str">
        <f t="shared" si="39"/>
        <v/>
      </c>
      <c r="AA52" s="24" t="str">
        <f t="shared" si="26"/>
        <v/>
      </c>
      <c r="AB52" s="24">
        <f t="shared" si="8"/>
        <v>0</v>
      </c>
      <c r="AD52" s="24" t="e">
        <f t="shared" si="40"/>
        <v>#VALUE!</v>
      </c>
      <c r="AE52" s="24" t="e">
        <f t="shared" si="41"/>
        <v>#VALUE!</v>
      </c>
      <c r="AF52" s="24" t="e">
        <f t="shared" si="37"/>
        <v>#VALUE!</v>
      </c>
      <c r="AG52" s="24" t="e">
        <f t="shared" si="38"/>
        <v>#VALUE!</v>
      </c>
      <c r="AI52" s="24"/>
      <c r="AJ52" s="24" t="e">
        <f t="shared" si="30"/>
        <v>#VALUE!</v>
      </c>
      <c r="AK52" s="31"/>
      <c r="AL52" s="35">
        <f t="shared" si="20"/>
        <v>0</v>
      </c>
      <c r="AM52" s="24">
        <f t="shared" si="21"/>
        <v>0</v>
      </c>
      <c r="AN52" s="24"/>
      <c r="AO52" s="116"/>
      <c r="AP52" s="116"/>
      <c r="AQ52" s="63">
        <f t="shared" si="51"/>
        <v>9.0359999999999996</v>
      </c>
      <c r="AR52" s="63">
        <f t="shared" si="52"/>
        <v>-184.49199999999999</v>
      </c>
      <c r="AS52" s="63"/>
      <c r="AT52"/>
      <c r="AU52">
        <f>IF($E$4="M",IF(AX52&lt;78,BMILMS!$D$5*AX52^3+BMILMS!$E$5*AX52^2+BMILMS!$F$5*AX52+BMILMS!$G$5,IF(AX52&lt;150,BMILMS!$D$6*AX52^3+BMILMS!$E$6*AX52^2+BMILMS!$F$6*AX52+BMILMS!$G$6,BMILMS!$D$7*AX52^3+BMILMS!$E$7*AX52^2+BMILMS!$F$7*AX52+BMILMS!$G$7)),IF(AX52&lt;69,BMILMS!$D$9*AX52^3+BMILMS!$E$9*AX52^2+BMILMS!$F$9*AX52+BMILMS!$G$9,IF(AX52&lt;150,BMILMS!$D$10*AX52^3+BMILMS!$E$10*AX52^2+BMILMS!$F$10*AX52+BMILMS!$G$10,BMILMS!$D$11*AX52^3+BMILMS!$E$11*AX52^2+BMILMS!$F$11*AX52+BMILMS!$G$11)))</f>
        <v>0.79584630099999998</v>
      </c>
      <c r="AV52">
        <f>IF($E$4="M",(IF(AX52&lt;2.5,BMILMS!$D$21*AX52^3+BMILMS!$E$21*AX52^2+BMILMS!$F$21*AX52+BMILMS!$G$21,IF(AX52&lt;9.5,BMILMS!$D$22*AX52^3+BMILMS!$E$22*AX52^2+BMILMS!$F$22*AX52+BMILMS!$G$22,IF(AX52&lt;26.75,BMILMS!$D$23*AX52^3+BMILMS!$E$23*AX52^2+BMILMS!$F$23*AX52+BMILMS!$G$23,IF(AX52&lt;90,BMILMS!$D$24*AX52^3+BMILMS!$E$24*AX52^2+BMILMS!$F$24*AX52+BMILMS!$G$24,BMILMS!$D$25*AX52^3+BMILMS!$E$25*AX52^2+BMILMS!$F$25*AX52+BMILMS!$G$25))))),(IF(AX52&lt;2.5,BMILMS!$D$27*AX52^3+BMILMS!$E$27*AX52^2+BMILMS!$F$27*AX52+BMILMS!$G$27,IF(AX52&lt;9.5,BMILMS!$D$28*AX52^3+BMILMS!$E$28*AX52^2+BMILMS!$F$28*AX52+BMILMS!$G$28,IF(AX52&lt;26.75,BMILMS!$D$29*AX52^3+BMILMS!$E$29*AX52^2+BMILMS!$F$29*AX52+BMILMS!$G$29,IF(AX52&lt;90,BMILMS!$D$30*AX52^3+BMILMS!$E$30*AX52^2+BMILMS!$F$30*AX52+BMILMS!$G$30,IF(AX52&lt;150,BMILMS!$D$31*AX52^3+BMILMS!$E$31*AX52^2+BMILMS!$F$31*AX52+BMILMS!$G$31,BMILMS!$D$32*AX52^3+BMILMS!$E$32*AX52^2+BMILMS!$F$32*AX52+BMILMS!$G$32)))))))</f>
        <v>12.568967990000001</v>
      </c>
      <c r="AW52">
        <f>IF($E$4="M",(IF(AX52&lt;90,BMILMS!$D$14*AX52^3+BMILMS!$E$14*AX52^2+BMILMS!$F$14*AX52+BMILMS!$G$14,BMILMS!$D$15*AX52^3+BMILMS!$E$15*AX52^2+BMILMS!$F$15*AX52+BMILMS!$G$15)),(IF(AX52&lt;90,BMILMS!$D$17*AX52^3+BMILMS!$E$17*AX52^2+BMILMS!$F$17*AX52+BMILMS!$G$17,BMILMS!$D$18*AX52^3+BMILMS!$E$18*AX52^2+BMILMS!$F$18*AX52+BMILMS!$G$18)))</f>
        <v>8.8969350000000003E-2</v>
      </c>
      <c r="AX52" s="24">
        <f t="shared" si="33"/>
        <v>0</v>
      </c>
      <c r="AY52" s="24">
        <f t="shared" si="22"/>
        <v>0</v>
      </c>
      <c r="BA52">
        <f t="shared" si="42"/>
        <v>0.56299999999999994</v>
      </c>
      <c r="BB52">
        <f t="shared" si="43"/>
        <v>69</v>
      </c>
      <c r="BC52">
        <f t="shared" si="44"/>
        <v>0.51</v>
      </c>
    </row>
    <row r="53" spans="2:55" s="4" customFormat="1">
      <c r="B53" s="43"/>
      <c r="C53" s="145"/>
      <c r="D53" s="22"/>
      <c r="E53" s="114"/>
      <c r="F53" s="114"/>
      <c r="G53" s="114"/>
      <c r="H53" s="48" t="str">
        <f t="shared" si="45"/>
        <v/>
      </c>
      <c r="I53" s="115" t="str">
        <f t="shared" si="23"/>
        <v/>
      </c>
      <c r="J53" s="115" t="str">
        <f t="shared" si="46"/>
        <v/>
      </c>
      <c r="K53" s="115" t="str">
        <f t="shared" si="36"/>
        <v/>
      </c>
      <c r="L53" s="48" t="str">
        <f t="shared" si="24"/>
        <v/>
      </c>
      <c r="M53" s="115" t="str">
        <f t="shared" si="47"/>
        <v/>
      </c>
      <c r="N53" s="48" t="str">
        <f t="shared" si="48"/>
        <v/>
      </c>
      <c r="O53" s="115" t="str">
        <f t="shared" si="49"/>
        <v/>
      </c>
      <c r="P53" s="48" t="str">
        <f t="shared" si="50"/>
        <v/>
      </c>
      <c r="Q53" s="162" t="str">
        <f t="shared" si="27"/>
        <v/>
      </c>
      <c r="R53" s="48" t="str">
        <f t="shared" si="15"/>
        <v/>
      </c>
      <c r="S53" s="144" t="str">
        <f t="shared" si="16"/>
        <v/>
      </c>
      <c r="T53" s="144" t="str">
        <f t="shared" si="31"/>
        <v/>
      </c>
      <c r="U53" s="24"/>
      <c r="V53" s="24"/>
      <c r="W53" s="24"/>
      <c r="X53" s="24">
        <f t="shared" si="17"/>
        <v>0</v>
      </c>
      <c r="Y53" s="24"/>
      <c r="Z53" s="24" t="str">
        <f t="shared" si="39"/>
        <v/>
      </c>
      <c r="AA53" s="24" t="str">
        <f t="shared" si="26"/>
        <v/>
      </c>
      <c r="AB53" s="24">
        <f t="shared" si="8"/>
        <v>0</v>
      </c>
      <c r="AD53" s="24" t="e">
        <f t="shared" si="40"/>
        <v>#VALUE!</v>
      </c>
      <c r="AE53" s="24" t="e">
        <f t="shared" si="41"/>
        <v>#VALUE!</v>
      </c>
      <c r="AF53" s="24" t="e">
        <f t="shared" si="37"/>
        <v>#VALUE!</v>
      </c>
      <c r="AG53" s="24" t="e">
        <f t="shared" si="38"/>
        <v>#VALUE!</v>
      </c>
      <c r="AI53" s="24"/>
      <c r="AJ53" s="24" t="e">
        <f t="shared" si="30"/>
        <v>#VALUE!</v>
      </c>
      <c r="AK53" s="31"/>
      <c r="AL53" s="35">
        <f t="shared" si="20"/>
        <v>0</v>
      </c>
      <c r="AM53" s="24">
        <f t="shared" si="21"/>
        <v>0</v>
      </c>
      <c r="AN53" s="24"/>
      <c r="AO53" s="116"/>
      <c r="AP53" s="116"/>
      <c r="AQ53" s="63">
        <f t="shared" si="51"/>
        <v>9.0359999999999996</v>
      </c>
      <c r="AR53" s="63">
        <f t="shared" si="52"/>
        <v>-184.49199999999999</v>
      </c>
      <c r="AS53" s="63"/>
      <c r="AT53"/>
      <c r="AU53">
        <f>IF($E$4="M",IF(AX53&lt;78,BMILMS!$D$5*AX53^3+BMILMS!$E$5*AX53^2+BMILMS!$F$5*AX53+BMILMS!$G$5,IF(AX53&lt;150,BMILMS!$D$6*AX53^3+BMILMS!$E$6*AX53^2+BMILMS!$F$6*AX53+BMILMS!$G$6,BMILMS!$D$7*AX53^3+BMILMS!$E$7*AX53^2+BMILMS!$F$7*AX53+BMILMS!$G$7)),IF(AX53&lt;69,BMILMS!$D$9*AX53^3+BMILMS!$E$9*AX53^2+BMILMS!$F$9*AX53+BMILMS!$G$9,IF(AX53&lt;150,BMILMS!$D$10*AX53^3+BMILMS!$E$10*AX53^2+BMILMS!$F$10*AX53+BMILMS!$G$10,BMILMS!$D$11*AX53^3+BMILMS!$E$11*AX53^2+BMILMS!$F$11*AX53+BMILMS!$G$11)))</f>
        <v>0.79584630099999998</v>
      </c>
      <c r="AV53">
        <f>IF($E$4="M",(IF(AX53&lt;2.5,BMILMS!$D$21*AX53^3+BMILMS!$E$21*AX53^2+BMILMS!$F$21*AX53+BMILMS!$G$21,IF(AX53&lt;9.5,BMILMS!$D$22*AX53^3+BMILMS!$E$22*AX53^2+BMILMS!$F$22*AX53+BMILMS!$G$22,IF(AX53&lt;26.75,BMILMS!$D$23*AX53^3+BMILMS!$E$23*AX53^2+BMILMS!$F$23*AX53+BMILMS!$G$23,IF(AX53&lt;90,BMILMS!$D$24*AX53^3+BMILMS!$E$24*AX53^2+BMILMS!$F$24*AX53+BMILMS!$G$24,BMILMS!$D$25*AX53^3+BMILMS!$E$25*AX53^2+BMILMS!$F$25*AX53+BMILMS!$G$25))))),(IF(AX53&lt;2.5,BMILMS!$D$27*AX53^3+BMILMS!$E$27*AX53^2+BMILMS!$F$27*AX53+BMILMS!$G$27,IF(AX53&lt;9.5,BMILMS!$D$28*AX53^3+BMILMS!$E$28*AX53^2+BMILMS!$F$28*AX53+BMILMS!$G$28,IF(AX53&lt;26.75,BMILMS!$D$29*AX53^3+BMILMS!$E$29*AX53^2+BMILMS!$F$29*AX53+BMILMS!$G$29,IF(AX53&lt;90,BMILMS!$D$30*AX53^3+BMILMS!$E$30*AX53^2+BMILMS!$F$30*AX53+BMILMS!$G$30,IF(AX53&lt;150,BMILMS!$D$31*AX53^3+BMILMS!$E$31*AX53^2+BMILMS!$F$31*AX53+BMILMS!$G$31,BMILMS!$D$32*AX53^3+BMILMS!$E$32*AX53^2+BMILMS!$F$32*AX53+BMILMS!$G$32)))))))</f>
        <v>12.568967990000001</v>
      </c>
      <c r="AW53">
        <f>IF($E$4="M",(IF(AX53&lt;90,BMILMS!$D$14*AX53^3+BMILMS!$E$14*AX53^2+BMILMS!$F$14*AX53+BMILMS!$G$14,BMILMS!$D$15*AX53^3+BMILMS!$E$15*AX53^2+BMILMS!$F$15*AX53+BMILMS!$G$15)),(IF(AX53&lt;90,BMILMS!$D$17*AX53^3+BMILMS!$E$17*AX53^2+BMILMS!$F$17*AX53+BMILMS!$G$17,BMILMS!$D$18*AX53^3+BMILMS!$E$18*AX53^2+BMILMS!$F$18*AX53+BMILMS!$G$18)))</f>
        <v>8.8969350000000003E-2</v>
      </c>
      <c r="AX53" s="24">
        <f t="shared" si="33"/>
        <v>0</v>
      </c>
      <c r="AY53" s="24">
        <f t="shared" si="22"/>
        <v>0</v>
      </c>
      <c r="BA53">
        <f t="shared" si="42"/>
        <v>0.56299999999999994</v>
      </c>
      <c r="BB53">
        <f t="shared" si="43"/>
        <v>69</v>
      </c>
      <c r="BC53">
        <f t="shared" si="44"/>
        <v>0.51</v>
      </c>
    </row>
    <row r="54" spans="2:55" s="4" customFormat="1">
      <c r="B54" s="43"/>
      <c r="C54" s="145"/>
      <c r="D54" s="22"/>
      <c r="E54" s="114"/>
      <c r="F54" s="114"/>
      <c r="G54" s="114"/>
      <c r="H54" s="48" t="str">
        <f t="shared" si="45"/>
        <v/>
      </c>
      <c r="I54" s="115" t="str">
        <f t="shared" si="23"/>
        <v/>
      </c>
      <c r="J54" s="115" t="str">
        <f t="shared" si="46"/>
        <v/>
      </c>
      <c r="K54" s="115" t="str">
        <f t="shared" si="36"/>
        <v/>
      </c>
      <c r="L54" s="48" t="str">
        <f t="shared" si="24"/>
        <v/>
      </c>
      <c r="M54" s="115" t="str">
        <f t="shared" si="47"/>
        <v/>
      </c>
      <c r="N54" s="48" t="str">
        <f t="shared" si="48"/>
        <v/>
      </c>
      <c r="O54" s="115" t="str">
        <f t="shared" si="49"/>
        <v/>
      </c>
      <c r="P54" s="48" t="str">
        <f t="shared" si="50"/>
        <v/>
      </c>
      <c r="Q54" s="162" t="str">
        <f t="shared" si="27"/>
        <v/>
      </c>
      <c r="R54" s="48" t="str">
        <f t="shared" si="15"/>
        <v/>
      </c>
      <c r="S54" s="144" t="str">
        <f t="shared" si="16"/>
        <v/>
      </c>
      <c r="T54" s="144" t="str">
        <f t="shared" si="31"/>
        <v/>
      </c>
      <c r="U54" s="24"/>
      <c r="V54" s="24"/>
      <c r="W54" s="24"/>
      <c r="X54" s="24">
        <f t="shared" si="17"/>
        <v>0</v>
      </c>
      <c r="Y54" s="24"/>
      <c r="Z54" s="24" t="str">
        <f t="shared" si="39"/>
        <v/>
      </c>
      <c r="AA54" s="24" t="str">
        <f t="shared" si="26"/>
        <v/>
      </c>
      <c r="AB54" s="24">
        <f t="shared" si="8"/>
        <v>0</v>
      </c>
      <c r="AD54" s="24" t="e">
        <f t="shared" si="40"/>
        <v>#VALUE!</v>
      </c>
      <c r="AE54" s="24" t="e">
        <f t="shared" si="41"/>
        <v>#VALUE!</v>
      </c>
      <c r="AF54" s="24" t="e">
        <f t="shared" si="37"/>
        <v>#VALUE!</v>
      </c>
      <c r="AG54" s="24" t="e">
        <f t="shared" si="38"/>
        <v>#VALUE!</v>
      </c>
      <c r="AI54" s="24"/>
      <c r="AJ54" s="24" t="e">
        <f t="shared" si="30"/>
        <v>#VALUE!</v>
      </c>
      <c r="AK54" s="31"/>
      <c r="AL54" s="35">
        <f t="shared" si="20"/>
        <v>0</v>
      </c>
      <c r="AM54" s="24">
        <f t="shared" si="21"/>
        <v>0</v>
      </c>
      <c r="AN54" s="24"/>
      <c r="AO54" s="116"/>
      <c r="AP54" s="116"/>
      <c r="AQ54" s="63">
        <f t="shared" si="51"/>
        <v>9.0359999999999996</v>
      </c>
      <c r="AR54" s="63">
        <f t="shared" si="52"/>
        <v>-184.49199999999999</v>
      </c>
      <c r="AS54" s="63"/>
      <c r="AT54"/>
      <c r="AU54">
        <f>IF($E$4="M",IF(AX54&lt;78,BMILMS!$D$5*AX54^3+BMILMS!$E$5*AX54^2+BMILMS!$F$5*AX54+BMILMS!$G$5,IF(AX54&lt;150,BMILMS!$D$6*AX54^3+BMILMS!$E$6*AX54^2+BMILMS!$F$6*AX54+BMILMS!$G$6,BMILMS!$D$7*AX54^3+BMILMS!$E$7*AX54^2+BMILMS!$F$7*AX54+BMILMS!$G$7)),IF(AX54&lt;69,BMILMS!$D$9*AX54^3+BMILMS!$E$9*AX54^2+BMILMS!$F$9*AX54+BMILMS!$G$9,IF(AX54&lt;150,BMILMS!$D$10*AX54^3+BMILMS!$E$10*AX54^2+BMILMS!$F$10*AX54+BMILMS!$G$10,BMILMS!$D$11*AX54^3+BMILMS!$E$11*AX54^2+BMILMS!$F$11*AX54+BMILMS!$G$11)))</f>
        <v>0.79584630099999998</v>
      </c>
      <c r="AV54">
        <f>IF($E$4="M",(IF(AX54&lt;2.5,BMILMS!$D$21*AX54^3+BMILMS!$E$21*AX54^2+BMILMS!$F$21*AX54+BMILMS!$G$21,IF(AX54&lt;9.5,BMILMS!$D$22*AX54^3+BMILMS!$E$22*AX54^2+BMILMS!$F$22*AX54+BMILMS!$G$22,IF(AX54&lt;26.75,BMILMS!$D$23*AX54^3+BMILMS!$E$23*AX54^2+BMILMS!$F$23*AX54+BMILMS!$G$23,IF(AX54&lt;90,BMILMS!$D$24*AX54^3+BMILMS!$E$24*AX54^2+BMILMS!$F$24*AX54+BMILMS!$G$24,BMILMS!$D$25*AX54^3+BMILMS!$E$25*AX54^2+BMILMS!$F$25*AX54+BMILMS!$G$25))))),(IF(AX54&lt;2.5,BMILMS!$D$27*AX54^3+BMILMS!$E$27*AX54^2+BMILMS!$F$27*AX54+BMILMS!$G$27,IF(AX54&lt;9.5,BMILMS!$D$28*AX54^3+BMILMS!$E$28*AX54^2+BMILMS!$F$28*AX54+BMILMS!$G$28,IF(AX54&lt;26.75,BMILMS!$D$29*AX54^3+BMILMS!$E$29*AX54^2+BMILMS!$F$29*AX54+BMILMS!$G$29,IF(AX54&lt;90,BMILMS!$D$30*AX54^3+BMILMS!$E$30*AX54^2+BMILMS!$F$30*AX54+BMILMS!$G$30,IF(AX54&lt;150,BMILMS!$D$31*AX54^3+BMILMS!$E$31*AX54^2+BMILMS!$F$31*AX54+BMILMS!$G$31,BMILMS!$D$32*AX54^3+BMILMS!$E$32*AX54^2+BMILMS!$F$32*AX54+BMILMS!$G$32)))))))</f>
        <v>12.568967990000001</v>
      </c>
      <c r="AW54">
        <f>IF($E$4="M",(IF(AX54&lt;90,BMILMS!$D$14*AX54^3+BMILMS!$E$14*AX54^2+BMILMS!$F$14*AX54+BMILMS!$G$14,BMILMS!$D$15*AX54^3+BMILMS!$E$15*AX54^2+BMILMS!$F$15*AX54+BMILMS!$G$15)),(IF(AX54&lt;90,BMILMS!$D$17*AX54^3+BMILMS!$E$17*AX54^2+BMILMS!$F$17*AX54+BMILMS!$G$17,BMILMS!$D$18*AX54^3+BMILMS!$E$18*AX54^2+BMILMS!$F$18*AX54+BMILMS!$G$18)))</f>
        <v>8.8969350000000003E-2</v>
      </c>
      <c r="AX54" s="24">
        <f t="shared" si="33"/>
        <v>0</v>
      </c>
      <c r="AY54" s="24">
        <f t="shared" si="22"/>
        <v>0</v>
      </c>
      <c r="BA54">
        <f t="shared" si="42"/>
        <v>0.56299999999999994</v>
      </c>
      <c r="BB54">
        <f t="shared" si="43"/>
        <v>69</v>
      </c>
      <c r="BC54">
        <f t="shared" si="44"/>
        <v>0.51</v>
      </c>
    </row>
    <row r="55" spans="2:55" s="4" customFormat="1">
      <c r="B55" s="43"/>
      <c r="C55" s="145"/>
      <c r="D55" s="22"/>
      <c r="E55" s="114"/>
      <c r="F55" s="114"/>
      <c r="G55" s="114"/>
      <c r="H55" s="48" t="str">
        <f t="shared" si="45"/>
        <v/>
      </c>
      <c r="I55" s="115" t="str">
        <f t="shared" si="23"/>
        <v/>
      </c>
      <c r="J55" s="115" t="str">
        <f t="shared" si="46"/>
        <v/>
      </c>
      <c r="K55" s="115" t="str">
        <f t="shared" si="36"/>
        <v/>
      </c>
      <c r="L55" s="48" t="str">
        <f t="shared" si="24"/>
        <v/>
      </c>
      <c r="M55" s="115" t="str">
        <f t="shared" si="47"/>
        <v/>
      </c>
      <c r="N55" s="48" t="str">
        <f t="shared" si="48"/>
        <v/>
      </c>
      <c r="O55" s="115" t="str">
        <f t="shared" si="49"/>
        <v/>
      </c>
      <c r="P55" s="48" t="str">
        <f t="shared" si="50"/>
        <v/>
      </c>
      <c r="Q55" s="162" t="str">
        <f t="shared" si="27"/>
        <v/>
      </c>
      <c r="R55" s="48" t="str">
        <f t="shared" si="15"/>
        <v/>
      </c>
      <c r="S55" s="144" t="str">
        <f t="shared" si="16"/>
        <v/>
      </c>
      <c r="T55" s="144" t="str">
        <f t="shared" si="31"/>
        <v/>
      </c>
      <c r="U55" s="24"/>
      <c r="V55" s="24"/>
      <c r="W55" s="24"/>
      <c r="X55" s="24">
        <f t="shared" si="17"/>
        <v>0</v>
      </c>
      <c r="Y55" s="24"/>
      <c r="Z55" s="24" t="str">
        <f t="shared" si="39"/>
        <v/>
      </c>
      <c r="AA55" s="24" t="str">
        <f t="shared" si="26"/>
        <v/>
      </c>
      <c r="AB55" s="24">
        <f t="shared" si="8"/>
        <v>0</v>
      </c>
      <c r="AD55" s="24" t="e">
        <f t="shared" si="40"/>
        <v>#VALUE!</v>
      </c>
      <c r="AE55" s="24" t="e">
        <f t="shared" si="41"/>
        <v>#VALUE!</v>
      </c>
      <c r="AF55" s="24" t="e">
        <f t="shared" si="37"/>
        <v>#VALUE!</v>
      </c>
      <c r="AG55" s="24" t="e">
        <f t="shared" si="38"/>
        <v>#VALUE!</v>
      </c>
      <c r="AI55" s="24"/>
      <c r="AJ55" s="24" t="e">
        <f t="shared" si="30"/>
        <v>#VALUE!</v>
      </c>
      <c r="AK55" s="31"/>
      <c r="AL55" s="35">
        <f t="shared" si="20"/>
        <v>0</v>
      </c>
      <c r="AM55" s="24">
        <f t="shared" si="21"/>
        <v>0</v>
      </c>
      <c r="AN55" s="24"/>
      <c r="AO55" s="116"/>
      <c r="AP55" s="116"/>
      <c r="AQ55" s="63">
        <f t="shared" si="51"/>
        <v>9.0359999999999996</v>
      </c>
      <c r="AR55" s="63">
        <f t="shared" si="52"/>
        <v>-184.49199999999999</v>
      </c>
      <c r="AS55" s="63"/>
      <c r="AT55"/>
      <c r="AU55">
        <f>IF($E$4="M",IF(AX55&lt;78,BMILMS!$D$5*AX55^3+BMILMS!$E$5*AX55^2+BMILMS!$F$5*AX55+BMILMS!$G$5,IF(AX55&lt;150,BMILMS!$D$6*AX55^3+BMILMS!$E$6*AX55^2+BMILMS!$F$6*AX55+BMILMS!$G$6,BMILMS!$D$7*AX55^3+BMILMS!$E$7*AX55^2+BMILMS!$F$7*AX55+BMILMS!$G$7)),IF(AX55&lt;69,BMILMS!$D$9*AX55^3+BMILMS!$E$9*AX55^2+BMILMS!$F$9*AX55+BMILMS!$G$9,IF(AX55&lt;150,BMILMS!$D$10*AX55^3+BMILMS!$E$10*AX55^2+BMILMS!$F$10*AX55+BMILMS!$G$10,BMILMS!$D$11*AX55^3+BMILMS!$E$11*AX55^2+BMILMS!$F$11*AX55+BMILMS!$G$11)))</f>
        <v>0.79584630099999998</v>
      </c>
      <c r="AV55">
        <f>IF($E$4="M",(IF(AX55&lt;2.5,BMILMS!$D$21*AX55^3+BMILMS!$E$21*AX55^2+BMILMS!$F$21*AX55+BMILMS!$G$21,IF(AX55&lt;9.5,BMILMS!$D$22*AX55^3+BMILMS!$E$22*AX55^2+BMILMS!$F$22*AX55+BMILMS!$G$22,IF(AX55&lt;26.75,BMILMS!$D$23*AX55^3+BMILMS!$E$23*AX55^2+BMILMS!$F$23*AX55+BMILMS!$G$23,IF(AX55&lt;90,BMILMS!$D$24*AX55^3+BMILMS!$E$24*AX55^2+BMILMS!$F$24*AX55+BMILMS!$G$24,BMILMS!$D$25*AX55^3+BMILMS!$E$25*AX55^2+BMILMS!$F$25*AX55+BMILMS!$G$25))))),(IF(AX55&lt;2.5,BMILMS!$D$27*AX55^3+BMILMS!$E$27*AX55^2+BMILMS!$F$27*AX55+BMILMS!$G$27,IF(AX55&lt;9.5,BMILMS!$D$28*AX55^3+BMILMS!$E$28*AX55^2+BMILMS!$F$28*AX55+BMILMS!$G$28,IF(AX55&lt;26.75,BMILMS!$D$29*AX55^3+BMILMS!$E$29*AX55^2+BMILMS!$F$29*AX55+BMILMS!$G$29,IF(AX55&lt;90,BMILMS!$D$30*AX55^3+BMILMS!$E$30*AX55^2+BMILMS!$F$30*AX55+BMILMS!$G$30,IF(AX55&lt;150,BMILMS!$D$31*AX55^3+BMILMS!$E$31*AX55^2+BMILMS!$F$31*AX55+BMILMS!$G$31,BMILMS!$D$32*AX55^3+BMILMS!$E$32*AX55^2+BMILMS!$F$32*AX55+BMILMS!$G$32)))))))</f>
        <v>12.568967990000001</v>
      </c>
      <c r="AW55">
        <f>IF($E$4="M",(IF(AX55&lt;90,BMILMS!$D$14*AX55^3+BMILMS!$E$14*AX55^2+BMILMS!$F$14*AX55+BMILMS!$G$14,BMILMS!$D$15*AX55^3+BMILMS!$E$15*AX55^2+BMILMS!$F$15*AX55+BMILMS!$G$15)),(IF(AX55&lt;90,BMILMS!$D$17*AX55^3+BMILMS!$E$17*AX55^2+BMILMS!$F$17*AX55+BMILMS!$G$17,BMILMS!$D$18*AX55^3+BMILMS!$E$18*AX55^2+BMILMS!$F$18*AX55+BMILMS!$G$18)))</f>
        <v>8.8969350000000003E-2</v>
      </c>
      <c r="AX55" s="24">
        <f t="shared" si="33"/>
        <v>0</v>
      </c>
      <c r="AY55" s="24">
        <f t="shared" si="22"/>
        <v>0</v>
      </c>
      <c r="BA55">
        <f t="shared" si="42"/>
        <v>0.56299999999999994</v>
      </c>
      <c r="BB55">
        <f t="shared" si="43"/>
        <v>69</v>
      </c>
      <c r="BC55">
        <f t="shared" si="44"/>
        <v>0.51</v>
      </c>
    </row>
    <row r="56" spans="2:55" s="4" customFormat="1">
      <c r="B56" s="43"/>
      <c r="C56" s="145"/>
      <c r="D56" s="22"/>
      <c r="E56" s="114"/>
      <c r="F56" s="114"/>
      <c r="G56" s="114"/>
      <c r="H56" s="48" t="str">
        <f t="shared" si="45"/>
        <v/>
      </c>
      <c r="I56" s="115" t="str">
        <f t="shared" si="23"/>
        <v/>
      </c>
      <c r="J56" s="115" t="str">
        <f t="shared" si="46"/>
        <v/>
      </c>
      <c r="K56" s="115" t="str">
        <f t="shared" si="36"/>
        <v/>
      </c>
      <c r="L56" s="48" t="str">
        <f t="shared" si="24"/>
        <v/>
      </c>
      <c r="M56" s="115" t="str">
        <f t="shared" si="47"/>
        <v/>
      </c>
      <c r="N56" s="48" t="str">
        <f t="shared" si="48"/>
        <v/>
      </c>
      <c r="O56" s="115" t="str">
        <f t="shared" si="49"/>
        <v/>
      </c>
      <c r="P56" s="48" t="str">
        <f t="shared" si="50"/>
        <v/>
      </c>
      <c r="Q56" s="162" t="str">
        <f t="shared" si="27"/>
        <v/>
      </c>
      <c r="R56" s="48" t="str">
        <f t="shared" si="15"/>
        <v/>
      </c>
      <c r="S56" s="144" t="str">
        <f t="shared" si="16"/>
        <v/>
      </c>
      <c r="T56" s="144" t="str">
        <f t="shared" si="31"/>
        <v/>
      </c>
      <c r="U56" s="24"/>
      <c r="V56" s="24"/>
      <c r="W56" s="24"/>
      <c r="X56" s="24">
        <f t="shared" si="17"/>
        <v>0</v>
      </c>
      <c r="Y56" s="24"/>
      <c r="Z56" s="24" t="str">
        <f t="shared" si="39"/>
        <v/>
      </c>
      <c r="AA56" s="24" t="str">
        <f t="shared" si="26"/>
        <v/>
      </c>
      <c r="AB56" s="24">
        <f t="shared" si="8"/>
        <v>0</v>
      </c>
      <c r="AD56" s="24" t="e">
        <f t="shared" si="40"/>
        <v>#VALUE!</v>
      </c>
      <c r="AE56" s="24" t="e">
        <f t="shared" si="41"/>
        <v>#VALUE!</v>
      </c>
      <c r="AF56" s="24" t="e">
        <f t="shared" si="37"/>
        <v>#VALUE!</v>
      </c>
      <c r="AG56" s="24" t="e">
        <f t="shared" si="38"/>
        <v>#VALUE!</v>
      </c>
      <c r="AI56" s="24"/>
      <c r="AJ56" s="24" t="e">
        <f t="shared" si="30"/>
        <v>#VALUE!</v>
      </c>
      <c r="AK56" s="31"/>
      <c r="AL56" s="35">
        <f t="shared" si="20"/>
        <v>0</v>
      </c>
      <c r="AM56" s="24">
        <f t="shared" si="21"/>
        <v>0</v>
      </c>
      <c r="AN56" s="24"/>
      <c r="AO56" s="116"/>
      <c r="AP56" s="116"/>
      <c r="AQ56" s="63">
        <f t="shared" si="51"/>
        <v>9.0359999999999996</v>
      </c>
      <c r="AR56" s="63">
        <f t="shared" si="52"/>
        <v>-184.49199999999999</v>
      </c>
      <c r="AS56" s="63"/>
      <c r="AT56"/>
      <c r="AU56">
        <f>IF($E$4="M",IF(AX56&lt;78,BMILMS!$D$5*AX56^3+BMILMS!$E$5*AX56^2+BMILMS!$F$5*AX56+BMILMS!$G$5,IF(AX56&lt;150,BMILMS!$D$6*AX56^3+BMILMS!$E$6*AX56^2+BMILMS!$F$6*AX56+BMILMS!$G$6,BMILMS!$D$7*AX56^3+BMILMS!$E$7*AX56^2+BMILMS!$F$7*AX56+BMILMS!$G$7)),IF(AX56&lt;69,BMILMS!$D$9*AX56^3+BMILMS!$E$9*AX56^2+BMILMS!$F$9*AX56+BMILMS!$G$9,IF(AX56&lt;150,BMILMS!$D$10*AX56^3+BMILMS!$E$10*AX56^2+BMILMS!$F$10*AX56+BMILMS!$G$10,BMILMS!$D$11*AX56^3+BMILMS!$E$11*AX56^2+BMILMS!$F$11*AX56+BMILMS!$G$11)))</f>
        <v>0.79584630099999998</v>
      </c>
      <c r="AV56">
        <f>IF($E$4="M",(IF(AX56&lt;2.5,BMILMS!$D$21*AX56^3+BMILMS!$E$21*AX56^2+BMILMS!$F$21*AX56+BMILMS!$G$21,IF(AX56&lt;9.5,BMILMS!$D$22*AX56^3+BMILMS!$E$22*AX56^2+BMILMS!$F$22*AX56+BMILMS!$G$22,IF(AX56&lt;26.75,BMILMS!$D$23*AX56^3+BMILMS!$E$23*AX56^2+BMILMS!$F$23*AX56+BMILMS!$G$23,IF(AX56&lt;90,BMILMS!$D$24*AX56^3+BMILMS!$E$24*AX56^2+BMILMS!$F$24*AX56+BMILMS!$G$24,BMILMS!$D$25*AX56^3+BMILMS!$E$25*AX56^2+BMILMS!$F$25*AX56+BMILMS!$G$25))))),(IF(AX56&lt;2.5,BMILMS!$D$27*AX56^3+BMILMS!$E$27*AX56^2+BMILMS!$F$27*AX56+BMILMS!$G$27,IF(AX56&lt;9.5,BMILMS!$D$28*AX56^3+BMILMS!$E$28*AX56^2+BMILMS!$F$28*AX56+BMILMS!$G$28,IF(AX56&lt;26.75,BMILMS!$D$29*AX56^3+BMILMS!$E$29*AX56^2+BMILMS!$F$29*AX56+BMILMS!$G$29,IF(AX56&lt;90,BMILMS!$D$30*AX56^3+BMILMS!$E$30*AX56^2+BMILMS!$F$30*AX56+BMILMS!$G$30,IF(AX56&lt;150,BMILMS!$D$31*AX56^3+BMILMS!$E$31*AX56^2+BMILMS!$F$31*AX56+BMILMS!$G$31,BMILMS!$D$32*AX56^3+BMILMS!$E$32*AX56^2+BMILMS!$F$32*AX56+BMILMS!$G$32)))))))</f>
        <v>12.568967990000001</v>
      </c>
      <c r="AW56">
        <f>IF($E$4="M",(IF(AX56&lt;90,BMILMS!$D$14*AX56^3+BMILMS!$E$14*AX56^2+BMILMS!$F$14*AX56+BMILMS!$G$14,BMILMS!$D$15*AX56^3+BMILMS!$E$15*AX56^2+BMILMS!$F$15*AX56+BMILMS!$G$15)),(IF(AX56&lt;90,BMILMS!$D$17*AX56^3+BMILMS!$E$17*AX56^2+BMILMS!$F$17*AX56+BMILMS!$G$17,BMILMS!$D$18*AX56^3+BMILMS!$E$18*AX56^2+BMILMS!$F$18*AX56+BMILMS!$G$18)))</f>
        <v>8.8969350000000003E-2</v>
      </c>
      <c r="AX56" s="24">
        <f t="shared" si="33"/>
        <v>0</v>
      </c>
      <c r="AY56" s="24">
        <f t="shared" si="22"/>
        <v>0</v>
      </c>
      <c r="BA56">
        <f t="shared" si="42"/>
        <v>0.56299999999999994</v>
      </c>
      <c r="BB56">
        <f t="shared" si="43"/>
        <v>69</v>
      </c>
      <c r="BC56">
        <f t="shared" si="44"/>
        <v>0.51</v>
      </c>
    </row>
    <row r="57" spans="2:55" s="4" customFormat="1" ht="14.25" thickBot="1">
      <c r="B57" s="43"/>
      <c r="C57" s="146"/>
      <c r="D57" s="22"/>
      <c r="E57" s="114"/>
      <c r="F57" s="114"/>
      <c r="G57" s="114"/>
      <c r="H57" s="48" t="str">
        <f t="shared" si="45"/>
        <v/>
      </c>
      <c r="I57" s="115" t="str">
        <f t="shared" si="23"/>
        <v/>
      </c>
      <c r="J57" s="115" t="str">
        <f t="shared" si="46"/>
        <v/>
      </c>
      <c r="K57" s="115" t="str">
        <f t="shared" si="36"/>
        <v/>
      </c>
      <c r="L57" s="48" t="str">
        <f t="shared" si="24"/>
        <v/>
      </c>
      <c r="M57" s="115" t="str">
        <f t="shared" si="47"/>
        <v/>
      </c>
      <c r="N57" s="48" t="str">
        <f t="shared" si="48"/>
        <v/>
      </c>
      <c r="O57" s="115" t="str">
        <f t="shared" si="49"/>
        <v/>
      </c>
      <c r="P57" s="48" t="str">
        <f t="shared" si="50"/>
        <v/>
      </c>
      <c r="Q57" s="162" t="str">
        <f t="shared" si="27"/>
        <v/>
      </c>
      <c r="R57" s="48" t="str">
        <f t="shared" si="15"/>
        <v/>
      </c>
      <c r="S57" s="144" t="str">
        <f t="shared" si="16"/>
        <v/>
      </c>
      <c r="T57" s="144" t="str">
        <f t="shared" si="31"/>
        <v/>
      </c>
      <c r="U57" s="24"/>
      <c r="V57" s="24"/>
      <c r="W57" s="24"/>
      <c r="X57" s="24">
        <f t="shared" si="17"/>
        <v>0</v>
      </c>
      <c r="Y57" s="24"/>
      <c r="Z57" s="24" t="str">
        <f t="shared" si="39"/>
        <v/>
      </c>
      <c r="AA57" s="24" t="str">
        <f t="shared" si="26"/>
        <v/>
      </c>
      <c r="AB57" s="24">
        <f t="shared" si="8"/>
        <v>0</v>
      </c>
      <c r="AD57" s="24" t="e">
        <f t="shared" si="40"/>
        <v>#VALUE!</v>
      </c>
      <c r="AE57" s="24" t="e">
        <f t="shared" si="41"/>
        <v>#VALUE!</v>
      </c>
      <c r="AF57" s="24" t="e">
        <f t="shared" si="37"/>
        <v>#VALUE!</v>
      </c>
      <c r="AG57" s="24" t="e">
        <f t="shared" si="38"/>
        <v>#VALUE!</v>
      </c>
      <c r="AI57" s="24"/>
      <c r="AJ57" s="24" t="e">
        <f t="shared" si="30"/>
        <v>#VALUE!</v>
      </c>
      <c r="AK57" s="31"/>
      <c r="AL57" s="35">
        <f t="shared" si="20"/>
        <v>0</v>
      </c>
      <c r="AM57" s="24">
        <f t="shared" si="21"/>
        <v>0</v>
      </c>
      <c r="AN57" s="24"/>
      <c r="AO57" s="116"/>
      <c r="AP57" s="116"/>
      <c r="AQ57" s="63">
        <f t="shared" si="51"/>
        <v>9.0359999999999996</v>
      </c>
      <c r="AR57" s="63">
        <f t="shared" si="52"/>
        <v>-184.49199999999999</v>
      </c>
      <c r="AS57" s="63"/>
      <c r="AT57"/>
      <c r="AU57">
        <f>IF($E$4="M",IF(AX57&lt;78,BMILMS!$D$5*AX57^3+BMILMS!$E$5*AX57^2+BMILMS!$F$5*AX57+BMILMS!$G$5,IF(AX57&lt;150,BMILMS!$D$6*AX57^3+BMILMS!$E$6*AX57^2+BMILMS!$F$6*AX57+BMILMS!$G$6,BMILMS!$D$7*AX57^3+BMILMS!$E$7*AX57^2+BMILMS!$F$7*AX57+BMILMS!$G$7)),IF(AX57&lt;69,BMILMS!$D$9*AX57^3+BMILMS!$E$9*AX57^2+BMILMS!$F$9*AX57+BMILMS!$G$9,IF(AX57&lt;150,BMILMS!$D$10*AX57^3+BMILMS!$E$10*AX57^2+BMILMS!$F$10*AX57+BMILMS!$G$10,BMILMS!$D$11*AX57^3+BMILMS!$E$11*AX57^2+BMILMS!$F$11*AX57+BMILMS!$G$11)))</f>
        <v>0.79584630099999998</v>
      </c>
      <c r="AV57">
        <f>IF($E$4="M",(IF(AX57&lt;2.5,BMILMS!$D$21*AX57^3+BMILMS!$E$21*AX57^2+BMILMS!$F$21*AX57+BMILMS!$G$21,IF(AX57&lt;9.5,BMILMS!$D$22*AX57^3+BMILMS!$E$22*AX57^2+BMILMS!$F$22*AX57+BMILMS!$G$22,IF(AX57&lt;26.75,BMILMS!$D$23*AX57^3+BMILMS!$E$23*AX57^2+BMILMS!$F$23*AX57+BMILMS!$G$23,IF(AX57&lt;90,BMILMS!$D$24*AX57^3+BMILMS!$E$24*AX57^2+BMILMS!$F$24*AX57+BMILMS!$G$24,BMILMS!$D$25*AX57^3+BMILMS!$E$25*AX57^2+BMILMS!$F$25*AX57+BMILMS!$G$25))))),(IF(AX57&lt;2.5,BMILMS!$D$27*AX57^3+BMILMS!$E$27*AX57^2+BMILMS!$F$27*AX57+BMILMS!$G$27,IF(AX57&lt;9.5,BMILMS!$D$28*AX57^3+BMILMS!$E$28*AX57^2+BMILMS!$F$28*AX57+BMILMS!$G$28,IF(AX57&lt;26.75,BMILMS!$D$29*AX57^3+BMILMS!$E$29*AX57^2+BMILMS!$F$29*AX57+BMILMS!$G$29,IF(AX57&lt;90,BMILMS!$D$30*AX57^3+BMILMS!$E$30*AX57^2+BMILMS!$F$30*AX57+BMILMS!$G$30,IF(AX57&lt;150,BMILMS!$D$31*AX57^3+BMILMS!$E$31*AX57^2+BMILMS!$F$31*AX57+BMILMS!$G$31,BMILMS!$D$32*AX57^3+BMILMS!$E$32*AX57^2+BMILMS!$F$32*AX57+BMILMS!$G$32)))))))</f>
        <v>12.568967990000001</v>
      </c>
      <c r="AW57">
        <f>IF($E$4="M",(IF(AX57&lt;90,BMILMS!$D$14*AX57^3+BMILMS!$E$14*AX57^2+BMILMS!$F$14*AX57+BMILMS!$G$14,BMILMS!$D$15*AX57^3+BMILMS!$E$15*AX57^2+BMILMS!$F$15*AX57+BMILMS!$G$15)),(IF(AX57&lt;90,BMILMS!$D$17*AX57^3+BMILMS!$E$17*AX57^2+BMILMS!$F$17*AX57+BMILMS!$G$17,BMILMS!$D$18*AX57^3+BMILMS!$E$18*AX57^2+BMILMS!$F$18*AX57+BMILMS!$G$18)))</f>
        <v>8.8969350000000003E-2</v>
      </c>
      <c r="AX57" s="24">
        <f t="shared" si="33"/>
        <v>0</v>
      </c>
      <c r="AY57" s="24">
        <f t="shared" si="22"/>
        <v>0</v>
      </c>
      <c r="BA57">
        <f t="shared" si="42"/>
        <v>0.56299999999999994</v>
      </c>
      <c r="BB57">
        <f t="shared" si="43"/>
        <v>69</v>
      </c>
      <c r="BC57">
        <f t="shared" si="44"/>
        <v>0.51</v>
      </c>
    </row>
  </sheetData>
  <sheetProtection password="8E09" sheet="1" objects="1" scenarios="1" formatCells="0" formatColumns="0" formatRows="0" insertColumns="0" insertRows="0"/>
  <mergeCells count="2">
    <mergeCell ref="J6:K6"/>
    <mergeCell ref="C6:C7"/>
  </mergeCells>
  <phoneticPr fontId="1"/>
  <pageMargins left="0.7" right="0.7" top="0.75" bottom="0.75" header="0.3" footer="0.3"/>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O1002"/>
  <sheetViews>
    <sheetView workbookViewId="0">
      <pane ySplit="2" topLeftCell="A3" activePane="bottomLeft" state="frozen"/>
      <selection activeCell="B1" sqref="B1"/>
      <selection pane="bottomLeft" activeCell="B3" sqref="B3"/>
    </sheetView>
  </sheetViews>
  <sheetFormatPr defaultColWidth="9" defaultRowHeight="13.5"/>
  <cols>
    <col min="1" max="1" width="2.875" style="24" customWidth="1"/>
    <col min="2" max="2" width="9.375" style="24" customWidth="1"/>
    <col min="3" max="3" width="12.5" style="24" customWidth="1"/>
    <col min="4" max="4" width="4.75" style="24" customWidth="1"/>
    <col min="5" max="5" width="12.125" style="24" customWidth="1"/>
    <col min="6" max="6" width="13.125" style="24" customWidth="1"/>
    <col min="7" max="8" width="7.875" style="25" customWidth="1"/>
    <col min="9" max="10" width="10.25" style="26" customWidth="1"/>
    <col min="11" max="12" width="10.5" style="24" customWidth="1"/>
    <col min="13" max="16" width="5.625" style="24" customWidth="1"/>
    <col min="17" max="17" width="8.625" style="24" customWidth="1"/>
    <col min="18" max="18" width="10.625" style="24" customWidth="1"/>
    <col min="19" max="19" width="11.5" style="24" customWidth="1"/>
    <col min="20" max="20" width="9" customWidth="1"/>
    <col min="21" max="21" width="3.625" style="27" hidden="1" customWidth="1"/>
    <col min="22" max="22" width="4.25" style="24" hidden="1" customWidth="1"/>
    <col min="23" max="23" width="15" style="24" hidden="1" customWidth="1"/>
    <col min="24" max="26" width="5" style="24" hidden="1" customWidth="1"/>
    <col min="27" max="27" width="8" style="24" hidden="1" customWidth="1"/>
    <col min="28" max="28" width="14.5" style="24" hidden="1" customWidth="1"/>
    <col min="29" max="29" width="10.875" style="24" hidden="1" customWidth="1"/>
    <col min="30" max="34" width="9" style="24" hidden="1" customWidth="1"/>
    <col min="35" max="35" width="9.875" style="24" hidden="1" customWidth="1"/>
    <col min="36" max="38" width="9" style="24" hidden="1" customWidth="1"/>
    <col min="39" max="39" width="0" style="24" hidden="1" customWidth="1"/>
    <col min="40" max="16384" width="9" style="24"/>
  </cols>
  <sheetData>
    <row r="1" spans="1:41">
      <c r="B1" s="4"/>
      <c r="C1" s="4"/>
      <c r="D1" s="4"/>
      <c r="E1" s="4"/>
      <c r="F1" s="4"/>
      <c r="G1" s="63"/>
      <c r="H1" s="63"/>
      <c r="I1" s="65"/>
      <c r="J1" s="66" t="s">
        <v>59</v>
      </c>
      <c r="K1" s="175" t="s">
        <v>58</v>
      </c>
      <c r="L1" s="175"/>
      <c r="M1" s="4"/>
      <c r="N1" s="4"/>
      <c r="O1" s="4"/>
      <c r="P1" s="4"/>
      <c r="Q1" s="4"/>
      <c r="R1" s="4"/>
      <c r="AD1" s="24" t="s">
        <v>124</v>
      </c>
      <c r="AI1" s="24" t="s">
        <v>125</v>
      </c>
    </row>
    <row r="2" spans="1:41" ht="81" customHeight="1">
      <c r="A2" s="4"/>
      <c r="B2" s="5" t="s">
        <v>20</v>
      </c>
      <c r="C2" s="5" t="s">
        <v>21</v>
      </c>
      <c r="D2" s="5" t="s">
        <v>40</v>
      </c>
      <c r="E2" s="5" t="s">
        <v>39</v>
      </c>
      <c r="F2" s="5" t="s">
        <v>38</v>
      </c>
      <c r="G2" s="6" t="s">
        <v>37</v>
      </c>
      <c r="H2" s="6" t="s">
        <v>36</v>
      </c>
      <c r="I2" s="64" t="s">
        <v>30</v>
      </c>
      <c r="J2" s="20" t="s">
        <v>54</v>
      </c>
      <c r="K2" s="20" t="s">
        <v>53</v>
      </c>
      <c r="L2" s="20" t="s">
        <v>54</v>
      </c>
      <c r="M2" s="5" t="s">
        <v>22</v>
      </c>
      <c r="N2" s="5" t="s">
        <v>35</v>
      </c>
      <c r="O2" s="5" t="s">
        <v>23</v>
      </c>
      <c r="P2" s="5" t="s">
        <v>181</v>
      </c>
      <c r="Q2" s="5" t="s">
        <v>60</v>
      </c>
      <c r="R2" s="5" t="s">
        <v>55</v>
      </c>
      <c r="S2" s="7"/>
      <c r="U2" s="33" t="s">
        <v>24</v>
      </c>
      <c r="V2" s="32" t="s">
        <v>25</v>
      </c>
      <c r="W2" s="32" t="s">
        <v>98</v>
      </c>
      <c r="X2" s="32"/>
      <c r="Y2" s="32"/>
      <c r="Z2" s="32"/>
      <c r="AA2" s="34" t="s">
        <v>56</v>
      </c>
      <c r="AB2" s="34" t="s">
        <v>57</v>
      </c>
      <c r="AD2" s="24" t="s">
        <v>26</v>
      </c>
      <c r="AE2" s="24" t="s">
        <v>27</v>
      </c>
      <c r="AF2" s="24" t="s">
        <v>28</v>
      </c>
      <c r="AG2" s="24" t="s">
        <v>29</v>
      </c>
      <c r="AI2" s="38" t="s">
        <v>26</v>
      </c>
      <c r="AJ2" s="24" t="s">
        <v>27</v>
      </c>
      <c r="AK2" s="24" t="s">
        <v>28</v>
      </c>
      <c r="AL2" s="24" t="s">
        <v>29</v>
      </c>
    </row>
    <row r="3" spans="1:41">
      <c r="A3" s="4"/>
      <c r="B3" s="21"/>
      <c r="C3" s="21"/>
      <c r="D3" s="21"/>
      <c r="E3" s="22"/>
      <c r="F3" s="22"/>
      <c r="G3" s="23"/>
      <c r="H3" s="23"/>
      <c r="I3" s="8" t="str">
        <f t="shared" ref="I3:I66" si="0">IF(COUNTA(D3,E3,F3,G3,H3)=5,IF(Q3&gt;17.583,"       *",(G3-(INDEX(IF(D3="F",Hfemalemean,Hmalemean),V3+1,U3+1)))/(INDEX(IF(D3="F",Hfemalesd,Hmalesd),V3+1,U3+1))),"")</f>
        <v/>
      </c>
      <c r="J3" s="2" t="str">
        <f>IF(COUNTA(D3,E3,F3,G3,H3)=5,IF(Q3&lt;1,"       *",IF(Q3&gt;=6,"       *",IF(G3&gt;=120,"       *",IF(G3&lt;70,"       *",(H3-AA3)/AA3*100)))),"")</f>
        <v/>
      </c>
      <c r="K3" s="2" t="str">
        <f t="shared" ref="K3:K66" si="1">IF(COUNTA(D3,E3,F3,G3,H3)&lt;5,"",IF(Q3&lt;6,"       *",IF(Q3&gt;=17.583,"       *",(H3-G3*INDEX(IF(D3="F",muratafemale,muratamale),U3-4,1)-INDEX(IF(D3="F",muratafemale,muratamale),U3-4,2))/(G3*INDEX(IF(D3="F",muratafemale,muratamale),U3-4,1)+INDEX(IF(D3="F",muratafemale,muratamale),U3-4,2))*100)))</f>
        <v/>
      </c>
      <c r="L3" s="2" t="str">
        <f>IF(COUNTA(D3,E3,F3,G3,H3)=5,IF(G3&gt;=IF(D3="M",181,174),"*",IF(G3&lt;101,"       *",IF(Q3&lt;6,"       *",IF(Q3&gt;=17.583,"*",(H3-AB3)/AB3*100)))),"")</f>
        <v/>
      </c>
      <c r="M3" s="2" t="str">
        <f>IF(COUNTA(D3,E3,F3,G3,H3)=5,H3/G3^2*10000,"")</f>
        <v/>
      </c>
      <c r="N3" s="2" t="str">
        <f>IF(COUNTA(D3,E3,F3,G3,H3)=5,IF(Q3&gt;17.583,"   *",NORMSDIST(((M3/AE3)^(AD3)-1)/AD3/AF3)*100),"")</f>
        <v/>
      </c>
      <c r="O3" s="8" t="str">
        <f>IF(COUNTA(D3,E3,F3,G3,H3)=5,IF(Q3&gt;17.583,"   *",((M3/AE3)^(AD3)-1)/AD3/AF3),"")</f>
        <v/>
      </c>
      <c r="P3" s="8" t="str">
        <f>IF(COUNTA(D3,E3,F3,G3,H3)=5,IF(Q3&gt;17.583,"   *",((H3/AJ3)^(AI3)-1)/AI3/AK3),"")</f>
        <v/>
      </c>
      <c r="Q3" s="40" t="str">
        <f>IF(COUNTA(D3,E3,F3,G3,H3)=5,W3,"")</f>
        <v/>
      </c>
      <c r="R3" s="48" t="str">
        <f>IF(COUNTA(D3,E3,F3,G3,H3)=5,U3&amp;"歳"&amp;V3&amp;"か月","")</f>
        <v/>
      </c>
      <c r="S3" s="8"/>
      <c r="U3" s="35">
        <f>DATEDIF(E3,F3,"Y")</f>
        <v>0</v>
      </c>
      <c r="V3" s="24">
        <f>DATEDIF(E3,F3,"YM")</f>
        <v>0</v>
      </c>
      <c r="W3" s="41">
        <f>DATEDIF(E3,F3,"Y")+(F3-(DATE(YEAR(E3)+DATEDIF(E3,F3,"Y"),MONTH(E3),DAY(E3))))/(365+IF(MOD(YEAR((DATE(YEAR(F3)-1,MONTH(E3),DAY(E3)))),4)=0,IF((DATE(YEAR(F3)-1,MONTH(E3),DAY(E3)))&gt;DATE(YEAR((DATE(YEAR(F3)-1,MONTH(E3),DAY(E3)))),2,29),0,1),0)+IF(MOD(YEAR(F3),4)=0,IF(F3&gt;DATE(YEAR(F3),2,29),1,0),0))</f>
        <v>0</v>
      </c>
      <c r="X3" s="31"/>
      <c r="Y3" s="31"/>
      <c r="Z3" s="31"/>
      <c r="AA3" s="25">
        <f t="shared" ref="AA3:AA66" si="2">IF(D3="M",2.06*10^-3*G3^2-0.1166*G3+6.5273,2.49*10^-3*G3^2-0.1858*G3+9.036)</f>
        <v>9.0359999999999996</v>
      </c>
      <c r="AB3" s="25">
        <f t="shared" ref="AB3:AB66" si="3">((G3/100)^3*INDEX(itoOI,IF(D3="M",0,3)+IF(G3&lt;140,1,IF(G3&lt;=149,2,3)),1)+(G3/100)^2*INDEX(itoOI,IF(D3="M",0,3)+IF(G3&lt;140,1,IF(G3&lt;=149,2,3)),2)+(G3/100)*INDEX(itoOI,IF(D3="M",0,3)+IF(G3&lt;140,1,IF(G3&lt;=149,2,3)),3)+INDEX(itoOI,IF(D3="M",0,3)+IF(G3&lt;140,1,IF(G3&lt;=149,2,3)),4))</f>
        <v>-184.49199999999999</v>
      </c>
      <c r="AD3" s="24">
        <f>IF(D3="M",IF(AG3&lt;78,BMILMS!$D$5*AG3^3+BMILMS!$E$5*AG3^2+BMILMS!$F$5*AG3+BMILMS!$G$5,IF(AG3&lt;150,BMILMS!$D$6*AG3^3+BMILMS!$E$6*AG3^2+BMILMS!$F$6*AG3+BMILMS!$G$6,BMILMS!$D$7*AG3^3+BMILMS!$E$7*AG3^2+BMILMS!$F$7*AG3+BMILMS!$G$7)),IF(AG3&lt;69,BMILMS!$D$9*AG3^3+BMILMS!$E$9*AG3^2+BMILMS!$F$9*AG3+BMILMS!$G$9,IF(AG3&lt;150,BMILMS!$D$10*AG3^3+BMILMS!$E$10*AG3^2+BMILMS!$F$10*AG3+BMILMS!$G$10,BMILMS!$D$11*AG3^3+BMILMS!$E$11*AG3^2+BMILMS!$F$11*AG3+BMILMS!$G$11)))</f>
        <v>0.79584630099999998</v>
      </c>
      <c r="AE3" s="24">
        <f>IF(D3="M",(IF(AG3&lt;2.5,BMILMS!$D$21*AG3^3+BMILMS!$E$21*AG3^2+BMILMS!$F$21*AG3+BMILMS!$G$21,IF(AG3&lt;9.5,BMILMS!$D$22*AG3^3+BMILMS!$E$22*AG3^2+BMILMS!$F$22*AG3+BMILMS!$G$22,IF(AG3&lt;26.75,BMILMS!$D$23*AG3^3+BMILMS!$E$23*AG3^2+BMILMS!$F$23*AG3+BMILMS!$G$23,IF(AG3&lt;90,BMILMS!$D$24*AG3^3+BMILMS!$E$24*AG3^2+BMILMS!$F$24*AG3+BMILMS!$G$24,BMILMS!$D$25*AG3^3+BMILMS!$E$25*AG3^2+BMILMS!$F$25*AG3+BMILMS!$G$25))))),(IF(AG3&lt;2.5,BMILMS!$D$27*AG3^3+BMILMS!$E$27*AG3^2+BMILMS!$F$27*AG3+BMILMS!$G$27,IF(AG3&lt;9.5,BMILMS!$D$28*AG3^3+BMILMS!$E$28*AG3^2+BMILMS!$F$28*AG3+BMILMS!$G$28,IF(AG3&lt;26.75,BMILMS!$D$29*AG3^3+BMILMS!$E$29*AG3^2+BMILMS!$F$29*AG3+BMILMS!$G$29,IF(AG3&lt;90,BMILMS!$D$30*AG3^3+BMILMS!$E$30*AG3^2+BMILMS!$F$30*AG3+BMILMS!$G$30,IF(AG3&lt;150,BMILMS!$D$31*AG3^3+BMILMS!$E$31*AG3^2+BMILMS!$F$31*AG3+BMILMS!$G$31,BMILMS!$D$32*AG3^3+BMILMS!$E$32*AG3^2+BMILMS!$F$32*AG3+BMILMS!$G$32)))))))</f>
        <v>12.568967990000001</v>
      </c>
      <c r="AF3" s="24">
        <f>IF(D3="M",(IF(AG3&lt;90,BMILMS!$D$14*AG3^3+BMILMS!$E$14*AG3^2+BMILMS!$F$14*AG3+BMILMS!$G$14,BMILMS!$D$15*AG3^3+BMILMS!$E$15*AG3^2+BMILMS!$F$15*AG3+BMILMS!$G$15)),(IF(AG3&lt;90,BMILMS!$D$17*AG3^3+BMILMS!$E$17*AG3^2+BMILMS!$F$17*AG3+BMILMS!$G$17,BMILMS!$D$18*AG3^3+BMILMS!$E$18*AG3^2+BMILMS!$F$18*AG3+BMILMS!$G$18)))</f>
        <v>8.8969350000000003E-2</v>
      </c>
      <c r="AG3" s="24">
        <f>U3*12+V3</f>
        <v>0</v>
      </c>
      <c r="AI3" s="38">
        <f>IF(D3="M",WeightSDS!P$5*$AG3^7+WeightSDS!Q$5*$AG3^6+WeightSDS!R$5*$AG3^5+WeightSDS!S$5*$AG3^4+WeightSDS!T$5*$AG3^3+WeightSDS!U$5*$AG3^2+WeightSDS!V$5*$AG3+WeightSDS!W$5,IF($AG3&lt;186,WeightSDS!P$8*$AG3^7+WeightSDS!Q$8*$AG3^6+WeightSDS!R$8*$AG3^5+WeightSDS!S$8*$AG3^4+WeightSDS!T$8*$AG3^3+WeightSDS!U$8*$AG3^2+WeightSDS!V$8*$AG3+WeightSDS!W$8,WeightSDS!$U$9-WeightSDS!$V$9*($AG3-WeightSDS!$W$9)))</f>
        <v>0.75407122999999998</v>
      </c>
      <c r="AJ3" s="24">
        <f>IF(D3="M",IF($AG3&lt;45,WeightSDS!M$23*$AG3^10+WeightSDS!N$23*$AG3^9+WeightSDS!O$23*$AG3^8+WeightSDS!P$23*$AG3^7+WeightSDS!Q$23*$AG3^6+WeightSDS!R$23*$AG3^5+WeightSDS!S$23*$AG3^4+WeightSDS!T$23*$AG3^3+WeightSDS!U$23*$AG3^2+WeightSDS!V$23*$AG3+WeightSDS!W$23,IF($AG3&lt;153,WeightSDS!M$25*$AG3^10+WeightSDS!N$25*$AG3^9+WeightSDS!O$25*$AG3^8+WeightSDS!P$25*$AG3^7+WeightSDS!Q$25*$AG3^6+WeightSDS!R$25*$AG3^5+WeightSDS!S$25*$AG3^4+WeightSDS!T$25*$AG3^3+WeightSDS!U$25*$AG3^2+WeightSDS!V$25*$AG3+WeightSDS!W$25,WeightSDS!M$27+WeightSDS!N$27/(1+EXP(WeightSDS!O$27+WeightSDS!P$27*$AG3)))),IF($AG3&lt;43.8,WeightSDS!M$29*$AG3^10+WeightSDS!N$29*$AG3^9+WeightSDS!O$29*$AG3^8+WeightSDS!P$29*$AG3^7+WeightSDS!Q$29*$AG3^6+WeightSDS!R$29*$AG3^5+WeightSDS!S$29*$AG3^4+WeightSDS!T$29*$AG3^3+WeightSDS!U$29*$AG3^2+WeightSDS!V$29*$AG3+WeightSDS!W$29-0.010431*(1-$AG3/210),IF($AG3&lt;123,WeightSDS!M$30*$AG3^10+WeightSDS!N$30*$AG3^9+WeightSDS!O$30*$AG3^8+WeightSDS!P$30*$AG3^7+WeightSDS!Q$30*$AG3^6+WeightSDS!R$30*$AG3^5+WeightSDS!S$30*$AG3^4+WeightSDS!T$30*$AG3^3+WeightSDS!U$30*$AG3^2+WeightSDS!V$30*$AG3+WeightSDS!W$30-0.010431*(1-1/$AG3),WeightSDS!M$32+WeightSDS!N$32/(1+EXP(WeightSDS!O$32+WeightSDS!P$32*$AG3))-0.010431*(1-$AG3/210))))</f>
        <v>2.9500001032655536</v>
      </c>
      <c r="AK3" s="24">
        <f>IF(D3="M",IF($AG3&lt;162,WeightSDS!P$12*$AG3^7+WeightSDS!Q$12*$AG3^6+WeightSDS!R$12*$AG3^5+WeightSDS!S$12*$AG3^4+WeightSDS!T$12*$AG3^3+WeightSDS!U$12*$AG3^2+WeightSDS!V$12*$AG3+WeightSDS!W$12,WeightSDS!P$14*$AG3^7+WeightSDS!Q$14*$AG3^6+WeightSDS!R$14*$AG3^5+WeightSDS!S$14*$AG3^4+WeightSDS!T$14*$AG3^3+WeightSDS!U$14*$AG3^2+WeightSDS!V$14*$AG3+WeightSDS!W$14),IF($AG3&lt;156,WeightSDS!O$17*$AG3^8+WeightSDS!P$17*$AG3^7+WeightSDS!Q$17*$AG3^6+WeightSDS!R$17*$AG3^5+WeightSDS!S$17*$AG3^4+WeightSDS!T$17*$AG3^3+WeightSDS!U$17*$AG3^2+WeightSDS!V$17*$AG3+WeightSDS!W$17,IF($AG3&lt;186,WeightSDS!$U$18+(WeightSDS!$V$18-WeightSDS!$U$18)/24*($AG3-186)+WeightSDS!$W$18*(-$AG3+186)^2-0.005,WeightSDS!$U$18+(WeightSDS!$V$18-WeightSDS!$U$18)/24*($AG3-186)-0.005)))</f>
        <v>0.14604529399999999</v>
      </c>
      <c r="AO3" s="8"/>
    </row>
    <row r="4" spans="1:41">
      <c r="A4" s="4"/>
      <c r="B4" s="21"/>
      <c r="C4" s="21"/>
      <c r="D4" s="21"/>
      <c r="E4" s="22"/>
      <c r="F4" s="22"/>
      <c r="G4" s="23"/>
      <c r="H4" s="23"/>
      <c r="I4" s="8" t="str">
        <f t="shared" si="0"/>
        <v/>
      </c>
      <c r="J4" s="2" t="str">
        <f t="shared" ref="J4:J67" si="4">IF(COUNTA(D4,E4,F4,G4,H4)=5,IF(Q4&lt;1,"       *",IF(Q4&gt;=6,"       *",IF(G4&gt;=120,"       *",IF(G4&lt;70,"       *",(H4-AA4)/AA4*100)))),"")</f>
        <v/>
      </c>
      <c r="K4" s="2" t="str">
        <f t="shared" si="1"/>
        <v/>
      </c>
      <c r="L4" s="2" t="str">
        <f t="shared" ref="L4:L67" si="5">IF(COUNTA(D4,E4,F4,G4,H4)=5,IF(G4&gt;=IF(D4="M",181,174),"*",IF(G4&lt;101,"       *",IF(Q4&lt;6,"       *",IF(Q4&gt;=17.583,"*",(H4-AB4)/AB4*100)))),"")</f>
        <v/>
      </c>
      <c r="M4" s="2" t="str">
        <f t="shared" ref="M4:M7" si="6">IF(COUNTA(D4,E4,F4,G4,H4)=5,H4/G4^2*10000,"")</f>
        <v/>
      </c>
      <c r="N4" s="2" t="str">
        <f t="shared" ref="N4:N67" si="7">IF(COUNTA(D4,E4,F4,G4,H4)=5,IF(Q4&gt;17.583,"   *",NORMSDIST(((M4/AE4)^(AD4)-1)/AD4/AF4)*100),"")</f>
        <v/>
      </c>
      <c r="O4" s="8" t="str">
        <f t="shared" ref="O4:O67" si="8">IF(COUNTA(D4,E4,F4,G4,H4)=5,IF(Q4&gt;17.583,"   *",((M4/AE4)^(AD4)-1)/AD4/AF4),"")</f>
        <v/>
      </c>
      <c r="P4" s="8" t="str">
        <f t="shared" ref="P4:P67" si="9">IF(COUNTA(D4,E4,F4,G4,H4)=5,IF(Q4&gt;17.583,"   *",((H4/AJ4)^(AI4)-1)/AI4/AK4),"")</f>
        <v/>
      </c>
      <c r="Q4" s="40" t="str">
        <f t="shared" ref="Q4:Q66" si="10">IF(COUNTA(D4,E4,F4,G4,H4)=5,W4,"")</f>
        <v/>
      </c>
      <c r="R4" s="48" t="str">
        <f t="shared" ref="R4:R67" si="11">IF(COUNTA(D4,E4,F4,G4,H4)=5,U4&amp;"歳"&amp;V4&amp;"か月","")</f>
        <v/>
      </c>
      <c r="S4" s="8"/>
      <c r="U4" s="35">
        <f t="shared" ref="U4:U66" si="12">DATEDIF(E4,F4,"Y")</f>
        <v>0</v>
      </c>
      <c r="V4" s="24">
        <f t="shared" ref="V4:V66" si="13">DATEDIF(E4,F4,"YM")</f>
        <v>0</v>
      </c>
      <c r="W4" s="41">
        <f t="shared" ref="W4:W27" si="14">DATEDIF(E4,F4,"Y")+(F4-(DATE(YEAR(E4)+DATEDIF(E4,F4,"Y"),MONTH(E4),DAY(E4))))/(365+IF(MOD(YEAR((DATE(YEAR(F4)-1,MONTH(E4),DAY(E4)))),4)=0,IF((DATE(YEAR(F4)-1,MONTH(E4),DAY(E4)))&gt;DATE(YEAR((DATE(YEAR(F4)-1,MONTH(E4),DAY(E4)))),2,29),0,1),0)+IF(MOD(YEAR(F4),4)=0,IF(F4&gt;DATE(YEAR(F4),2,29),1,0),0))</f>
        <v>0</v>
      </c>
      <c r="X4" s="31"/>
      <c r="Y4" s="31"/>
      <c r="Z4" s="31"/>
      <c r="AA4" s="25">
        <f t="shared" si="2"/>
        <v>9.0359999999999996</v>
      </c>
      <c r="AB4" s="25">
        <f t="shared" si="3"/>
        <v>-184.49199999999999</v>
      </c>
      <c r="AD4" s="24">
        <f>IF(D4="M",IF(AG4&lt;78,BMILMS!$D$5*AG4^3+BMILMS!$E$5*AG4^2+BMILMS!$F$5*AG4+BMILMS!$G$5,IF(AG4&lt;150,BMILMS!$D$6*AG4^3+BMILMS!$E$6*AG4^2+BMILMS!$F$6*AG4+BMILMS!$G$6,BMILMS!$D$7*AG4^3+BMILMS!$E$7*AG4^2+BMILMS!$F$7*AG4+BMILMS!$G$7)),IF(AG4&lt;69,BMILMS!$D$9*AG4^3+BMILMS!$E$9*AG4^2+BMILMS!$F$9*AG4+BMILMS!$G$9,IF(AG4&lt;150,BMILMS!$D$10*AG4^3+BMILMS!$E$10*AG4^2+BMILMS!$F$10*AG4+BMILMS!$G$10,BMILMS!$D$11*AG4^3+BMILMS!$E$11*AG4^2+BMILMS!$F$11*AG4+BMILMS!$G$11)))</f>
        <v>0.79584630099999998</v>
      </c>
      <c r="AE4" s="24">
        <f>IF(D4="M",(IF(AG4&lt;2.5,BMILMS!$D$21*AG4^3+BMILMS!$E$21*AG4^2+BMILMS!$F$21*AG4+BMILMS!$G$21,IF(AG4&lt;9.5,BMILMS!$D$22*AG4^3+BMILMS!$E$22*AG4^2+BMILMS!$F$22*AG4+BMILMS!$G$22,IF(AG4&lt;26.75,BMILMS!$D$23*AG4^3+BMILMS!$E$23*AG4^2+BMILMS!$F$23*AG4+BMILMS!$G$23,IF(AG4&lt;90,BMILMS!$D$24*AG4^3+BMILMS!$E$24*AG4^2+BMILMS!$F$24*AG4+BMILMS!$G$24,BMILMS!$D$25*AG4^3+BMILMS!$E$25*AG4^2+BMILMS!$F$25*AG4+BMILMS!$G$25))))),(IF(AG4&lt;2.5,BMILMS!$D$27*AG4^3+BMILMS!$E$27*AG4^2+BMILMS!$F$27*AG4+BMILMS!$G$27,IF(AG4&lt;9.5,BMILMS!$D$28*AG4^3+BMILMS!$E$28*AG4^2+BMILMS!$F$28*AG4+BMILMS!$G$28,IF(AG4&lt;26.75,BMILMS!$D$29*AG4^3+BMILMS!$E$29*AG4^2+BMILMS!$F$29*AG4+BMILMS!$G$29,IF(AG4&lt;90,BMILMS!$D$30*AG4^3+BMILMS!$E$30*AG4^2+BMILMS!$F$30*AG4+BMILMS!$G$30,IF(AG4&lt;150,BMILMS!$D$31*AG4^3+BMILMS!$E$31*AG4^2+BMILMS!$F$31*AG4+BMILMS!$G$31,BMILMS!$D$32*AG4^3+BMILMS!$E$32*AG4^2+BMILMS!$F$32*AG4+BMILMS!$G$32)))))))</f>
        <v>12.568967990000001</v>
      </c>
      <c r="AF4" s="24">
        <f>IF(D4="M",(IF(AG4&lt;90,BMILMS!$D$14*AG4^3+BMILMS!$E$14*AG4^2+BMILMS!$F$14*AG4+BMILMS!$G$14,BMILMS!$D$15*AG4^3+BMILMS!$E$15*AG4^2+BMILMS!$F$15*AG4+BMILMS!$G$15)),(IF(AG4&lt;90,BMILMS!$D$17*AG4^3+BMILMS!$E$17*AG4^2+BMILMS!$F$17*AG4+BMILMS!$G$17,BMILMS!$D$18*AG4^3+BMILMS!$E$18*AG4^2+BMILMS!$F$18*AG4+BMILMS!$G$18)))</f>
        <v>8.8969350000000003E-2</v>
      </c>
      <c r="AG4" s="24">
        <f>U4*12+V4</f>
        <v>0</v>
      </c>
      <c r="AI4" s="38">
        <f>IF(D4="M",WeightSDS!P$5*$AG4^7+WeightSDS!Q$5*$AG4^6+WeightSDS!R$5*$AG4^5+WeightSDS!S$5*$AG4^4+WeightSDS!T$5*$AG4^3+WeightSDS!U$5*$AG4^2+WeightSDS!V$5*$AG4+WeightSDS!W$5,IF($AG4&lt;186,WeightSDS!P$8*$AG4^7+WeightSDS!Q$8*$AG4^6+WeightSDS!R$8*$AG4^5+WeightSDS!S$8*$AG4^4+WeightSDS!T$8*$AG4^3+WeightSDS!U$8*$AG4^2+WeightSDS!V$8*$AG4+WeightSDS!W$8,WeightSDS!$U$9-WeightSDS!$V$9*($AG4-WeightSDS!$W$9)))</f>
        <v>0.75407122999999998</v>
      </c>
      <c r="AJ4" s="24">
        <f>IF(D4="M",IF($AG4&lt;45,WeightSDS!M$23*$AG4^10+WeightSDS!N$23*$AG4^9+WeightSDS!O$23*$AG4^8+WeightSDS!P$23*$AG4^7+WeightSDS!Q$23*$AG4^6+WeightSDS!R$23*$AG4^5+WeightSDS!S$23*$AG4^4+WeightSDS!T$23*$AG4^3+WeightSDS!U$23*$AG4^2+WeightSDS!V$23*$AG4+WeightSDS!W$23,IF($AG4&lt;153,WeightSDS!M$25*$AG4^10+WeightSDS!N$25*$AG4^9+WeightSDS!O$25*$AG4^8+WeightSDS!P$25*$AG4^7+WeightSDS!Q$25*$AG4^6+WeightSDS!R$25*$AG4^5+WeightSDS!S$25*$AG4^4+WeightSDS!T$25*$AG4^3+WeightSDS!U$25*$AG4^2+WeightSDS!V$25*$AG4+WeightSDS!W$25,WeightSDS!M$27+WeightSDS!N$27/(1+EXP(WeightSDS!O$27+WeightSDS!P$27*$AG4)))),IF($AG4&lt;43.8,WeightSDS!M$29*$AG4^10+WeightSDS!N$29*$AG4^9+WeightSDS!O$29*$AG4^8+WeightSDS!P$29*$AG4^7+WeightSDS!Q$29*$AG4^6+WeightSDS!R$29*$AG4^5+WeightSDS!S$29*$AG4^4+WeightSDS!T$29*$AG4^3+WeightSDS!U$29*$AG4^2+WeightSDS!V$29*$AG4+WeightSDS!W$29-0.010431*(1-$AG4/210),IF($AG4&lt;123,WeightSDS!M$30*$AG4^10+WeightSDS!N$30*$AG4^9+WeightSDS!O$30*$AG4^8+WeightSDS!P$30*$AG4^7+WeightSDS!Q$30*$AG4^6+WeightSDS!R$30*$AG4^5+WeightSDS!S$30*$AG4^4+WeightSDS!T$30*$AG4^3+WeightSDS!U$30*$AG4^2+WeightSDS!V$30*$AG4+WeightSDS!W$30-0.010431*(1-1/$AG4),WeightSDS!M$32+WeightSDS!N$32/(1+EXP(WeightSDS!O$32+WeightSDS!P$32*$AG4))-0.010431*(1-$AG4/210))))</f>
        <v>2.9500001032655536</v>
      </c>
      <c r="AK4" s="24">
        <f>IF(D4="M",IF($AG4&lt;162,WeightSDS!P$12*$AG4^7+WeightSDS!Q$12*$AG4^6+WeightSDS!R$12*$AG4^5+WeightSDS!S$12*$AG4^4+WeightSDS!T$12*$AG4^3+WeightSDS!U$12*$AG4^2+WeightSDS!V$12*$AG4+WeightSDS!W$12,WeightSDS!P$14*$AG4^7+WeightSDS!Q$14*$AG4^6+WeightSDS!R$14*$AG4^5+WeightSDS!S$14*$AG4^4+WeightSDS!T$14*$AG4^3+WeightSDS!U$14*$AG4^2+WeightSDS!V$14*$AG4+WeightSDS!W$14),IF($AG4&lt;156,WeightSDS!O$17*$AG4^8+WeightSDS!P$17*$AG4^7+WeightSDS!Q$17*$AG4^6+WeightSDS!R$17*$AG4^5+WeightSDS!S$17*$AG4^4+WeightSDS!T$17*$AG4^3+WeightSDS!U$17*$AG4^2+WeightSDS!V$17*$AG4+WeightSDS!W$17,IF($AG4&lt;186,WeightSDS!$U$18+(WeightSDS!$V$18-WeightSDS!$U$18)/24*($AG4-186)+WeightSDS!$W$18*(-$AG4+186)^2-0.005,WeightSDS!$U$18+(WeightSDS!$V$18-WeightSDS!$U$18)/24*($AG4-186)-0.005)))</f>
        <v>0.14604529399999999</v>
      </c>
    </row>
    <row r="5" spans="1:41">
      <c r="A5" s="4"/>
      <c r="B5" s="21"/>
      <c r="C5" s="21"/>
      <c r="D5" s="21"/>
      <c r="E5" s="22"/>
      <c r="F5" s="22"/>
      <c r="G5" s="23"/>
      <c r="H5" s="23"/>
      <c r="I5" s="8" t="str">
        <f t="shared" si="0"/>
        <v/>
      </c>
      <c r="J5" s="2" t="str">
        <f t="shared" si="4"/>
        <v/>
      </c>
      <c r="K5" s="2" t="str">
        <f t="shared" si="1"/>
        <v/>
      </c>
      <c r="L5" s="2" t="str">
        <f t="shared" si="5"/>
        <v/>
      </c>
      <c r="M5" s="2" t="str">
        <f t="shared" si="6"/>
        <v/>
      </c>
      <c r="N5" s="2" t="str">
        <f t="shared" si="7"/>
        <v/>
      </c>
      <c r="O5" s="8" t="str">
        <f t="shared" si="8"/>
        <v/>
      </c>
      <c r="P5" s="8" t="str">
        <f t="shared" si="9"/>
        <v/>
      </c>
      <c r="Q5" s="40" t="str">
        <f t="shared" si="10"/>
        <v/>
      </c>
      <c r="R5" s="48" t="str">
        <f t="shared" si="11"/>
        <v/>
      </c>
      <c r="U5" s="35">
        <f t="shared" si="12"/>
        <v>0</v>
      </c>
      <c r="V5" s="24">
        <f t="shared" si="13"/>
        <v>0</v>
      </c>
      <c r="W5" s="41">
        <f t="shared" si="14"/>
        <v>0</v>
      </c>
      <c r="X5" s="31"/>
      <c r="Y5" s="31"/>
      <c r="Z5" s="31"/>
      <c r="AA5" s="25">
        <f t="shared" si="2"/>
        <v>9.0359999999999996</v>
      </c>
      <c r="AB5" s="25">
        <f t="shared" si="3"/>
        <v>-184.49199999999999</v>
      </c>
      <c r="AD5" s="24">
        <f>IF(D5="M",IF(AG5&lt;78,BMILMS!$D$5*AG5^3+BMILMS!$E$5*AG5^2+BMILMS!$F$5*AG5+BMILMS!$G$5,IF(AG5&lt;150,BMILMS!$D$6*AG5^3+BMILMS!$E$6*AG5^2+BMILMS!$F$6*AG5+BMILMS!$G$6,BMILMS!$D$7*AG5^3+BMILMS!$E$7*AG5^2+BMILMS!$F$7*AG5+BMILMS!$G$7)),IF(AG5&lt;69,BMILMS!$D$9*AG5^3+BMILMS!$E$9*AG5^2+BMILMS!$F$9*AG5+BMILMS!$G$9,IF(AG5&lt;150,BMILMS!$D$10*AG5^3+BMILMS!$E$10*AG5^2+BMILMS!$F$10*AG5+BMILMS!$G$10,BMILMS!$D$11*AG5^3+BMILMS!$E$11*AG5^2+BMILMS!$F$11*AG5+BMILMS!$G$11)))</f>
        <v>0.79584630099999998</v>
      </c>
      <c r="AE5" s="24">
        <f>IF(D5="M",(IF(AG5&lt;2.5,BMILMS!$D$21*AG5^3+BMILMS!$E$21*AG5^2+BMILMS!$F$21*AG5+BMILMS!$G$21,IF(AG5&lt;9.5,BMILMS!$D$22*AG5^3+BMILMS!$E$22*AG5^2+BMILMS!$F$22*AG5+BMILMS!$G$22,IF(AG5&lt;26.75,BMILMS!$D$23*AG5^3+BMILMS!$E$23*AG5^2+BMILMS!$F$23*AG5+BMILMS!$G$23,IF(AG5&lt;90,BMILMS!$D$24*AG5^3+BMILMS!$E$24*AG5^2+BMILMS!$F$24*AG5+BMILMS!$G$24,BMILMS!$D$25*AG5^3+BMILMS!$E$25*AG5^2+BMILMS!$F$25*AG5+BMILMS!$G$25))))),(IF(AG5&lt;2.5,BMILMS!$D$27*AG5^3+BMILMS!$E$27*AG5^2+BMILMS!$F$27*AG5+BMILMS!$G$27,IF(AG5&lt;9.5,BMILMS!$D$28*AG5^3+BMILMS!$E$28*AG5^2+BMILMS!$F$28*AG5+BMILMS!$G$28,IF(AG5&lt;26.75,BMILMS!$D$29*AG5^3+BMILMS!$E$29*AG5^2+BMILMS!$F$29*AG5+BMILMS!$G$29,IF(AG5&lt;90,BMILMS!$D$30*AG5^3+BMILMS!$E$30*AG5^2+BMILMS!$F$30*AG5+BMILMS!$G$30,IF(AG5&lt;150,BMILMS!$D$31*AG5^3+BMILMS!$E$31*AG5^2+BMILMS!$F$31*AG5+BMILMS!$G$31,BMILMS!$D$32*AG5^3+BMILMS!$E$32*AG5^2+BMILMS!$F$32*AG5+BMILMS!$G$32)))))))</f>
        <v>12.568967990000001</v>
      </c>
      <c r="AF5" s="24">
        <f>IF(D5="M",(IF(AG5&lt;90,BMILMS!$D$14*AG5^3+BMILMS!$E$14*AG5^2+BMILMS!$F$14*AG5+BMILMS!$G$14,BMILMS!$D$15*AG5^3+BMILMS!$E$15*AG5^2+BMILMS!$F$15*AG5+BMILMS!$G$15)),(IF(AG5&lt;90,BMILMS!$D$17*AG5^3+BMILMS!$E$17*AG5^2+BMILMS!$F$17*AG5+BMILMS!$G$17,BMILMS!$D$18*AG5^3+BMILMS!$E$18*AG5^2+BMILMS!$F$18*AG5+BMILMS!$G$18)))</f>
        <v>8.8969350000000003E-2</v>
      </c>
      <c r="AG5" s="24">
        <f>U5*12+V5</f>
        <v>0</v>
      </c>
      <c r="AI5" s="38">
        <f>IF(D5="M",WeightSDS!P$5*$AG5^7+WeightSDS!Q$5*$AG5^6+WeightSDS!R$5*$AG5^5+WeightSDS!S$5*$AG5^4+WeightSDS!T$5*$AG5^3+WeightSDS!U$5*$AG5^2+WeightSDS!V$5*$AG5+WeightSDS!W$5,IF($AG5&lt;186,WeightSDS!P$8*$AG5^7+WeightSDS!Q$8*$AG5^6+WeightSDS!R$8*$AG5^5+WeightSDS!S$8*$AG5^4+WeightSDS!T$8*$AG5^3+WeightSDS!U$8*$AG5^2+WeightSDS!V$8*$AG5+WeightSDS!W$8,WeightSDS!$U$9-WeightSDS!$V$9*($AG5-WeightSDS!$W$9)))</f>
        <v>0.75407122999999998</v>
      </c>
      <c r="AJ5" s="24">
        <f>IF(D5="M",IF($AG5&lt;45,WeightSDS!M$23*$AG5^10+WeightSDS!N$23*$AG5^9+WeightSDS!O$23*$AG5^8+WeightSDS!P$23*$AG5^7+WeightSDS!Q$23*$AG5^6+WeightSDS!R$23*$AG5^5+WeightSDS!S$23*$AG5^4+WeightSDS!T$23*$AG5^3+WeightSDS!U$23*$AG5^2+WeightSDS!V$23*$AG5+WeightSDS!W$23,IF($AG5&lt;153,WeightSDS!M$25*$AG5^10+WeightSDS!N$25*$AG5^9+WeightSDS!O$25*$AG5^8+WeightSDS!P$25*$AG5^7+WeightSDS!Q$25*$AG5^6+WeightSDS!R$25*$AG5^5+WeightSDS!S$25*$AG5^4+WeightSDS!T$25*$AG5^3+WeightSDS!U$25*$AG5^2+WeightSDS!V$25*$AG5+WeightSDS!W$25,WeightSDS!M$27+WeightSDS!N$27/(1+EXP(WeightSDS!O$27+WeightSDS!P$27*$AG5)))),IF($AG5&lt;43.8,WeightSDS!M$29*$AG5^10+WeightSDS!N$29*$AG5^9+WeightSDS!O$29*$AG5^8+WeightSDS!P$29*$AG5^7+WeightSDS!Q$29*$AG5^6+WeightSDS!R$29*$AG5^5+WeightSDS!S$29*$AG5^4+WeightSDS!T$29*$AG5^3+WeightSDS!U$29*$AG5^2+WeightSDS!V$29*$AG5+WeightSDS!W$29-0.010431*(1-$AG5/210),IF($AG5&lt;123,WeightSDS!M$30*$AG5^10+WeightSDS!N$30*$AG5^9+WeightSDS!O$30*$AG5^8+WeightSDS!P$30*$AG5^7+WeightSDS!Q$30*$AG5^6+WeightSDS!R$30*$AG5^5+WeightSDS!S$30*$AG5^4+WeightSDS!T$30*$AG5^3+WeightSDS!U$30*$AG5^2+WeightSDS!V$30*$AG5+WeightSDS!W$30-0.010431*(1-1/$AG5),WeightSDS!M$32+WeightSDS!N$32/(1+EXP(WeightSDS!O$32+WeightSDS!P$32*$AG5))-0.010431*(1-$AG5/210))))</f>
        <v>2.9500001032655536</v>
      </c>
      <c r="AK5" s="24">
        <f>IF(D5="M",IF($AG5&lt;162,WeightSDS!P$12*$AG5^7+WeightSDS!Q$12*$AG5^6+WeightSDS!R$12*$AG5^5+WeightSDS!S$12*$AG5^4+WeightSDS!T$12*$AG5^3+WeightSDS!U$12*$AG5^2+WeightSDS!V$12*$AG5+WeightSDS!W$12,WeightSDS!P$14*$AG5^7+WeightSDS!Q$14*$AG5^6+WeightSDS!R$14*$AG5^5+WeightSDS!S$14*$AG5^4+WeightSDS!T$14*$AG5^3+WeightSDS!U$14*$AG5^2+WeightSDS!V$14*$AG5+WeightSDS!W$14),IF($AG5&lt;156,WeightSDS!O$17*$AG5^8+WeightSDS!P$17*$AG5^7+WeightSDS!Q$17*$AG5^6+WeightSDS!R$17*$AG5^5+WeightSDS!S$17*$AG5^4+WeightSDS!T$17*$AG5^3+WeightSDS!U$17*$AG5^2+WeightSDS!V$17*$AG5+WeightSDS!W$17,IF($AG5&lt;186,WeightSDS!$U$18+(WeightSDS!$V$18-WeightSDS!$U$18)/24*($AG5-186)+WeightSDS!$W$18*(-$AG5+186)^2-0.005,WeightSDS!$U$18+(WeightSDS!$V$18-WeightSDS!$U$18)/24*($AG5-186)-0.005)))</f>
        <v>0.14604529399999999</v>
      </c>
    </row>
    <row r="6" spans="1:41">
      <c r="A6" s="4"/>
      <c r="B6" s="21"/>
      <c r="C6" s="21"/>
      <c r="D6" s="21"/>
      <c r="E6" s="22"/>
      <c r="F6" s="22"/>
      <c r="G6" s="23"/>
      <c r="H6" s="23"/>
      <c r="I6" s="8" t="str">
        <f t="shared" si="0"/>
        <v/>
      </c>
      <c r="J6" s="2" t="str">
        <f t="shared" si="4"/>
        <v/>
      </c>
      <c r="K6" s="2" t="str">
        <f t="shared" si="1"/>
        <v/>
      </c>
      <c r="L6" s="2" t="str">
        <f t="shared" si="5"/>
        <v/>
      </c>
      <c r="M6" s="2" t="str">
        <f t="shared" si="6"/>
        <v/>
      </c>
      <c r="N6" s="2" t="str">
        <f t="shared" si="7"/>
        <v/>
      </c>
      <c r="O6" s="8" t="str">
        <f t="shared" si="8"/>
        <v/>
      </c>
      <c r="P6" s="8" t="str">
        <f t="shared" si="9"/>
        <v/>
      </c>
      <c r="Q6" s="40" t="str">
        <f t="shared" si="10"/>
        <v/>
      </c>
      <c r="R6" s="48" t="str">
        <f t="shared" si="11"/>
        <v/>
      </c>
      <c r="S6" s="8"/>
      <c r="U6" s="35">
        <f t="shared" si="12"/>
        <v>0</v>
      </c>
      <c r="V6" s="24">
        <f t="shared" si="13"/>
        <v>0</v>
      </c>
      <c r="W6" s="41">
        <f t="shared" si="14"/>
        <v>0</v>
      </c>
      <c r="X6" s="31"/>
      <c r="Y6" s="31"/>
      <c r="Z6" s="31"/>
      <c r="AA6" s="25">
        <f t="shared" si="2"/>
        <v>9.0359999999999996</v>
      </c>
      <c r="AB6" s="25">
        <f t="shared" si="3"/>
        <v>-184.49199999999999</v>
      </c>
      <c r="AD6" s="24">
        <f>IF(D6="M",IF(AG6&lt;78,BMILMS!$D$5*AG6^3+BMILMS!$E$5*AG6^2+BMILMS!$F$5*AG6+BMILMS!$G$5,IF(AG6&lt;150,BMILMS!$D$6*AG6^3+BMILMS!$E$6*AG6^2+BMILMS!$F$6*AG6+BMILMS!$G$6,BMILMS!$D$7*AG6^3+BMILMS!$E$7*AG6^2+BMILMS!$F$7*AG6+BMILMS!$G$7)),IF(AG6&lt;69,BMILMS!$D$9*AG6^3+BMILMS!$E$9*AG6^2+BMILMS!$F$9*AG6+BMILMS!$G$9,IF(AG6&lt;150,BMILMS!$D$10*AG6^3+BMILMS!$E$10*AG6^2+BMILMS!$F$10*AG6+BMILMS!$G$10,BMILMS!$D$11*AG6^3+BMILMS!$E$11*AG6^2+BMILMS!$F$11*AG6+BMILMS!$G$11)))</f>
        <v>0.79584630099999998</v>
      </c>
      <c r="AE6" s="24">
        <f>IF(D6="M",(IF(AG6&lt;2.5,BMILMS!$D$21*AG6^3+BMILMS!$E$21*AG6^2+BMILMS!$F$21*AG6+BMILMS!$G$21,IF(AG6&lt;9.5,BMILMS!$D$22*AG6^3+BMILMS!$E$22*AG6^2+BMILMS!$F$22*AG6+BMILMS!$G$22,IF(AG6&lt;26.75,BMILMS!$D$23*AG6^3+BMILMS!$E$23*AG6^2+BMILMS!$F$23*AG6+BMILMS!$G$23,IF(AG6&lt;90,BMILMS!$D$24*AG6^3+BMILMS!$E$24*AG6^2+BMILMS!$F$24*AG6+BMILMS!$G$24,BMILMS!$D$25*AG6^3+BMILMS!$E$25*AG6^2+BMILMS!$F$25*AG6+BMILMS!$G$25))))),(IF(AG6&lt;2.5,BMILMS!$D$27*AG6^3+BMILMS!$E$27*AG6^2+BMILMS!$F$27*AG6+BMILMS!$G$27,IF(AG6&lt;9.5,BMILMS!$D$28*AG6^3+BMILMS!$E$28*AG6^2+BMILMS!$F$28*AG6+BMILMS!$G$28,IF(AG6&lt;26.75,BMILMS!$D$29*AG6^3+BMILMS!$E$29*AG6^2+BMILMS!$F$29*AG6+BMILMS!$G$29,IF(AG6&lt;90,BMILMS!$D$30*AG6^3+BMILMS!$E$30*AG6^2+BMILMS!$F$30*AG6+BMILMS!$G$30,IF(AG6&lt;150,BMILMS!$D$31*AG6^3+BMILMS!$E$31*AG6^2+BMILMS!$F$31*AG6+BMILMS!$G$31,BMILMS!$D$32*AG6^3+BMILMS!$E$32*AG6^2+BMILMS!$F$32*AG6+BMILMS!$G$32)))))))</f>
        <v>12.568967990000001</v>
      </c>
      <c r="AF6" s="24">
        <f>IF(D6="M",(IF(AG6&lt;90,BMILMS!$D$14*AG6^3+BMILMS!$E$14*AG6^2+BMILMS!$F$14*AG6+BMILMS!$G$14,BMILMS!$D$15*AG6^3+BMILMS!$E$15*AG6^2+BMILMS!$F$15*AG6+BMILMS!$G$15)),(IF(AG6&lt;90,BMILMS!$D$17*AG6^3+BMILMS!$E$17*AG6^2+BMILMS!$F$17*AG6+BMILMS!$G$17,BMILMS!$D$18*AG6^3+BMILMS!$E$18*AG6^2+BMILMS!$F$18*AG6+BMILMS!$G$18)))</f>
        <v>8.8969350000000003E-2</v>
      </c>
      <c r="AG6" s="24">
        <f>U6*12+V6</f>
        <v>0</v>
      </c>
      <c r="AI6" s="38">
        <f>IF(D6="M",WeightSDS!P$5*$AG6^7+WeightSDS!Q$5*$AG6^6+WeightSDS!R$5*$AG6^5+WeightSDS!S$5*$AG6^4+WeightSDS!T$5*$AG6^3+WeightSDS!U$5*$AG6^2+WeightSDS!V$5*$AG6+WeightSDS!W$5,IF($AG6&lt;186,WeightSDS!P$8*$AG6^7+WeightSDS!Q$8*$AG6^6+WeightSDS!R$8*$AG6^5+WeightSDS!S$8*$AG6^4+WeightSDS!T$8*$AG6^3+WeightSDS!U$8*$AG6^2+WeightSDS!V$8*$AG6+WeightSDS!W$8,WeightSDS!$U$9-WeightSDS!$V$9*($AG6-WeightSDS!$W$9)))</f>
        <v>0.75407122999999998</v>
      </c>
      <c r="AJ6" s="24">
        <f>IF(D6="M",IF($AG6&lt;45,WeightSDS!M$23*$AG6^10+WeightSDS!N$23*$AG6^9+WeightSDS!O$23*$AG6^8+WeightSDS!P$23*$AG6^7+WeightSDS!Q$23*$AG6^6+WeightSDS!R$23*$AG6^5+WeightSDS!S$23*$AG6^4+WeightSDS!T$23*$AG6^3+WeightSDS!U$23*$AG6^2+WeightSDS!V$23*$AG6+WeightSDS!W$23,IF($AG6&lt;153,WeightSDS!M$25*$AG6^10+WeightSDS!N$25*$AG6^9+WeightSDS!O$25*$AG6^8+WeightSDS!P$25*$AG6^7+WeightSDS!Q$25*$AG6^6+WeightSDS!R$25*$AG6^5+WeightSDS!S$25*$AG6^4+WeightSDS!T$25*$AG6^3+WeightSDS!U$25*$AG6^2+WeightSDS!V$25*$AG6+WeightSDS!W$25,WeightSDS!M$27+WeightSDS!N$27/(1+EXP(WeightSDS!O$27+WeightSDS!P$27*$AG6)))),IF($AG6&lt;43.8,WeightSDS!M$29*$AG6^10+WeightSDS!N$29*$AG6^9+WeightSDS!O$29*$AG6^8+WeightSDS!P$29*$AG6^7+WeightSDS!Q$29*$AG6^6+WeightSDS!R$29*$AG6^5+WeightSDS!S$29*$AG6^4+WeightSDS!T$29*$AG6^3+WeightSDS!U$29*$AG6^2+WeightSDS!V$29*$AG6+WeightSDS!W$29-0.010431*(1-$AG6/210),IF($AG6&lt;123,WeightSDS!M$30*$AG6^10+WeightSDS!N$30*$AG6^9+WeightSDS!O$30*$AG6^8+WeightSDS!P$30*$AG6^7+WeightSDS!Q$30*$AG6^6+WeightSDS!R$30*$AG6^5+WeightSDS!S$30*$AG6^4+WeightSDS!T$30*$AG6^3+WeightSDS!U$30*$AG6^2+WeightSDS!V$30*$AG6+WeightSDS!W$30-0.010431*(1-1/$AG6),WeightSDS!M$32+WeightSDS!N$32/(1+EXP(WeightSDS!O$32+WeightSDS!P$32*$AG6))-0.010431*(1-$AG6/210))))</f>
        <v>2.9500001032655536</v>
      </c>
      <c r="AK6" s="24">
        <f>IF(D6="M",IF($AG6&lt;162,WeightSDS!P$12*$AG6^7+WeightSDS!Q$12*$AG6^6+WeightSDS!R$12*$AG6^5+WeightSDS!S$12*$AG6^4+WeightSDS!T$12*$AG6^3+WeightSDS!U$12*$AG6^2+WeightSDS!V$12*$AG6+WeightSDS!W$12,WeightSDS!P$14*$AG6^7+WeightSDS!Q$14*$AG6^6+WeightSDS!R$14*$AG6^5+WeightSDS!S$14*$AG6^4+WeightSDS!T$14*$AG6^3+WeightSDS!U$14*$AG6^2+WeightSDS!V$14*$AG6+WeightSDS!W$14),IF($AG6&lt;156,WeightSDS!O$17*$AG6^8+WeightSDS!P$17*$AG6^7+WeightSDS!Q$17*$AG6^6+WeightSDS!R$17*$AG6^5+WeightSDS!S$17*$AG6^4+WeightSDS!T$17*$AG6^3+WeightSDS!U$17*$AG6^2+WeightSDS!V$17*$AG6+WeightSDS!W$17,IF($AG6&lt;186,WeightSDS!$U$18+(WeightSDS!$V$18-WeightSDS!$U$18)/24*($AG6-186)+WeightSDS!$W$18*(-$AG6+186)^2-0.005,WeightSDS!$U$18+(WeightSDS!$V$18-WeightSDS!$U$18)/24*($AG6-186)-0.005)))</f>
        <v>0.14604529399999999</v>
      </c>
    </row>
    <row r="7" spans="1:41">
      <c r="A7" s="4"/>
      <c r="B7" s="21"/>
      <c r="C7" s="21"/>
      <c r="D7" s="21"/>
      <c r="E7" s="22"/>
      <c r="F7" s="22"/>
      <c r="G7" s="23"/>
      <c r="H7" s="23"/>
      <c r="I7" s="8" t="str">
        <f t="shared" si="0"/>
        <v/>
      </c>
      <c r="J7" s="2" t="str">
        <f t="shared" si="4"/>
        <v/>
      </c>
      <c r="K7" s="2" t="str">
        <f t="shared" si="1"/>
        <v/>
      </c>
      <c r="L7" s="2" t="str">
        <f t="shared" si="5"/>
        <v/>
      </c>
      <c r="M7" s="2" t="str">
        <f t="shared" si="6"/>
        <v/>
      </c>
      <c r="N7" s="2" t="str">
        <f t="shared" si="7"/>
        <v/>
      </c>
      <c r="O7" s="8" t="str">
        <f t="shared" si="8"/>
        <v/>
      </c>
      <c r="P7" s="8" t="str">
        <f t="shared" si="9"/>
        <v/>
      </c>
      <c r="Q7" s="40" t="str">
        <f t="shared" si="10"/>
        <v/>
      </c>
      <c r="R7" s="48" t="str">
        <f t="shared" si="11"/>
        <v/>
      </c>
      <c r="S7" s="8"/>
      <c r="U7" s="35">
        <f t="shared" si="12"/>
        <v>0</v>
      </c>
      <c r="V7" s="24">
        <f t="shared" si="13"/>
        <v>0</v>
      </c>
      <c r="W7" s="41">
        <f t="shared" si="14"/>
        <v>0</v>
      </c>
      <c r="X7" s="31"/>
      <c r="Y7" s="31"/>
      <c r="Z7" s="31"/>
      <c r="AA7" s="25">
        <f t="shared" si="2"/>
        <v>9.0359999999999996</v>
      </c>
      <c r="AB7" s="25">
        <f t="shared" si="3"/>
        <v>-184.49199999999999</v>
      </c>
      <c r="AD7" s="24">
        <f>IF(D7="M",IF(AG7&lt;78,BMILMS!$D$5*AG7^3+BMILMS!$E$5*AG7^2+BMILMS!$F$5*AG7+BMILMS!$G$5,IF(AG7&lt;150,BMILMS!$D$6*AG7^3+BMILMS!$E$6*AG7^2+BMILMS!$F$6*AG7+BMILMS!$G$6,BMILMS!$D$7*AG7^3+BMILMS!$E$7*AG7^2+BMILMS!$F$7*AG7+BMILMS!$G$7)),IF(AG7&lt;69,BMILMS!$D$9*AG7^3+BMILMS!$E$9*AG7^2+BMILMS!$F$9*AG7+BMILMS!$G$9,IF(AG7&lt;150,BMILMS!$D$10*AG7^3+BMILMS!$E$10*AG7^2+BMILMS!$F$10*AG7+BMILMS!$G$10,BMILMS!$D$11*AG7^3+BMILMS!$E$11*AG7^2+BMILMS!$F$11*AG7+BMILMS!$G$11)))</f>
        <v>0.79584630099999998</v>
      </c>
      <c r="AE7" s="24">
        <f>IF(D7="M",(IF(AG7&lt;2.5,BMILMS!$D$21*AG7^3+BMILMS!$E$21*AG7^2+BMILMS!$F$21*AG7+BMILMS!$G$21,IF(AG7&lt;9.5,BMILMS!$D$22*AG7^3+BMILMS!$E$22*AG7^2+BMILMS!$F$22*AG7+BMILMS!$G$22,IF(AG7&lt;26.75,BMILMS!$D$23*AG7^3+BMILMS!$E$23*AG7^2+BMILMS!$F$23*AG7+BMILMS!$G$23,IF(AG7&lt;90,BMILMS!$D$24*AG7^3+BMILMS!$E$24*AG7^2+BMILMS!$F$24*AG7+BMILMS!$G$24,BMILMS!$D$25*AG7^3+BMILMS!$E$25*AG7^2+BMILMS!$F$25*AG7+BMILMS!$G$25))))),(IF(AG7&lt;2.5,BMILMS!$D$27*AG7^3+BMILMS!$E$27*AG7^2+BMILMS!$F$27*AG7+BMILMS!$G$27,IF(AG7&lt;9.5,BMILMS!$D$28*AG7^3+BMILMS!$E$28*AG7^2+BMILMS!$F$28*AG7+BMILMS!$G$28,IF(AG7&lt;26.75,BMILMS!$D$29*AG7^3+BMILMS!$E$29*AG7^2+BMILMS!$F$29*AG7+BMILMS!$G$29,IF(AG7&lt;90,BMILMS!$D$30*AG7^3+BMILMS!$E$30*AG7^2+BMILMS!$F$30*AG7+BMILMS!$G$30,IF(AG7&lt;150,BMILMS!$D$31*AG7^3+BMILMS!$E$31*AG7^2+BMILMS!$F$31*AG7+BMILMS!$G$31,BMILMS!$D$32*AG7^3+BMILMS!$E$32*AG7^2+BMILMS!$F$32*AG7+BMILMS!$G$32)))))))</f>
        <v>12.568967990000001</v>
      </c>
      <c r="AF7" s="24">
        <f>IF(D7="M",(IF(AG7&lt;90,BMILMS!$D$14*AG7^3+BMILMS!$E$14*AG7^2+BMILMS!$F$14*AG7+BMILMS!$G$14,BMILMS!$D$15*AG7^3+BMILMS!$E$15*AG7^2+BMILMS!$F$15*AG7+BMILMS!$G$15)),(IF(AG7&lt;90,BMILMS!$D$17*AG7^3+BMILMS!$E$17*AG7^2+BMILMS!$F$17*AG7+BMILMS!$G$17,BMILMS!$D$18*AG7^3+BMILMS!$E$18*AG7^2+BMILMS!$F$18*AG7+BMILMS!$G$18)))</f>
        <v>8.8969350000000003E-2</v>
      </c>
      <c r="AG7" s="24">
        <f>U7*12+V7</f>
        <v>0</v>
      </c>
      <c r="AI7" s="38">
        <f>IF(D7="M",WeightSDS!P$5*$AG7^7+WeightSDS!Q$5*$AG7^6+WeightSDS!R$5*$AG7^5+WeightSDS!S$5*$AG7^4+WeightSDS!T$5*$AG7^3+WeightSDS!U$5*$AG7^2+WeightSDS!V$5*$AG7+WeightSDS!W$5,IF($AG7&lt;186,WeightSDS!P$8*$AG7^7+WeightSDS!Q$8*$AG7^6+WeightSDS!R$8*$AG7^5+WeightSDS!S$8*$AG7^4+WeightSDS!T$8*$AG7^3+WeightSDS!U$8*$AG7^2+WeightSDS!V$8*$AG7+WeightSDS!W$8,WeightSDS!$U$9-WeightSDS!$V$9*($AG7-WeightSDS!$W$9)))</f>
        <v>0.75407122999999998</v>
      </c>
      <c r="AJ7" s="24">
        <f>IF(D7="M",IF($AG7&lt;45,WeightSDS!M$23*$AG7^10+WeightSDS!N$23*$AG7^9+WeightSDS!O$23*$AG7^8+WeightSDS!P$23*$AG7^7+WeightSDS!Q$23*$AG7^6+WeightSDS!R$23*$AG7^5+WeightSDS!S$23*$AG7^4+WeightSDS!T$23*$AG7^3+WeightSDS!U$23*$AG7^2+WeightSDS!V$23*$AG7+WeightSDS!W$23,IF($AG7&lt;153,WeightSDS!M$25*$AG7^10+WeightSDS!N$25*$AG7^9+WeightSDS!O$25*$AG7^8+WeightSDS!P$25*$AG7^7+WeightSDS!Q$25*$AG7^6+WeightSDS!R$25*$AG7^5+WeightSDS!S$25*$AG7^4+WeightSDS!T$25*$AG7^3+WeightSDS!U$25*$AG7^2+WeightSDS!V$25*$AG7+WeightSDS!W$25,WeightSDS!M$27+WeightSDS!N$27/(1+EXP(WeightSDS!O$27+WeightSDS!P$27*$AG7)))),IF($AG7&lt;43.8,WeightSDS!M$29*$AG7^10+WeightSDS!N$29*$AG7^9+WeightSDS!O$29*$AG7^8+WeightSDS!P$29*$AG7^7+WeightSDS!Q$29*$AG7^6+WeightSDS!R$29*$AG7^5+WeightSDS!S$29*$AG7^4+WeightSDS!T$29*$AG7^3+WeightSDS!U$29*$AG7^2+WeightSDS!V$29*$AG7+WeightSDS!W$29-0.010431*(1-$AG7/210),IF($AG7&lt;123,WeightSDS!M$30*$AG7^10+WeightSDS!N$30*$AG7^9+WeightSDS!O$30*$AG7^8+WeightSDS!P$30*$AG7^7+WeightSDS!Q$30*$AG7^6+WeightSDS!R$30*$AG7^5+WeightSDS!S$30*$AG7^4+WeightSDS!T$30*$AG7^3+WeightSDS!U$30*$AG7^2+WeightSDS!V$30*$AG7+WeightSDS!W$30-0.010431*(1-1/$AG7),WeightSDS!M$32+WeightSDS!N$32/(1+EXP(WeightSDS!O$32+WeightSDS!P$32*$AG7))-0.010431*(1-$AG7/210))))</f>
        <v>2.9500001032655536</v>
      </c>
      <c r="AK7" s="24">
        <f>IF(D7="M",IF($AG7&lt;162,WeightSDS!P$12*$AG7^7+WeightSDS!Q$12*$AG7^6+WeightSDS!R$12*$AG7^5+WeightSDS!S$12*$AG7^4+WeightSDS!T$12*$AG7^3+WeightSDS!U$12*$AG7^2+WeightSDS!V$12*$AG7+WeightSDS!W$12,WeightSDS!P$14*$AG7^7+WeightSDS!Q$14*$AG7^6+WeightSDS!R$14*$AG7^5+WeightSDS!S$14*$AG7^4+WeightSDS!T$14*$AG7^3+WeightSDS!U$14*$AG7^2+WeightSDS!V$14*$AG7+WeightSDS!W$14),IF($AG7&lt;156,WeightSDS!O$17*$AG7^8+WeightSDS!P$17*$AG7^7+WeightSDS!Q$17*$AG7^6+WeightSDS!R$17*$AG7^5+WeightSDS!S$17*$AG7^4+WeightSDS!T$17*$AG7^3+WeightSDS!U$17*$AG7^2+WeightSDS!V$17*$AG7+WeightSDS!W$17,IF($AG7&lt;186,WeightSDS!$U$18+(WeightSDS!$V$18-WeightSDS!$U$18)/24*($AG7-186)+WeightSDS!$W$18*(-$AG7+186)^2-0.005,WeightSDS!$U$18+(WeightSDS!$V$18-WeightSDS!$U$18)/24*($AG7-186)-0.005)))</f>
        <v>0.14604529399999999</v>
      </c>
    </row>
    <row r="8" spans="1:41">
      <c r="A8" s="4"/>
      <c r="B8" s="21"/>
      <c r="C8" s="21"/>
      <c r="D8" s="21"/>
      <c r="E8" s="22"/>
      <c r="F8" s="22"/>
      <c r="G8" s="23"/>
      <c r="H8" s="23"/>
      <c r="I8" s="8" t="str">
        <f t="shared" si="0"/>
        <v/>
      </c>
      <c r="J8" s="2" t="str">
        <f t="shared" si="4"/>
        <v/>
      </c>
      <c r="K8" s="2" t="str">
        <f t="shared" si="1"/>
        <v/>
      </c>
      <c r="L8" s="2" t="str">
        <f t="shared" si="5"/>
        <v/>
      </c>
      <c r="M8" s="2" t="str">
        <f t="shared" ref="M8:M71" si="15">IF(COUNTA(D8,E8,F8,G8,H8)=5,H8/G8^2*10000,"")</f>
        <v/>
      </c>
      <c r="N8" s="2" t="str">
        <f t="shared" si="7"/>
        <v/>
      </c>
      <c r="O8" s="8" t="str">
        <f t="shared" si="8"/>
        <v/>
      </c>
      <c r="P8" s="8" t="str">
        <f t="shared" si="9"/>
        <v/>
      </c>
      <c r="Q8" s="40" t="str">
        <f t="shared" si="10"/>
        <v/>
      </c>
      <c r="R8" s="48" t="str">
        <f t="shared" si="11"/>
        <v/>
      </c>
      <c r="S8" s="8"/>
      <c r="U8" s="35">
        <f t="shared" si="12"/>
        <v>0</v>
      </c>
      <c r="V8" s="24">
        <f t="shared" si="13"/>
        <v>0</v>
      </c>
      <c r="W8" s="41">
        <f t="shared" si="14"/>
        <v>0</v>
      </c>
      <c r="X8" s="31"/>
      <c r="Y8" s="31"/>
      <c r="Z8" s="31"/>
      <c r="AA8" s="25">
        <f t="shared" si="2"/>
        <v>9.0359999999999996</v>
      </c>
      <c r="AB8" s="25">
        <f t="shared" si="3"/>
        <v>-184.49199999999999</v>
      </c>
      <c r="AD8" s="24">
        <f>IF(D8="M",IF(AG8&lt;78,BMILMS!$D$5*AG8^3+BMILMS!$E$5*AG8^2+BMILMS!$F$5*AG8+BMILMS!$G$5,IF(AG8&lt;150,BMILMS!$D$6*AG8^3+BMILMS!$E$6*AG8^2+BMILMS!$F$6*AG8+BMILMS!$G$6,BMILMS!$D$7*AG8^3+BMILMS!$E$7*AG8^2+BMILMS!$F$7*AG8+BMILMS!$G$7)),IF(AG8&lt;69,BMILMS!$D$9*AG8^3+BMILMS!$E$9*AG8^2+BMILMS!$F$9*AG8+BMILMS!$G$9,IF(AG8&lt;150,BMILMS!$D$10*AG8^3+BMILMS!$E$10*AG8^2+BMILMS!$F$10*AG8+BMILMS!$G$10,BMILMS!$D$11*AG8^3+BMILMS!$E$11*AG8^2+BMILMS!$F$11*AG8+BMILMS!$G$11)))</f>
        <v>0.79584630099999998</v>
      </c>
      <c r="AE8" s="24">
        <f>IF(D8="M",(IF(AG8&lt;2.5,BMILMS!$D$21*AG8^3+BMILMS!$E$21*AG8^2+BMILMS!$F$21*AG8+BMILMS!$G$21,IF(AG8&lt;9.5,BMILMS!$D$22*AG8^3+BMILMS!$E$22*AG8^2+BMILMS!$F$22*AG8+BMILMS!$G$22,IF(AG8&lt;26.75,BMILMS!$D$23*AG8^3+BMILMS!$E$23*AG8^2+BMILMS!$F$23*AG8+BMILMS!$G$23,IF(AG8&lt;90,BMILMS!$D$24*AG8^3+BMILMS!$E$24*AG8^2+BMILMS!$F$24*AG8+BMILMS!$G$24,BMILMS!$D$25*AG8^3+BMILMS!$E$25*AG8^2+BMILMS!$F$25*AG8+BMILMS!$G$25))))),(IF(AG8&lt;2.5,BMILMS!$D$27*AG8^3+BMILMS!$E$27*AG8^2+BMILMS!$F$27*AG8+BMILMS!$G$27,IF(AG8&lt;9.5,BMILMS!$D$28*AG8^3+BMILMS!$E$28*AG8^2+BMILMS!$F$28*AG8+BMILMS!$G$28,IF(AG8&lt;26.75,BMILMS!$D$29*AG8^3+BMILMS!$E$29*AG8^2+BMILMS!$F$29*AG8+BMILMS!$G$29,IF(AG8&lt;90,BMILMS!$D$30*AG8^3+BMILMS!$E$30*AG8^2+BMILMS!$F$30*AG8+BMILMS!$G$30,IF(AG8&lt;150,BMILMS!$D$31*AG8^3+BMILMS!$E$31*AG8^2+BMILMS!$F$31*AG8+BMILMS!$G$31,BMILMS!$D$32*AG8^3+BMILMS!$E$32*AG8^2+BMILMS!$F$32*AG8+BMILMS!$G$32)))))))</f>
        <v>12.568967990000001</v>
      </c>
      <c r="AF8" s="24">
        <f>IF(D8="M",(IF(AG8&lt;90,BMILMS!$D$14*AG8^3+BMILMS!$E$14*AG8^2+BMILMS!$F$14*AG8+BMILMS!$G$14,BMILMS!$D$15*AG8^3+BMILMS!$E$15*AG8^2+BMILMS!$F$15*AG8+BMILMS!$G$15)),(IF(AG8&lt;90,BMILMS!$D$17*AG8^3+BMILMS!$E$17*AG8^2+BMILMS!$F$17*AG8+BMILMS!$G$17,BMILMS!$D$18*AG8^3+BMILMS!$E$18*AG8^2+BMILMS!$F$18*AG8+BMILMS!$G$18)))</f>
        <v>8.8969350000000003E-2</v>
      </c>
      <c r="AG8" s="24">
        <f t="shared" ref="AG8:AG71" si="16">U8*12+V8</f>
        <v>0</v>
      </c>
      <c r="AI8" s="38">
        <f>IF(D8="M",WeightSDS!P$5*$AG8^7+WeightSDS!Q$5*$AG8^6+WeightSDS!R$5*$AG8^5+WeightSDS!S$5*$AG8^4+WeightSDS!T$5*$AG8^3+WeightSDS!U$5*$AG8^2+WeightSDS!V$5*$AG8+WeightSDS!W$5,IF($AG8&lt;186,WeightSDS!P$8*$AG8^7+WeightSDS!Q$8*$AG8^6+WeightSDS!R$8*$AG8^5+WeightSDS!S$8*$AG8^4+WeightSDS!T$8*$AG8^3+WeightSDS!U$8*$AG8^2+WeightSDS!V$8*$AG8+WeightSDS!W$8,WeightSDS!$U$9-WeightSDS!$V$9*($AG8-WeightSDS!$W$9)))</f>
        <v>0.75407122999999998</v>
      </c>
      <c r="AJ8" s="24">
        <f>IF(D8="M",IF($AG8&lt;45,WeightSDS!M$23*$AG8^10+WeightSDS!N$23*$AG8^9+WeightSDS!O$23*$AG8^8+WeightSDS!P$23*$AG8^7+WeightSDS!Q$23*$AG8^6+WeightSDS!R$23*$AG8^5+WeightSDS!S$23*$AG8^4+WeightSDS!T$23*$AG8^3+WeightSDS!U$23*$AG8^2+WeightSDS!V$23*$AG8+WeightSDS!W$23,IF($AG8&lt;153,WeightSDS!M$25*$AG8^10+WeightSDS!N$25*$AG8^9+WeightSDS!O$25*$AG8^8+WeightSDS!P$25*$AG8^7+WeightSDS!Q$25*$AG8^6+WeightSDS!R$25*$AG8^5+WeightSDS!S$25*$AG8^4+WeightSDS!T$25*$AG8^3+WeightSDS!U$25*$AG8^2+WeightSDS!V$25*$AG8+WeightSDS!W$25,WeightSDS!M$27+WeightSDS!N$27/(1+EXP(WeightSDS!O$27+WeightSDS!P$27*$AG8)))),IF($AG8&lt;43.8,WeightSDS!M$29*$AG8^10+WeightSDS!N$29*$AG8^9+WeightSDS!O$29*$AG8^8+WeightSDS!P$29*$AG8^7+WeightSDS!Q$29*$AG8^6+WeightSDS!R$29*$AG8^5+WeightSDS!S$29*$AG8^4+WeightSDS!T$29*$AG8^3+WeightSDS!U$29*$AG8^2+WeightSDS!V$29*$AG8+WeightSDS!W$29-0.010431*(1-$AG8/210),IF($AG8&lt;123,WeightSDS!M$30*$AG8^10+WeightSDS!N$30*$AG8^9+WeightSDS!O$30*$AG8^8+WeightSDS!P$30*$AG8^7+WeightSDS!Q$30*$AG8^6+WeightSDS!R$30*$AG8^5+WeightSDS!S$30*$AG8^4+WeightSDS!T$30*$AG8^3+WeightSDS!U$30*$AG8^2+WeightSDS!V$30*$AG8+WeightSDS!W$30-0.010431*(1-1/$AG8),WeightSDS!M$32+WeightSDS!N$32/(1+EXP(WeightSDS!O$32+WeightSDS!P$32*$AG8))-0.010431*(1-$AG8/210))))</f>
        <v>2.9500001032655536</v>
      </c>
      <c r="AK8" s="24">
        <f>IF(D8="M",IF($AG8&lt;162,WeightSDS!P$12*$AG8^7+WeightSDS!Q$12*$AG8^6+WeightSDS!R$12*$AG8^5+WeightSDS!S$12*$AG8^4+WeightSDS!T$12*$AG8^3+WeightSDS!U$12*$AG8^2+WeightSDS!V$12*$AG8+WeightSDS!W$12,WeightSDS!P$14*$AG8^7+WeightSDS!Q$14*$AG8^6+WeightSDS!R$14*$AG8^5+WeightSDS!S$14*$AG8^4+WeightSDS!T$14*$AG8^3+WeightSDS!U$14*$AG8^2+WeightSDS!V$14*$AG8+WeightSDS!W$14),IF($AG8&lt;156,WeightSDS!O$17*$AG8^8+WeightSDS!P$17*$AG8^7+WeightSDS!Q$17*$AG8^6+WeightSDS!R$17*$AG8^5+WeightSDS!S$17*$AG8^4+WeightSDS!T$17*$AG8^3+WeightSDS!U$17*$AG8^2+WeightSDS!V$17*$AG8+WeightSDS!W$17,IF($AG8&lt;186,WeightSDS!$U$18+(WeightSDS!$V$18-WeightSDS!$U$18)/24*($AG8-186)+WeightSDS!$W$18*(-$AG8+186)^2-0.005,WeightSDS!$U$18+(WeightSDS!$V$18-WeightSDS!$U$18)/24*($AG8-186)-0.005)))</f>
        <v>0.14604529399999999</v>
      </c>
    </row>
    <row r="9" spans="1:41">
      <c r="A9" s="4"/>
      <c r="B9" s="21"/>
      <c r="C9" s="21"/>
      <c r="D9" s="21"/>
      <c r="E9" s="22"/>
      <c r="F9" s="22"/>
      <c r="G9" s="23"/>
      <c r="H9" s="23"/>
      <c r="I9" s="8" t="str">
        <f t="shared" si="0"/>
        <v/>
      </c>
      <c r="J9" s="2" t="str">
        <f t="shared" si="4"/>
        <v/>
      </c>
      <c r="K9" s="2" t="str">
        <f t="shared" si="1"/>
        <v/>
      </c>
      <c r="L9" s="2" t="str">
        <f t="shared" si="5"/>
        <v/>
      </c>
      <c r="M9" s="2" t="str">
        <f t="shared" si="15"/>
        <v/>
      </c>
      <c r="N9" s="2" t="str">
        <f t="shared" si="7"/>
        <v/>
      </c>
      <c r="O9" s="8" t="str">
        <f t="shared" si="8"/>
        <v/>
      </c>
      <c r="P9" s="8" t="str">
        <f t="shared" si="9"/>
        <v/>
      </c>
      <c r="Q9" s="40" t="str">
        <f t="shared" si="10"/>
        <v/>
      </c>
      <c r="R9" s="48" t="str">
        <f t="shared" si="11"/>
        <v/>
      </c>
      <c r="S9" s="8"/>
      <c r="U9" s="35">
        <f t="shared" si="12"/>
        <v>0</v>
      </c>
      <c r="V9" s="24">
        <f t="shared" si="13"/>
        <v>0</v>
      </c>
      <c r="W9" s="41">
        <f t="shared" si="14"/>
        <v>0</v>
      </c>
      <c r="X9" s="31"/>
      <c r="Y9" s="31"/>
      <c r="Z9" s="31"/>
      <c r="AA9" s="25">
        <f t="shared" si="2"/>
        <v>9.0359999999999996</v>
      </c>
      <c r="AB9" s="25">
        <f t="shared" si="3"/>
        <v>-184.49199999999999</v>
      </c>
      <c r="AD9" s="24">
        <f>IF(D9="M",IF(AG9&lt;78,BMILMS!$D$5*AG9^3+BMILMS!$E$5*AG9^2+BMILMS!$F$5*AG9+BMILMS!$G$5,IF(AG9&lt;150,BMILMS!$D$6*AG9^3+BMILMS!$E$6*AG9^2+BMILMS!$F$6*AG9+BMILMS!$G$6,BMILMS!$D$7*AG9^3+BMILMS!$E$7*AG9^2+BMILMS!$F$7*AG9+BMILMS!$G$7)),IF(AG9&lt;69,BMILMS!$D$9*AG9^3+BMILMS!$E$9*AG9^2+BMILMS!$F$9*AG9+BMILMS!$G$9,IF(AG9&lt;150,BMILMS!$D$10*AG9^3+BMILMS!$E$10*AG9^2+BMILMS!$F$10*AG9+BMILMS!$G$10,BMILMS!$D$11*AG9^3+BMILMS!$E$11*AG9^2+BMILMS!$F$11*AG9+BMILMS!$G$11)))</f>
        <v>0.79584630099999998</v>
      </c>
      <c r="AE9" s="24">
        <f>IF(D9="M",(IF(AG9&lt;2.5,BMILMS!$D$21*AG9^3+BMILMS!$E$21*AG9^2+BMILMS!$F$21*AG9+BMILMS!$G$21,IF(AG9&lt;9.5,BMILMS!$D$22*AG9^3+BMILMS!$E$22*AG9^2+BMILMS!$F$22*AG9+BMILMS!$G$22,IF(AG9&lt;26.75,BMILMS!$D$23*AG9^3+BMILMS!$E$23*AG9^2+BMILMS!$F$23*AG9+BMILMS!$G$23,IF(AG9&lt;90,BMILMS!$D$24*AG9^3+BMILMS!$E$24*AG9^2+BMILMS!$F$24*AG9+BMILMS!$G$24,BMILMS!$D$25*AG9^3+BMILMS!$E$25*AG9^2+BMILMS!$F$25*AG9+BMILMS!$G$25))))),(IF(AG9&lt;2.5,BMILMS!$D$27*AG9^3+BMILMS!$E$27*AG9^2+BMILMS!$F$27*AG9+BMILMS!$G$27,IF(AG9&lt;9.5,BMILMS!$D$28*AG9^3+BMILMS!$E$28*AG9^2+BMILMS!$F$28*AG9+BMILMS!$G$28,IF(AG9&lt;26.75,BMILMS!$D$29*AG9^3+BMILMS!$E$29*AG9^2+BMILMS!$F$29*AG9+BMILMS!$G$29,IF(AG9&lt;90,BMILMS!$D$30*AG9^3+BMILMS!$E$30*AG9^2+BMILMS!$F$30*AG9+BMILMS!$G$30,IF(AG9&lt;150,BMILMS!$D$31*AG9^3+BMILMS!$E$31*AG9^2+BMILMS!$F$31*AG9+BMILMS!$G$31,BMILMS!$D$32*AG9^3+BMILMS!$E$32*AG9^2+BMILMS!$F$32*AG9+BMILMS!$G$32)))))))</f>
        <v>12.568967990000001</v>
      </c>
      <c r="AF9" s="24">
        <f>IF(D9="M",(IF(AG9&lt;90,BMILMS!$D$14*AG9^3+BMILMS!$E$14*AG9^2+BMILMS!$F$14*AG9+BMILMS!$G$14,BMILMS!$D$15*AG9^3+BMILMS!$E$15*AG9^2+BMILMS!$F$15*AG9+BMILMS!$G$15)),(IF(AG9&lt;90,BMILMS!$D$17*AG9^3+BMILMS!$E$17*AG9^2+BMILMS!$F$17*AG9+BMILMS!$G$17,BMILMS!$D$18*AG9^3+BMILMS!$E$18*AG9^2+BMILMS!$F$18*AG9+BMILMS!$G$18)))</f>
        <v>8.8969350000000003E-2</v>
      </c>
      <c r="AG9" s="24">
        <f t="shared" si="16"/>
        <v>0</v>
      </c>
      <c r="AI9" s="38">
        <f>IF(D9="M",WeightSDS!P$5*$AG9^7+WeightSDS!Q$5*$AG9^6+WeightSDS!R$5*$AG9^5+WeightSDS!S$5*$AG9^4+WeightSDS!T$5*$AG9^3+WeightSDS!U$5*$AG9^2+WeightSDS!V$5*$AG9+WeightSDS!W$5,IF($AG9&lt;186,WeightSDS!P$8*$AG9^7+WeightSDS!Q$8*$AG9^6+WeightSDS!R$8*$AG9^5+WeightSDS!S$8*$AG9^4+WeightSDS!T$8*$AG9^3+WeightSDS!U$8*$AG9^2+WeightSDS!V$8*$AG9+WeightSDS!W$8,WeightSDS!$U$9-WeightSDS!$V$9*($AG9-WeightSDS!$W$9)))</f>
        <v>0.75407122999999998</v>
      </c>
      <c r="AJ9" s="24">
        <f>IF(D9="M",IF($AG9&lt;45,WeightSDS!M$23*$AG9^10+WeightSDS!N$23*$AG9^9+WeightSDS!O$23*$AG9^8+WeightSDS!P$23*$AG9^7+WeightSDS!Q$23*$AG9^6+WeightSDS!R$23*$AG9^5+WeightSDS!S$23*$AG9^4+WeightSDS!T$23*$AG9^3+WeightSDS!U$23*$AG9^2+WeightSDS!V$23*$AG9+WeightSDS!W$23,IF($AG9&lt;153,WeightSDS!M$25*$AG9^10+WeightSDS!N$25*$AG9^9+WeightSDS!O$25*$AG9^8+WeightSDS!P$25*$AG9^7+WeightSDS!Q$25*$AG9^6+WeightSDS!R$25*$AG9^5+WeightSDS!S$25*$AG9^4+WeightSDS!T$25*$AG9^3+WeightSDS!U$25*$AG9^2+WeightSDS!V$25*$AG9+WeightSDS!W$25,WeightSDS!M$27+WeightSDS!N$27/(1+EXP(WeightSDS!O$27+WeightSDS!P$27*$AG9)))),IF($AG9&lt;43.8,WeightSDS!M$29*$AG9^10+WeightSDS!N$29*$AG9^9+WeightSDS!O$29*$AG9^8+WeightSDS!P$29*$AG9^7+WeightSDS!Q$29*$AG9^6+WeightSDS!R$29*$AG9^5+WeightSDS!S$29*$AG9^4+WeightSDS!T$29*$AG9^3+WeightSDS!U$29*$AG9^2+WeightSDS!V$29*$AG9+WeightSDS!W$29-0.010431*(1-$AG9/210),IF($AG9&lt;123,WeightSDS!M$30*$AG9^10+WeightSDS!N$30*$AG9^9+WeightSDS!O$30*$AG9^8+WeightSDS!P$30*$AG9^7+WeightSDS!Q$30*$AG9^6+WeightSDS!R$30*$AG9^5+WeightSDS!S$30*$AG9^4+WeightSDS!T$30*$AG9^3+WeightSDS!U$30*$AG9^2+WeightSDS!V$30*$AG9+WeightSDS!W$30-0.010431*(1-1/$AG9),WeightSDS!M$32+WeightSDS!N$32/(1+EXP(WeightSDS!O$32+WeightSDS!P$32*$AG9))-0.010431*(1-$AG9/210))))</f>
        <v>2.9500001032655536</v>
      </c>
      <c r="AK9" s="24">
        <f>IF(D9="M",IF($AG9&lt;162,WeightSDS!P$12*$AG9^7+WeightSDS!Q$12*$AG9^6+WeightSDS!R$12*$AG9^5+WeightSDS!S$12*$AG9^4+WeightSDS!T$12*$AG9^3+WeightSDS!U$12*$AG9^2+WeightSDS!V$12*$AG9+WeightSDS!W$12,WeightSDS!P$14*$AG9^7+WeightSDS!Q$14*$AG9^6+WeightSDS!R$14*$AG9^5+WeightSDS!S$14*$AG9^4+WeightSDS!T$14*$AG9^3+WeightSDS!U$14*$AG9^2+WeightSDS!V$14*$AG9+WeightSDS!W$14),IF($AG9&lt;156,WeightSDS!O$17*$AG9^8+WeightSDS!P$17*$AG9^7+WeightSDS!Q$17*$AG9^6+WeightSDS!R$17*$AG9^5+WeightSDS!S$17*$AG9^4+WeightSDS!T$17*$AG9^3+WeightSDS!U$17*$AG9^2+WeightSDS!V$17*$AG9+WeightSDS!W$17,IF($AG9&lt;186,WeightSDS!$U$18+(WeightSDS!$V$18-WeightSDS!$U$18)/24*($AG9-186)+WeightSDS!$W$18*(-$AG9+186)^2-0.005,WeightSDS!$U$18+(WeightSDS!$V$18-WeightSDS!$U$18)/24*($AG9-186)-0.005)))</f>
        <v>0.14604529399999999</v>
      </c>
    </row>
    <row r="10" spans="1:41">
      <c r="A10" s="4"/>
      <c r="B10" s="21"/>
      <c r="C10" s="21"/>
      <c r="D10" s="21"/>
      <c r="E10" s="22"/>
      <c r="F10" s="22"/>
      <c r="G10" s="23"/>
      <c r="H10" s="23"/>
      <c r="I10" s="8" t="str">
        <f t="shared" si="0"/>
        <v/>
      </c>
      <c r="J10" s="2" t="str">
        <f t="shared" si="4"/>
        <v/>
      </c>
      <c r="K10" s="2" t="str">
        <f t="shared" si="1"/>
        <v/>
      </c>
      <c r="L10" s="2" t="str">
        <f t="shared" si="5"/>
        <v/>
      </c>
      <c r="M10" s="2" t="str">
        <f t="shared" si="15"/>
        <v/>
      </c>
      <c r="N10" s="2" t="str">
        <f t="shared" si="7"/>
        <v/>
      </c>
      <c r="O10" s="8" t="str">
        <f t="shared" si="8"/>
        <v/>
      </c>
      <c r="P10" s="8" t="str">
        <f t="shared" si="9"/>
        <v/>
      </c>
      <c r="Q10" s="40" t="str">
        <f t="shared" si="10"/>
        <v/>
      </c>
      <c r="R10" s="48" t="str">
        <f t="shared" si="11"/>
        <v/>
      </c>
      <c r="S10" s="8"/>
      <c r="U10" s="35">
        <f t="shared" si="12"/>
        <v>0</v>
      </c>
      <c r="V10" s="24">
        <f t="shared" si="13"/>
        <v>0</v>
      </c>
      <c r="W10" s="41">
        <f t="shared" si="14"/>
        <v>0</v>
      </c>
      <c r="X10" s="31"/>
      <c r="Y10" s="31"/>
      <c r="Z10" s="31"/>
      <c r="AA10" s="25">
        <f t="shared" si="2"/>
        <v>9.0359999999999996</v>
      </c>
      <c r="AB10" s="25">
        <f t="shared" si="3"/>
        <v>-184.49199999999999</v>
      </c>
      <c r="AD10" s="24">
        <f>IF(D10="M",IF(AG10&lt;78,BMILMS!$D$5*AG10^3+BMILMS!$E$5*AG10^2+BMILMS!$F$5*AG10+BMILMS!$G$5,IF(AG10&lt;150,BMILMS!$D$6*AG10^3+BMILMS!$E$6*AG10^2+BMILMS!$F$6*AG10+BMILMS!$G$6,BMILMS!$D$7*AG10^3+BMILMS!$E$7*AG10^2+BMILMS!$F$7*AG10+BMILMS!$G$7)),IF(AG10&lt;69,BMILMS!$D$9*AG10^3+BMILMS!$E$9*AG10^2+BMILMS!$F$9*AG10+BMILMS!$G$9,IF(AG10&lt;150,BMILMS!$D$10*AG10^3+BMILMS!$E$10*AG10^2+BMILMS!$F$10*AG10+BMILMS!$G$10,BMILMS!$D$11*AG10^3+BMILMS!$E$11*AG10^2+BMILMS!$F$11*AG10+BMILMS!$G$11)))</f>
        <v>0.79584630099999998</v>
      </c>
      <c r="AE10" s="24">
        <f>IF(D10="M",(IF(AG10&lt;2.5,BMILMS!$D$21*AG10^3+BMILMS!$E$21*AG10^2+BMILMS!$F$21*AG10+BMILMS!$G$21,IF(AG10&lt;9.5,BMILMS!$D$22*AG10^3+BMILMS!$E$22*AG10^2+BMILMS!$F$22*AG10+BMILMS!$G$22,IF(AG10&lt;26.75,BMILMS!$D$23*AG10^3+BMILMS!$E$23*AG10^2+BMILMS!$F$23*AG10+BMILMS!$G$23,IF(AG10&lt;90,BMILMS!$D$24*AG10^3+BMILMS!$E$24*AG10^2+BMILMS!$F$24*AG10+BMILMS!$G$24,BMILMS!$D$25*AG10^3+BMILMS!$E$25*AG10^2+BMILMS!$F$25*AG10+BMILMS!$G$25))))),(IF(AG10&lt;2.5,BMILMS!$D$27*AG10^3+BMILMS!$E$27*AG10^2+BMILMS!$F$27*AG10+BMILMS!$G$27,IF(AG10&lt;9.5,BMILMS!$D$28*AG10^3+BMILMS!$E$28*AG10^2+BMILMS!$F$28*AG10+BMILMS!$G$28,IF(AG10&lt;26.75,BMILMS!$D$29*AG10^3+BMILMS!$E$29*AG10^2+BMILMS!$F$29*AG10+BMILMS!$G$29,IF(AG10&lt;90,BMILMS!$D$30*AG10^3+BMILMS!$E$30*AG10^2+BMILMS!$F$30*AG10+BMILMS!$G$30,IF(AG10&lt;150,BMILMS!$D$31*AG10^3+BMILMS!$E$31*AG10^2+BMILMS!$F$31*AG10+BMILMS!$G$31,BMILMS!$D$32*AG10^3+BMILMS!$E$32*AG10^2+BMILMS!$F$32*AG10+BMILMS!$G$32)))))))</f>
        <v>12.568967990000001</v>
      </c>
      <c r="AF10" s="24">
        <f>IF(D10="M",(IF(AG10&lt;90,BMILMS!$D$14*AG10^3+BMILMS!$E$14*AG10^2+BMILMS!$F$14*AG10+BMILMS!$G$14,BMILMS!$D$15*AG10^3+BMILMS!$E$15*AG10^2+BMILMS!$F$15*AG10+BMILMS!$G$15)),(IF(AG10&lt;90,BMILMS!$D$17*AG10^3+BMILMS!$E$17*AG10^2+BMILMS!$F$17*AG10+BMILMS!$G$17,BMILMS!$D$18*AG10^3+BMILMS!$E$18*AG10^2+BMILMS!$F$18*AG10+BMILMS!$G$18)))</f>
        <v>8.8969350000000003E-2</v>
      </c>
      <c r="AG10" s="24">
        <f t="shared" si="16"/>
        <v>0</v>
      </c>
      <c r="AI10" s="38">
        <f>IF(D10="M",WeightSDS!P$5*$AG10^7+WeightSDS!Q$5*$AG10^6+WeightSDS!R$5*$AG10^5+WeightSDS!S$5*$AG10^4+WeightSDS!T$5*$AG10^3+WeightSDS!U$5*$AG10^2+WeightSDS!V$5*$AG10+WeightSDS!W$5,IF($AG10&lt;186,WeightSDS!P$8*$AG10^7+WeightSDS!Q$8*$AG10^6+WeightSDS!R$8*$AG10^5+WeightSDS!S$8*$AG10^4+WeightSDS!T$8*$AG10^3+WeightSDS!U$8*$AG10^2+WeightSDS!V$8*$AG10+WeightSDS!W$8,WeightSDS!$U$9-WeightSDS!$V$9*($AG10-WeightSDS!$W$9)))</f>
        <v>0.75407122999999998</v>
      </c>
      <c r="AJ10" s="24">
        <f>IF(D10="M",IF($AG10&lt;45,WeightSDS!M$23*$AG10^10+WeightSDS!N$23*$AG10^9+WeightSDS!O$23*$AG10^8+WeightSDS!P$23*$AG10^7+WeightSDS!Q$23*$AG10^6+WeightSDS!R$23*$AG10^5+WeightSDS!S$23*$AG10^4+WeightSDS!T$23*$AG10^3+WeightSDS!U$23*$AG10^2+WeightSDS!V$23*$AG10+WeightSDS!W$23,IF($AG10&lt;153,WeightSDS!M$25*$AG10^10+WeightSDS!N$25*$AG10^9+WeightSDS!O$25*$AG10^8+WeightSDS!P$25*$AG10^7+WeightSDS!Q$25*$AG10^6+WeightSDS!R$25*$AG10^5+WeightSDS!S$25*$AG10^4+WeightSDS!T$25*$AG10^3+WeightSDS!U$25*$AG10^2+WeightSDS!V$25*$AG10+WeightSDS!W$25,WeightSDS!M$27+WeightSDS!N$27/(1+EXP(WeightSDS!O$27+WeightSDS!P$27*$AG10)))),IF($AG10&lt;43.8,WeightSDS!M$29*$AG10^10+WeightSDS!N$29*$AG10^9+WeightSDS!O$29*$AG10^8+WeightSDS!P$29*$AG10^7+WeightSDS!Q$29*$AG10^6+WeightSDS!R$29*$AG10^5+WeightSDS!S$29*$AG10^4+WeightSDS!T$29*$AG10^3+WeightSDS!U$29*$AG10^2+WeightSDS!V$29*$AG10+WeightSDS!W$29-0.010431*(1-$AG10/210),IF($AG10&lt;123,WeightSDS!M$30*$AG10^10+WeightSDS!N$30*$AG10^9+WeightSDS!O$30*$AG10^8+WeightSDS!P$30*$AG10^7+WeightSDS!Q$30*$AG10^6+WeightSDS!R$30*$AG10^5+WeightSDS!S$30*$AG10^4+WeightSDS!T$30*$AG10^3+WeightSDS!U$30*$AG10^2+WeightSDS!V$30*$AG10+WeightSDS!W$30-0.010431*(1-1/$AG10),WeightSDS!M$32+WeightSDS!N$32/(1+EXP(WeightSDS!O$32+WeightSDS!P$32*$AG10))-0.010431*(1-$AG10/210))))</f>
        <v>2.9500001032655536</v>
      </c>
      <c r="AK10" s="24">
        <f>IF(D10="M",IF($AG10&lt;162,WeightSDS!P$12*$AG10^7+WeightSDS!Q$12*$AG10^6+WeightSDS!R$12*$AG10^5+WeightSDS!S$12*$AG10^4+WeightSDS!T$12*$AG10^3+WeightSDS!U$12*$AG10^2+WeightSDS!V$12*$AG10+WeightSDS!W$12,WeightSDS!P$14*$AG10^7+WeightSDS!Q$14*$AG10^6+WeightSDS!R$14*$AG10^5+WeightSDS!S$14*$AG10^4+WeightSDS!T$14*$AG10^3+WeightSDS!U$14*$AG10^2+WeightSDS!V$14*$AG10+WeightSDS!W$14),IF($AG10&lt;156,WeightSDS!O$17*$AG10^8+WeightSDS!P$17*$AG10^7+WeightSDS!Q$17*$AG10^6+WeightSDS!R$17*$AG10^5+WeightSDS!S$17*$AG10^4+WeightSDS!T$17*$AG10^3+WeightSDS!U$17*$AG10^2+WeightSDS!V$17*$AG10+WeightSDS!W$17,IF($AG10&lt;186,WeightSDS!$U$18+(WeightSDS!$V$18-WeightSDS!$U$18)/24*($AG10-186)+WeightSDS!$W$18*(-$AG10+186)^2-0.005,WeightSDS!$U$18+(WeightSDS!$V$18-WeightSDS!$U$18)/24*($AG10-186)-0.005)))</f>
        <v>0.14604529399999999</v>
      </c>
    </row>
    <row r="11" spans="1:41">
      <c r="A11" s="4"/>
      <c r="B11" s="21"/>
      <c r="C11" s="21"/>
      <c r="D11" s="21"/>
      <c r="E11" s="22"/>
      <c r="F11" s="22"/>
      <c r="G11" s="23"/>
      <c r="H11" s="23"/>
      <c r="I11" s="8" t="str">
        <f t="shared" si="0"/>
        <v/>
      </c>
      <c r="J11" s="2" t="str">
        <f t="shared" si="4"/>
        <v/>
      </c>
      <c r="K11" s="2" t="str">
        <f t="shared" si="1"/>
        <v/>
      </c>
      <c r="L11" s="2" t="str">
        <f t="shared" si="5"/>
        <v/>
      </c>
      <c r="M11" s="2" t="str">
        <f t="shared" si="15"/>
        <v/>
      </c>
      <c r="N11" s="2" t="str">
        <f t="shared" si="7"/>
        <v/>
      </c>
      <c r="O11" s="8" t="str">
        <f t="shared" si="8"/>
        <v/>
      </c>
      <c r="P11" s="8" t="str">
        <f t="shared" si="9"/>
        <v/>
      </c>
      <c r="Q11" s="40" t="str">
        <f t="shared" si="10"/>
        <v/>
      </c>
      <c r="R11" s="48" t="str">
        <f t="shared" si="11"/>
        <v/>
      </c>
      <c r="S11" s="8"/>
      <c r="U11" s="35">
        <f t="shared" si="12"/>
        <v>0</v>
      </c>
      <c r="V11" s="24">
        <f t="shared" si="13"/>
        <v>0</v>
      </c>
      <c r="W11" s="41">
        <f t="shared" si="14"/>
        <v>0</v>
      </c>
      <c r="X11" s="31"/>
      <c r="Y11" s="31"/>
      <c r="Z11" s="31"/>
      <c r="AA11" s="25">
        <f t="shared" si="2"/>
        <v>9.0359999999999996</v>
      </c>
      <c r="AB11" s="25">
        <f t="shared" si="3"/>
        <v>-184.49199999999999</v>
      </c>
      <c r="AD11" s="24">
        <f>IF(D11="M",IF(AG11&lt;78,BMILMS!$D$5*AG11^3+BMILMS!$E$5*AG11^2+BMILMS!$F$5*AG11+BMILMS!$G$5,IF(AG11&lt;150,BMILMS!$D$6*AG11^3+BMILMS!$E$6*AG11^2+BMILMS!$F$6*AG11+BMILMS!$G$6,BMILMS!$D$7*AG11^3+BMILMS!$E$7*AG11^2+BMILMS!$F$7*AG11+BMILMS!$G$7)),IF(AG11&lt;69,BMILMS!$D$9*AG11^3+BMILMS!$E$9*AG11^2+BMILMS!$F$9*AG11+BMILMS!$G$9,IF(AG11&lt;150,BMILMS!$D$10*AG11^3+BMILMS!$E$10*AG11^2+BMILMS!$F$10*AG11+BMILMS!$G$10,BMILMS!$D$11*AG11^3+BMILMS!$E$11*AG11^2+BMILMS!$F$11*AG11+BMILMS!$G$11)))</f>
        <v>0.79584630099999998</v>
      </c>
      <c r="AE11" s="24">
        <f>IF(D11="M",(IF(AG11&lt;2.5,BMILMS!$D$21*AG11^3+BMILMS!$E$21*AG11^2+BMILMS!$F$21*AG11+BMILMS!$G$21,IF(AG11&lt;9.5,BMILMS!$D$22*AG11^3+BMILMS!$E$22*AG11^2+BMILMS!$F$22*AG11+BMILMS!$G$22,IF(AG11&lt;26.75,BMILMS!$D$23*AG11^3+BMILMS!$E$23*AG11^2+BMILMS!$F$23*AG11+BMILMS!$G$23,IF(AG11&lt;90,BMILMS!$D$24*AG11^3+BMILMS!$E$24*AG11^2+BMILMS!$F$24*AG11+BMILMS!$G$24,BMILMS!$D$25*AG11^3+BMILMS!$E$25*AG11^2+BMILMS!$F$25*AG11+BMILMS!$G$25))))),(IF(AG11&lt;2.5,BMILMS!$D$27*AG11^3+BMILMS!$E$27*AG11^2+BMILMS!$F$27*AG11+BMILMS!$G$27,IF(AG11&lt;9.5,BMILMS!$D$28*AG11^3+BMILMS!$E$28*AG11^2+BMILMS!$F$28*AG11+BMILMS!$G$28,IF(AG11&lt;26.75,BMILMS!$D$29*AG11^3+BMILMS!$E$29*AG11^2+BMILMS!$F$29*AG11+BMILMS!$G$29,IF(AG11&lt;90,BMILMS!$D$30*AG11^3+BMILMS!$E$30*AG11^2+BMILMS!$F$30*AG11+BMILMS!$G$30,IF(AG11&lt;150,BMILMS!$D$31*AG11^3+BMILMS!$E$31*AG11^2+BMILMS!$F$31*AG11+BMILMS!$G$31,BMILMS!$D$32*AG11^3+BMILMS!$E$32*AG11^2+BMILMS!$F$32*AG11+BMILMS!$G$32)))))))</f>
        <v>12.568967990000001</v>
      </c>
      <c r="AF11" s="24">
        <f>IF(D11="M",(IF(AG11&lt;90,BMILMS!$D$14*AG11^3+BMILMS!$E$14*AG11^2+BMILMS!$F$14*AG11+BMILMS!$G$14,BMILMS!$D$15*AG11^3+BMILMS!$E$15*AG11^2+BMILMS!$F$15*AG11+BMILMS!$G$15)),(IF(AG11&lt;90,BMILMS!$D$17*AG11^3+BMILMS!$E$17*AG11^2+BMILMS!$F$17*AG11+BMILMS!$G$17,BMILMS!$D$18*AG11^3+BMILMS!$E$18*AG11^2+BMILMS!$F$18*AG11+BMILMS!$G$18)))</f>
        <v>8.8969350000000003E-2</v>
      </c>
      <c r="AG11" s="24">
        <f t="shared" si="16"/>
        <v>0</v>
      </c>
      <c r="AI11" s="38">
        <f>IF(D11="M",WeightSDS!P$5*$AG11^7+WeightSDS!Q$5*$AG11^6+WeightSDS!R$5*$AG11^5+WeightSDS!S$5*$AG11^4+WeightSDS!T$5*$AG11^3+WeightSDS!U$5*$AG11^2+WeightSDS!V$5*$AG11+WeightSDS!W$5,IF($AG11&lt;186,WeightSDS!P$8*$AG11^7+WeightSDS!Q$8*$AG11^6+WeightSDS!R$8*$AG11^5+WeightSDS!S$8*$AG11^4+WeightSDS!T$8*$AG11^3+WeightSDS!U$8*$AG11^2+WeightSDS!V$8*$AG11+WeightSDS!W$8,WeightSDS!$U$9-WeightSDS!$V$9*($AG11-WeightSDS!$W$9)))</f>
        <v>0.75407122999999998</v>
      </c>
      <c r="AJ11" s="24">
        <f>IF(D11="M",IF($AG11&lt;45,WeightSDS!M$23*$AG11^10+WeightSDS!N$23*$AG11^9+WeightSDS!O$23*$AG11^8+WeightSDS!P$23*$AG11^7+WeightSDS!Q$23*$AG11^6+WeightSDS!R$23*$AG11^5+WeightSDS!S$23*$AG11^4+WeightSDS!T$23*$AG11^3+WeightSDS!U$23*$AG11^2+WeightSDS!V$23*$AG11+WeightSDS!W$23,IF($AG11&lt;153,WeightSDS!M$25*$AG11^10+WeightSDS!N$25*$AG11^9+WeightSDS!O$25*$AG11^8+WeightSDS!P$25*$AG11^7+WeightSDS!Q$25*$AG11^6+WeightSDS!R$25*$AG11^5+WeightSDS!S$25*$AG11^4+WeightSDS!T$25*$AG11^3+WeightSDS!U$25*$AG11^2+WeightSDS!V$25*$AG11+WeightSDS!W$25,WeightSDS!M$27+WeightSDS!N$27/(1+EXP(WeightSDS!O$27+WeightSDS!P$27*$AG11)))),IF($AG11&lt;43.8,WeightSDS!M$29*$AG11^10+WeightSDS!N$29*$AG11^9+WeightSDS!O$29*$AG11^8+WeightSDS!P$29*$AG11^7+WeightSDS!Q$29*$AG11^6+WeightSDS!R$29*$AG11^5+WeightSDS!S$29*$AG11^4+WeightSDS!T$29*$AG11^3+WeightSDS!U$29*$AG11^2+WeightSDS!V$29*$AG11+WeightSDS!W$29-0.010431*(1-$AG11/210),IF($AG11&lt;123,WeightSDS!M$30*$AG11^10+WeightSDS!N$30*$AG11^9+WeightSDS!O$30*$AG11^8+WeightSDS!P$30*$AG11^7+WeightSDS!Q$30*$AG11^6+WeightSDS!R$30*$AG11^5+WeightSDS!S$30*$AG11^4+WeightSDS!T$30*$AG11^3+WeightSDS!U$30*$AG11^2+WeightSDS!V$30*$AG11+WeightSDS!W$30-0.010431*(1-1/$AG11),WeightSDS!M$32+WeightSDS!N$32/(1+EXP(WeightSDS!O$32+WeightSDS!P$32*$AG11))-0.010431*(1-$AG11/210))))</f>
        <v>2.9500001032655536</v>
      </c>
      <c r="AK11" s="24">
        <f>IF(D11="M",IF($AG11&lt;162,WeightSDS!P$12*$AG11^7+WeightSDS!Q$12*$AG11^6+WeightSDS!R$12*$AG11^5+WeightSDS!S$12*$AG11^4+WeightSDS!T$12*$AG11^3+WeightSDS!U$12*$AG11^2+WeightSDS!V$12*$AG11+WeightSDS!W$12,WeightSDS!P$14*$AG11^7+WeightSDS!Q$14*$AG11^6+WeightSDS!R$14*$AG11^5+WeightSDS!S$14*$AG11^4+WeightSDS!T$14*$AG11^3+WeightSDS!U$14*$AG11^2+WeightSDS!V$14*$AG11+WeightSDS!W$14),IF($AG11&lt;156,WeightSDS!O$17*$AG11^8+WeightSDS!P$17*$AG11^7+WeightSDS!Q$17*$AG11^6+WeightSDS!R$17*$AG11^5+WeightSDS!S$17*$AG11^4+WeightSDS!T$17*$AG11^3+WeightSDS!U$17*$AG11^2+WeightSDS!V$17*$AG11+WeightSDS!W$17,IF($AG11&lt;186,WeightSDS!$U$18+(WeightSDS!$V$18-WeightSDS!$U$18)/24*($AG11-186)+WeightSDS!$W$18*(-$AG11+186)^2-0.005,WeightSDS!$U$18+(WeightSDS!$V$18-WeightSDS!$U$18)/24*($AG11-186)-0.005)))</f>
        <v>0.14604529399999999</v>
      </c>
    </row>
    <row r="12" spans="1:41">
      <c r="A12" s="4"/>
      <c r="B12" s="21"/>
      <c r="C12" s="21"/>
      <c r="D12" s="21"/>
      <c r="E12" s="22"/>
      <c r="F12" s="22"/>
      <c r="G12" s="23"/>
      <c r="H12" s="23"/>
      <c r="I12" s="8" t="str">
        <f t="shared" si="0"/>
        <v/>
      </c>
      <c r="J12" s="2" t="str">
        <f t="shared" si="4"/>
        <v/>
      </c>
      <c r="K12" s="2" t="str">
        <f t="shared" si="1"/>
        <v/>
      </c>
      <c r="L12" s="2" t="str">
        <f t="shared" si="5"/>
        <v/>
      </c>
      <c r="M12" s="2" t="str">
        <f t="shared" si="15"/>
        <v/>
      </c>
      <c r="N12" s="2" t="str">
        <f t="shared" si="7"/>
        <v/>
      </c>
      <c r="O12" s="8" t="str">
        <f t="shared" si="8"/>
        <v/>
      </c>
      <c r="P12" s="8" t="str">
        <f t="shared" si="9"/>
        <v/>
      </c>
      <c r="Q12" s="40" t="str">
        <f t="shared" si="10"/>
        <v/>
      </c>
      <c r="R12" s="48" t="str">
        <f t="shared" si="11"/>
        <v/>
      </c>
      <c r="S12" s="8"/>
      <c r="U12" s="35">
        <f t="shared" si="12"/>
        <v>0</v>
      </c>
      <c r="V12" s="24">
        <f t="shared" si="13"/>
        <v>0</v>
      </c>
      <c r="W12" s="41">
        <f t="shared" si="14"/>
        <v>0</v>
      </c>
      <c r="X12" s="31"/>
      <c r="Y12" s="31"/>
      <c r="Z12" s="31"/>
      <c r="AA12" s="25">
        <f t="shared" si="2"/>
        <v>9.0359999999999996</v>
      </c>
      <c r="AB12" s="25">
        <f t="shared" si="3"/>
        <v>-184.49199999999999</v>
      </c>
      <c r="AD12" s="24">
        <f>IF(D12="M",IF(AG12&lt;78,BMILMS!$D$5*AG12^3+BMILMS!$E$5*AG12^2+BMILMS!$F$5*AG12+BMILMS!$G$5,IF(AG12&lt;150,BMILMS!$D$6*AG12^3+BMILMS!$E$6*AG12^2+BMILMS!$F$6*AG12+BMILMS!$G$6,BMILMS!$D$7*AG12^3+BMILMS!$E$7*AG12^2+BMILMS!$F$7*AG12+BMILMS!$G$7)),IF(AG12&lt;69,BMILMS!$D$9*AG12^3+BMILMS!$E$9*AG12^2+BMILMS!$F$9*AG12+BMILMS!$G$9,IF(AG12&lt;150,BMILMS!$D$10*AG12^3+BMILMS!$E$10*AG12^2+BMILMS!$F$10*AG12+BMILMS!$G$10,BMILMS!$D$11*AG12^3+BMILMS!$E$11*AG12^2+BMILMS!$F$11*AG12+BMILMS!$G$11)))</f>
        <v>0.79584630099999998</v>
      </c>
      <c r="AE12" s="24">
        <f>IF(D12="M",(IF(AG12&lt;2.5,BMILMS!$D$21*AG12^3+BMILMS!$E$21*AG12^2+BMILMS!$F$21*AG12+BMILMS!$G$21,IF(AG12&lt;9.5,BMILMS!$D$22*AG12^3+BMILMS!$E$22*AG12^2+BMILMS!$F$22*AG12+BMILMS!$G$22,IF(AG12&lt;26.75,BMILMS!$D$23*AG12^3+BMILMS!$E$23*AG12^2+BMILMS!$F$23*AG12+BMILMS!$G$23,IF(AG12&lt;90,BMILMS!$D$24*AG12^3+BMILMS!$E$24*AG12^2+BMILMS!$F$24*AG12+BMILMS!$G$24,BMILMS!$D$25*AG12^3+BMILMS!$E$25*AG12^2+BMILMS!$F$25*AG12+BMILMS!$G$25))))),(IF(AG12&lt;2.5,BMILMS!$D$27*AG12^3+BMILMS!$E$27*AG12^2+BMILMS!$F$27*AG12+BMILMS!$G$27,IF(AG12&lt;9.5,BMILMS!$D$28*AG12^3+BMILMS!$E$28*AG12^2+BMILMS!$F$28*AG12+BMILMS!$G$28,IF(AG12&lt;26.75,BMILMS!$D$29*AG12^3+BMILMS!$E$29*AG12^2+BMILMS!$F$29*AG12+BMILMS!$G$29,IF(AG12&lt;90,BMILMS!$D$30*AG12^3+BMILMS!$E$30*AG12^2+BMILMS!$F$30*AG12+BMILMS!$G$30,IF(AG12&lt;150,BMILMS!$D$31*AG12^3+BMILMS!$E$31*AG12^2+BMILMS!$F$31*AG12+BMILMS!$G$31,BMILMS!$D$32*AG12^3+BMILMS!$E$32*AG12^2+BMILMS!$F$32*AG12+BMILMS!$G$32)))))))</f>
        <v>12.568967990000001</v>
      </c>
      <c r="AF12" s="24">
        <f>IF(D12="M",(IF(AG12&lt;90,BMILMS!$D$14*AG12^3+BMILMS!$E$14*AG12^2+BMILMS!$F$14*AG12+BMILMS!$G$14,BMILMS!$D$15*AG12^3+BMILMS!$E$15*AG12^2+BMILMS!$F$15*AG12+BMILMS!$G$15)),(IF(AG12&lt;90,BMILMS!$D$17*AG12^3+BMILMS!$E$17*AG12^2+BMILMS!$F$17*AG12+BMILMS!$G$17,BMILMS!$D$18*AG12^3+BMILMS!$E$18*AG12^2+BMILMS!$F$18*AG12+BMILMS!$G$18)))</f>
        <v>8.8969350000000003E-2</v>
      </c>
      <c r="AG12" s="24">
        <f t="shared" si="16"/>
        <v>0</v>
      </c>
      <c r="AI12" s="38">
        <f>IF(D12="M",WeightSDS!P$5*$AG12^7+WeightSDS!Q$5*$AG12^6+WeightSDS!R$5*$AG12^5+WeightSDS!S$5*$AG12^4+WeightSDS!T$5*$AG12^3+WeightSDS!U$5*$AG12^2+WeightSDS!V$5*$AG12+WeightSDS!W$5,IF($AG12&lt;186,WeightSDS!P$8*$AG12^7+WeightSDS!Q$8*$AG12^6+WeightSDS!R$8*$AG12^5+WeightSDS!S$8*$AG12^4+WeightSDS!T$8*$AG12^3+WeightSDS!U$8*$AG12^2+WeightSDS!V$8*$AG12+WeightSDS!W$8,WeightSDS!$U$9-WeightSDS!$V$9*($AG12-WeightSDS!$W$9)))</f>
        <v>0.75407122999999998</v>
      </c>
      <c r="AJ12" s="24">
        <f>IF(D12="M",IF($AG12&lt;45,WeightSDS!M$23*$AG12^10+WeightSDS!N$23*$AG12^9+WeightSDS!O$23*$AG12^8+WeightSDS!P$23*$AG12^7+WeightSDS!Q$23*$AG12^6+WeightSDS!R$23*$AG12^5+WeightSDS!S$23*$AG12^4+WeightSDS!T$23*$AG12^3+WeightSDS!U$23*$AG12^2+WeightSDS!V$23*$AG12+WeightSDS!W$23,IF($AG12&lt;153,WeightSDS!M$25*$AG12^10+WeightSDS!N$25*$AG12^9+WeightSDS!O$25*$AG12^8+WeightSDS!P$25*$AG12^7+WeightSDS!Q$25*$AG12^6+WeightSDS!R$25*$AG12^5+WeightSDS!S$25*$AG12^4+WeightSDS!T$25*$AG12^3+WeightSDS!U$25*$AG12^2+WeightSDS!V$25*$AG12+WeightSDS!W$25,WeightSDS!M$27+WeightSDS!N$27/(1+EXP(WeightSDS!O$27+WeightSDS!P$27*$AG12)))),IF($AG12&lt;43.8,WeightSDS!M$29*$AG12^10+WeightSDS!N$29*$AG12^9+WeightSDS!O$29*$AG12^8+WeightSDS!P$29*$AG12^7+WeightSDS!Q$29*$AG12^6+WeightSDS!R$29*$AG12^5+WeightSDS!S$29*$AG12^4+WeightSDS!T$29*$AG12^3+WeightSDS!U$29*$AG12^2+WeightSDS!V$29*$AG12+WeightSDS!W$29-0.010431*(1-$AG12/210),IF($AG12&lt;123,WeightSDS!M$30*$AG12^10+WeightSDS!N$30*$AG12^9+WeightSDS!O$30*$AG12^8+WeightSDS!P$30*$AG12^7+WeightSDS!Q$30*$AG12^6+WeightSDS!R$30*$AG12^5+WeightSDS!S$30*$AG12^4+WeightSDS!T$30*$AG12^3+WeightSDS!U$30*$AG12^2+WeightSDS!V$30*$AG12+WeightSDS!W$30-0.010431*(1-1/$AG12),WeightSDS!M$32+WeightSDS!N$32/(1+EXP(WeightSDS!O$32+WeightSDS!P$32*$AG12))-0.010431*(1-$AG12/210))))</f>
        <v>2.9500001032655536</v>
      </c>
      <c r="AK12" s="24">
        <f>IF(D12="M",IF($AG12&lt;162,WeightSDS!P$12*$AG12^7+WeightSDS!Q$12*$AG12^6+WeightSDS!R$12*$AG12^5+WeightSDS!S$12*$AG12^4+WeightSDS!T$12*$AG12^3+WeightSDS!U$12*$AG12^2+WeightSDS!V$12*$AG12+WeightSDS!W$12,WeightSDS!P$14*$AG12^7+WeightSDS!Q$14*$AG12^6+WeightSDS!R$14*$AG12^5+WeightSDS!S$14*$AG12^4+WeightSDS!T$14*$AG12^3+WeightSDS!U$14*$AG12^2+WeightSDS!V$14*$AG12+WeightSDS!W$14),IF($AG12&lt;156,WeightSDS!O$17*$AG12^8+WeightSDS!P$17*$AG12^7+WeightSDS!Q$17*$AG12^6+WeightSDS!R$17*$AG12^5+WeightSDS!S$17*$AG12^4+WeightSDS!T$17*$AG12^3+WeightSDS!U$17*$AG12^2+WeightSDS!V$17*$AG12+WeightSDS!W$17,IF($AG12&lt;186,WeightSDS!$U$18+(WeightSDS!$V$18-WeightSDS!$U$18)/24*($AG12-186)+WeightSDS!$W$18*(-$AG12+186)^2-0.005,WeightSDS!$U$18+(WeightSDS!$V$18-WeightSDS!$U$18)/24*($AG12-186)-0.005)))</f>
        <v>0.14604529399999999</v>
      </c>
    </row>
    <row r="13" spans="1:41">
      <c r="A13" s="4"/>
      <c r="B13" s="21"/>
      <c r="C13" s="21"/>
      <c r="D13" s="21"/>
      <c r="E13" s="22"/>
      <c r="F13" s="22"/>
      <c r="G13" s="23"/>
      <c r="H13" s="23"/>
      <c r="I13" s="8" t="str">
        <f t="shared" si="0"/>
        <v/>
      </c>
      <c r="J13" s="2" t="str">
        <f t="shared" si="4"/>
        <v/>
      </c>
      <c r="K13" s="2" t="str">
        <f t="shared" si="1"/>
        <v/>
      </c>
      <c r="L13" s="2" t="str">
        <f t="shared" si="5"/>
        <v/>
      </c>
      <c r="M13" s="2" t="str">
        <f t="shared" si="15"/>
        <v/>
      </c>
      <c r="N13" s="2" t="str">
        <f t="shared" si="7"/>
        <v/>
      </c>
      <c r="O13" s="8" t="str">
        <f t="shared" si="8"/>
        <v/>
      </c>
      <c r="P13" s="8" t="str">
        <f t="shared" si="9"/>
        <v/>
      </c>
      <c r="Q13" s="40" t="str">
        <f t="shared" si="10"/>
        <v/>
      </c>
      <c r="R13" s="48" t="str">
        <f t="shared" si="11"/>
        <v/>
      </c>
      <c r="S13" s="8"/>
      <c r="U13" s="35">
        <f t="shared" si="12"/>
        <v>0</v>
      </c>
      <c r="V13" s="24">
        <f t="shared" si="13"/>
        <v>0</v>
      </c>
      <c r="W13" s="41">
        <f t="shared" si="14"/>
        <v>0</v>
      </c>
      <c r="X13" s="31"/>
      <c r="Y13" s="31"/>
      <c r="Z13" s="31"/>
      <c r="AA13" s="25">
        <f t="shared" si="2"/>
        <v>9.0359999999999996</v>
      </c>
      <c r="AB13" s="25">
        <f t="shared" si="3"/>
        <v>-184.49199999999999</v>
      </c>
      <c r="AD13" s="24">
        <f>IF(D13="M",IF(AG13&lt;78,BMILMS!$D$5*AG13^3+BMILMS!$E$5*AG13^2+BMILMS!$F$5*AG13+BMILMS!$G$5,IF(AG13&lt;150,BMILMS!$D$6*AG13^3+BMILMS!$E$6*AG13^2+BMILMS!$F$6*AG13+BMILMS!$G$6,BMILMS!$D$7*AG13^3+BMILMS!$E$7*AG13^2+BMILMS!$F$7*AG13+BMILMS!$G$7)),IF(AG13&lt;69,BMILMS!$D$9*AG13^3+BMILMS!$E$9*AG13^2+BMILMS!$F$9*AG13+BMILMS!$G$9,IF(AG13&lt;150,BMILMS!$D$10*AG13^3+BMILMS!$E$10*AG13^2+BMILMS!$F$10*AG13+BMILMS!$G$10,BMILMS!$D$11*AG13^3+BMILMS!$E$11*AG13^2+BMILMS!$F$11*AG13+BMILMS!$G$11)))</f>
        <v>0.79584630099999998</v>
      </c>
      <c r="AE13" s="24">
        <f>IF(D13="M",(IF(AG13&lt;2.5,BMILMS!$D$21*AG13^3+BMILMS!$E$21*AG13^2+BMILMS!$F$21*AG13+BMILMS!$G$21,IF(AG13&lt;9.5,BMILMS!$D$22*AG13^3+BMILMS!$E$22*AG13^2+BMILMS!$F$22*AG13+BMILMS!$G$22,IF(AG13&lt;26.75,BMILMS!$D$23*AG13^3+BMILMS!$E$23*AG13^2+BMILMS!$F$23*AG13+BMILMS!$G$23,IF(AG13&lt;90,BMILMS!$D$24*AG13^3+BMILMS!$E$24*AG13^2+BMILMS!$F$24*AG13+BMILMS!$G$24,BMILMS!$D$25*AG13^3+BMILMS!$E$25*AG13^2+BMILMS!$F$25*AG13+BMILMS!$G$25))))),(IF(AG13&lt;2.5,BMILMS!$D$27*AG13^3+BMILMS!$E$27*AG13^2+BMILMS!$F$27*AG13+BMILMS!$G$27,IF(AG13&lt;9.5,BMILMS!$D$28*AG13^3+BMILMS!$E$28*AG13^2+BMILMS!$F$28*AG13+BMILMS!$G$28,IF(AG13&lt;26.75,BMILMS!$D$29*AG13^3+BMILMS!$E$29*AG13^2+BMILMS!$F$29*AG13+BMILMS!$G$29,IF(AG13&lt;90,BMILMS!$D$30*AG13^3+BMILMS!$E$30*AG13^2+BMILMS!$F$30*AG13+BMILMS!$G$30,IF(AG13&lt;150,BMILMS!$D$31*AG13^3+BMILMS!$E$31*AG13^2+BMILMS!$F$31*AG13+BMILMS!$G$31,BMILMS!$D$32*AG13^3+BMILMS!$E$32*AG13^2+BMILMS!$F$32*AG13+BMILMS!$G$32)))))))</f>
        <v>12.568967990000001</v>
      </c>
      <c r="AF13" s="24">
        <f>IF(D13="M",(IF(AG13&lt;90,BMILMS!$D$14*AG13^3+BMILMS!$E$14*AG13^2+BMILMS!$F$14*AG13+BMILMS!$G$14,BMILMS!$D$15*AG13^3+BMILMS!$E$15*AG13^2+BMILMS!$F$15*AG13+BMILMS!$G$15)),(IF(AG13&lt;90,BMILMS!$D$17*AG13^3+BMILMS!$E$17*AG13^2+BMILMS!$F$17*AG13+BMILMS!$G$17,BMILMS!$D$18*AG13^3+BMILMS!$E$18*AG13^2+BMILMS!$F$18*AG13+BMILMS!$G$18)))</f>
        <v>8.8969350000000003E-2</v>
      </c>
      <c r="AG13" s="24">
        <f t="shared" si="16"/>
        <v>0</v>
      </c>
      <c r="AI13" s="38">
        <f>IF(D13="M",WeightSDS!P$5*$AG13^7+WeightSDS!Q$5*$AG13^6+WeightSDS!R$5*$AG13^5+WeightSDS!S$5*$AG13^4+WeightSDS!T$5*$AG13^3+WeightSDS!U$5*$AG13^2+WeightSDS!V$5*$AG13+WeightSDS!W$5,IF($AG13&lt;186,WeightSDS!P$8*$AG13^7+WeightSDS!Q$8*$AG13^6+WeightSDS!R$8*$AG13^5+WeightSDS!S$8*$AG13^4+WeightSDS!T$8*$AG13^3+WeightSDS!U$8*$AG13^2+WeightSDS!V$8*$AG13+WeightSDS!W$8,WeightSDS!$U$9-WeightSDS!$V$9*($AG13-WeightSDS!$W$9)))</f>
        <v>0.75407122999999998</v>
      </c>
      <c r="AJ13" s="24">
        <f>IF(D13="M",IF($AG13&lt;45,WeightSDS!M$23*$AG13^10+WeightSDS!N$23*$AG13^9+WeightSDS!O$23*$AG13^8+WeightSDS!P$23*$AG13^7+WeightSDS!Q$23*$AG13^6+WeightSDS!R$23*$AG13^5+WeightSDS!S$23*$AG13^4+WeightSDS!T$23*$AG13^3+WeightSDS!U$23*$AG13^2+WeightSDS!V$23*$AG13+WeightSDS!W$23,IF($AG13&lt;153,WeightSDS!M$25*$AG13^10+WeightSDS!N$25*$AG13^9+WeightSDS!O$25*$AG13^8+WeightSDS!P$25*$AG13^7+WeightSDS!Q$25*$AG13^6+WeightSDS!R$25*$AG13^5+WeightSDS!S$25*$AG13^4+WeightSDS!T$25*$AG13^3+WeightSDS!U$25*$AG13^2+WeightSDS!V$25*$AG13+WeightSDS!W$25,WeightSDS!M$27+WeightSDS!N$27/(1+EXP(WeightSDS!O$27+WeightSDS!P$27*$AG13)))),IF($AG13&lt;43.8,WeightSDS!M$29*$AG13^10+WeightSDS!N$29*$AG13^9+WeightSDS!O$29*$AG13^8+WeightSDS!P$29*$AG13^7+WeightSDS!Q$29*$AG13^6+WeightSDS!R$29*$AG13^5+WeightSDS!S$29*$AG13^4+WeightSDS!T$29*$AG13^3+WeightSDS!U$29*$AG13^2+WeightSDS!V$29*$AG13+WeightSDS!W$29-0.010431*(1-$AG13/210),IF($AG13&lt;123,WeightSDS!M$30*$AG13^10+WeightSDS!N$30*$AG13^9+WeightSDS!O$30*$AG13^8+WeightSDS!P$30*$AG13^7+WeightSDS!Q$30*$AG13^6+WeightSDS!R$30*$AG13^5+WeightSDS!S$30*$AG13^4+WeightSDS!T$30*$AG13^3+WeightSDS!U$30*$AG13^2+WeightSDS!V$30*$AG13+WeightSDS!W$30-0.010431*(1-1/$AG13),WeightSDS!M$32+WeightSDS!N$32/(1+EXP(WeightSDS!O$32+WeightSDS!P$32*$AG13))-0.010431*(1-$AG13/210))))</f>
        <v>2.9500001032655536</v>
      </c>
      <c r="AK13" s="24">
        <f>IF(D13="M",IF($AG13&lt;162,WeightSDS!P$12*$AG13^7+WeightSDS!Q$12*$AG13^6+WeightSDS!R$12*$AG13^5+WeightSDS!S$12*$AG13^4+WeightSDS!T$12*$AG13^3+WeightSDS!U$12*$AG13^2+WeightSDS!V$12*$AG13+WeightSDS!W$12,WeightSDS!P$14*$AG13^7+WeightSDS!Q$14*$AG13^6+WeightSDS!R$14*$AG13^5+WeightSDS!S$14*$AG13^4+WeightSDS!T$14*$AG13^3+WeightSDS!U$14*$AG13^2+WeightSDS!V$14*$AG13+WeightSDS!W$14),IF($AG13&lt;156,WeightSDS!O$17*$AG13^8+WeightSDS!P$17*$AG13^7+WeightSDS!Q$17*$AG13^6+WeightSDS!R$17*$AG13^5+WeightSDS!S$17*$AG13^4+WeightSDS!T$17*$AG13^3+WeightSDS!U$17*$AG13^2+WeightSDS!V$17*$AG13+WeightSDS!W$17,IF($AG13&lt;186,WeightSDS!$U$18+(WeightSDS!$V$18-WeightSDS!$U$18)/24*($AG13-186)+WeightSDS!$W$18*(-$AG13+186)^2-0.005,WeightSDS!$U$18+(WeightSDS!$V$18-WeightSDS!$U$18)/24*($AG13-186)-0.005)))</f>
        <v>0.14604529399999999</v>
      </c>
    </row>
    <row r="14" spans="1:41">
      <c r="A14" s="4"/>
      <c r="B14" s="21"/>
      <c r="C14" s="21"/>
      <c r="D14" s="21"/>
      <c r="E14" s="22"/>
      <c r="F14" s="22"/>
      <c r="G14" s="23"/>
      <c r="H14" s="23"/>
      <c r="I14" s="8" t="str">
        <f t="shared" si="0"/>
        <v/>
      </c>
      <c r="J14" s="2" t="str">
        <f t="shared" si="4"/>
        <v/>
      </c>
      <c r="K14" s="2" t="str">
        <f t="shared" si="1"/>
        <v/>
      </c>
      <c r="L14" s="2" t="str">
        <f t="shared" si="5"/>
        <v/>
      </c>
      <c r="M14" s="2" t="str">
        <f t="shared" si="15"/>
        <v/>
      </c>
      <c r="N14" s="2" t="str">
        <f t="shared" si="7"/>
        <v/>
      </c>
      <c r="O14" s="8" t="str">
        <f t="shared" si="8"/>
        <v/>
      </c>
      <c r="P14" s="8" t="str">
        <f t="shared" si="9"/>
        <v/>
      </c>
      <c r="Q14" s="40" t="str">
        <f t="shared" si="10"/>
        <v/>
      </c>
      <c r="R14" s="48" t="str">
        <f t="shared" si="11"/>
        <v/>
      </c>
      <c r="S14" s="8"/>
      <c r="U14" s="35">
        <f t="shared" si="12"/>
        <v>0</v>
      </c>
      <c r="V14" s="24">
        <f t="shared" si="13"/>
        <v>0</v>
      </c>
      <c r="W14" s="41">
        <f t="shared" si="14"/>
        <v>0</v>
      </c>
      <c r="X14" s="31"/>
      <c r="Y14" s="31"/>
      <c r="Z14" s="31"/>
      <c r="AA14" s="25">
        <f t="shared" si="2"/>
        <v>9.0359999999999996</v>
      </c>
      <c r="AB14" s="25">
        <f t="shared" si="3"/>
        <v>-184.49199999999999</v>
      </c>
      <c r="AD14" s="24">
        <f>IF(D14="M",IF(AG14&lt;78,BMILMS!$D$5*AG14^3+BMILMS!$E$5*AG14^2+BMILMS!$F$5*AG14+BMILMS!$G$5,IF(AG14&lt;150,BMILMS!$D$6*AG14^3+BMILMS!$E$6*AG14^2+BMILMS!$F$6*AG14+BMILMS!$G$6,BMILMS!$D$7*AG14^3+BMILMS!$E$7*AG14^2+BMILMS!$F$7*AG14+BMILMS!$G$7)),IF(AG14&lt;69,BMILMS!$D$9*AG14^3+BMILMS!$E$9*AG14^2+BMILMS!$F$9*AG14+BMILMS!$G$9,IF(AG14&lt;150,BMILMS!$D$10*AG14^3+BMILMS!$E$10*AG14^2+BMILMS!$F$10*AG14+BMILMS!$G$10,BMILMS!$D$11*AG14^3+BMILMS!$E$11*AG14^2+BMILMS!$F$11*AG14+BMILMS!$G$11)))</f>
        <v>0.79584630099999998</v>
      </c>
      <c r="AE14" s="24">
        <f>IF(D14="M",(IF(AG14&lt;2.5,BMILMS!$D$21*AG14^3+BMILMS!$E$21*AG14^2+BMILMS!$F$21*AG14+BMILMS!$G$21,IF(AG14&lt;9.5,BMILMS!$D$22*AG14^3+BMILMS!$E$22*AG14^2+BMILMS!$F$22*AG14+BMILMS!$G$22,IF(AG14&lt;26.75,BMILMS!$D$23*AG14^3+BMILMS!$E$23*AG14^2+BMILMS!$F$23*AG14+BMILMS!$G$23,IF(AG14&lt;90,BMILMS!$D$24*AG14^3+BMILMS!$E$24*AG14^2+BMILMS!$F$24*AG14+BMILMS!$G$24,BMILMS!$D$25*AG14^3+BMILMS!$E$25*AG14^2+BMILMS!$F$25*AG14+BMILMS!$G$25))))),(IF(AG14&lt;2.5,BMILMS!$D$27*AG14^3+BMILMS!$E$27*AG14^2+BMILMS!$F$27*AG14+BMILMS!$G$27,IF(AG14&lt;9.5,BMILMS!$D$28*AG14^3+BMILMS!$E$28*AG14^2+BMILMS!$F$28*AG14+BMILMS!$G$28,IF(AG14&lt;26.75,BMILMS!$D$29*AG14^3+BMILMS!$E$29*AG14^2+BMILMS!$F$29*AG14+BMILMS!$G$29,IF(AG14&lt;90,BMILMS!$D$30*AG14^3+BMILMS!$E$30*AG14^2+BMILMS!$F$30*AG14+BMILMS!$G$30,IF(AG14&lt;150,BMILMS!$D$31*AG14^3+BMILMS!$E$31*AG14^2+BMILMS!$F$31*AG14+BMILMS!$G$31,BMILMS!$D$32*AG14^3+BMILMS!$E$32*AG14^2+BMILMS!$F$32*AG14+BMILMS!$G$32)))))))</f>
        <v>12.568967990000001</v>
      </c>
      <c r="AF14" s="24">
        <f>IF(D14="M",(IF(AG14&lt;90,BMILMS!$D$14*AG14^3+BMILMS!$E$14*AG14^2+BMILMS!$F$14*AG14+BMILMS!$G$14,BMILMS!$D$15*AG14^3+BMILMS!$E$15*AG14^2+BMILMS!$F$15*AG14+BMILMS!$G$15)),(IF(AG14&lt;90,BMILMS!$D$17*AG14^3+BMILMS!$E$17*AG14^2+BMILMS!$F$17*AG14+BMILMS!$G$17,BMILMS!$D$18*AG14^3+BMILMS!$E$18*AG14^2+BMILMS!$F$18*AG14+BMILMS!$G$18)))</f>
        <v>8.8969350000000003E-2</v>
      </c>
      <c r="AG14" s="24">
        <f t="shared" si="16"/>
        <v>0</v>
      </c>
      <c r="AI14" s="38">
        <f>IF(D14="M",WeightSDS!P$5*$AG14^7+WeightSDS!Q$5*$AG14^6+WeightSDS!R$5*$AG14^5+WeightSDS!S$5*$AG14^4+WeightSDS!T$5*$AG14^3+WeightSDS!U$5*$AG14^2+WeightSDS!V$5*$AG14+WeightSDS!W$5,IF($AG14&lt;186,WeightSDS!P$8*$AG14^7+WeightSDS!Q$8*$AG14^6+WeightSDS!R$8*$AG14^5+WeightSDS!S$8*$AG14^4+WeightSDS!T$8*$AG14^3+WeightSDS!U$8*$AG14^2+WeightSDS!V$8*$AG14+WeightSDS!W$8,WeightSDS!$U$9-WeightSDS!$V$9*($AG14-WeightSDS!$W$9)))</f>
        <v>0.75407122999999998</v>
      </c>
      <c r="AJ14" s="24">
        <f>IF(D14="M",IF($AG14&lt;45,WeightSDS!M$23*$AG14^10+WeightSDS!N$23*$AG14^9+WeightSDS!O$23*$AG14^8+WeightSDS!P$23*$AG14^7+WeightSDS!Q$23*$AG14^6+WeightSDS!R$23*$AG14^5+WeightSDS!S$23*$AG14^4+WeightSDS!T$23*$AG14^3+WeightSDS!U$23*$AG14^2+WeightSDS!V$23*$AG14+WeightSDS!W$23,IF($AG14&lt;153,WeightSDS!M$25*$AG14^10+WeightSDS!N$25*$AG14^9+WeightSDS!O$25*$AG14^8+WeightSDS!P$25*$AG14^7+WeightSDS!Q$25*$AG14^6+WeightSDS!R$25*$AG14^5+WeightSDS!S$25*$AG14^4+WeightSDS!T$25*$AG14^3+WeightSDS!U$25*$AG14^2+WeightSDS!V$25*$AG14+WeightSDS!W$25,WeightSDS!M$27+WeightSDS!N$27/(1+EXP(WeightSDS!O$27+WeightSDS!P$27*$AG14)))),IF($AG14&lt;43.8,WeightSDS!M$29*$AG14^10+WeightSDS!N$29*$AG14^9+WeightSDS!O$29*$AG14^8+WeightSDS!P$29*$AG14^7+WeightSDS!Q$29*$AG14^6+WeightSDS!R$29*$AG14^5+WeightSDS!S$29*$AG14^4+WeightSDS!T$29*$AG14^3+WeightSDS!U$29*$AG14^2+WeightSDS!V$29*$AG14+WeightSDS!W$29-0.010431*(1-$AG14/210),IF($AG14&lt;123,WeightSDS!M$30*$AG14^10+WeightSDS!N$30*$AG14^9+WeightSDS!O$30*$AG14^8+WeightSDS!P$30*$AG14^7+WeightSDS!Q$30*$AG14^6+WeightSDS!R$30*$AG14^5+WeightSDS!S$30*$AG14^4+WeightSDS!T$30*$AG14^3+WeightSDS!U$30*$AG14^2+WeightSDS!V$30*$AG14+WeightSDS!W$30-0.010431*(1-1/$AG14),WeightSDS!M$32+WeightSDS!N$32/(1+EXP(WeightSDS!O$32+WeightSDS!P$32*$AG14))-0.010431*(1-$AG14/210))))</f>
        <v>2.9500001032655536</v>
      </c>
      <c r="AK14" s="24">
        <f>IF(D14="M",IF($AG14&lt;162,WeightSDS!P$12*$AG14^7+WeightSDS!Q$12*$AG14^6+WeightSDS!R$12*$AG14^5+WeightSDS!S$12*$AG14^4+WeightSDS!T$12*$AG14^3+WeightSDS!U$12*$AG14^2+WeightSDS!V$12*$AG14+WeightSDS!W$12,WeightSDS!P$14*$AG14^7+WeightSDS!Q$14*$AG14^6+WeightSDS!R$14*$AG14^5+WeightSDS!S$14*$AG14^4+WeightSDS!T$14*$AG14^3+WeightSDS!U$14*$AG14^2+WeightSDS!V$14*$AG14+WeightSDS!W$14),IF($AG14&lt;156,WeightSDS!O$17*$AG14^8+WeightSDS!P$17*$AG14^7+WeightSDS!Q$17*$AG14^6+WeightSDS!R$17*$AG14^5+WeightSDS!S$17*$AG14^4+WeightSDS!T$17*$AG14^3+WeightSDS!U$17*$AG14^2+WeightSDS!V$17*$AG14+WeightSDS!W$17,IF($AG14&lt;186,WeightSDS!$U$18+(WeightSDS!$V$18-WeightSDS!$U$18)/24*($AG14-186)+WeightSDS!$W$18*(-$AG14+186)^2-0.005,WeightSDS!$U$18+(WeightSDS!$V$18-WeightSDS!$U$18)/24*($AG14-186)-0.005)))</f>
        <v>0.14604529399999999</v>
      </c>
    </row>
    <row r="15" spans="1:41">
      <c r="A15" s="4"/>
      <c r="B15" s="21"/>
      <c r="C15" s="21"/>
      <c r="D15" s="21"/>
      <c r="E15" s="22"/>
      <c r="F15" s="22"/>
      <c r="G15" s="23"/>
      <c r="H15" s="23"/>
      <c r="I15" s="8" t="str">
        <f t="shared" si="0"/>
        <v/>
      </c>
      <c r="J15" s="2" t="str">
        <f t="shared" si="4"/>
        <v/>
      </c>
      <c r="K15" s="2" t="str">
        <f t="shared" si="1"/>
        <v/>
      </c>
      <c r="L15" s="2" t="str">
        <f t="shared" si="5"/>
        <v/>
      </c>
      <c r="M15" s="2" t="str">
        <f t="shared" si="15"/>
        <v/>
      </c>
      <c r="N15" s="2" t="str">
        <f t="shared" si="7"/>
        <v/>
      </c>
      <c r="O15" s="8" t="str">
        <f t="shared" si="8"/>
        <v/>
      </c>
      <c r="P15" s="8" t="str">
        <f t="shared" si="9"/>
        <v/>
      </c>
      <c r="Q15" s="40" t="str">
        <f t="shared" si="10"/>
        <v/>
      </c>
      <c r="R15" s="48" t="str">
        <f t="shared" si="11"/>
        <v/>
      </c>
      <c r="S15" s="8"/>
      <c r="U15" s="35">
        <f t="shared" si="12"/>
        <v>0</v>
      </c>
      <c r="V15" s="24">
        <f t="shared" si="13"/>
        <v>0</v>
      </c>
      <c r="W15" s="41">
        <f t="shared" si="14"/>
        <v>0</v>
      </c>
      <c r="X15" s="31"/>
      <c r="Y15" s="31"/>
      <c r="Z15" s="31"/>
      <c r="AA15" s="25">
        <f t="shared" si="2"/>
        <v>9.0359999999999996</v>
      </c>
      <c r="AB15" s="25">
        <f t="shared" si="3"/>
        <v>-184.49199999999999</v>
      </c>
      <c r="AD15" s="24">
        <f>IF(D15="M",IF(AG15&lt;78,BMILMS!$D$5*AG15^3+BMILMS!$E$5*AG15^2+BMILMS!$F$5*AG15+BMILMS!$G$5,IF(AG15&lt;150,BMILMS!$D$6*AG15^3+BMILMS!$E$6*AG15^2+BMILMS!$F$6*AG15+BMILMS!$G$6,BMILMS!$D$7*AG15^3+BMILMS!$E$7*AG15^2+BMILMS!$F$7*AG15+BMILMS!$G$7)),IF(AG15&lt;69,BMILMS!$D$9*AG15^3+BMILMS!$E$9*AG15^2+BMILMS!$F$9*AG15+BMILMS!$G$9,IF(AG15&lt;150,BMILMS!$D$10*AG15^3+BMILMS!$E$10*AG15^2+BMILMS!$F$10*AG15+BMILMS!$G$10,BMILMS!$D$11*AG15^3+BMILMS!$E$11*AG15^2+BMILMS!$F$11*AG15+BMILMS!$G$11)))</f>
        <v>0.79584630099999998</v>
      </c>
      <c r="AE15" s="24">
        <f>IF(D15="M",(IF(AG15&lt;2.5,BMILMS!$D$21*AG15^3+BMILMS!$E$21*AG15^2+BMILMS!$F$21*AG15+BMILMS!$G$21,IF(AG15&lt;9.5,BMILMS!$D$22*AG15^3+BMILMS!$E$22*AG15^2+BMILMS!$F$22*AG15+BMILMS!$G$22,IF(AG15&lt;26.75,BMILMS!$D$23*AG15^3+BMILMS!$E$23*AG15^2+BMILMS!$F$23*AG15+BMILMS!$G$23,IF(AG15&lt;90,BMILMS!$D$24*AG15^3+BMILMS!$E$24*AG15^2+BMILMS!$F$24*AG15+BMILMS!$G$24,BMILMS!$D$25*AG15^3+BMILMS!$E$25*AG15^2+BMILMS!$F$25*AG15+BMILMS!$G$25))))),(IF(AG15&lt;2.5,BMILMS!$D$27*AG15^3+BMILMS!$E$27*AG15^2+BMILMS!$F$27*AG15+BMILMS!$G$27,IF(AG15&lt;9.5,BMILMS!$D$28*AG15^3+BMILMS!$E$28*AG15^2+BMILMS!$F$28*AG15+BMILMS!$G$28,IF(AG15&lt;26.75,BMILMS!$D$29*AG15^3+BMILMS!$E$29*AG15^2+BMILMS!$F$29*AG15+BMILMS!$G$29,IF(AG15&lt;90,BMILMS!$D$30*AG15^3+BMILMS!$E$30*AG15^2+BMILMS!$F$30*AG15+BMILMS!$G$30,IF(AG15&lt;150,BMILMS!$D$31*AG15^3+BMILMS!$E$31*AG15^2+BMILMS!$F$31*AG15+BMILMS!$G$31,BMILMS!$D$32*AG15^3+BMILMS!$E$32*AG15^2+BMILMS!$F$32*AG15+BMILMS!$G$32)))))))</f>
        <v>12.568967990000001</v>
      </c>
      <c r="AF15" s="24">
        <f>IF(D15="M",(IF(AG15&lt;90,BMILMS!$D$14*AG15^3+BMILMS!$E$14*AG15^2+BMILMS!$F$14*AG15+BMILMS!$G$14,BMILMS!$D$15*AG15^3+BMILMS!$E$15*AG15^2+BMILMS!$F$15*AG15+BMILMS!$G$15)),(IF(AG15&lt;90,BMILMS!$D$17*AG15^3+BMILMS!$E$17*AG15^2+BMILMS!$F$17*AG15+BMILMS!$G$17,BMILMS!$D$18*AG15^3+BMILMS!$E$18*AG15^2+BMILMS!$F$18*AG15+BMILMS!$G$18)))</f>
        <v>8.8969350000000003E-2</v>
      </c>
      <c r="AG15" s="24">
        <f t="shared" si="16"/>
        <v>0</v>
      </c>
      <c r="AI15" s="38">
        <f>IF(D15="M",WeightSDS!P$5*$AG15^7+WeightSDS!Q$5*$AG15^6+WeightSDS!R$5*$AG15^5+WeightSDS!S$5*$AG15^4+WeightSDS!T$5*$AG15^3+WeightSDS!U$5*$AG15^2+WeightSDS!V$5*$AG15+WeightSDS!W$5,IF($AG15&lt;186,WeightSDS!P$8*$AG15^7+WeightSDS!Q$8*$AG15^6+WeightSDS!R$8*$AG15^5+WeightSDS!S$8*$AG15^4+WeightSDS!T$8*$AG15^3+WeightSDS!U$8*$AG15^2+WeightSDS!V$8*$AG15+WeightSDS!W$8,WeightSDS!$U$9-WeightSDS!$V$9*($AG15-WeightSDS!$W$9)))</f>
        <v>0.75407122999999998</v>
      </c>
      <c r="AJ15" s="24">
        <f>IF(D15="M",IF($AG15&lt;45,WeightSDS!M$23*$AG15^10+WeightSDS!N$23*$AG15^9+WeightSDS!O$23*$AG15^8+WeightSDS!P$23*$AG15^7+WeightSDS!Q$23*$AG15^6+WeightSDS!R$23*$AG15^5+WeightSDS!S$23*$AG15^4+WeightSDS!T$23*$AG15^3+WeightSDS!U$23*$AG15^2+WeightSDS!V$23*$AG15+WeightSDS!W$23,IF($AG15&lt;153,WeightSDS!M$25*$AG15^10+WeightSDS!N$25*$AG15^9+WeightSDS!O$25*$AG15^8+WeightSDS!P$25*$AG15^7+WeightSDS!Q$25*$AG15^6+WeightSDS!R$25*$AG15^5+WeightSDS!S$25*$AG15^4+WeightSDS!T$25*$AG15^3+WeightSDS!U$25*$AG15^2+WeightSDS!V$25*$AG15+WeightSDS!W$25,WeightSDS!M$27+WeightSDS!N$27/(1+EXP(WeightSDS!O$27+WeightSDS!P$27*$AG15)))),IF($AG15&lt;43.8,WeightSDS!M$29*$AG15^10+WeightSDS!N$29*$AG15^9+WeightSDS!O$29*$AG15^8+WeightSDS!P$29*$AG15^7+WeightSDS!Q$29*$AG15^6+WeightSDS!R$29*$AG15^5+WeightSDS!S$29*$AG15^4+WeightSDS!T$29*$AG15^3+WeightSDS!U$29*$AG15^2+WeightSDS!V$29*$AG15+WeightSDS!W$29-0.010431*(1-$AG15/210),IF($AG15&lt;123,WeightSDS!M$30*$AG15^10+WeightSDS!N$30*$AG15^9+WeightSDS!O$30*$AG15^8+WeightSDS!P$30*$AG15^7+WeightSDS!Q$30*$AG15^6+WeightSDS!R$30*$AG15^5+WeightSDS!S$30*$AG15^4+WeightSDS!T$30*$AG15^3+WeightSDS!U$30*$AG15^2+WeightSDS!V$30*$AG15+WeightSDS!W$30-0.010431*(1-1/$AG15),WeightSDS!M$32+WeightSDS!N$32/(1+EXP(WeightSDS!O$32+WeightSDS!P$32*$AG15))-0.010431*(1-$AG15/210))))</f>
        <v>2.9500001032655536</v>
      </c>
      <c r="AK15" s="24">
        <f>IF(D15="M",IF($AG15&lt;162,WeightSDS!P$12*$AG15^7+WeightSDS!Q$12*$AG15^6+WeightSDS!R$12*$AG15^5+WeightSDS!S$12*$AG15^4+WeightSDS!T$12*$AG15^3+WeightSDS!U$12*$AG15^2+WeightSDS!V$12*$AG15+WeightSDS!W$12,WeightSDS!P$14*$AG15^7+WeightSDS!Q$14*$AG15^6+WeightSDS!R$14*$AG15^5+WeightSDS!S$14*$AG15^4+WeightSDS!T$14*$AG15^3+WeightSDS!U$14*$AG15^2+WeightSDS!V$14*$AG15+WeightSDS!W$14),IF($AG15&lt;156,WeightSDS!O$17*$AG15^8+WeightSDS!P$17*$AG15^7+WeightSDS!Q$17*$AG15^6+WeightSDS!R$17*$AG15^5+WeightSDS!S$17*$AG15^4+WeightSDS!T$17*$AG15^3+WeightSDS!U$17*$AG15^2+WeightSDS!V$17*$AG15+WeightSDS!W$17,IF($AG15&lt;186,WeightSDS!$U$18+(WeightSDS!$V$18-WeightSDS!$U$18)/24*($AG15-186)+WeightSDS!$W$18*(-$AG15+186)^2-0.005,WeightSDS!$U$18+(WeightSDS!$V$18-WeightSDS!$U$18)/24*($AG15-186)-0.005)))</f>
        <v>0.14604529399999999</v>
      </c>
      <c r="AL15" s="37"/>
    </row>
    <row r="16" spans="1:41">
      <c r="A16" s="4"/>
      <c r="B16" s="21"/>
      <c r="C16" s="21"/>
      <c r="D16" s="21"/>
      <c r="E16" s="22"/>
      <c r="F16" s="22"/>
      <c r="G16" s="23"/>
      <c r="H16" s="23"/>
      <c r="I16" s="8" t="str">
        <f t="shared" si="0"/>
        <v/>
      </c>
      <c r="J16" s="2" t="str">
        <f t="shared" si="4"/>
        <v/>
      </c>
      <c r="K16" s="2" t="str">
        <f t="shared" si="1"/>
        <v/>
      </c>
      <c r="L16" s="2" t="str">
        <f t="shared" si="5"/>
        <v/>
      </c>
      <c r="M16" s="2" t="str">
        <f t="shared" si="15"/>
        <v/>
      </c>
      <c r="N16" s="2" t="str">
        <f t="shared" si="7"/>
        <v/>
      </c>
      <c r="O16" s="8" t="str">
        <f t="shared" si="8"/>
        <v/>
      </c>
      <c r="P16" s="8" t="str">
        <f t="shared" si="9"/>
        <v/>
      </c>
      <c r="Q16" s="40" t="str">
        <f t="shared" si="10"/>
        <v/>
      </c>
      <c r="R16" s="48" t="str">
        <f t="shared" si="11"/>
        <v/>
      </c>
      <c r="S16" s="8"/>
      <c r="U16" s="35">
        <f t="shared" si="12"/>
        <v>0</v>
      </c>
      <c r="V16" s="24">
        <f t="shared" si="13"/>
        <v>0</v>
      </c>
      <c r="W16" s="41">
        <f t="shared" si="14"/>
        <v>0</v>
      </c>
      <c r="X16" s="31"/>
      <c r="Y16" s="31"/>
      <c r="Z16" s="31"/>
      <c r="AA16" s="25">
        <f t="shared" si="2"/>
        <v>9.0359999999999996</v>
      </c>
      <c r="AB16" s="25">
        <f t="shared" si="3"/>
        <v>-184.49199999999999</v>
      </c>
      <c r="AD16" s="24">
        <f>IF(D16="M",IF(AG16&lt;78,BMILMS!$D$5*AG16^3+BMILMS!$E$5*AG16^2+BMILMS!$F$5*AG16+BMILMS!$G$5,IF(AG16&lt;150,BMILMS!$D$6*AG16^3+BMILMS!$E$6*AG16^2+BMILMS!$F$6*AG16+BMILMS!$G$6,BMILMS!$D$7*AG16^3+BMILMS!$E$7*AG16^2+BMILMS!$F$7*AG16+BMILMS!$G$7)),IF(AG16&lt;69,BMILMS!$D$9*AG16^3+BMILMS!$E$9*AG16^2+BMILMS!$F$9*AG16+BMILMS!$G$9,IF(AG16&lt;150,BMILMS!$D$10*AG16^3+BMILMS!$E$10*AG16^2+BMILMS!$F$10*AG16+BMILMS!$G$10,BMILMS!$D$11*AG16^3+BMILMS!$E$11*AG16^2+BMILMS!$F$11*AG16+BMILMS!$G$11)))</f>
        <v>0.79584630099999998</v>
      </c>
      <c r="AE16" s="24">
        <f>IF(D16="M",(IF(AG16&lt;2.5,BMILMS!$D$21*AG16^3+BMILMS!$E$21*AG16^2+BMILMS!$F$21*AG16+BMILMS!$G$21,IF(AG16&lt;9.5,BMILMS!$D$22*AG16^3+BMILMS!$E$22*AG16^2+BMILMS!$F$22*AG16+BMILMS!$G$22,IF(AG16&lt;26.75,BMILMS!$D$23*AG16^3+BMILMS!$E$23*AG16^2+BMILMS!$F$23*AG16+BMILMS!$G$23,IF(AG16&lt;90,BMILMS!$D$24*AG16^3+BMILMS!$E$24*AG16^2+BMILMS!$F$24*AG16+BMILMS!$G$24,BMILMS!$D$25*AG16^3+BMILMS!$E$25*AG16^2+BMILMS!$F$25*AG16+BMILMS!$G$25))))),(IF(AG16&lt;2.5,BMILMS!$D$27*AG16^3+BMILMS!$E$27*AG16^2+BMILMS!$F$27*AG16+BMILMS!$G$27,IF(AG16&lt;9.5,BMILMS!$D$28*AG16^3+BMILMS!$E$28*AG16^2+BMILMS!$F$28*AG16+BMILMS!$G$28,IF(AG16&lt;26.75,BMILMS!$D$29*AG16^3+BMILMS!$E$29*AG16^2+BMILMS!$F$29*AG16+BMILMS!$G$29,IF(AG16&lt;90,BMILMS!$D$30*AG16^3+BMILMS!$E$30*AG16^2+BMILMS!$F$30*AG16+BMILMS!$G$30,IF(AG16&lt;150,BMILMS!$D$31*AG16^3+BMILMS!$E$31*AG16^2+BMILMS!$F$31*AG16+BMILMS!$G$31,BMILMS!$D$32*AG16^3+BMILMS!$E$32*AG16^2+BMILMS!$F$32*AG16+BMILMS!$G$32)))))))</f>
        <v>12.568967990000001</v>
      </c>
      <c r="AF16" s="24">
        <f>IF(D16="M",(IF(AG16&lt;90,BMILMS!$D$14*AG16^3+BMILMS!$E$14*AG16^2+BMILMS!$F$14*AG16+BMILMS!$G$14,BMILMS!$D$15*AG16^3+BMILMS!$E$15*AG16^2+BMILMS!$F$15*AG16+BMILMS!$G$15)),(IF(AG16&lt;90,BMILMS!$D$17*AG16^3+BMILMS!$E$17*AG16^2+BMILMS!$F$17*AG16+BMILMS!$G$17,BMILMS!$D$18*AG16^3+BMILMS!$E$18*AG16^2+BMILMS!$F$18*AG16+BMILMS!$G$18)))</f>
        <v>8.8969350000000003E-2</v>
      </c>
      <c r="AG16" s="24">
        <f t="shared" si="16"/>
        <v>0</v>
      </c>
      <c r="AI16" s="38">
        <f>IF(D16="M",WeightSDS!P$5*$AG16^7+WeightSDS!Q$5*$AG16^6+WeightSDS!R$5*$AG16^5+WeightSDS!S$5*$AG16^4+WeightSDS!T$5*$AG16^3+WeightSDS!U$5*$AG16^2+WeightSDS!V$5*$AG16+WeightSDS!W$5,IF($AG16&lt;186,WeightSDS!P$8*$AG16^7+WeightSDS!Q$8*$AG16^6+WeightSDS!R$8*$AG16^5+WeightSDS!S$8*$AG16^4+WeightSDS!T$8*$AG16^3+WeightSDS!U$8*$AG16^2+WeightSDS!V$8*$AG16+WeightSDS!W$8,WeightSDS!$U$9-WeightSDS!$V$9*($AG16-WeightSDS!$W$9)))</f>
        <v>0.75407122999999998</v>
      </c>
      <c r="AJ16" s="24">
        <f>IF(D16="M",IF($AG16&lt;45,WeightSDS!M$23*$AG16^10+WeightSDS!N$23*$AG16^9+WeightSDS!O$23*$AG16^8+WeightSDS!P$23*$AG16^7+WeightSDS!Q$23*$AG16^6+WeightSDS!R$23*$AG16^5+WeightSDS!S$23*$AG16^4+WeightSDS!T$23*$AG16^3+WeightSDS!U$23*$AG16^2+WeightSDS!V$23*$AG16+WeightSDS!W$23,IF($AG16&lt;153,WeightSDS!M$25*$AG16^10+WeightSDS!N$25*$AG16^9+WeightSDS!O$25*$AG16^8+WeightSDS!P$25*$AG16^7+WeightSDS!Q$25*$AG16^6+WeightSDS!R$25*$AG16^5+WeightSDS!S$25*$AG16^4+WeightSDS!T$25*$AG16^3+WeightSDS!U$25*$AG16^2+WeightSDS!V$25*$AG16+WeightSDS!W$25,WeightSDS!M$27+WeightSDS!N$27/(1+EXP(WeightSDS!O$27+WeightSDS!P$27*$AG16)))),IF($AG16&lt;43.8,WeightSDS!M$29*$AG16^10+WeightSDS!N$29*$AG16^9+WeightSDS!O$29*$AG16^8+WeightSDS!P$29*$AG16^7+WeightSDS!Q$29*$AG16^6+WeightSDS!R$29*$AG16^5+WeightSDS!S$29*$AG16^4+WeightSDS!T$29*$AG16^3+WeightSDS!U$29*$AG16^2+WeightSDS!V$29*$AG16+WeightSDS!W$29-0.010431*(1-$AG16/210),IF($AG16&lt;123,WeightSDS!M$30*$AG16^10+WeightSDS!N$30*$AG16^9+WeightSDS!O$30*$AG16^8+WeightSDS!P$30*$AG16^7+WeightSDS!Q$30*$AG16^6+WeightSDS!R$30*$AG16^5+WeightSDS!S$30*$AG16^4+WeightSDS!T$30*$AG16^3+WeightSDS!U$30*$AG16^2+WeightSDS!V$30*$AG16+WeightSDS!W$30-0.010431*(1-1/$AG16),WeightSDS!M$32+WeightSDS!N$32/(1+EXP(WeightSDS!O$32+WeightSDS!P$32*$AG16))-0.010431*(1-$AG16/210))))</f>
        <v>2.9500001032655536</v>
      </c>
      <c r="AK16" s="24">
        <f>IF(D16="M",IF($AG16&lt;162,WeightSDS!P$12*$AG16^7+WeightSDS!Q$12*$AG16^6+WeightSDS!R$12*$AG16^5+WeightSDS!S$12*$AG16^4+WeightSDS!T$12*$AG16^3+WeightSDS!U$12*$AG16^2+WeightSDS!V$12*$AG16+WeightSDS!W$12,WeightSDS!P$14*$AG16^7+WeightSDS!Q$14*$AG16^6+WeightSDS!R$14*$AG16^5+WeightSDS!S$14*$AG16^4+WeightSDS!T$14*$AG16^3+WeightSDS!U$14*$AG16^2+WeightSDS!V$14*$AG16+WeightSDS!W$14),IF($AG16&lt;156,WeightSDS!O$17*$AG16^8+WeightSDS!P$17*$AG16^7+WeightSDS!Q$17*$AG16^6+WeightSDS!R$17*$AG16^5+WeightSDS!S$17*$AG16^4+WeightSDS!T$17*$AG16^3+WeightSDS!U$17*$AG16^2+WeightSDS!V$17*$AG16+WeightSDS!W$17,IF($AG16&lt;186,WeightSDS!$U$18+(WeightSDS!$V$18-WeightSDS!$U$18)/24*($AG16-186)+WeightSDS!$W$18*(-$AG16+186)^2-0.005,WeightSDS!$U$18+(WeightSDS!$V$18-WeightSDS!$U$18)/24*($AG16-186)-0.005)))</f>
        <v>0.14604529399999999</v>
      </c>
      <c r="AL16" s="37"/>
    </row>
    <row r="17" spans="1:38">
      <c r="A17" s="4"/>
      <c r="B17" s="21"/>
      <c r="C17" s="21"/>
      <c r="D17" s="21"/>
      <c r="E17" s="22"/>
      <c r="F17" s="22"/>
      <c r="G17" s="23"/>
      <c r="H17" s="23"/>
      <c r="I17" s="8" t="str">
        <f t="shared" si="0"/>
        <v/>
      </c>
      <c r="J17" s="2" t="str">
        <f t="shared" si="4"/>
        <v/>
      </c>
      <c r="K17" s="2" t="str">
        <f t="shared" si="1"/>
        <v/>
      </c>
      <c r="L17" s="2" t="str">
        <f t="shared" si="5"/>
        <v/>
      </c>
      <c r="M17" s="2" t="str">
        <f t="shared" si="15"/>
        <v/>
      </c>
      <c r="N17" s="2" t="str">
        <f t="shared" si="7"/>
        <v/>
      </c>
      <c r="O17" s="8" t="str">
        <f t="shared" si="8"/>
        <v/>
      </c>
      <c r="P17" s="8" t="str">
        <f t="shared" si="9"/>
        <v/>
      </c>
      <c r="Q17" s="40" t="str">
        <f t="shared" si="10"/>
        <v/>
      </c>
      <c r="R17" s="48" t="str">
        <f t="shared" si="11"/>
        <v/>
      </c>
      <c r="S17" s="8"/>
      <c r="U17" s="35">
        <f t="shared" si="12"/>
        <v>0</v>
      </c>
      <c r="V17" s="24">
        <f t="shared" si="13"/>
        <v>0</v>
      </c>
      <c r="W17" s="41">
        <f t="shared" si="14"/>
        <v>0</v>
      </c>
      <c r="X17" s="31"/>
      <c r="Y17" s="31"/>
      <c r="Z17" s="31"/>
      <c r="AA17" s="25">
        <f t="shared" si="2"/>
        <v>9.0359999999999996</v>
      </c>
      <c r="AB17" s="25">
        <f t="shared" si="3"/>
        <v>-184.49199999999999</v>
      </c>
      <c r="AD17" s="24">
        <f>IF(D17="M",IF(AG17&lt;78,BMILMS!$D$5*AG17^3+BMILMS!$E$5*AG17^2+BMILMS!$F$5*AG17+BMILMS!$G$5,IF(AG17&lt;150,BMILMS!$D$6*AG17^3+BMILMS!$E$6*AG17^2+BMILMS!$F$6*AG17+BMILMS!$G$6,BMILMS!$D$7*AG17^3+BMILMS!$E$7*AG17^2+BMILMS!$F$7*AG17+BMILMS!$G$7)),IF(AG17&lt;69,BMILMS!$D$9*AG17^3+BMILMS!$E$9*AG17^2+BMILMS!$F$9*AG17+BMILMS!$G$9,IF(AG17&lt;150,BMILMS!$D$10*AG17^3+BMILMS!$E$10*AG17^2+BMILMS!$F$10*AG17+BMILMS!$G$10,BMILMS!$D$11*AG17^3+BMILMS!$E$11*AG17^2+BMILMS!$F$11*AG17+BMILMS!$G$11)))</f>
        <v>0.79584630099999998</v>
      </c>
      <c r="AE17" s="24">
        <f>IF(D17="M",(IF(AG17&lt;2.5,BMILMS!$D$21*AG17^3+BMILMS!$E$21*AG17^2+BMILMS!$F$21*AG17+BMILMS!$G$21,IF(AG17&lt;9.5,BMILMS!$D$22*AG17^3+BMILMS!$E$22*AG17^2+BMILMS!$F$22*AG17+BMILMS!$G$22,IF(AG17&lt;26.75,BMILMS!$D$23*AG17^3+BMILMS!$E$23*AG17^2+BMILMS!$F$23*AG17+BMILMS!$G$23,IF(AG17&lt;90,BMILMS!$D$24*AG17^3+BMILMS!$E$24*AG17^2+BMILMS!$F$24*AG17+BMILMS!$G$24,BMILMS!$D$25*AG17^3+BMILMS!$E$25*AG17^2+BMILMS!$F$25*AG17+BMILMS!$G$25))))),(IF(AG17&lt;2.5,BMILMS!$D$27*AG17^3+BMILMS!$E$27*AG17^2+BMILMS!$F$27*AG17+BMILMS!$G$27,IF(AG17&lt;9.5,BMILMS!$D$28*AG17^3+BMILMS!$E$28*AG17^2+BMILMS!$F$28*AG17+BMILMS!$G$28,IF(AG17&lt;26.75,BMILMS!$D$29*AG17^3+BMILMS!$E$29*AG17^2+BMILMS!$F$29*AG17+BMILMS!$G$29,IF(AG17&lt;90,BMILMS!$D$30*AG17^3+BMILMS!$E$30*AG17^2+BMILMS!$F$30*AG17+BMILMS!$G$30,IF(AG17&lt;150,BMILMS!$D$31*AG17^3+BMILMS!$E$31*AG17^2+BMILMS!$F$31*AG17+BMILMS!$G$31,BMILMS!$D$32*AG17^3+BMILMS!$E$32*AG17^2+BMILMS!$F$32*AG17+BMILMS!$G$32)))))))</f>
        <v>12.568967990000001</v>
      </c>
      <c r="AF17" s="24">
        <f>IF(D17="M",(IF(AG17&lt;90,BMILMS!$D$14*AG17^3+BMILMS!$E$14*AG17^2+BMILMS!$F$14*AG17+BMILMS!$G$14,BMILMS!$D$15*AG17^3+BMILMS!$E$15*AG17^2+BMILMS!$F$15*AG17+BMILMS!$G$15)),(IF(AG17&lt;90,BMILMS!$D$17*AG17^3+BMILMS!$E$17*AG17^2+BMILMS!$F$17*AG17+BMILMS!$G$17,BMILMS!$D$18*AG17^3+BMILMS!$E$18*AG17^2+BMILMS!$F$18*AG17+BMILMS!$G$18)))</f>
        <v>8.8969350000000003E-2</v>
      </c>
      <c r="AG17" s="24">
        <f t="shared" si="16"/>
        <v>0</v>
      </c>
      <c r="AI17" s="38">
        <f>IF(D17="M",WeightSDS!P$5*$AG17^7+WeightSDS!Q$5*$AG17^6+WeightSDS!R$5*$AG17^5+WeightSDS!S$5*$AG17^4+WeightSDS!T$5*$AG17^3+WeightSDS!U$5*$AG17^2+WeightSDS!V$5*$AG17+WeightSDS!W$5,IF($AG17&lt;186,WeightSDS!P$8*$AG17^7+WeightSDS!Q$8*$AG17^6+WeightSDS!R$8*$AG17^5+WeightSDS!S$8*$AG17^4+WeightSDS!T$8*$AG17^3+WeightSDS!U$8*$AG17^2+WeightSDS!V$8*$AG17+WeightSDS!W$8,WeightSDS!$U$9-WeightSDS!$V$9*($AG17-WeightSDS!$W$9)))</f>
        <v>0.75407122999999998</v>
      </c>
      <c r="AJ17" s="24">
        <f>IF(D17="M",IF($AG17&lt;45,WeightSDS!M$23*$AG17^10+WeightSDS!N$23*$AG17^9+WeightSDS!O$23*$AG17^8+WeightSDS!P$23*$AG17^7+WeightSDS!Q$23*$AG17^6+WeightSDS!R$23*$AG17^5+WeightSDS!S$23*$AG17^4+WeightSDS!T$23*$AG17^3+WeightSDS!U$23*$AG17^2+WeightSDS!V$23*$AG17+WeightSDS!W$23,IF($AG17&lt;153,WeightSDS!M$25*$AG17^10+WeightSDS!N$25*$AG17^9+WeightSDS!O$25*$AG17^8+WeightSDS!P$25*$AG17^7+WeightSDS!Q$25*$AG17^6+WeightSDS!R$25*$AG17^5+WeightSDS!S$25*$AG17^4+WeightSDS!T$25*$AG17^3+WeightSDS!U$25*$AG17^2+WeightSDS!V$25*$AG17+WeightSDS!W$25,WeightSDS!M$27+WeightSDS!N$27/(1+EXP(WeightSDS!O$27+WeightSDS!P$27*$AG17)))),IF($AG17&lt;43.8,WeightSDS!M$29*$AG17^10+WeightSDS!N$29*$AG17^9+WeightSDS!O$29*$AG17^8+WeightSDS!P$29*$AG17^7+WeightSDS!Q$29*$AG17^6+WeightSDS!R$29*$AG17^5+WeightSDS!S$29*$AG17^4+WeightSDS!T$29*$AG17^3+WeightSDS!U$29*$AG17^2+WeightSDS!V$29*$AG17+WeightSDS!W$29-0.010431*(1-$AG17/210),IF($AG17&lt;123,WeightSDS!M$30*$AG17^10+WeightSDS!N$30*$AG17^9+WeightSDS!O$30*$AG17^8+WeightSDS!P$30*$AG17^7+WeightSDS!Q$30*$AG17^6+WeightSDS!R$30*$AG17^5+WeightSDS!S$30*$AG17^4+WeightSDS!T$30*$AG17^3+WeightSDS!U$30*$AG17^2+WeightSDS!V$30*$AG17+WeightSDS!W$30-0.010431*(1-1/$AG17),WeightSDS!M$32+WeightSDS!N$32/(1+EXP(WeightSDS!O$32+WeightSDS!P$32*$AG17))-0.010431*(1-$AG17/210))))</f>
        <v>2.9500001032655536</v>
      </c>
      <c r="AK17" s="24">
        <f>IF(D17="M",IF($AG17&lt;162,WeightSDS!P$12*$AG17^7+WeightSDS!Q$12*$AG17^6+WeightSDS!R$12*$AG17^5+WeightSDS!S$12*$AG17^4+WeightSDS!T$12*$AG17^3+WeightSDS!U$12*$AG17^2+WeightSDS!V$12*$AG17+WeightSDS!W$12,WeightSDS!P$14*$AG17^7+WeightSDS!Q$14*$AG17^6+WeightSDS!R$14*$AG17^5+WeightSDS!S$14*$AG17^4+WeightSDS!T$14*$AG17^3+WeightSDS!U$14*$AG17^2+WeightSDS!V$14*$AG17+WeightSDS!W$14),IF($AG17&lt;156,WeightSDS!O$17*$AG17^8+WeightSDS!P$17*$AG17^7+WeightSDS!Q$17*$AG17^6+WeightSDS!R$17*$AG17^5+WeightSDS!S$17*$AG17^4+WeightSDS!T$17*$AG17^3+WeightSDS!U$17*$AG17^2+WeightSDS!V$17*$AG17+WeightSDS!W$17,IF($AG17&lt;186,WeightSDS!$U$18+(WeightSDS!$V$18-WeightSDS!$U$18)/24*($AG17-186)+WeightSDS!$W$18*(-$AG17+186)^2-0.005,WeightSDS!$U$18+(WeightSDS!$V$18-WeightSDS!$U$18)/24*($AG17-186)-0.005)))</f>
        <v>0.14604529399999999</v>
      </c>
      <c r="AL17" s="37"/>
    </row>
    <row r="18" spans="1:38">
      <c r="A18" s="4"/>
      <c r="B18" s="21"/>
      <c r="C18" s="21"/>
      <c r="D18" s="21"/>
      <c r="E18" s="22"/>
      <c r="F18" s="22"/>
      <c r="G18" s="23"/>
      <c r="H18" s="23"/>
      <c r="I18" s="8" t="str">
        <f t="shared" si="0"/>
        <v/>
      </c>
      <c r="J18" s="2" t="str">
        <f t="shared" si="4"/>
        <v/>
      </c>
      <c r="K18" s="2" t="str">
        <f t="shared" si="1"/>
        <v/>
      </c>
      <c r="L18" s="2" t="str">
        <f t="shared" si="5"/>
        <v/>
      </c>
      <c r="M18" s="2" t="str">
        <f t="shared" si="15"/>
        <v/>
      </c>
      <c r="N18" s="2" t="str">
        <f t="shared" si="7"/>
        <v/>
      </c>
      <c r="O18" s="8" t="str">
        <f t="shared" si="8"/>
        <v/>
      </c>
      <c r="P18" s="8" t="str">
        <f t="shared" si="9"/>
        <v/>
      </c>
      <c r="Q18" s="40" t="str">
        <f t="shared" si="10"/>
        <v/>
      </c>
      <c r="R18" s="48" t="str">
        <f t="shared" si="11"/>
        <v/>
      </c>
      <c r="S18" s="8"/>
      <c r="U18" s="35">
        <f t="shared" si="12"/>
        <v>0</v>
      </c>
      <c r="V18" s="24">
        <f t="shared" si="13"/>
        <v>0</v>
      </c>
      <c r="W18" s="41">
        <f t="shared" si="14"/>
        <v>0</v>
      </c>
      <c r="X18" s="31"/>
      <c r="Y18" s="31"/>
      <c r="Z18" s="31"/>
      <c r="AA18" s="25">
        <f t="shared" si="2"/>
        <v>9.0359999999999996</v>
      </c>
      <c r="AB18" s="25">
        <f t="shared" si="3"/>
        <v>-184.49199999999999</v>
      </c>
      <c r="AD18" s="24">
        <f>IF(D18="M",IF(AG18&lt;78,BMILMS!$D$5*AG18^3+BMILMS!$E$5*AG18^2+BMILMS!$F$5*AG18+BMILMS!$G$5,IF(AG18&lt;150,BMILMS!$D$6*AG18^3+BMILMS!$E$6*AG18^2+BMILMS!$F$6*AG18+BMILMS!$G$6,BMILMS!$D$7*AG18^3+BMILMS!$E$7*AG18^2+BMILMS!$F$7*AG18+BMILMS!$G$7)),IF(AG18&lt;69,BMILMS!$D$9*AG18^3+BMILMS!$E$9*AG18^2+BMILMS!$F$9*AG18+BMILMS!$G$9,IF(AG18&lt;150,BMILMS!$D$10*AG18^3+BMILMS!$E$10*AG18^2+BMILMS!$F$10*AG18+BMILMS!$G$10,BMILMS!$D$11*AG18^3+BMILMS!$E$11*AG18^2+BMILMS!$F$11*AG18+BMILMS!$G$11)))</f>
        <v>0.79584630099999998</v>
      </c>
      <c r="AE18" s="24">
        <f>IF(D18="M",(IF(AG18&lt;2.5,BMILMS!$D$21*AG18^3+BMILMS!$E$21*AG18^2+BMILMS!$F$21*AG18+BMILMS!$G$21,IF(AG18&lt;9.5,BMILMS!$D$22*AG18^3+BMILMS!$E$22*AG18^2+BMILMS!$F$22*AG18+BMILMS!$G$22,IF(AG18&lt;26.75,BMILMS!$D$23*AG18^3+BMILMS!$E$23*AG18^2+BMILMS!$F$23*AG18+BMILMS!$G$23,IF(AG18&lt;90,BMILMS!$D$24*AG18^3+BMILMS!$E$24*AG18^2+BMILMS!$F$24*AG18+BMILMS!$G$24,BMILMS!$D$25*AG18^3+BMILMS!$E$25*AG18^2+BMILMS!$F$25*AG18+BMILMS!$G$25))))),(IF(AG18&lt;2.5,BMILMS!$D$27*AG18^3+BMILMS!$E$27*AG18^2+BMILMS!$F$27*AG18+BMILMS!$G$27,IF(AG18&lt;9.5,BMILMS!$D$28*AG18^3+BMILMS!$E$28*AG18^2+BMILMS!$F$28*AG18+BMILMS!$G$28,IF(AG18&lt;26.75,BMILMS!$D$29*AG18^3+BMILMS!$E$29*AG18^2+BMILMS!$F$29*AG18+BMILMS!$G$29,IF(AG18&lt;90,BMILMS!$D$30*AG18^3+BMILMS!$E$30*AG18^2+BMILMS!$F$30*AG18+BMILMS!$G$30,IF(AG18&lt;150,BMILMS!$D$31*AG18^3+BMILMS!$E$31*AG18^2+BMILMS!$F$31*AG18+BMILMS!$G$31,BMILMS!$D$32*AG18^3+BMILMS!$E$32*AG18^2+BMILMS!$F$32*AG18+BMILMS!$G$32)))))))</f>
        <v>12.568967990000001</v>
      </c>
      <c r="AF18" s="24">
        <f>IF(D18="M",(IF(AG18&lt;90,BMILMS!$D$14*AG18^3+BMILMS!$E$14*AG18^2+BMILMS!$F$14*AG18+BMILMS!$G$14,BMILMS!$D$15*AG18^3+BMILMS!$E$15*AG18^2+BMILMS!$F$15*AG18+BMILMS!$G$15)),(IF(AG18&lt;90,BMILMS!$D$17*AG18^3+BMILMS!$E$17*AG18^2+BMILMS!$F$17*AG18+BMILMS!$G$17,BMILMS!$D$18*AG18^3+BMILMS!$E$18*AG18^2+BMILMS!$F$18*AG18+BMILMS!$G$18)))</f>
        <v>8.8969350000000003E-2</v>
      </c>
      <c r="AG18" s="24">
        <f t="shared" si="16"/>
        <v>0</v>
      </c>
      <c r="AI18" s="38">
        <f>IF(D18="M",WeightSDS!P$5*$AG18^7+WeightSDS!Q$5*$AG18^6+WeightSDS!R$5*$AG18^5+WeightSDS!S$5*$AG18^4+WeightSDS!T$5*$AG18^3+WeightSDS!U$5*$AG18^2+WeightSDS!V$5*$AG18+WeightSDS!W$5,IF($AG18&lt;186,WeightSDS!P$8*$AG18^7+WeightSDS!Q$8*$AG18^6+WeightSDS!R$8*$AG18^5+WeightSDS!S$8*$AG18^4+WeightSDS!T$8*$AG18^3+WeightSDS!U$8*$AG18^2+WeightSDS!V$8*$AG18+WeightSDS!W$8,WeightSDS!$U$9-WeightSDS!$V$9*($AG18-WeightSDS!$W$9)))</f>
        <v>0.75407122999999998</v>
      </c>
      <c r="AJ18" s="24">
        <f>IF(D18="M",IF($AG18&lt;45,WeightSDS!M$23*$AG18^10+WeightSDS!N$23*$AG18^9+WeightSDS!O$23*$AG18^8+WeightSDS!P$23*$AG18^7+WeightSDS!Q$23*$AG18^6+WeightSDS!R$23*$AG18^5+WeightSDS!S$23*$AG18^4+WeightSDS!T$23*$AG18^3+WeightSDS!U$23*$AG18^2+WeightSDS!V$23*$AG18+WeightSDS!W$23,IF($AG18&lt;153,WeightSDS!M$25*$AG18^10+WeightSDS!N$25*$AG18^9+WeightSDS!O$25*$AG18^8+WeightSDS!P$25*$AG18^7+WeightSDS!Q$25*$AG18^6+WeightSDS!R$25*$AG18^5+WeightSDS!S$25*$AG18^4+WeightSDS!T$25*$AG18^3+WeightSDS!U$25*$AG18^2+WeightSDS!V$25*$AG18+WeightSDS!W$25,WeightSDS!M$27+WeightSDS!N$27/(1+EXP(WeightSDS!O$27+WeightSDS!P$27*$AG18)))),IF($AG18&lt;43.8,WeightSDS!M$29*$AG18^10+WeightSDS!N$29*$AG18^9+WeightSDS!O$29*$AG18^8+WeightSDS!P$29*$AG18^7+WeightSDS!Q$29*$AG18^6+WeightSDS!R$29*$AG18^5+WeightSDS!S$29*$AG18^4+WeightSDS!T$29*$AG18^3+WeightSDS!U$29*$AG18^2+WeightSDS!V$29*$AG18+WeightSDS!W$29-0.010431*(1-$AG18/210),IF($AG18&lt;123,WeightSDS!M$30*$AG18^10+WeightSDS!N$30*$AG18^9+WeightSDS!O$30*$AG18^8+WeightSDS!P$30*$AG18^7+WeightSDS!Q$30*$AG18^6+WeightSDS!R$30*$AG18^5+WeightSDS!S$30*$AG18^4+WeightSDS!T$30*$AG18^3+WeightSDS!U$30*$AG18^2+WeightSDS!V$30*$AG18+WeightSDS!W$30-0.010431*(1-1/$AG18),WeightSDS!M$32+WeightSDS!N$32/(1+EXP(WeightSDS!O$32+WeightSDS!P$32*$AG18))-0.010431*(1-$AG18/210))))</f>
        <v>2.9500001032655536</v>
      </c>
      <c r="AK18" s="24">
        <f>IF(D18="M",IF($AG18&lt;162,WeightSDS!P$12*$AG18^7+WeightSDS!Q$12*$AG18^6+WeightSDS!R$12*$AG18^5+WeightSDS!S$12*$AG18^4+WeightSDS!T$12*$AG18^3+WeightSDS!U$12*$AG18^2+WeightSDS!V$12*$AG18+WeightSDS!W$12,WeightSDS!P$14*$AG18^7+WeightSDS!Q$14*$AG18^6+WeightSDS!R$14*$AG18^5+WeightSDS!S$14*$AG18^4+WeightSDS!T$14*$AG18^3+WeightSDS!U$14*$AG18^2+WeightSDS!V$14*$AG18+WeightSDS!W$14),IF($AG18&lt;156,WeightSDS!O$17*$AG18^8+WeightSDS!P$17*$AG18^7+WeightSDS!Q$17*$AG18^6+WeightSDS!R$17*$AG18^5+WeightSDS!S$17*$AG18^4+WeightSDS!T$17*$AG18^3+WeightSDS!U$17*$AG18^2+WeightSDS!V$17*$AG18+WeightSDS!W$17,IF($AG18&lt;186,WeightSDS!$U$18+(WeightSDS!$V$18-WeightSDS!$U$18)/24*($AG18-186)+WeightSDS!$W$18*(-$AG18+186)^2-0.005,WeightSDS!$U$18+(WeightSDS!$V$18-WeightSDS!$U$18)/24*($AG18-186)-0.005)))</f>
        <v>0.14604529399999999</v>
      </c>
    </row>
    <row r="19" spans="1:38">
      <c r="A19" s="4"/>
      <c r="B19" s="21"/>
      <c r="C19" s="21"/>
      <c r="D19" s="21"/>
      <c r="E19" s="22"/>
      <c r="F19" s="22"/>
      <c r="G19" s="23"/>
      <c r="H19" s="23"/>
      <c r="I19" s="8" t="str">
        <f t="shared" si="0"/>
        <v/>
      </c>
      <c r="J19" s="2" t="str">
        <f t="shared" si="4"/>
        <v/>
      </c>
      <c r="K19" s="2" t="str">
        <f t="shared" si="1"/>
        <v/>
      </c>
      <c r="L19" s="2" t="str">
        <f t="shared" si="5"/>
        <v/>
      </c>
      <c r="M19" s="2" t="str">
        <f t="shared" si="15"/>
        <v/>
      </c>
      <c r="N19" s="2" t="str">
        <f t="shared" si="7"/>
        <v/>
      </c>
      <c r="O19" s="8" t="str">
        <f t="shared" si="8"/>
        <v/>
      </c>
      <c r="P19" s="8" t="str">
        <f t="shared" si="9"/>
        <v/>
      </c>
      <c r="Q19" s="40" t="str">
        <f t="shared" si="10"/>
        <v/>
      </c>
      <c r="R19" s="48" t="str">
        <f t="shared" si="11"/>
        <v/>
      </c>
      <c r="S19" s="8"/>
      <c r="U19" s="35">
        <f t="shared" si="12"/>
        <v>0</v>
      </c>
      <c r="V19" s="24">
        <f t="shared" si="13"/>
        <v>0</v>
      </c>
      <c r="W19" s="41">
        <f t="shared" si="14"/>
        <v>0</v>
      </c>
      <c r="X19" s="31"/>
      <c r="Y19" s="31"/>
      <c r="Z19" s="31"/>
      <c r="AA19" s="25">
        <f t="shared" si="2"/>
        <v>9.0359999999999996</v>
      </c>
      <c r="AB19" s="25">
        <f t="shared" si="3"/>
        <v>-184.49199999999999</v>
      </c>
      <c r="AD19" s="24">
        <f>IF(D19="M",IF(AG19&lt;78,BMILMS!$D$5*AG19^3+BMILMS!$E$5*AG19^2+BMILMS!$F$5*AG19+BMILMS!$G$5,IF(AG19&lt;150,BMILMS!$D$6*AG19^3+BMILMS!$E$6*AG19^2+BMILMS!$F$6*AG19+BMILMS!$G$6,BMILMS!$D$7*AG19^3+BMILMS!$E$7*AG19^2+BMILMS!$F$7*AG19+BMILMS!$G$7)),IF(AG19&lt;69,BMILMS!$D$9*AG19^3+BMILMS!$E$9*AG19^2+BMILMS!$F$9*AG19+BMILMS!$G$9,IF(AG19&lt;150,BMILMS!$D$10*AG19^3+BMILMS!$E$10*AG19^2+BMILMS!$F$10*AG19+BMILMS!$G$10,BMILMS!$D$11*AG19^3+BMILMS!$E$11*AG19^2+BMILMS!$F$11*AG19+BMILMS!$G$11)))</f>
        <v>0.79584630099999998</v>
      </c>
      <c r="AE19" s="24">
        <f>IF(D19="M",(IF(AG19&lt;2.5,BMILMS!$D$21*AG19^3+BMILMS!$E$21*AG19^2+BMILMS!$F$21*AG19+BMILMS!$G$21,IF(AG19&lt;9.5,BMILMS!$D$22*AG19^3+BMILMS!$E$22*AG19^2+BMILMS!$F$22*AG19+BMILMS!$G$22,IF(AG19&lt;26.75,BMILMS!$D$23*AG19^3+BMILMS!$E$23*AG19^2+BMILMS!$F$23*AG19+BMILMS!$G$23,IF(AG19&lt;90,BMILMS!$D$24*AG19^3+BMILMS!$E$24*AG19^2+BMILMS!$F$24*AG19+BMILMS!$G$24,BMILMS!$D$25*AG19^3+BMILMS!$E$25*AG19^2+BMILMS!$F$25*AG19+BMILMS!$G$25))))),(IF(AG19&lt;2.5,BMILMS!$D$27*AG19^3+BMILMS!$E$27*AG19^2+BMILMS!$F$27*AG19+BMILMS!$G$27,IF(AG19&lt;9.5,BMILMS!$D$28*AG19^3+BMILMS!$E$28*AG19^2+BMILMS!$F$28*AG19+BMILMS!$G$28,IF(AG19&lt;26.75,BMILMS!$D$29*AG19^3+BMILMS!$E$29*AG19^2+BMILMS!$F$29*AG19+BMILMS!$G$29,IF(AG19&lt;90,BMILMS!$D$30*AG19^3+BMILMS!$E$30*AG19^2+BMILMS!$F$30*AG19+BMILMS!$G$30,IF(AG19&lt;150,BMILMS!$D$31*AG19^3+BMILMS!$E$31*AG19^2+BMILMS!$F$31*AG19+BMILMS!$G$31,BMILMS!$D$32*AG19^3+BMILMS!$E$32*AG19^2+BMILMS!$F$32*AG19+BMILMS!$G$32)))))))</f>
        <v>12.568967990000001</v>
      </c>
      <c r="AF19" s="24">
        <f>IF(D19="M",(IF(AG19&lt;90,BMILMS!$D$14*AG19^3+BMILMS!$E$14*AG19^2+BMILMS!$F$14*AG19+BMILMS!$G$14,BMILMS!$D$15*AG19^3+BMILMS!$E$15*AG19^2+BMILMS!$F$15*AG19+BMILMS!$G$15)),(IF(AG19&lt;90,BMILMS!$D$17*AG19^3+BMILMS!$E$17*AG19^2+BMILMS!$F$17*AG19+BMILMS!$G$17,BMILMS!$D$18*AG19^3+BMILMS!$E$18*AG19^2+BMILMS!$F$18*AG19+BMILMS!$G$18)))</f>
        <v>8.8969350000000003E-2</v>
      </c>
      <c r="AG19" s="24">
        <f t="shared" si="16"/>
        <v>0</v>
      </c>
      <c r="AI19" s="38">
        <f>IF(D19="M",WeightSDS!P$5*$AG19^7+WeightSDS!Q$5*$AG19^6+WeightSDS!R$5*$AG19^5+WeightSDS!S$5*$AG19^4+WeightSDS!T$5*$AG19^3+WeightSDS!U$5*$AG19^2+WeightSDS!V$5*$AG19+WeightSDS!W$5,IF($AG19&lt;186,WeightSDS!P$8*$AG19^7+WeightSDS!Q$8*$AG19^6+WeightSDS!R$8*$AG19^5+WeightSDS!S$8*$AG19^4+WeightSDS!T$8*$AG19^3+WeightSDS!U$8*$AG19^2+WeightSDS!V$8*$AG19+WeightSDS!W$8,WeightSDS!$U$9-WeightSDS!$V$9*($AG19-WeightSDS!$W$9)))</f>
        <v>0.75407122999999998</v>
      </c>
      <c r="AJ19" s="24">
        <f>IF(D19="M",IF($AG19&lt;45,WeightSDS!M$23*$AG19^10+WeightSDS!N$23*$AG19^9+WeightSDS!O$23*$AG19^8+WeightSDS!P$23*$AG19^7+WeightSDS!Q$23*$AG19^6+WeightSDS!R$23*$AG19^5+WeightSDS!S$23*$AG19^4+WeightSDS!T$23*$AG19^3+WeightSDS!U$23*$AG19^2+WeightSDS!V$23*$AG19+WeightSDS!W$23,IF($AG19&lt;153,WeightSDS!M$25*$AG19^10+WeightSDS!N$25*$AG19^9+WeightSDS!O$25*$AG19^8+WeightSDS!P$25*$AG19^7+WeightSDS!Q$25*$AG19^6+WeightSDS!R$25*$AG19^5+WeightSDS!S$25*$AG19^4+WeightSDS!T$25*$AG19^3+WeightSDS!U$25*$AG19^2+WeightSDS!V$25*$AG19+WeightSDS!W$25,WeightSDS!M$27+WeightSDS!N$27/(1+EXP(WeightSDS!O$27+WeightSDS!P$27*$AG19)))),IF($AG19&lt;43.8,WeightSDS!M$29*$AG19^10+WeightSDS!N$29*$AG19^9+WeightSDS!O$29*$AG19^8+WeightSDS!P$29*$AG19^7+WeightSDS!Q$29*$AG19^6+WeightSDS!R$29*$AG19^5+WeightSDS!S$29*$AG19^4+WeightSDS!T$29*$AG19^3+WeightSDS!U$29*$AG19^2+WeightSDS!V$29*$AG19+WeightSDS!W$29-0.010431*(1-$AG19/210),IF($AG19&lt;123,WeightSDS!M$30*$AG19^10+WeightSDS!N$30*$AG19^9+WeightSDS!O$30*$AG19^8+WeightSDS!P$30*$AG19^7+WeightSDS!Q$30*$AG19^6+WeightSDS!R$30*$AG19^5+WeightSDS!S$30*$AG19^4+WeightSDS!T$30*$AG19^3+WeightSDS!U$30*$AG19^2+WeightSDS!V$30*$AG19+WeightSDS!W$30-0.010431*(1-1/$AG19),WeightSDS!M$32+WeightSDS!N$32/(1+EXP(WeightSDS!O$32+WeightSDS!P$32*$AG19))-0.010431*(1-$AG19/210))))</f>
        <v>2.9500001032655536</v>
      </c>
      <c r="AK19" s="24">
        <f>IF(D19="M",IF($AG19&lt;162,WeightSDS!P$12*$AG19^7+WeightSDS!Q$12*$AG19^6+WeightSDS!R$12*$AG19^5+WeightSDS!S$12*$AG19^4+WeightSDS!T$12*$AG19^3+WeightSDS!U$12*$AG19^2+WeightSDS!V$12*$AG19+WeightSDS!W$12,WeightSDS!P$14*$AG19^7+WeightSDS!Q$14*$AG19^6+WeightSDS!R$14*$AG19^5+WeightSDS!S$14*$AG19^4+WeightSDS!T$14*$AG19^3+WeightSDS!U$14*$AG19^2+WeightSDS!V$14*$AG19+WeightSDS!W$14),IF($AG19&lt;156,WeightSDS!O$17*$AG19^8+WeightSDS!P$17*$AG19^7+WeightSDS!Q$17*$AG19^6+WeightSDS!R$17*$AG19^5+WeightSDS!S$17*$AG19^4+WeightSDS!T$17*$AG19^3+WeightSDS!U$17*$AG19^2+WeightSDS!V$17*$AG19+WeightSDS!W$17,IF($AG19&lt;186,WeightSDS!$U$18+(WeightSDS!$V$18-WeightSDS!$U$18)/24*($AG19-186)+WeightSDS!$W$18*(-$AG19+186)^2-0.005,WeightSDS!$U$18+(WeightSDS!$V$18-WeightSDS!$U$18)/24*($AG19-186)-0.005)))</f>
        <v>0.14604529399999999</v>
      </c>
    </row>
    <row r="20" spans="1:38">
      <c r="A20" s="4"/>
      <c r="B20" s="21"/>
      <c r="C20" s="21"/>
      <c r="D20" s="21"/>
      <c r="E20" s="22"/>
      <c r="F20" s="22"/>
      <c r="G20" s="23"/>
      <c r="H20" s="23"/>
      <c r="I20" s="8" t="str">
        <f t="shared" si="0"/>
        <v/>
      </c>
      <c r="J20" s="2" t="str">
        <f t="shared" si="4"/>
        <v/>
      </c>
      <c r="K20" s="2" t="str">
        <f t="shared" si="1"/>
        <v/>
      </c>
      <c r="L20" s="2" t="str">
        <f t="shared" si="5"/>
        <v/>
      </c>
      <c r="M20" s="2" t="str">
        <f t="shared" si="15"/>
        <v/>
      </c>
      <c r="N20" s="2" t="str">
        <f t="shared" si="7"/>
        <v/>
      </c>
      <c r="O20" s="8" t="str">
        <f t="shared" si="8"/>
        <v/>
      </c>
      <c r="P20" s="8" t="str">
        <f t="shared" si="9"/>
        <v/>
      </c>
      <c r="Q20" s="40" t="str">
        <f t="shared" si="10"/>
        <v/>
      </c>
      <c r="R20" s="48" t="str">
        <f t="shared" si="11"/>
        <v/>
      </c>
      <c r="S20" s="8"/>
      <c r="U20" s="35">
        <f t="shared" si="12"/>
        <v>0</v>
      </c>
      <c r="V20" s="24">
        <f t="shared" si="13"/>
        <v>0</v>
      </c>
      <c r="W20" s="41">
        <f t="shared" si="14"/>
        <v>0</v>
      </c>
      <c r="X20" s="31"/>
      <c r="Y20" s="31"/>
      <c r="Z20" s="31"/>
      <c r="AA20" s="25">
        <f t="shared" si="2"/>
        <v>9.0359999999999996</v>
      </c>
      <c r="AB20" s="25">
        <f t="shared" si="3"/>
        <v>-184.49199999999999</v>
      </c>
      <c r="AD20" s="24">
        <f>IF(D20="M",IF(AG20&lt;78,BMILMS!$D$5*AG20^3+BMILMS!$E$5*AG20^2+BMILMS!$F$5*AG20+BMILMS!$G$5,IF(AG20&lt;150,BMILMS!$D$6*AG20^3+BMILMS!$E$6*AG20^2+BMILMS!$F$6*AG20+BMILMS!$G$6,BMILMS!$D$7*AG20^3+BMILMS!$E$7*AG20^2+BMILMS!$F$7*AG20+BMILMS!$G$7)),IF(AG20&lt;69,BMILMS!$D$9*AG20^3+BMILMS!$E$9*AG20^2+BMILMS!$F$9*AG20+BMILMS!$G$9,IF(AG20&lt;150,BMILMS!$D$10*AG20^3+BMILMS!$E$10*AG20^2+BMILMS!$F$10*AG20+BMILMS!$G$10,BMILMS!$D$11*AG20^3+BMILMS!$E$11*AG20^2+BMILMS!$F$11*AG20+BMILMS!$G$11)))</f>
        <v>0.79584630099999998</v>
      </c>
      <c r="AE20" s="24">
        <f>IF(D20="M",(IF(AG20&lt;2.5,BMILMS!$D$21*AG20^3+BMILMS!$E$21*AG20^2+BMILMS!$F$21*AG20+BMILMS!$G$21,IF(AG20&lt;9.5,BMILMS!$D$22*AG20^3+BMILMS!$E$22*AG20^2+BMILMS!$F$22*AG20+BMILMS!$G$22,IF(AG20&lt;26.75,BMILMS!$D$23*AG20^3+BMILMS!$E$23*AG20^2+BMILMS!$F$23*AG20+BMILMS!$G$23,IF(AG20&lt;90,BMILMS!$D$24*AG20^3+BMILMS!$E$24*AG20^2+BMILMS!$F$24*AG20+BMILMS!$G$24,BMILMS!$D$25*AG20^3+BMILMS!$E$25*AG20^2+BMILMS!$F$25*AG20+BMILMS!$G$25))))),(IF(AG20&lt;2.5,BMILMS!$D$27*AG20^3+BMILMS!$E$27*AG20^2+BMILMS!$F$27*AG20+BMILMS!$G$27,IF(AG20&lt;9.5,BMILMS!$D$28*AG20^3+BMILMS!$E$28*AG20^2+BMILMS!$F$28*AG20+BMILMS!$G$28,IF(AG20&lt;26.75,BMILMS!$D$29*AG20^3+BMILMS!$E$29*AG20^2+BMILMS!$F$29*AG20+BMILMS!$G$29,IF(AG20&lt;90,BMILMS!$D$30*AG20^3+BMILMS!$E$30*AG20^2+BMILMS!$F$30*AG20+BMILMS!$G$30,IF(AG20&lt;150,BMILMS!$D$31*AG20^3+BMILMS!$E$31*AG20^2+BMILMS!$F$31*AG20+BMILMS!$G$31,BMILMS!$D$32*AG20^3+BMILMS!$E$32*AG20^2+BMILMS!$F$32*AG20+BMILMS!$G$32)))))))</f>
        <v>12.568967990000001</v>
      </c>
      <c r="AF20" s="24">
        <f>IF(D20="M",(IF(AG20&lt;90,BMILMS!$D$14*AG20^3+BMILMS!$E$14*AG20^2+BMILMS!$F$14*AG20+BMILMS!$G$14,BMILMS!$D$15*AG20^3+BMILMS!$E$15*AG20^2+BMILMS!$F$15*AG20+BMILMS!$G$15)),(IF(AG20&lt;90,BMILMS!$D$17*AG20^3+BMILMS!$E$17*AG20^2+BMILMS!$F$17*AG20+BMILMS!$G$17,BMILMS!$D$18*AG20^3+BMILMS!$E$18*AG20^2+BMILMS!$F$18*AG20+BMILMS!$G$18)))</f>
        <v>8.8969350000000003E-2</v>
      </c>
      <c r="AG20" s="24">
        <f t="shared" si="16"/>
        <v>0</v>
      </c>
      <c r="AI20" s="38">
        <f>IF(D20="M",WeightSDS!P$5*$AG20^7+WeightSDS!Q$5*$AG20^6+WeightSDS!R$5*$AG20^5+WeightSDS!S$5*$AG20^4+WeightSDS!T$5*$AG20^3+WeightSDS!U$5*$AG20^2+WeightSDS!V$5*$AG20+WeightSDS!W$5,IF($AG20&lt;186,WeightSDS!P$8*$AG20^7+WeightSDS!Q$8*$AG20^6+WeightSDS!R$8*$AG20^5+WeightSDS!S$8*$AG20^4+WeightSDS!T$8*$AG20^3+WeightSDS!U$8*$AG20^2+WeightSDS!V$8*$AG20+WeightSDS!W$8,WeightSDS!$U$9-WeightSDS!$V$9*($AG20-WeightSDS!$W$9)))</f>
        <v>0.75407122999999998</v>
      </c>
      <c r="AJ20" s="24">
        <f>IF(D20="M",IF($AG20&lt;45,WeightSDS!M$23*$AG20^10+WeightSDS!N$23*$AG20^9+WeightSDS!O$23*$AG20^8+WeightSDS!P$23*$AG20^7+WeightSDS!Q$23*$AG20^6+WeightSDS!R$23*$AG20^5+WeightSDS!S$23*$AG20^4+WeightSDS!T$23*$AG20^3+WeightSDS!U$23*$AG20^2+WeightSDS!V$23*$AG20+WeightSDS!W$23,IF($AG20&lt;153,WeightSDS!M$25*$AG20^10+WeightSDS!N$25*$AG20^9+WeightSDS!O$25*$AG20^8+WeightSDS!P$25*$AG20^7+WeightSDS!Q$25*$AG20^6+WeightSDS!R$25*$AG20^5+WeightSDS!S$25*$AG20^4+WeightSDS!T$25*$AG20^3+WeightSDS!U$25*$AG20^2+WeightSDS!V$25*$AG20+WeightSDS!W$25,WeightSDS!M$27+WeightSDS!N$27/(1+EXP(WeightSDS!O$27+WeightSDS!P$27*$AG20)))),IF($AG20&lt;43.8,WeightSDS!M$29*$AG20^10+WeightSDS!N$29*$AG20^9+WeightSDS!O$29*$AG20^8+WeightSDS!P$29*$AG20^7+WeightSDS!Q$29*$AG20^6+WeightSDS!R$29*$AG20^5+WeightSDS!S$29*$AG20^4+WeightSDS!T$29*$AG20^3+WeightSDS!U$29*$AG20^2+WeightSDS!V$29*$AG20+WeightSDS!W$29-0.010431*(1-$AG20/210),IF($AG20&lt;123,WeightSDS!M$30*$AG20^10+WeightSDS!N$30*$AG20^9+WeightSDS!O$30*$AG20^8+WeightSDS!P$30*$AG20^7+WeightSDS!Q$30*$AG20^6+WeightSDS!R$30*$AG20^5+WeightSDS!S$30*$AG20^4+WeightSDS!T$30*$AG20^3+WeightSDS!U$30*$AG20^2+WeightSDS!V$30*$AG20+WeightSDS!W$30-0.010431*(1-1/$AG20),WeightSDS!M$32+WeightSDS!N$32/(1+EXP(WeightSDS!O$32+WeightSDS!P$32*$AG20))-0.010431*(1-$AG20/210))))</f>
        <v>2.9500001032655536</v>
      </c>
      <c r="AK20" s="24">
        <f>IF(D20="M",IF($AG20&lt;162,WeightSDS!P$12*$AG20^7+WeightSDS!Q$12*$AG20^6+WeightSDS!R$12*$AG20^5+WeightSDS!S$12*$AG20^4+WeightSDS!T$12*$AG20^3+WeightSDS!U$12*$AG20^2+WeightSDS!V$12*$AG20+WeightSDS!W$12,WeightSDS!P$14*$AG20^7+WeightSDS!Q$14*$AG20^6+WeightSDS!R$14*$AG20^5+WeightSDS!S$14*$AG20^4+WeightSDS!T$14*$AG20^3+WeightSDS!U$14*$AG20^2+WeightSDS!V$14*$AG20+WeightSDS!W$14),IF($AG20&lt;156,WeightSDS!O$17*$AG20^8+WeightSDS!P$17*$AG20^7+WeightSDS!Q$17*$AG20^6+WeightSDS!R$17*$AG20^5+WeightSDS!S$17*$AG20^4+WeightSDS!T$17*$AG20^3+WeightSDS!U$17*$AG20^2+WeightSDS!V$17*$AG20+WeightSDS!W$17,IF($AG20&lt;186,WeightSDS!$U$18+(WeightSDS!$V$18-WeightSDS!$U$18)/24*($AG20-186)+WeightSDS!$W$18*(-$AG20+186)^2-0.005,WeightSDS!$U$18+(WeightSDS!$V$18-WeightSDS!$U$18)/24*($AG20-186)-0.005)))</f>
        <v>0.14604529399999999</v>
      </c>
      <c r="AL20" s="37"/>
    </row>
    <row r="21" spans="1:38">
      <c r="A21" s="4"/>
      <c r="B21" s="21"/>
      <c r="C21" s="21"/>
      <c r="D21" s="21"/>
      <c r="E21" s="22"/>
      <c r="F21" s="22"/>
      <c r="G21" s="23"/>
      <c r="H21" s="23"/>
      <c r="I21" s="8" t="str">
        <f t="shared" si="0"/>
        <v/>
      </c>
      <c r="J21" s="2" t="str">
        <f t="shared" si="4"/>
        <v/>
      </c>
      <c r="K21" s="2" t="str">
        <f t="shared" si="1"/>
        <v/>
      </c>
      <c r="L21" s="2" t="str">
        <f t="shared" si="5"/>
        <v/>
      </c>
      <c r="M21" s="2" t="str">
        <f t="shared" si="15"/>
        <v/>
      </c>
      <c r="N21" s="2" t="str">
        <f t="shared" si="7"/>
        <v/>
      </c>
      <c r="O21" s="8" t="str">
        <f t="shared" si="8"/>
        <v/>
      </c>
      <c r="P21" s="8" t="str">
        <f t="shared" si="9"/>
        <v/>
      </c>
      <c r="Q21" s="40" t="str">
        <f t="shared" si="10"/>
        <v/>
      </c>
      <c r="R21" s="48" t="str">
        <f t="shared" si="11"/>
        <v/>
      </c>
      <c r="S21" s="8"/>
      <c r="U21" s="35">
        <f t="shared" si="12"/>
        <v>0</v>
      </c>
      <c r="V21" s="24">
        <f t="shared" si="13"/>
        <v>0</v>
      </c>
      <c r="W21" s="41">
        <f t="shared" si="14"/>
        <v>0</v>
      </c>
      <c r="X21" s="31"/>
      <c r="Y21" s="31"/>
      <c r="Z21" s="31"/>
      <c r="AA21" s="25">
        <f t="shared" si="2"/>
        <v>9.0359999999999996</v>
      </c>
      <c r="AB21" s="25">
        <f t="shared" si="3"/>
        <v>-184.49199999999999</v>
      </c>
      <c r="AD21" s="24">
        <f>IF(D21="M",IF(AG21&lt;78,BMILMS!$D$5*AG21^3+BMILMS!$E$5*AG21^2+BMILMS!$F$5*AG21+BMILMS!$G$5,IF(AG21&lt;150,BMILMS!$D$6*AG21^3+BMILMS!$E$6*AG21^2+BMILMS!$F$6*AG21+BMILMS!$G$6,BMILMS!$D$7*AG21^3+BMILMS!$E$7*AG21^2+BMILMS!$F$7*AG21+BMILMS!$G$7)),IF(AG21&lt;69,BMILMS!$D$9*AG21^3+BMILMS!$E$9*AG21^2+BMILMS!$F$9*AG21+BMILMS!$G$9,IF(AG21&lt;150,BMILMS!$D$10*AG21^3+BMILMS!$E$10*AG21^2+BMILMS!$F$10*AG21+BMILMS!$G$10,BMILMS!$D$11*AG21^3+BMILMS!$E$11*AG21^2+BMILMS!$F$11*AG21+BMILMS!$G$11)))</f>
        <v>0.79584630099999998</v>
      </c>
      <c r="AE21" s="24">
        <f>IF(D21="M",(IF(AG21&lt;2.5,BMILMS!$D$21*AG21^3+BMILMS!$E$21*AG21^2+BMILMS!$F$21*AG21+BMILMS!$G$21,IF(AG21&lt;9.5,BMILMS!$D$22*AG21^3+BMILMS!$E$22*AG21^2+BMILMS!$F$22*AG21+BMILMS!$G$22,IF(AG21&lt;26.75,BMILMS!$D$23*AG21^3+BMILMS!$E$23*AG21^2+BMILMS!$F$23*AG21+BMILMS!$G$23,IF(AG21&lt;90,BMILMS!$D$24*AG21^3+BMILMS!$E$24*AG21^2+BMILMS!$F$24*AG21+BMILMS!$G$24,BMILMS!$D$25*AG21^3+BMILMS!$E$25*AG21^2+BMILMS!$F$25*AG21+BMILMS!$G$25))))),(IF(AG21&lt;2.5,BMILMS!$D$27*AG21^3+BMILMS!$E$27*AG21^2+BMILMS!$F$27*AG21+BMILMS!$G$27,IF(AG21&lt;9.5,BMILMS!$D$28*AG21^3+BMILMS!$E$28*AG21^2+BMILMS!$F$28*AG21+BMILMS!$G$28,IF(AG21&lt;26.75,BMILMS!$D$29*AG21^3+BMILMS!$E$29*AG21^2+BMILMS!$F$29*AG21+BMILMS!$G$29,IF(AG21&lt;90,BMILMS!$D$30*AG21^3+BMILMS!$E$30*AG21^2+BMILMS!$F$30*AG21+BMILMS!$G$30,IF(AG21&lt;150,BMILMS!$D$31*AG21^3+BMILMS!$E$31*AG21^2+BMILMS!$F$31*AG21+BMILMS!$G$31,BMILMS!$D$32*AG21^3+BMILMS!$E$32*AG21^2+BMILMS!$F$32*AG21+BMILMS!$G$32)))))))</f>
        <v>12.568967990000001</v>
      </c>
      <c r="AF21" s="24">
        <f>IF(D21="M",(IF(AG21&lt;90,BMILMS!$D$14*AG21^3+BMILMS!$E$14*AG21^2+BMILMS!$F$14*AG21+BMILMS!$G$14,BMILMS!$D$15*AG21^3+BMILMS!$E$15*AG21^2+BMILMS!$F$15*AG21+BMILMS!$G$15)),(IF(AG21&lt;90,BMILMS!$D$17*AG21^3+BMILMS!$E$17*AG21^2+BMILMS!$F$17*AG21+BMILMS!$G$17,BMILMS!$D$18*AG21^3+BMILMS!$E$18*AG21^2+BMILMS!$F$18*AG21+BMILMS!$G$18)))</f>
        <v>8.8969350000000003E-2</v>
      </c>
      <c r="AG21" s="24">
        <f t="shared" si="16"/>
        <v>0</v>
      </c>
      <c r="AI21" s="38">
        <f>IF(D21="M",WeightSDS!P$5*$AG21^7+WeightSDS!Q$5*$AG21^6+WeightSDS!R$5*$AG21^5+WeightSDS!S$5*$AG21^4+WeightSDS!T$5*$AG21^3+WeightSDS!U$5*$AG21^2+WeightSDS!V$5*$AG21+WeightSDS!W$5,IF($AG21&lt;186,WeightSDS!P$8*$AG21^7+WeightSDS!Q$8*$AG21^6+WeightSDS!R$8*$AG21^5+WeightSDS!S$8*$AG21^4+WeightSDS!T$8*$AG21^3+WeightSDS!U$8*$AG21^2+WeightSDS!V$8*$AG21+WeightSDS!W$8,WeightSDS!$U$9-WeightSDS!$V$9*($AG21-WeightSDS!$W$9)))</f>
        <v>0.75407122999999998</v>
      </c>
      <c r="AJ21" s="24">
        <f>IF(D21="M",IF($AG21&lt;45,WeightSDS!M$23*$AG21^10+WeightSDS!N$23*$AG21^9+WeightSDS!O$23*$AG21^8+WeightSDS!P$23*$AG21^7+WeightSDS!Q$23*$AG21^6+WeightSDS!R$23*$AG21^5+WeightSDS!S$23*$AG21^4+WeightSDS!T$23*$AG21^3+WeightSDS!U$23*$AG21^2+WeightSDS!V$23*$AG21+WeightSDS!W$23,IF($AG21&lt;153,WeightSDS!M$25*$AG21^10+WeightSDS!N$25*$AG21^9+WeightSDS!O$25*$AG21^8+WeightSDS!P$25*$AG21^7+WeightSDS!Q$25*$AG21^6+WeightSDS!R$25*$AG21^5+WeightSDS!S$25*$AG21^4+WeightSDS!T$25*$AG21^3+WeightSDS!U$25*$AG21^2+WeightSDS!V$25*$AG21+WeightSDS!W$25,WeightSDS!M$27+WeightSDS!N$27/(1+EXP(WeightSDS!O$27+WeightSDS!P$27*$AG21)))),IF($AG21&lt;43.8,WeightSDS!M$29*$AG21^10+WeightSDS!N$29*$AG21^9+WeightSDS!O$29*$AG21^8+WeightSDS!P$29*$AG21^7+WeightSDS!Q$29*$AG21^6+WeightSDS!R$29*$AG21^5+WeightSDS!S$29*$AG21^4+WeightSDS!T$29*$AG21^3+WeightSDS!U$29*$AG21^2+WeightSDS!V$29*$AG21+WeightSDS!W$29-0.010431*(1-$AG21/210),IF($AG21&lt;123,WeightSDS!M$30*$AG21^10+WeightSDS!N$30*$AG21^9+WeightSDS!O$30*$AG21^8+WeightSDS!P$30*$AG21^7+WeightSDS!Q$30*$AG21^6+WeightSDS!R$30*$AG21^5+WeightSDS!S$30*$AG21^4+WeightSDS!T$30*$AG21^3+WeightSDS!U$30*$AG21^2+WeightSDS!V$30*$AG21+WeightSDS!W$30-0.010431*(1-1/$AG21),WeightSDS!M$32+WeightSDS!N$32/(1+EXP(WeightSDS!O$32+WeightSDS!P$32*$AG21))-0.010431*(1-$AG21/210))))</f>
        <v>2.9500001032655536</v>
      </c>
      <c r="AK21" s="24">
        <f>IF(D21="M",IF($AG21&lt;162,WeightSDS!P$12*$AG21^7+WeightSDS!Q$12*$AG21^6+WeightSDS!R$12*$AG21^5+WeightSDS!S$12*$AG21^4+WeightSDS!T$12*$AG21^3+WeightSDS!U$12*$AG21^2+WeightSDS!V$12*$AG21+WeightSDS!W$12,WeightSDS!P$14*$AG21^7+WeightSDS!Q$14*$AG21^6+WeightSDS!R$14*$AG21^5+WeightSDS!S$14*$AG21^4+WeightSDS!T$14*$AG21^3+WeightSDS!U$14*$AG21^2+WeightSDS!V$14*$AG21+WeightSDS!W$14),IF($AG21&lt;156,WeightSDS!O$17*$AG21^8+WeightSDS!P$17*$AG21^7+WeightSDS!Q$17*$AG21^6+WeightSDS!R$17*$AG21^5+WeightSDS!S$17*$AG21^4+WeightSDS!T$17*$AG21^3+WeightSDS!U$17*$AG21^2+WeightSDS!V$17*$AG21+WeightSDS!W$17,IF($AG21&lt;186,WeightSDS!$U$18+(WeightSDS!$V$18-WeightSDS!$U$18)/24*($AG21-186)+WeightSDS!$W$18*(-$AG21+186)^2-0.005,WeightSDS!$U$18+(WeightSDS!$V$18-WeightSDS!$U$18)/24*($AG21-186)-0.005)))</f>
        <v>0.14604529399999999</v>
      </c>
      <c r="AL21" s="37"/>
    </row>
    <row r="22" spans="1:38">
      <c r="A22" s="4"/>
      <c r="B22" s="21"/>
      <c r="C22" s="21"/>
      <c r="D22" s="21"/>
      <c r="E22" s="22"/>
      <c r="F22" s="22"/>
      <c r="G22" s="23"/>
      <c r="H22" s="23"/>
      <c r="I22" s="8" t="str">
        <f t="shared" si="0"/>
        <v/>
      </c>
      <c r="J22" s="2" t="str">
        <f t="shared" si="4"/>
        <v/>
      </c>
      <c r="K22" s="2" t="str">
        <f t="shared" si="1"/>
        <v/>
      </c>
      <c r="L22" s="2" t="str">
        <f t="shared" si="5"/>
        <v/>
      </c>
      <c r="M22" s="2" t="str">
        <f t="shared" si="15"/>
        <v/>
      </c>
      <c r="N22" s="2" t="str">
        <f t="shared" si="7"/>
        <v/>
      </c>
      <c r="O22" s="8" t="str">
        <f t="shared" si="8"/>
        <v/>
      </c>
      <c r="P22" s="8" t="str">
        <f t="shared" si="9"/>
        <v/>
      </c>
      <c r="Q22" s="40" t="str">
        <f t="shared" si="10"/>
        <v/>
      </c>
      <c r="R22" s="48" t="str">
        <f t="shared" si="11"/>
        <v/>
      </c>
      <c r="S22" s="8"/>
      <c r="U22" s="35">
        <f t="shared" si="12"/>
        <v>0</v>
      </c>
      <c r="V22" s="24">
        <f t="shared" si="13"/>
        <v>0</v>
      </c>
      <c r="W22" s="41">
        <f t="shared" si="14"/>
        <v>0</v>
      </c>
      <c r="X22" s="31"/>
      <c r="Y22" s="31"/>
      <c r="Z22" s="31"/>
      <c r="AA22" s="25">
        <f t="shared" si="2"/>
        <v>9.0359999999999996</v>
      </c>
      <c r="AB22" s="25">
        <f t="shared" si="3"/>
        <v>-184.49199999999999</v>
      </c>
      <c r="AD22" s="24">
        <f>IF(D22="M",IF(AG22&lt;78,BMILMS!$D$5*AG22^3+BMILMS!$E$5*AG22^2+BMILMS!$F$5*AG22+BMILMS!$G$5,IF(AG22&lt;150,BMILMS!$D$6*AG22^3+BMILMS!$E$6*AG22^2+BMILMS!$F$6*AG22+BMILMS!$G$6,BMILMS!$D$7*AG22^3+BMILMS!$E$7*AG22^2+BMILMS!$F$7*AG22+BMILMS!$G$7)),IF(AG22&lt;69,BMILMS!$D$9*AG22^3+BMILMS!$E$9*AG22^2+BMILMS!$F$9*AG22+BMILMS!$G$9,IF(AG22&lt;150,BMILMS!$D$10*AG22^3+BMILMS!$E$10*AG22^2+BMILMS!$F$10*AG22+BMILMS!$G$10,BMILMS!$D$11*AG22^3+BMILMS!$E$11*AG22^2+BMILMS!$F$11*AG22+BMILMS!$G$11)))</f>
        <v>0.79584630099999998</v>
      </c>
      <c r="AE22" s="24">
        <f>IF(D22="M",(IF(AG22&lt;2.5,BMILMS!$D$21*AG22^3+BMILMS!$E$21*AG22^2+BMILMS!$F$21*AG22+BMILMS!$G$21,IF(AG22&lt;9.5,BMILMS!$D$22*AG22^3+BMILMS!$E$22*AG22^2+BMILMS!$F$22*AG22+BMILMS!$G$22,IF(AG22&lt;26.75,BMILMS!$D$23*AG22^3+BMILMS!$E$23*AG22^2+BMILMS!$F$23*AG22+BMILMS!$G$23,IF(AG22&lt;90,BMILMS!$D$24*AG22^3+BMILMS!$E$24*AG22^2+BMILMS!$F$24*AG22+BMILMS!$G$24,BMILMS!$D$25*AG22^3+BMILMS!$E$25*AG22^2+BMILMS!$F$25*AG22+BMILMS!$G$25))))),(IF(AG22&lt;2.5,BMILMS!$D$27*AG22^3+BMILMS!$E$27*AG22^2+BMILMS!$F$27*AG22+BMILMS!$G$27,IF(AG22&lt;9.5,BMILMS!$D$28*AG22^3+BMILMS!$E$28*AG22^2+BMILMS!$F$28*AG22+BMILMS!$G$28,IF(AG22&lt;26.75,BMILMS!$D$29*AG22^3+BMILMS!$E$29*AG22^2+BMILMS!$F$29*AG22+BMILMS!$G$29,IF(AG22&lt;90,BMILMS!$D$30*AG22^3+BMILMS!$E$30*AG22^2+BMILMS!$F$30*AG22+BMILMS!$G$30,IF(AG22&lt;150,BMILMS!$D$31*AG22^3+BMILMS!$E$31*AG22^2+BMILMS!$F$31*AG22+BMILMS!$G$31,BMILMS!$D$32*AG22^3+BMILMS!$E$32*AG22^2+BMILMS!$F$32*AG22+BMILMS!$G$32)))))))</f>
        <v>12.568967990000001</v>
      </c>
      <c r="AF22" s="24">
        <f>IF(D22="M",(IF(AG22&lt;90,BMILMS!$D$14*AG22^3+BMILMS!$E$14*AG22^2+BMILMS!$F$14*AG22+BMILMS!$G$14,BMILMS!$D$15*AG22^3+BMILMS!$E$15*AG22^2+BMILMS!$F$15*AG22+BMILMS!$G$15)),(IF(AG22&lt;90,BMILMS!$D$17*AG22^3+BMILMS!$E$17*AG22^2+BMILMS!$F$17*AG22+BMILMS!$G$17,BMILMS!$D$18*AG22^3+BMILMS!$E$18*AG22^2+BMILMS!$F$18*AG22+BMILMS!$G$18)))</f>
        <v>8.8969350000000003E-2</v>
      </c>
      <c r="AG22" s="24">
        <f t="shared" si="16"/>
        <v>0</v>
      </c>
      <c r="AI22" s="38">
        <f>IF(D22="M",WeightSDS!P$5*$AG22^7+WeightSDS!Q$5*$AG22^6+WeightSDS!R$5*$AG22^5+WeightSDS!S$5*$AG22^4+WeightSDS!T$5*$AG22^3+WeightSDS!U$5*$AG22^2+WeightSDS!V$5*$AG22+WeightSDS!W$5,IF($AG22&lt;186,WeightSDS!P$8*$AG22^7+WeightSDS!Q$8*$AG22^6+WeightSDS!R$8*$AG22^5+WeightSDS!S$8*$AG22^4+WeightSDS!T$8*$AG22^3+WeightSDS!U$8*$AG22^2+WeightSDS!V$8*$AG22+WeightSDS!W$8,WeightSDS!$U$9-WeightSDS!$V$9*($AG22-WeightSDS!$W$9)))</f>
        <v>0.75407122999999998</v>
      </c>
      <c r="AJ22" s="24">
        <f>IF(D22="M",IF($AG22&lt;45,WeightSDS!M$23*$AG22^10+WeightSDS!N$23*$AG22^9+WeightSDS!O$23*$AG22^8+WeightSDS!P$23*$AG22^7+WeightSDS!Q$23*$AG22^6+WeightSDS!R$23*$AG22^5+WeightSDS!S$23*$AG22^4+WeightSDS!T$23*$AG22^3+WeightSDS!U$23*$AG22^2+WeightSDS!V$23*$AG22+WeightSDS!W$23,IF($AG22&lt;153,WeightSDS!M$25*$AG22^10+WeightSDS!N$25*$AG22^9+WeightSDS!O$25*$AG22^8+WeightSDS!P$25*$AG22^7+WeightSDS!Q$25*$AG22^6+WeightSDS!R$25*$AG22^5+WeightSDS!S$25*$AG22^4+WeightSDS!T$25*$AG22^3+WeightSDS!U$25*$AG22^2+WeightSDS!V$25*$AG22+WeightSDS!W$25,WeightSDS!M$27+WeightSDS!N$27/(1+EXP(WeightSDS!O$27+WeightSDS!P$27*$AG22)))),IF($AG22&lt;43.8,WeightSDS!M$29*$AG22^10+WeightSDS!N$29*$AG22^9+WeightSDS!O$29*$AG22^8+WeightSDS!P$29*$AG22^7+WeightSDS!Q$29*$AG22^6+WeightSDS!R$29*$AG22^5+WeightSDS!S$29*$AG22^4+WeightSDS!T$29*$AG22^3+WeightSDS!U$29*$AG22^2+WeightSDS!V$29*$AG22+WeightSDS!W$29-0.010431*(1-$AG22/210),IF($AG22&lt;123,WeightSDS!M$30*$AG22^10+WeightSDS!N$30*$AG22^9+WeightSDS!O$30*$AG22^8+WeightSDS!P$30*$AG22^7+WeightSDS!Q$30*$AG22^6+WeightSDS!R$30*$AG22^5+WeightSDS!S$30*$AG22^4+WeightSDS!T$30*$AG22^3+WeightSDS!U$30*$AG22^2+WeightSDS!V$30*$AG22+WeightSDS!W$30-0.010431*(1-1/$AG22),WeightSDS!M$32+WeightSDS!N$32/(1+EXP(WeightSDS!O$32+WeightSDS!P$32*$AG22))-0.010431*(1-$AG22/210))))</f>
        <v>2.9500001032655536</v>
      </c>
      <c r="AK22" s="24">
        <f>IF(D22="M",IF($AG22&lt;162,WeightSDS!P$12*$AG22^7+WeightSDS!Q$12*$AG22^6+WeightSDS!R$12*$AG22^5+WeightSDS!S$12*$AG22^4+WeightSDS!T$12*$AG22^3+WeightSDS!U$12*$AG22^2+WeightSDS!V$12*$AG22+WeightSDS!W$12,WeightSDS!P$14*$AG22^7+WeightSDS!Q$14*$AG22^6+WeightSDS!R$14*$AG22^5+WeightSDS!S$14*$AG22^4+WeightSDS!T$14*$AG22^3+WeightSDS!U$14*$AG22^2+WeightSDS!V$14*$AG22+WeightSDS!W$14),IF($AG22&lt;156,WeightSDS!O$17*$AG22^8+WeightSDS!P$17*$AG22^7+WeightSDS!Q$17*$AG22^6+WeightSDS!R$17*$AG22^5+WeightSDS!S$17*$AG22^4+WeightSDS!T$17*$AG22^3+WeightSDS!U$17*$AG22^2+WeightSDS!V$17*$AG22+WeightSDS!W$17,IF($AG22&lt;186,WeightSDS!$U$18+(WeightSDS!$V$18-WeightSDS!$U$18)/24*($AG22-186)+WeightSDS!$W$18*(-$AG22+186)^2-0.005,WeightSDS!$U$18+(WeightSDS!$V$18-WeightSDS!$U$18)/24*($AG22-186)-0.005)))</f>
        <v>0.14604529399999999</v>
      </c>
      <c r="AL22" s="37"/>
    </row>
    <row r="23" spans="1:38">
      <c r="A23" s="4"/>
      <c r="B23" s="21"/>
      <c r="C23" s="21"/>
      <c r="D23" s="21"/>
      <c r="E23" s="22"/>
      <c r="F23" s="22"/>
      <c r="G23" s="23"/>
      <c r="H23" s="23"/>
      <c r="I23" s="8" t="str">
        <f t="shared" si="0"/>
        <v/>
      </c>
      <c r="J23" s="2" t="str">
        <f t="shared" si="4"/>
        <v/>
      </c>
      <c r="K23" s="2" t="str">
        <f t="shared" si="1"/>
        <v/>
      </c>
      <c r="L23" s="2" t="str">
        <f t="shared" si="5"/>
        <v/>
      </c>
      <c r="M23" s="2" t="str">
        <f t="shared" si="15"/>
        <v/>
      </c>
      <c r="N23" s="2" t="str">
        <f t="shared" si="7"/>
        <v/>
      </c>
      <c r="O23" s="8" t="str">
        <f t="shared" si="8"/>
        <v/>
      </c>
      <c r="P23" s="8" t="str">
        <f t="shared" si="9"/>
        <v/>
      </c>
      <c r="Q23" s="40" t="str">
        <f t="shared" si="10"/>
        <v/>
      </c>
      <c r="R23" s="48" t="str">
        <f t="shared" si="11"/>
        <v/>
      </c>
      <c r="S23" s="8"/>
      <c r="U23" s="35">
        <f t="shared" si="12"/>
        <v>0</v>
      </c>
      <c r="V23" s="24">
        <f t="shared" si="13"/>
        <v>0</v>
      </c>
      <c r="W23" s="41">
        <f t="shared" si="14"/>
        <v>0</v>
      </c>
      <c r="X23" s="31"/>
      <c r="Y23" s="31"/>
      <c r="Z23" s="31"/>
      <c r="AA23" s="25">
        <f t="shared" si="2"/>
        <v>9.0359999999999996</v>
      </c>
      <c r="AB23" s="25">
        <f t="shared" si="3"/>
        <v>-184.49199999999999</v>
      </c>
      <c r="AD23" s="24">
        <f>IF(D23="M",IF(AG23&lt;78,BMILMS!$D$5*AG23^3+BMILMS!$E$5*AG23^2+BMILMS!$F$5*AG23+BMILMS!$G$5,IF(AG23&lt;150,BMILMS!$D$6*AG23^3+BMILMS!$E$6*AG23^2+BMILMS!$F$6*AG23+BMILMS!$G$6,BMILMS!$D$7*AG23^3+BMILMS!$E$7*AG23^2+BMILMS!$F$7*AG23+BMILMS!$G$7)),IF(AG23&lt;69,BMILMS!$D$9*AG23^3+BMILMS!$E$9*AG23^2+BMILMS!$F$9*AG23+BMILMS!$G$9,IF(AG23&lt;150,BMILMS!$D$10*AG23^3+BMILMS!$E$10*AG23^2+BMILMS!$F$10*AG23+BMILMS!$G$10,BMILMS!$D$11*AG23^3+BMILMS!$E$11*AG23^2+BMILMS!$F$11*AG23+BMILMS!$G$11)))</f>
        <v>0.79584630099999998</v>
      </c>
      <c r="AE23" s="24">
        <f>IF(D23="M",(IF(AG23&lt;2.5,BMILMS!$D$21*AG23^3+BMILMS!$E$21*AG23^2+BMILMS!$F$21*AG23+BMILMS!$G$21,IF(AG23&lt;9.5,BMILMS!$D$22*AG23^3+BMILMS!$E$22*AG23^2+BMILMS!$F$22*AG23+BMILMS!$G$22,IF(AG23&lt;26.75,BMILMS!$D$23*AG23^3+BMILMS!$E$23*AG23^2+BMILMS!$F$23*AG23+BMILMS!$G$23,IF(AG23&lt;90,BMILMS!$D$24*AG23^3+BMILMS!$E$24*AG23^2+BMILMS!$F$24*AG23+BMILMS!$G$24,BMILMS!$D$25*AG23^3+BMILMS!$E$25*AG23^2+BMILMS!$F$25*AG23+BMILMS!$G$25))))),(IF(AG23&lt;2.5,BMILMS!$D$27*AG23^3+BMILMS!$E$27*AG23^2+BMILMS!$F$27*AG23+BMILMS!$G$27,IF(AG23&lt;9.5,BMILMS!$D$28*AG23^3+BMILMS!$E$28*AG23^2+BMILMS!$F$28*AG23+BMILMS!$G$28,IF(AG23&lt;26.75,BMILMS!$D$29*AG23^3+BMILMS!$E$29*AG23^2+BMILMS!$F$29*AG23+BMILMS!$G$29,IF(AG23&lt;90,BMILMS!$D$30*AG23^3+BMILMS!$E$30*AG23^2+BMILMS!$F$30*AG23+BMILMS!$G$30,IF(AG23&lt;150,BMILMS!$D$31*AG23^3+BMILMS!$E$31*AG23^2+BMILMS!$F$31*AG23+BMILMS!$G$31,BMILMS!$D$32*AG23^3+BMILMS!$E$32*AG23^2+BMILMS!$F$32*AG23+BMILMS!$G$32)))))))</f>
        <v>12.568967990000001</v>
      </c>
      <c r="AF23" s="24">
        <f>IF(D23="M",(IF(AG23&lt;90,BMILMS!$D$14*AG23^3+BMILMS!$E$14*AG23^2+BMILMS!$F$14*AG23+BMILMS!$G$14,BMILMS!$D$15*AG23^3+BMILMS!$E$15*AG23^2+BMILMS!$F$15*AG23+BMILMS!$G$15)),(IF(AG23&lt;90,BMILMS!$D$17*AG23^3+BMILMS!$E$17*AG23^2+BMILMS!$F$17*AG23+BMILMS!$G$17,BMILMS!$D$18*AG23^3+BMILMS!$E$18*AG23^2+BMILMS!$F$18*AG23+BMILMS!$G$18)))</f>
        <v>8.8969350000000003E-2</v>
      </c>
      <c r="AG23" s="24">
        <f t="shared" si="16"/>
        <v>0</v>
      </c>
      <c r="AI23" s="38">
        <f>IF(D23="M",WeightSDS!P$5*$AG23^7+WeightSDS!Q$5*$AG23^6+WeightSDS!R$5*$AG23^5+WeightSDS!S$5*$AG23^4+WeightSDS!T$5*$AG23^3+WeightSDS!U$5*$AG23^2+WeightSDS!V$5*$AG23+WeightSDS!W$5,IF($AG23&lt;186,WeightSDS!P$8*$AG23^7+WeightSDS!Q$8*$AG23^6+WeightSDS!R$8*$AG23^5+WeightSDS!S$8*$AG23^4+WeightSDS!T$8*$AG23^3+WeightSDS!U$8*$AG23^2+WeightSDS!V$8*$AG23+WeightSDS!W$8,WeightSDS!$U$9-WeightSDS!$V$9*($AG23-WeightSDS!$W$9)))</f>
        <v>0.75407122999999998</v>
      </c>
      <c r="AJ23" s="24">
        <f>IF(D23="M",IF($AG23&lt;45,WeightSDS!M$23*$AG23^10+WeightSDS!N$23*$AG23^9+WeightSDS!O$23*$AG23^8+WeightSDS!P$23*$AG23^7+WeightSDS!Q$23*$AG23^6+WeightSDS!R$23*$AG23^5+WeightSDS!S$23*$AG23^4+WeightSDS!T$23*$AG23^3+WeightSDS!U$23*$AG23^2+WeightSDS!V$23*$AG23+WeightSDS!W$23,IF($AG23&lt;153,WeightSDS!M$25*$AG23^10+WeightSDS!N$25*$AG23^9+WeightSDS!O$25*$AG23^8+WeightSDS!P$25*$AG23^7+WeightSDS!Q$25*$AG23^6+WeightSDS!R$25*$AG23^5+WeightSDS!S$25*$AG23^4+WeightSDS!T$25*$AG23^3+WeightSDS!U$25*$AG23^2+WeightSDS!V$25*$AG23+WeightSDS!W$25,WeightSDS!M$27+WeightSDS!N$27/(1+EXP(WeightSDS!O$27+WeightSDS!P$27*$AG23)))),IF($AG23&lt;43.8,WeightSDS!M$29*$AG23^10+WeightSDS!N$29*$AG23^9+WeightSDS!O$29*$AG23^8+WeightSDS!P$29*$AG23^7+WeightSDS!Q$29*$AG23^6+WeightSDS!R$29*$AG23^5+WeightSDS!S$29*$AG23^4+WeightSDS!T$29*$AG23^3+WeightSDS!U$29*$AG23^2+WeightSDS!V$29*$AG23+WeightSDS!W$29-0.010431*(1-$AG23/210),IF($AG23&lt;123,WeightSDS!M$30*$AG23^10+WeightSDS!N$30*$AG23^9+WeightSDS!O$30*$AG23^8+WeightSDS!P$30*$AG23^7+WeightSDS!Q$30*$AG23^6+WeightSDS!R$30*$AG23^5+WeightSDS!S$30*$AG23^4+WeightSDS!T$30*$AG23^3+WeightSDS!U$30*$AG23^2+WeightSDS!V$30*$AG23+WeightSDS!W$30-0.010431*(1-1/$AG23),WeightSDS!M$32+WeightSDS!N$32/(1+EXP(WeightSDS!O$32+WeightSDS!P$32*$AG23))-0.010431*(1-$AG23/210))))</f>
        <v>2.9500001032655536</v>
      </c>
      <c r="AK23" s="24">
        <f>IF(D23="M",IF($AG23&lt;162,WeightSDS!P$12*$AG23^7+WeightSDS!Q$12*$AG23^6+WeightSDS!R$12*$AG23^5+WeightSDS!S$12*$AG23^4+WeightSDS!T$12*$AG23^3+WeightSDS!U$12*$AG23^2+WeightSDS!V$12*$AG23+WeightSDS!W$12,WeightSDS!P$14*$AG23^7+WeightSDS!Q$14*$AG23^6+WeightSDS!R$14*$AG23^5+WeightSDS!S$14*$AG23^4+WeightSDS!T$14*$AG23^3+WeightSDS!U$14*$AG23^2+WeightSDS!V$14*$AG23+WeightSDS!W$14),IF($AG23&lt;156,WeightSDS!O$17*$AG23^8+WeightSDS!P$17*$AG23^7+WeightSDS!Q$17*$AG23^6+WeightSDS!R$17*$AG23^5+WeightSDS!S$17*$AG23^4+WeightSDS!T$17*$AG23^3+WeightSDS!U$17*$AG23^2+WeightSDS!V$17*$AG23+WeightSDS!W$17,IF($AG23&lt;186,WeightSDS!$U$18+(WeightSDS!$V$18-WeightSDS!$U$18)/24*($AG23-186)+WeightSDS!$W$18*(-$AG23+186)^2-0.005,WeightSDS!$U$18+(WeightSDS!$V$18-WeightSDS!$U$18)/24*($AG23-186)-0.005)))</f>
        <v>0.14604529399999999</v>
      </c>
      <c r="AL23" s="37"/>
    </row>
    <row r="24" spans="1:38">
      <c r="A24" s="4"/>
      <c r="B24" s="21"/>
      <c r="C24" s="21"/>
      <c r="D24" s="21"/>
      <c r="E24" s="22"/>
      <c r="F24" s="22"/>
      <c r="G24" s="23"/>
      <c r="H24" s="23"/>
      <c r="I24" s="8" t="str">
        <f t="shared" si="0"/>
        <v/>
      </c>
      <c r="J24" s="2" t="str">
        <f t="shared" si="4"/>
        <v/>
      </c>
      <c r="K24" s="2" t="str">
        <f t="shared" si="1"/>
        <v/>
      </c>
      <c r="L24" s="2" t="str">
        <f t="shared" si="5"/>
        <v/>
      </c>
      <c r="M24" s="2" t="str">
        <f t="shared" si="15"/>
        <v/>
      </c>
      <c r="N24" s="2" t="str">
        <f t="shared" si="7"/>
        <v/>
      </c>
      <c r="O24" s="8" t="str">
        <f t="shared" si="8"/>
        <v/>
      </c>
      <c r="P24" s="8" t="str">
        <f t="shared" si="9"/>
        <v/>
      </c>
      <c r="Q24" s="40" t="str">
        <f t="shared" si="10"/>
        <v/>
      </c>
      <c r="R24" s="48" t="str">
        <f t="shared" si="11"/>
        <v/>
      </c>
      <c r="S24" s="8"/>
      <c r="U24" s="35">
        <f t="shared" si="12"/>
        <v>0</v>
      </c>
      <c r="V24" s="24">
        <f t="shared" si="13"/>
        <v>0</v>
      </c>
      <c r="W24" s="41">
        <f t="shared" si="14"/>
        <v>0</v>
      </c>
      <c r="X24" s="31"/>
      <c r="Y24" s="31"/>
      <c r="Z24" s="31"/>
      <c r="AA24" s="25">
        <f t="shared" si="2"/>
        <v>9.0359999999999996</v>
      </c>
      <c r="AB24" s="25">
        <f t="shared" si="3"/>
        <v>-184.49199999999999</v>
      </c>
      <c r="AD24" s="24">
        <f>IF(D24="M",IF(AG24&lt;78,BMILMS!$D$5*AG24^3+BMILMS!$E$5*AG24^2+BMILMS!$F$5*AG24+BMILMS!$G$5,IF(AG24&lt;150,BMILMS!$D$6*AG24^3+BMILMS!$E$6*AG24^2+BMILMS!$F$6*AG24+BMILMS!$G$6,BMILMS!$D$7*AG24^3+BMILMS!$E$7*AG24^2+BMILMS!$F$7*AG24+BMILMS!$G$7)),IF(AG24&lt;69,BMILMS!$D$9*AG24^3+BMILMS!$E$9*AG24^2+BMILMS!$F$9*AG24+BMILMS!$G$9,IF(AG24&lt;150,BMILMS!$D$10*AG24^3+BMILMS!$E$10*AG24^2+BMILMS!$F$10*AG24+BMILMS!$G$10,BMILMS!$D$11*AG24^3+BMILMS!$E$11*AG24^2+BMILMS!$F$11*AG24+BMILMS!$G$11)))</f>
        <v>0.79584630099999998</v>
      </c>
      <c r="AE24" s="24">
        <f>IF(D24="M",(IF(AG24&lt;2.5,BMILMS!$D$21*AG24^3+BMILMS!$E$21*AG24^2+BMILMS!$F$21*AG24+BMILMS!$G$21,IF(AG24&lt;9.5,BMILMS!$D$22*AG24^3+BMILMS!$E$22*AG24^2+BMILMS!$F$22*AG24+BMILMS!$G$22,IF(AG24&lt;26.75,BMILMS!$D$23*AG24^3+BMILMS!$E$23*AG24^2+BMILMS!$F$23*AG24+BMILMS!$G$23,IF(AG24&lt;90,BMILMS!$D$24*AG24^3+BMILMS!$E$24*AG24^2+BMILMS!$F$24*AG24+BMILMS!$G$24,BMILMS!$D$25*AG24^3+BMILMS!$E$25*AG24^2+BMILMS!$F$25*AG24+BMILMS!$G$25))))),(IF(AG24&lt;2.5,BMILMS!$D$27*AG24^3+BMILMS!$E$27*AG24^2+BMILMS!$F$27*AG24+BMILMS!$G$27,IF(AG24&lt;9.5,BMILMS!$D$28*AG24^3+BMILMS!$E$28*AG24^2+BMILMS!$F$28*AG24+BMILMS!$G$28,IF(AG24&lt;26.75,BMILMS!$D$29*AG24^3+BMILMS!$E$29*AG24^2+BMILMS!$F$29*AG24+BMILMS!$G$29,IF(AG24&lt;90,BMILMS!$D$30*AG24^3+BMILMS!$E$30*AG24^2+BMILMS!$F$30*AG24+BMILMS!$G$30,IF(AG24&lt;150,BMILMS!$D$31*AG24^3+BMILMS!$E$31*AG24^2+BMILMS!$F$31*AG24+BMILMS!$G$31,BMILMS!$D$32*AG24^3+BMILMS!$E$32*AG24^2+BMILMS!$F$32*AG24+BMILMS!$G$32)))))))</f>
        <v>12.568967990000001</v>
      </c>
      <c r="AF24" s="24">
        <f>IF(D24="M",(IF(AG24&lt;90,BMILMS!$D$14*AG24^3+BMILMS!$E$14*AG24^2+BMILMS!$F$14*AG24+BMILMS!$G$14,BMILMS!$D$15*AG24^3+BMILMS!$E$15*AG24^2+BMILMS!$F$15*AG24+BMILMS!$G$15)),(IF(AG24&lt;90,BMILMS!$D$17*AG24^3+BMILMS!$E$17*AG24^2+BMILMS!$F$17*AG24+BMILMS!$G$17,BMILMS!$D$18*AG24^3+BMILMS!$E$18*AG24^2+BMILMS!$F$18*AG24+BMILMS!$G$18)))</f>
        <v>8.8969350000000003E-2</v>
      </c>
      <c r="AG24" s="24">
        <f t="shared" si="16"/>
        <v>0</v>
      </c>
      <c r="AI24" s="38">
        <f>IF(D24="M",WeightSDS!P$5*$AG24^7+WeightSDS!Q$5*$AG24^6+WeightSDS!R$5*$AG24^5+WeightSDS!S$5*$AG24^4+WeightSDS!T$5*$AG24^3+WeightSDS!U$5*$AG24^2+WeightSDS!V$5*$AG24+WeightSDS!W$5,IF($AG24&lt;186,WeightSDS!P$8*$AG24^7+WeightSDS!Q$8*$AG24^6+WeightSDS!R$8*$AG24^5+WeightSDS!S$8*$AG24^4+WeightSDS!T$8*$AG24^3+WeightSDS!U$8*$AG24^2+WeightSDS!V$8*$AG24+WeightSDS!W$8,WeightSDS!$U$9-WeightSDS!$V$9*($AG24-WeightSDS!$W$9)))</f>
        <v>0.75407122999999998</v>
      </c>
      <c r="AJ24" s="24">
        <f>IF(D24="M",IF($AG24&lt;45,WeightSDS!M$23*$AG24^10+WeightSDS!N$23*$AG24^9+WeightSDS!O$23*$AG24^8+WeightSDS!P$23*$AG24^7+WeightSDS!Q$23*$AG24^6+WeightSDS!R$23*$AG24^5+WeightSDS!S$23*$AG24^4+WeightSDS!T$23*$AG24^3+WeightSDS!U$23*$AG24^2+WeightSDS!V$23*$AG24+WeightSDS!W$23,IF($AG24&lt;153,WeightSDS!M$25*$AG24^10+WeightSDS!N$25*$AG24^9+WeightSDS!O$25*$AG24^8+WeightSDS!P$25*$AG24^7+WeightSDS!Q$25*$AG24^6+WeightSDS!R$25*$AG24^5+WeightSDS!S$25*$AG24^4+WeightSDS!T$25*$AG24^3+WeightSDS!U$25*$AG24^2+WeightSDS!V$25*$AG24+WeightSDS!W$25,WeightSDS!M$27+WeightSDS!N$27/(1+EXP(WeightSDS!O$27+WeightSDS!P$27*$AG24)))),IF($AG24&lt;43.8,WeightSDS!M$29*$AG24^10+WeightSDS!N$29*$AG24^9+WeightSDS!O$29*$AG24^8+WeightSDS!P$29*$AG24^7+WeightSDS!Q$29*$AG24^6+WeightSDS!R$29*$AG24^5+WeightSDS!S$29*$AG24^4+WeightSDS!T$29*$AG24^3+WeightSDS!U$29*$AG24^2+WeightSDS!V$29*$AG24+WeightSDS!W$29-0.010431*(1-$AG24/210),IF($AG24&lt;123,WeightSDS!M$30*$AG24^10+WeightSDS!N$30*$AG24^9+WeightSDS!O$30*$AG24^8+WeightSDS!P$30*$AG24^7+WeightSDS!Q$30*$AG24^6+WeightSDS!R$30*$AG24^5+WeightSDS!S$30*$AG24^4+WeightSDS!T$30*$AG24^3+WeightSDS!U$30*$AG24^2+WeightSDS!V$30*$AG24+WeightSDS!W$30-0.010431*(1-1/$AG24),WeightSDS!M$32+WeightSDS!N$32/(1+EXP(WeightSDS!O$32+WeightSDS!P$32*$AG24))-0.010431*(1-$AG24/210))))</f>
        <v>2.9500001032655536</v>
      </c>
      <c r="AK24" s="24">
        <f>IF(D24="M",IF($AG24&lt;162,WeightSDS!P$12*$AG24^7+WeightSDS!Q$12*$AG24^6+WeightSDS!R$12*$AG24^5+WeightSDS!S$12*$AG24^4+WeightSDS!T$12*$AG24^3+WeightSDS!U$12*$AG24^2+WeightSDS!V$12*$AG24+WeightSDS!W$12,WeightSDS!P$14*$AG24^7+WeightSDS!Q$14*$AG24^6+WeightSDS!R$14*$AG24^5+WeightSDS!S$14*$AG24^4+WeightSDS!T$14*$AG24^3+WeightSDS!U$14*$AG24^2+WeightSDS!V$14*$AG24+WeightSDS!W$14),IF($AG24&lt;156,WeightSDS!O$17*$AG24^8+WeightSDS!P$17*$AG24^7+WeightSDS!Q$17*$AG24^6+WeightSDS!R$17*$AG24^5+WeightSDS!S$17*$AG24^4+WeightSDS!T$17*$AG24^3+WeightSDS!U$17*$AG24^2+WeightSDS!V$17*$AG24+WeightSDS!W$17,IF($AG24&lt;186,WeightSDS!$U$18+(WeightSDS!$V$18-WeightSDS!$U$18)/24*($AG24-186)+WeightSDS!$W$18*(-$AG24+186)^2-0.005,WeightSDS!$U$18+(WeightSDS!$V$18-WeightSDS!$U$18)/24*($AG24-186)-0.005)))</f>
        <v>0.14604529399999999</v>
      </c>
    </row>
    <row r="25" spans="1:38">
      <c r="A25" s="4"/>
      <c r="B25" s="21"/>
      <c r="C25" s="21"/>
      <c r="D25" s="21"/>
      <c r="E25" s="22"/>
      <c r="F25" s="22"/>
      <c r="G25" s="23"/>
      <c r="H25" s="23"/>
      <c r="I25" s="8" t="str">
        <f t="shared" si="0"/>
        <v/>
      </c>
      <c r="J25" s="2" t="str">
        <f t="shared" si="4"/>
        <v/>
      </c>
      <c r="K25" s="2" t="str">
        <f t="shared" si="1"/>
        <v/>
      </c>
      <c r="L25" s="2" t="str">
        <f t="shared" si="5"/>
        <v/>
      </c>
      <c r="M25" s="2" t="str">
        <f t="shared" si="15"/>
        <v/>
      </c>
      <c r="N25" s="2" t="str">
        <f t="shared" si="7"/>
        <v/>
      </c>
      <c r="O25" s="8" t="str">
        <f t="shared" si="8"/>
        <v/>
      </c>
      <c r="P25" s="8" t="str">
        <f t="shared" si="9"/>
        <v/>
      </c>
      <c r="Q25" s="40" t="str">
        <f t="shared" si="10"/>
        <v/>
      </c>
      <c r="R25" s="48" t="str">
        <f t="shared" si="11"/>
        <v/>
      </c>
      <c r="U25" s="35">
        <f t="shared" si="12"/>
        <v>0</v>
      </c>
      <c r="V25" s="24">
        <f t="shared" si="13"/>
        <v>0</v>
      </c>
      <c r="W25" s="41">
        <f t="shared" si="14"/>
        <v>0</v>
      </c>
      <c r="X25" s="31"/>
      <c r="Y25" s="31"/>
      <c r="Z25" s="31"/>
      <c r="AA25" s="25">
        <f t="shared" si="2"/>
        <v>9.0359999999999996</v>
      </c>
      <c r="AB25" s="25">
        <f t="shared" si="3"/>
        <v>-184.49199999999999</v>
      </c>
      <c r="AD25" s="24">
        <f>IF(D25="M",IF(AG25&lt;78,BMILMS!$D$5*AG25^3+BMILMS!$E$5*AG25^2+BMILMS!$F$5*AG25+BMILMS!$G$5,IF(AG25&lt;150,BMILMS!$D$6*AG25^3+BMILMS!$E$6*AG25^2+BMILMS!$F$6*AG25+BMILMS!$G$6,BMILMS!$D$7*AG25^3+BMILMS!$E$7*AG25^2+BMILMS!$F$7*AG25+BMILMS!$G$7)),IF(AG25&lt;69,BMILMS!$D$9*AG25^3+BMILMS!$E$9*AG25^2+BMILMS!$F$9*AG25+BMILMS!$G$9,IF(AG25&lt;150,BMILMS!$D$10*AG25^3+BMILMS!$E$10*AG25^2+BMILMS!$F$10*AG25+BMILMS!$G$10,BMILMS!$D$11*AG25^3+BMILMS!$E$11*AG25^2+BMILMS!$F$11*AG25+BMILMS!$G$11)))</f>
        <v>0.79584630099999998</v>
      </c>
      <c r="AE25" s="24">
        <f>IF(D25="M",(IF(AG25&lt;2.5,BMILMS!$D$21*AG25^3+BMILMS!$E$21*AG25^2+BMILMS!$F$21*AG25+BMILMS!$G$21,IF(AG25&lt;9.5,BMILMS!$D$22*AG25^3+BMILMS!$E$22*AG25^2+BMILMS!$F$22*AG25+BMILMS!$G$22,IF(AG25&lt;26.75,BMILMS!$D$23*AG25^3+BMILMS!$E$23*AG25^2+BMILMS!$F$23*AG25+BMILMS!$G$23,IF(AG25&lt;90,BMILMS!$D$24*AG25^3+BMILMS!$E$24*AG25^2+BMILMS!$F$24*AG25+BMILMS!$G$24,BMILMS!$D$25*AG25^3+BMILMS!$E$25*AG25^2+BMILMS!$F$25*AG25+BMILMS!$G$25))))),(IF(AG25&lt;2.5,BMILMS!$D$27*AG25^3+BMILMS!$E$27*AG25^2+BMILMS!$F$27*AG25+BMILMS!$G$27,IF(AG25&lt;9.5,BMILMS!$D$28*AG25^3+BMILMS!$E$28*AG25^2+BMILMS!$F$28*AG25+BMILMS!$G$28,IF(AG25&lt;26.75,BMILMS!$D$29*AG25^3+BMILMS!$E$29*AG25^2+BMILMS!$F$29*AG25+BMILMS!$G$29,IF(AG25&lt;90,BMILMS!$D$30*AG25^3+BMILMS!$E$30*AG25^2+BMILMS!$F$30*AG25+BMILMS!$G$30,IF(AG25&lt;150,BMILMS!$D$31*AG25^3+BMILMS!$E$31*AG25^2+BMILMS!$F$31*AG25+BMILMS!$G$31,BMILMS!$D$32*AG25^3+BMILMS!$E$32*AG25^2+BMILMS!$F$32*AG25+BMILMS!$G$32)))))))</f>
        <v>12.568967990000001</v>
      </c>
      <c r="AF25" s="24">
        <f>IF(D25="M",(IF(AG25&lt;90,BMILMS!$D$14*AG25^3+BMILMS!$E$14*AG25^2+BMILMS!$F$14*AG25+BMILMS!$G$14,BMILMS!$D$15*AG25^3+BMILMS!$E$15*AG25^2+BMILMS!$F$15*AG25+BMILMS!$G$15)),(IF(AG25&lt;90,BMILMS!$D$17*AG25^3+BMILMS!$E$17*AG25^2+BMILMS!$F$17*AG25+BMILMS!$G$17,BMILMS!$D$18*AG25^3+BMILMS!$E$18*AG25^2+BMILMS!$F$18*AG25+BMILMS!$G$18)))</f>
        <v>8.8969350000000003E-2</v>
      </c>
      <c r="AG25" s="24">
        <f t="shared" si="16"/>
        <v>0</v>
      </c>
      <c r="AI25" s="38">
        <f>IF(D25="M",WeightSDS!P$5*$AG25^7+WeightSDS!Q$5*$AG25^6+WeightSDS!R$5*$AG25^5+WeightSDS!S$5*$AG25^4+WeightSDS!T$5*$AG25^3+WeightSDS!U$5*$AG25^2+WeightSDS!V$5*$AG25+WeightSDS!W$5,IF($AG25&lt;186,WeightSDS!P$8*$AG25^7+WeightSDS!Q$8*$AG25^6+WeightSDS!R$8*$AG25^5+WeightSDS!S$8*$AG25^4+WeightSDS!T$8*$AG25^3+WeightSDS!U$8*$AG25^2+WeightSDS!V$8*$AG25+WeightSDS!W$8,WeightSDS!$U$9-WeightSDS!$V$9*($AG25-WeightSDS!$W$9)))</f>
        <v>0.75407122999999998</v>
      </c>
      <c r="AJ25" s="24">
        <f>IF(D25="M",IF($AG25&lt;45,WeightSDS!M$23*$AG25^10+WeightSDS!N$23*$AG25^9+WeightSDS!O$23*$AG25^8+WeightSDS!P$23*$AG25^7+WeightSDS!Q$23*$AG25^6+WeightSDS!R$23*$AG25^5+WeightSDS!S$23*$AG25^4+WeightSDS!T$23*$AG25^3+WeightSDS!U$23*$AG25^2+WeightSDS!V$23*$AG25+WeightSDS!W$23,IF($AG25&lt;153,WeightSDS!M$25*$AG25^10+WeightSDS!N$25*$AG25^9+WeightSDS!O$25*$AG25^8+WeightSDS!P$25*$AG25^7+WeightSDS!Q$25*$AG25^6+WeightSDS!R$25*$AG25^5+WeightSDS!S$25*$AG25^4+WeightSDS!T$25*$AG25^3+WeightSDS!U$25*$AG25^2+WeightSDS!V$25*$AG25+WeightSDS!W$25,WeightSDS!M$27+WeightSDS!N$27/(1+EXP(WeightSDS!O$27+WeightSDS!P$27*$AG25)))),IF($AG25&lt;43.8,WeightSDS!M$29*$AG25^10+WeightSDS!N$29*$AG25^9+WeightSDS!O$29*$AG25^8+WeightSDS!P$29*$AG25^7+WeightSDS!Q$29*$AG25^6+WeightSDS!R$29*$AG25^5+WeightSDS!S$29*$AG25^4+WeightSDS!T$29*$AG25^3+WeightSDS!U$29*$AG25^2+WeightSDS!V$29*$AG25+WeightSDS!W$29-0.010431*(1-$AG25/210),IF($AG25&lt;123,WeightSDS!M$30*$AG25^10+WeightSDS!N$30*$AG25^9+WeightSDS!O$30*$AG25^8+WeightSDS!P$30*$AG25^7+WeightSDS!Q$30*$AG25^6+WeightSDS!R$30*$AG25^5+WeightSDS!S$30*$AG25^4+WeightSDS!T$30*$AG25^3+WeightSDS!U$30*$AG25^2+WeightSDS!V$30*$AG25+WeightSDS!W$30-0.010431*(1-1/$AG25),WeightSDS!M$32+WeightSDS!N$32/(1+EXP(WeightSDS!O$32+WeightSDS!P$32*$AG25))-0.010431*(1-$AG25/210))))</f>
        <v>2.9500001032655536</v>
      </c>
      <c r="AK25" s="24">
        <f>IF(D25="M",IF($AG25&lt;162,WeightSDS!P$12*$AG25^7+WeightSDS!Q$12*$AG25^6+WeightSDS!R$12*$AG25^5+WeightSDS!S$12*$AG25^4+WeightSDS!T$12*$AG25^3+WeightSDS!U$12*$AG25^2+WeightSDS!V$12*$AG25+WeightSDS!W$12,WeightSDS!P$14*$AG25^7+WeightSDS!Q$14*$AG25^6+WeightSDS!R$14*$AG25^5+WeightSDS!S$14*$AG25^4+WeightSDS!T$14*$AG25^3+WeightSDS!U$14*$AG25^2+WeightSDS!V$14*$AG25+WeightSDS!W$14),IF($AG25&lt;156,WeightSDS!O$17*$AG25^8+WeightSDS!P$17*$AG25^7+WeightSDS!Q$17*$AG25^6+WeightSDS!R$17*$AG25^5+WeightSDS!S$17*$AG25^4+WeightSDS!T$17*$AG25^3+WeightSDS!U$17*$AG25^2+WeightSDS!V$17*$AG25+WeightSDS!W$17,IF($AG25&lt;186,WeightSDS!$U$18+(WeightSDS!$V$18-WeightSDS!$U$18)/24*($AG25-186)+WeightSDS!$W$18*(-$AG25+186)^2-0.005,WeightSDS!$U$18+(WeightSDS!$V$18-WeightSDS!$U$18)/24*($AG25-186)-0.005)))</f>
        <v>0.14604529399999999</v>
      </c>
    </row>
    <row r="26" spans="1:38">
      <c r="A26" s="4"/>
      <c r="B26" s="21"/>
      <c r="C26" s="21"/>
      <c r="D26" s="21"/>
      <c r="E26" s="22"/>
      <c r="F26" s="22"/>
      <c r="G26" s="23"/>
      <c r="H26" s="23"/>
      <c r="I26" s="8" t="str">
        <f t="shared" si="0"/>
        <v/>
      </c>
      <c r="J26" s="2" t="str">
        <f t="shared" si="4"/>
        <v/>
      </c>
      <c r="K26" s="2" t="str">
        <f t="shared" si="1"/>
        <v/>
      </c>
      <c r="L26" s="2" t="str">
        <f t="shared" si="5"/>
        <v/>
      </c>
      <c r="M26" s="2" t="str">
        <f t="shared" si="15"/>
        <v/>
      </c>
      <c r="N26" s="2" t="str">
        <f t="shared" si="7"/>
        <v/>
      </c>
      <c r="O26" s="8" t="str">
        <f t="shared" si="8"/>
        <v/>
      </c>
      <c r="P26" s="8" t="str">
        <f t="shared" si="9"/>
        <v/>
      </c>
      <c r="Q26" s="40" t="str">
        <f t="shared" si="10"/>
        <v/>
      </c>
      <c r="R26" s="48" t="str">
        <f t="shared" si="11"/>
        <v/>
      </c>
      <c r="S26" s="8"/>
      <c r="U26" s="35">
        <f t="shared" si="12"/>
        <v>0</v>
      </c>
      <c r="V26" s="24">
        <f t="shared" si="13"/>
        <v>0</v>
      </c>
      <c r="W26" s="41">
        <f t="shared" si="14"/>
        <v>0</v>
      </c>
      <c r="X26" s="31"/>
      <c r="Y26" s="31"/>
      <c r="Z26" s="31"/>
      <c r="AA26" s="25">
        <f t="shared" si="2"/>
        <v>9.0359999999999996</v>
      </c>
      <c r="AB26" s="25">
        <f t="shared" si="3"/>
        <v>-184.49199999999999</v>
      </c>
      <c r="AD26" s="24">
        <f>IF(D26="M",IF(AG26&lt;78,BMILMS!$D$5*AG26^3+BMILMS!$E$5*AG26^2+BMILMS!$F$5*AG26+BMILMS!$G$5,IF(AG26&lt;150,BMILMS!$D$6*AG26^3+BMILMS!$E$6*AG26^2+BMILMS!$F$6*AG26+BMILMS!$G$6,BMILMS!$D$7*AG26^3+BMILMS!$E$7*AG26^2+BMILMS!$F$7*AG26+BMILMS!$G$7)),IF(AG26&lt;69,BMILMS!$D$9*AG26^3+BMILMS!$E$9*AG26^2+BMILMS!$F$9*AG26+BMILMS!$G$9,IF(AG26&lt;150,BMILMS!$D$10*AG26^3+BMILMS!$E$10*AG26^2+BMILMS!$F$10*AG26+BMILMS!$G$10,BMILMS!$D$11*AG26^3+BMILMS!$E$11*AG26^2+BMILMS!$F$11*AG26+BMILMS!$G$11)))</f>
        <v>0.79584630099999998</v>
      </c>
      <c r="AE26" s="24">
        <f>IF(D26="M",(IF(AG26&lt;2.5,BMILMS!$D$21*AG26^3+BMILMS!$E$21*AG26^2+BMILMS!$F$21*AG26+BMILMS!$G$21,IF(AG26&lt;9.5,BMILMS!$D$22*AG26^3+BMILMS!$E$22*AG26^2+BMILMS!$F$22*AG26+BMILMS!$G$22,IF(AG26&lt;26.75,BMILMS!$D$23*AG26^3+BMILMS!$E$23*AG26^2+BMILMS!$F$23*AG26+BMILMS!$G$23,IF(AG26&lt;90,BMILMS!$D$24*AG26^3+BMILMS!$E$24*AG26^2+BMILMS!$F$24*AG26+BMILMS!$G$24,BMILMS!$D$25*AG26^3+BMILMS!$E$25*AG26^2+BMILMS!$F$25*AG26+BMILMS!$G$25))))),(IF(AG26&lt;2.5,BMILMS!$D$27*AG26^3+BMILMS!$E$27*AG26^2+BMILMS!$F$27*AG26+BMILMS!$G$27,IF(AG26&lt;9.5,BMILMS!$D$28*AG26^3+BMILMS!$E$28*AG26^2+BMILMS!$F$28*AG26+BMILMS!$G$28,IF(AG26&lt;26.75,BMILMS!$D$29*AG26^3+BMILMS!$E$29*AG26^2+BMILMS!$F$29*AG26+BMILMS!$G$29,IF(AG26&lt;90,BMILMS!$D$30*AG26^3+BMILMS!$E$30*AG26^2+BMILMS!$F$30*AG26+BMILMS!$G$30,IF(AG26&lt;150,BMILMS!$D$31*AG26^3+BMILMS!$E$31*AG26^2+BMILMS!$F$31*AG26+BMILMS!$G$31,BMILMS!$D$32*AG26^3+BMILMS!$E$32*AG26^2+BMILMS!$F$32*AG26+BMILMS!$G$32)))))))</f>
        <v>12.568967990000001</v>
      </c>
      <c r="AF26" s="24">
        <f>IF(D26="M",(IF(AG26&lt;90,BMILMS!$D$14*AG26^3+BMILMS!$E$14*AG26^2+BMILMS!$F$14*AG26+BMILMS!$G$14,BMILMS!$D$15*AG26^3+BMILMS!$E$15*AG26^2+BMILMS!$F$15*AG26+BMILMS!$G$15)),(IF(AG26&lt;90,BMILMS!$D$17*AG26^3+BMILMS!$E$17*AG26^2+BMILMS!$F$17*AG26+BMILMS!$G$17,BMILMS!$D$18*AG26^3+BMILMS!$E$18*AG26^2+BMILMS!$F$18*AG26+BMILMS!$G$18)))</f>
        <v>8.8969350000000003E-2</v>
      </c>
      <c r="AG26" s="24">
        <f t="shared" si="16"/>
        <v>0</v>
      </c>
      <c r="AI26" s="38">
        <f>IF(D26="M",WeightSDS!P$5*$AG26^7+WeightSDS!Q$5*$AG26^6+WeightSDS!R$5*$AG26^5+WeightSDS!S$5*$AG26^4+WeightSDS!T$5*$AG26^3+WeightSDS!U$5*$AG26^2+WeightSDS!V$5*$AG26+WeightSDS!W$5,IF($AG26&lt;186,WeightSDS!P$8*$AG26^7+WeightSDS!Q$8*$AG26^6+WeightSDS!R$8*$AG26^5+WeightSDS!S$8*$AG26^4+WeightSDS!T$8*$AG26^3+WeightSDS!U$8*$AG26^2+WeightSDS!V$8*$AG26+WeightSDS!W$8,WeightSDS!$U$9-WeightSDS!$V$9*($AG26-WeightSDS!$W$9)))</f>
        <v>0.75407122999999998</v>
      </c>
      <c r="AJ26" s="24">
        <f>IF(D26="M",IF($AG26&lt;45,WeightSDS!M$23*$AG26^10+WeightSDS!N$23*$AG26^9+WeightSDS!O$23*$AG26^8+WeightSDS!P$23*$AG26^7+WeightSDS!Q$23*$AG26^6+WeightSDS!R$23*$AG26^5+WeightSDS!S$23*$AG26^4+WeightSDS!T$23*$AG26^3+WeightSDS!U$23*$AG26^2+WeightSDS!V$23*$AG26+WeightSDS!W$23,IF($AG26&lt;153,WeightSDS!M$25*$AG26^10+WeightSDS!N$25*$AG26^9+WeightSDS!O$25*$AG26^8+WeightSDS!P$25*$AG26^7+WeightSDS!Q$25*$AG26^6+WeightSDS!R$25*$AG26^5+WeightSDS!S$25*$AG26^4+WeightSDS!T$25*$AG26^3+WeightSDS!U$25*$AG26^2+WeightSDS!V$25*$AG26+WeightSDS!W$25,WeightSDS!M$27+WeightSDS!N$27/(1+EXP(WeightSDS!O$27+WeightSDS!P$27*$AG26)))),IF($AG26&lt;43.8,WeightSDS!M$29*$AG26^10+WeightSDS!N$29*$AG26^9+WeightSDS!O$29*$AG26^8+WeightSDS!P$29*$AG26^7+WeightSDS!Q$29*$AG26^6+WeightSDS!R$29*$AG26^5+WeightSDS!S$29*$AG26^4+WeightSDS!T$29*$AG26^3+WeightSDS!U$29*$AG26^2+WeightSDS!V$29*$AG26+WeightSDS!W$29-0.010431*(1-$AG26/210),IF($AG26&lt;123,WeightSDS!M$30*$AG26^10+WeightSDS!N$30*$AG26^9+WeightSDS!O$30*$AG26^8+WeightSDS!P$30*$AG26^7+WeightSDS!Q$30*$AG26^6+WeightSDS!R$30*$AG26^5+WeightSDS!S$30*$AG26^4+WeightSDS!T$30*$AG26^3+WeightSDS!U$30*$AG26^2+WeightSDS!V$30*$AG26+WeightSDS!W$30-0.010431*(1-1/$AG26),WeightSDS!M$32+WeightSDS!N$32/(1+EXP(WeightSDS!O$32+WeightSDS!P$32*$AG26))-0.010431*(1-$AG26/210))))</f>
        <v>2.9500001032655536</v>
      </c>
      <c r="AK26" s="24">
        <f>IF(D26="M",IF($AG26&lt;162,WeightSDS!P$12*$AG26^7+WeightSDS!Q$12*$AG26^6+WeightSDS!R$12*$AG26^5+WeightSDS!S$12*$AG26^4+WeightSDS!T$12*$AG26^3+WeightSDS!U$12*$AG26^2+WeightSDS!V$12*$AG26+WeightSDS!W$12,WeightSDS!P$14*$AG26^7+WeightSDS!Q$14*$AG26^6+WeightSDS!R$14*$AG26^5+WeightSDS!S$14*$AG26^4+WeightSDS!T$14*$AG26^3+WeightSDS!U$14*$AG26^2+WeightSDS!V$14*$AG26+WeightSDS!W$14),IF($AG26&lt;156,WeightSDS!O$17*$AG26^8+WeightSDS!P$17*$AG26^7+WeightSDS!Q$17*$AG26^6+WeightSDS!R$17*$AG26^5+WeightSDS!S$17*$AG26^4+WeightSDS!T$17*$AG26^3+WeightSDS!U$17*$AG26^2+WeightSDS!V$17*$AG26+WeightSDS!W$17,IF($AG26&lt;186,WeightSDS!$U$18+(WeightSDS!$V$18-WeightSDS!$U$18)/24*($AG26-186)+WeightSDS!$W$18*(-$AG26+186)^2-0.005,WeightSDS!$U$18+(WeightSDS!$V$18-WeightSDS!$U$18)/24*($AG26-186)-0.005)))</f>
        <v>0.14604529399999999</v>
      </c>
    </row>
    <row r="27" spans="1:38">
      <c r="A27" s="4"/>
      <c r="B27" s="21"/>
      <c r="C27" s="21"/>
      <c r="D27" s="21"/>
      <c r="E27" s="22"/>
      <c r="F27" s="22"/>
      <c r="G27" s="23"/>
      <c r="H27" s="23"/>
      <c r="I27" s="8" t="str">
        <f t="shared" si="0"/>
        <v/>
      </c>
      <c r="J27" s="2" t="str">
        <f t="shared" si="4"/>
        <v/>
      </c>
      <c r="K27" s="2" t="str">
        <f t="shared" si="1"/>
        <v/>
      </c>
      <c r="L27" s="2" t="str">
        <f t="shared" si="5"/>
        <v/>
      </c>
      <c r="M27" s="2" t="str">
        <f t="shared" si="15"/>
        <v/>
      </c>
      <c r="N27" s="2" t="str">
        <f t="shared" si="7"/>
        <v/>
      </c>
      <c r="O27" s="8" t="str">
        <f t="shared" si="8"/>
        <v/>
      </c>
      <c r="P27" s="8" t="str">
        <f t="shared" si="9"/>
        <v/>
      </c>
      <c r="Q27" s="40" t="str">
        <f t="shared" si="10"/>
        <v/>
      </c>
      <c r="R27" s="48" t="str">
        <f t="shared" si="11"/>
        <v/>
      </c>
      <c r="S27" s="8"/>
      <c r="U27" s="35">
        <f t="shared" si="12"/>
        <v>0</v>
      </c>
      <c r="V27" s="24">
        <f t="shared" si="13"/>
        <v>0</v>
      </c>
      <c r="W27" s="41">
        <f t="shared" si="14"/>
        <v>0</v>
      </c>
      <c r="X27" s="31"/>
      <c r="Y27" s="31"/>
      <c r="Z27" s="31"/>
      <c r="AA27" s="25">
        <f t="shared" si="2"/>
        <v>9.0359999999999996</v>
      </c>
      <c r="AB27" s="25">
        <f t="shared" si="3"/>
        <v>-184.49199999999999</v>
      </c>
      <c r="AD27" s="24">
        <f>IF(D27="M",IF(AG27&lt;78,BMILMS!$D$5*AG27^3+BMILMS!$E$5*AG27^2+BMILMS!$F$5*AG27+BMILMS!$G$5,IF(AG27&lt;150,BMILMS!$D$6*AG27^3+BMILMS!$E$6*AG27^2+BMILMS!$F$6*AG27+BMILMS!$G$6,BMILMS!$D$7*AG27^3+BMILMS!$E$7*AG27^2+BMILMS!$F$7*AG27+BMILMS!$G$7)),IF(AG27&lt;69,BMILMS!$D$9*AG27^3+BMILMS!$E$9*AG27^2+BMILMS!$F$9*AG27+BMILMS!$G$9,IF(AG27&lt;150,BMILMS!$D$10*AG27^3+BMILMS!$E$10*AG27^2+BMILMS!$F$10*AG27+BMILMS!$G$10,BMILMS!$D$11*AG27^3+BMILMS!$E$11*AG27^2+BMILMS!$F$11*AG27+BMILMS!$G$11)))</f>
        <v>0.79584630099999998</v>
      </c>
      <c r="AE27" s="24">
        <f>IF(D27="M",(IF(AG27&lt;2.5,BMILMS!$D$21*AG27^3+BMILMS!$E$21*AG27^2+BMILMS!$F$21*AG27+BMILMS!$G$21,IF(AG27&lt;9.5,BMILMS!$D$22*AG27^3+BMILMS!$E$22*AG27^2+BMILMS!$F$22*AG27+BMILMS!$G$22,IF(AG27&lt;26.75,BMILMS!$D$23*AG27^3+BMILMS!$E$23*AG27^2+BMILMS!$F$23*AG27+BMILMS!$G$23,IF(AG27&lt;90,BMILMS!$D$24*AG27^3+BMILMS!$E$24*AG27^2+BMILMS!$F$24*AG27+BMILMS!$G$24,BMILMS!$D$25*AG27^3+BMILMS!$E$25*AG27^2+BMILMS!$F$25*AG27+BMILMS!$G$25))))),(IF(AG27&lt;2.5,BMILMS!$D$27*AG27^3+BMILMS!$E$27*AG27^2+BMILMS!$F$27*AG27+BMILMS!$G$27,IF(AG27&lt;9.5,BMILMS!$D$28*AG27^3+BMILMS!$E$28*AG27^2+BMILMS!$F$28*AG27+BMILMS!$G$28,IF(AG27&lt;26.75,BMILMS!$D$29*AG27^3+BMILMS!$E$29*AG27^2+BMILMS!$F$29*AG27+BMILMS!$G$29,IF(AG27&lt;90,BMILMS!$D$30*AG27^3+BMILMS!$E$30*AG27^2+BMILMS!$F$30*AG27+BMILMS!$G$30,IF(AG27&lt;150,BMILMS!$D$31*AG27^3+BMILMS!$E$31*AG27^2+BMILMS!$F$31*AG27+BMILMS!$G$31,BMILMS!$D$32*AG27^3+BMILMS!$E$32*AG27^2+BMILMS!$F$32*AG27+BMILMS!$G$32)))))))</f>
        <v>12.568967990000001</v>
      </c>
      <c r="AF27" s="24">
        <f>IF(D27="M",(IF(AG27&lt;90,BMILMS!$D$14*AG27^3+BMILMS!$E$14*AG27^2+BMILMS!$F$14*AG27+BMILMS!$G$14,BMILMS!$D$15*AG27^3+BMILMS!$E$15*AG27^2+BMILMS!$F$15*AG27+BMILMS!$G$15)),(IF(AG27&lt;90,BMILMS!$D$17*AG27^3+BMILMS!$E$17*AG27^2+BMILMS!$F$17*AG27+BMILMS!$G$17,BMILMS!$D$18*AG27^3+BMILMS!$E$18*AG27^2+BMILMS!$F$18*AG27+BMILMS!$G$18)))</f>
        <v>8.8969350000000003E-2</v>
      </c>
      <c r="AG27" s="24">
        <f t="shared" si="16"/>
        <v>0</v>
      </c>
      <c r="AI27" s="38">
        <f>IF(D27="M",WeightSDS!P$5*$AG27^7+WeightSDS!Q$5*$AG27^6+WeightSDS!R$5*$AG27^5+WeightSDS!S$5*$AG27^4+WeightSDS!T$5*$AG27^3+WeightSDS!U$5*$AG27^2+WeightSDS!V$5*$AG27+WeightSDS!W$5,IF($AG27&lt;186,WeightSDS!P$8*$AG27^7+WeightSDS!Q$8*$AG27^6+WeightSDS!R$8*$AG27^5+WeightSDS!S$8*$AG27^4+WeightSDS!T$8*$AG27^3+WeightSDS!U$8*$AG27^2+WeightSDS!V$8*$AG27+WeightSDS!W$8,WeightSDS!$U$9-WeightSDS!$V$9*($AG27-WeightSDS!$W$9)))</f>
        <v>0.75407122999999998</v>
      </c>
      <c r="AJ27" s="24">
        <f>IF(D27="M",IF($AG27&lt;45,WeightSDS!M$23*$AG27^10+WeightSDS!N$23*$AG27^9+WeightSDS!O$23*$AG27^8+WeightSDS!P$23*$AG27^7+WeightSDS!Q$23*$AG27^6+WeightSDS!R$23*$AG27^5+WeightSDS!S$23*$AG27^4+WeightSDS!T$23*$AG27^3+WeightSDS!U$23*$AG27^2+WeightSDS!V$23*$AG27+WeightSDS!W$23,IF($AG27&lt;153,WeightSDS!M$25*$AG27^10+WeightSDS!N$25*$AG27^9+WeightSDS!O$25*$AG27^8+WeightSDS!P$25*$AG27^7+WeightSDS!Q$25*$AG27^6+WeightSDS!R$25*$AG27^5+WeightSDS!S$25*$AG27^4+WeightSDS!T$25*$AG27^3+WeightSDS!U$25*$AG27^2+WeightSDS!V$25*$AG27+WeightSDS!W$25,WeightSDS!M$27+WeightSDS!N$27/(1+EXP(WeightSDS!O$27+WeightSDS!P$27*$AG27)))),IF($AG27&lt;43.8,WeightSDS!M$29*$AG27^10+WeightSDS!N$29*$AG27^9+WeightSDS!O$29*$AG27^8+WeightSDS!P$29*$AG27^7+WeightSDS!Q$29*$AG27^6+WeightSDS!R$29*$AG27^5+WeightSDS!S$29*$AG27^4+WeightSDS!T$29*$AG27^3+WeightSDS!U$29*$AG27^2+WeightSDS!V$29*$AG27+WeightSDS!W$29-0.010431*(1-$AG27/210),IF($AG27&lt;123,WeightSDS!M$30*$AG27^10+WeightSDS!N$30*$AG27^9+WeightSDS!O$30*$AG27^8+WeightSDS!P$30*$AG27^7+WeightSDS!Q$30*$AG27^6+WeightSDS!R$30*$AG27^5+WeightSDS!S$30*$AG27^4+WeightSDS!T$30*$AG27^3+WeightSDS!U$30*$AG27^2+WeightSDS!V$30*$AG27+WeightSDS!W$30-0.010431*(1-1/$AG27),WeightSDS!M$32+WeightSDS!N$32/(1+EXP(WeightSDS!O$32+WeightSDS!P$32*$AG27))-0.010431*(1-$AG27/210))))</f>
        <v>2.9500001032655536</v>
      </c>
      <c r="AK27" s="24">
        <f>IF(D27="M",IF($AG27&lt;162,WeightSDS!P$12*$AG27^7+WeightSDS!Q$12*$AG27^6+WeightSDS!R$12*$AG27^5+WeightSDS!S$12*$AG27^4+WeightSDS!T$12*$AG27^3+WeightSDS!U$12*$AG27^2+WeightSDS!V$12*$AG27+WeightSDS!W$12,WeightSDS!P$14*$AG27^7+WeightSDS!Q$14*$AG27^6+WeightSDS!R$14*$AG27^5+WeightSDS!S$14*$AG27^4+WeightSDS!T$14*$AG27^3+WeightSDS!U$14*$AG27^2+WeightSDS!V$14*$AG27+WeightSDS!W$14),IF($AG27&lt;156,WeightSDS!O$17*$AG27^8+WeightSDS!P$17*$AG27^7+WeightSDS!Q$17*$AG27^6+WeightSDS!R$17*$AG27^5+WeightSDS!S$17*$AG27^4+WeightSDS!T$17*$AG27^3+WeightSDS!U$17*$AG27^2+WeightSDS!V$17*$AG27+WeightSDS!W$17,IF($AG27&lt;186,WeightSDS!$U$18+(WeightSDS!$V$18-WeightSDS!$U$18)/24*($AG27-186)+WeightSDS!$W$18*(-$AG27+186)^2-0.005,WeightSDS!$U$18+(WeightSDS!$V$18-WeightSDS!$U$18)/24*($AG27-186)-0.005)))</f>
        <v>0.14604529399999999</v>
      </c>
    </row>
    <row r="28" spans="1:38">
      <c r="A28" s="4"/>
      <c r="B28" s="21"/>
      <c r="C28" s="21"/>
      <c r="D28" s="21"/>
      <c r="E28" s="22"/>
      <c r="F28" s="22"/>
      <c r="G28" s="23"/>
      <c r="H28" s="23"/>
      <c r="I28" s="8" t="str">
        <f t="shared" si="0"/>
        <v/>
      </c>
      <c r="J28" s="2" t="str">
        <f t="shared" si="4"/>
        <v/>
      </c>
      <c r="K28" s="2" t="str">
        <f t="shared" si="1"/>
        <v/>
      </c>
      <c r="L28" s="2" t="str">
        <f t="shared" si="5"/>
        <v/>
      </c>
      <c r="M28" s="2" t="str">
        <f t="shared" si="15"/>
        <v/>
      </c>
      <c r="N28" s="2" t="str">
        <f t="shared" si="7"/>
        <v/>
      </c>
      <c r="O28" s="8" t="str">
        <f t="shared" si="8"/>
        <v/>
      </c>
      <c r="P28" s="8" t="str">
        <f t="shared" si="9"/>
        <v/>
      </c>
      <c r="Q28" s="40" t="str">
        <f t="shared" si="10"/>
        <v/>
      </c>
      <c r="R28" s="48" t="str">
        <f t="shared" si="11"/>
        <v/>
      </c>
      <c r="S28" s="36"/>
      <c r="U28" s="35">
        <f t="shared" si="12"/>
        <v>0</v>
      </c>
      <c r="V28" s="24">
        <f t="shared" si="13"/>
        <v>0</v>
      </c>
      <c r="W28" s="41">
        <f>DATEDIF(E28,F28,"Y")+(F28-(DATE(YEAR(E28)+DATEDIF(E28,F28,"Y"),MONTH(E28),DAY(E28))))/(365+IF(MOD(YEAR((DATE(YEAR(F28)-1,MONTH(E28),DAY(E28)))),4)=0,IF((DATE(YEAR(F28)-1,MONTH(E28),DAY(E28)))&gt;DATE(YEAR((DATE(YEAR(F28)-1,MONTH(E28),DAY(E28)))),2,29),0,1),0)+IF(MOD(YEAR(F28),4)=0,IF(F28&gt;DATE(YEAR(F28),2,29),1,0),0))</f>
        <v>0</v>
      </c>
      <c r="X28" s="31"/>
      <c r="Y28" s="31"/>
      <c r="Z28" s="31"/>
      <c r="AA28" s="25">
        <f t="shared" si="2"/>
        <v>9.0359999999999996</v>
      </c>
      <c r="AB28" s="25">
        <f t="shared" si="3"/>
        <v>-184.49199999999999</v>
      </c>
      <c r="AD28" s="24">
        <f>IF(D28="M",IF(AG28&lt;78,BMILMS!$D$5*AG28^3+BMILMS!$E$5*AG28^2+BMILMS!$F$5*AG28+BMILMS!$G$5,IF(AG28&lt;150,BMILMS!$D$6*AG28^3+BMILMS!$E$6*AG28^2+BMILMS!$F$6*AG28+BMILMS!$G$6,BMILMS!$D$7*AG28^3+BMILMS!$E$7*AG28^2+BMILMS!$F$7*AG28+BMILMS!$G$7)),IF(AG28&lt;69,BMILMS!$D$9*AG28^3+BMILMS!$E$9*AG28^2+BMILMS!$F$9*AG28+BMILMS!$G$9,IF(AG28&lt;150,BMILMS!$D$10*AG28^3+BMILMS!$E$10*AG28^2+BMILMS!$F$10*AG28+BMILMS!$G$10,BMILMS!$D$11*AG28^3+BMILMS!$E$11*AG28^2+BMILMS!$F$11*AG28+BMILMS!$G$11)))</f>
        <v>0.79584630099999998</v>
      </c>
      <c r="AE28" s="24">
        <f>IF(D28="M",(IF(AG28&lt;2.5,BMILMS!$D$21*AG28^3+BMILMS!$E$21*AG28^2+BMILMS!$F$21*AG28+BMILMS!$G$21,IF(AG28&lt;9.5,BMILMS!$D$22*AG28^3+BMILMS!$E$22*AG28^2+BMILMS!$F$22*AG28+BMILMS!$G$22,IF(AG28&lt;26.75,BMILMS!$D$23*AG28^3+BMILMS!$E$23*AG28^2+BMILMS!$F$23*AG28+BMILMS!$G$23,IF(AG28&lt;90,BMILMS!$D$24*AG28^3+BMILMS!$E$24*AG28^2+BMILMS!$F$24*AG28+BMILMS!$G$24,BMILMS!$D$25*AG28^3+BMILMS!$E$25*AG28^2+BMILMS!$F$25*AG28+BMILMS!$G$25))))),(IF(AG28&lt;2.5,BMILMS!$D$27*AG28^3+BMILMS!$E$27*AG28^2+BMILMS!$F$27*AG28+BMILMS!$G$27,IF(AG28&lt;9.5,BMILMS!$D$28*AG28^3+BMILMS!$E$28*AG28^2+BMILMS!$F$28*AG28+BMILMS!$G$28,IF(AG28&lt;26.75,BMILMS!$D$29*AG28^3+BMILMS!$E$29*AG28^2+BMILMS!$F$29*AG28+BMILMS!$G$29,IF(AG28&lt;90,BMILMS!$D$30*AG28^3+BMILMS!$E$30*AG28^2+BMILMS!$F$30*AG28+BMILMS!$G$30,IF(AG28&lt;150,BMILMS!$D$31*AG28^3+BMILMS!$E$31*AG28^2+BMILMS!$F$31*AG28+BMILMS!$G$31,BMILMS!$D$32*AG28^3+BMILMS!$E$32*AG28^2+BMILMS!$F$32*AG28+BMILMS!$G$32)))))))</f>
        <v>12.568967990000001</v>
      </c>
      <c r="AF28" s="24">
        <f>IF(D28="M",(IF(AG28&lt;90,BMILMS!$D$14*AG28^3+BMILMS!$E$14*AG28^2+BMILMS!$F$14*AG28+BMILMS!$G$14,BMILMS!$D$15*AG28^3+BMILMS!$E$15*AG28^2+BMILMS!$F$15*AG28+BMILMS!$G$15)),(IF(AG28&lt;90,BMILMS!$D$17*AG28^3+BMILMS!$E$17*AG28^2+BMILMS!$F$17*AG28+BMILMS!$G$17,BMILMS!$D$18*AG28^3+BMILMS!$E$18*AG28^2+BMILMS!$F$18*AG28+BMILMS!$G$18)))</f>
        <v>8.8969350000000003E-2</v>
      </c>
      <c r="AG28" s="24">
        <f t="shared" si="16"/>
        <v>0</v>
      </c>
      <c r="AI28" s="38">
        <f>IF(D28="M",WeightSDS!P$5*$AG28^7+WeightSDS!Q$5*$AG28^6+WeightSDS!R$5*$AG28^5+WeightSDS!S$5*$AG28^4+WeightSDS!T$5*$AG28^3+WeightSDS!U$5*$AG28^2+WeightSDS!V$5*$AG28+WeightSDS!W$5,IF($AG28&lt;186,WeightSDS!P$8*$AG28^7+WeightSDS!Q$8*$AG28^6+WeightSDS!R$8*$AG28^5+WeightSDS!S$8*$AG28^4+WeightSDS!T$8*$AG28^3+WeightSDS!U$8*$AG28^2+WeightSDS!V$8*$AG28+WeightSDS!W$8,WeightSDS!$U$9-WeightSDS!$V$9*($AG28-WeightSDS!$W$9)))</f>
        <v>0.75407122999999998</v>
      </c>
      <c r="AJ28" s="24">
        <f>IF(D28="M",IF($AG28&lt;45,WeightSDS!M$23*$AG28^10+WeightSDS!N$23*$AG28^9+WeightSDS!O$23*$AG28^8+WeightSDS!P$23*$AG28^7+WeightSDS!Q$23*$AG28^6+WeightSDS!R$23*$AG28^5+WeightSDS!S$23*$AG28^4+WeightSDS!T$23*$AG28^3+WeightSDS!U$23*$AG28^2+WeightSDS!V$23*$AG28+WeightSDS!W$23,IF($AG28&lt;153,WeightSDS!M$25*$AG28^10+WeightSDS!N$25*$AG28^9+WeightSDS!O$25*$AG28^8+WeightSDS!P$25*$AG28^7+WeightSDS!Q$25*$AG28^6+WeightSDS!R$25*$AG28^5+WeightSDS!S$25*$AG28^4+WeightSDS!T$25*$AG28^3+WeightSDS!U$25*$AG28^2+WeightSDS!V$25*$AG28+WeightSDS!W$25,WeightSDS!M$27+WeightSDS!N$27/(1+EXP(WeightSDS!O$27+WeightSDS!P$27*$AG28)))),IF($AG28&lt;43.8,WeightSDS!M$29*$AG28^10+WeightSDS!N$29*$AG28^9+WeightSDS!O$29*$AG28^8+WeightSDS!P$29*$AG28^7+WeightSDS!Q$29*$AG28^6+WeightSDS!R$29*$AG28^5+WeightSDS!S$29*$AG28^4+WeightSDS!T$29*$AG28^3+WeightSDS!U$29*$AG28^2+WeightSDS!V$29*$AG28+WeightSDS!W$29-0.010431*(1-$AG28/210),IF($AG28&lt;123,WeightSDS!M$30*$AG28^10+WeightSDS!N$30*$AG28^9+WeightSDS!O$30*$AG28^8+WeightSDS!P$30*$AG28^7+WeightSDS!Q$30*$AG28^6+WeightSDS!R$30*$AG28^5+WeightSDS!S$30*$AG28^4+WeightSDS!T$30*$AG28^3+WeightSDS!U$30*$AG28^2+WeightSDS!V$30*$AG28+WeightSDS!W$30-0.010431*(1-1/$AG28),WeightSDS!M$32+WeightSDS!N$32/(1+EXP(WeightSDS!O$32+WeightSDS!P$32*$AG28))-0.010431*(1-$AG28/210))))</f>
        <v>2.9500001032655536</v>
      </c>
      <c r="AK28" s="24">
        <f>IF(D28="M",IF($AG28&lt;162,WeightSDS!P$12*$AG28^7+WeightSDS!Q$12*$AG28^6+WeightSDS!R$12*$AG28^5+WeightSDS!S$12*$AG28^4+WeightSDS!T$12*$AG28^3+WeightSDS!U$12*$AG28^2+WeightSDS!V$12*$AG28+WeightSDS!W$12,WeightSDS!P$14*$AG28^7+WeightSDS!Q$14*$AG28^6+WeightSDS!R$14*$AG28^5+WeightSDS!S$14*$AG28^4+WeightSDS!T$14*$AG28^3+WeightSDS!U$14*$AG28^2+WeightSDS!V$14*$AG28+WeightSDS!W$14),IF($AG28&lt;156,WeightSDS!O$17*$AG28^8+WeightSDS!P$17*$AG28^7+WeightSDS!Q$17*$AG28^6+WeightSDS!R$17*$AG28^5+WeightSDS!S$17*$AG28^4+WeightSDS!T$17*$AG28^3+WeightSDS!U$17*$AG28^2+WeightSDS!V$17*$AG28+WeightSDS!W$17,IF($AG28&lt;186,WeightSDS!$U$18+(WeightSDS!$V$18-WeightSDS!$U$18)/24*($AG28-186)+WeightSDS!$W$18*(-$AG28+186)^2-0.005,WeightSDS!$U$18+(WeightSDS!$V$18-WeightSDS!$U$18)/24*($AG28-186)-0.005)))</f>
        <v>0.14604529399999999</v>
      </c>
    </row>
    <row r="29" spans="1:38">
      <c r="A29" s="4"/>
      <c r="B29" s="21"/>
      <c r="C29" s="21"/>
      <c r="D29" s="21"/>
      <c r="E29" s="22"/>
      <c r="F29" s="22"/>
      <c r="G29" s="23"/>
      <c r="H29" s="23"/>
      <c r="I29" s="8" t="str">
        <f t="shared" si="0"/>
        <v/>
      </c>
      <c r="J29" s="2" t="str">
        <f t="shared" si="4"/>
        <v/>
      </c>
      <c r="K29" s="2" t="str">
        <f t="shared" si="1"/>
        <v/>
      </c>
      <c r="L29" s="2" t="str">
        <f t="shared" si="5"/>
        <v/>
      </c>
      <c r="M29" s="2" t="str">
        <f t="shared" si="15"/>
        <v/>
      </c>
      <c r="N29" s="2" t="str">
        <f t="shared" si="7"/>
        <v/>
      </c>
      <c r="O29" s="8" t="str">
        <f t="shared" si="8"/>
        <v/>
      </c>
      <c r="P29" s="8" t="str">
        <f t="shared" si="9"/>
        <v/>
      </c>
      <c r="Q29" s="40" t="str">
        <f>IF(COUNTA(D29,E29,F29,G29,H29)=5,W29,"")</f>
        <v/>
      </c>
      <c r="R29" s="48" t="str">
        <f t="shared" si="11"/>
        <v/>
      </c>
      <c r="S29" s="41"/>
      <c r="U29" s="35">
        <f t="shared" si="12"/>
        <v>0</v>
      </c>
      <c r="V29" s="24">
        <f t="shared" si="13"/>
        <v>0</v>
      </c>
      <c r="W29" s="44">
        <f>DATEDIF(E29,F29,"Y")+(F29-(DATE(YEAR(E29)+DATEDIF(E29,F29,"Y"),MONTH(E29),DAY(E29))))/(365+IF(MOD(YEAR((DATE(YEAR(F29)-1,MONTH(E29),DAY(E29)))),4)=0,IF((DATE(YEAR(F29)-1,MONTH(E29),DAY(E29)))&gt;DATE(YEAR((DATE(YEAR(F29)-1,MONTH(E29),DAY(E29)))),2,29),0,1),0)+IF(MOD(YEAR(F29),4)=0,IF(F29&gt;DATE(YEAR(F29),2,29),1,0),0))</f>
        <v>0</v>
      </c>
      <c r="X29" s="31"/>
      <c r="Y29" s="31"/>
      <c r="Z29" s="31"/>
      <c r="AA29" s="25">
        <f t="shared" si="2"/>
        <v>9.0359999999999996</v>
      </c>
      <c r="AB29" s="25">
        <f t="shared" si="3"/>
        <v>-184.49199999999999</v>
      </c>
      <c r="AD29" s="24">
        <f>IF(D29="M",IF(AG29&lt;78,BMILMS!$D$5*AG29^3+BMILMS!$E$5*AG29^2+BMILMS!$F$5*AG29+BMILMS!$G$5,IF(AG29&lt;150,BMILMS!$D$6*AG29^3+BMILMS!$E$6*AG29^2+BMILMS!$F$6*AG29+BMILMS!$G$6,BMILMS!$D$7*AG29^3+BMILMS!$E$7*AG29^2+BMILMS!$F$7*AG29+BMILMS!$G$7)),IF(AG29&lt;69,BMILMS!$D$9*AG29^3+BMILMS!$E$9*AG29^2+BMILMS!$F$9*AG29+BMILMS!$G$9,IF(AG29&lt;150,BMILMS!$D$10*AG29^3+BMILMS!$E$10*AG29^2+BMILMS!$F$10*AG29+BMILMS!$G$10,BMILMS!$D$11*AG29^3+BMILMS!$E$11*AG29^2+BMILMS!$F$11*AG29+BMILMS!$G$11)))</f>
        <v>0.79584630099999998</v>
      </c>
      <c r="AE29" s="24">
        <f>IF(D29="M",(IF(AG29&lt;2.5,BMILMS!$D$21*AG29^3+BMILMS!$E$21*AG29^2+BMILMS!$F$21*AG29+BMILMS!$G$21,IF(AG29&lt;9.5,BMILMS!$D$22*AG29^3+BMILMS!$E$22*AG29^2+BMILMS!$F$22*AG29+BMILMS!$G$22,IF(AG29&lt;26.75,BMILMS!$D$23*AG29^3+BMILMS!$E$23*AG29^2+BMILMS!$F$23*AG29+BMILMS!$G$23,IF(AG29&lt;90,BMILMS!$D$24*AG29^3+BMILMS!$E$24*AG29^2+BMILMS!$F$24*AG29+BMILMS!$G$24,BMILMS!$D$25*AG29^3+BMILMS!$E$25*AG29^2+BMILMS!$F$25*AG29+BMILMS!$G$25))))),(IF(AG29&lt;2.5,BMILMS!$D$27*AG29^3+BMILMS!$E$27*AG29^2+BMILMS!$F$27*AG29+BMILMS!$G$27,IF(AG29&lt;9.5,BMILMS!$D$28*AG29^3+BMILMS!$E$28*AG29^2+BMILMS!$F$28*AG29+BMILMS!$G$28,IF(AG29&lt;26.75,BMILMS!$D$29*AG29^3+BMILMS!$E$29*AG29^2+BMILMS!$F$29*AG29+BMILMS!$G$29,IF(AG29&lt;90,BMILMS!$D$30*AG29^3+BMILMS!$E$30*AG29^2+BMILMS!$F$30*AG29+BMILMS!$G$30,IF(AG29&lt;150,BMILMS!$D$31*AG29^3+BMILMS!$E$31*AG29^2+BMILMS!$F$31*AG29+BMILMS!$G$31,BMILMS!$D$32*AG29^3+BMILMS!$E$32*AG29^2+BMILMS!$F$32*AG29+BMILMS!$G$32)))))))</f>
        <v>12.568967990000001</v>
      </c>
      <c r="AF29" s="24">
        <f>IF(D29="M",(IF(AG29&lt;90,BMILMS!$D$14*AG29^3+BMILMS!$E$14*AG29^2+BMILMS!$F$14*AG29+BMILMS!$G$14,BMILMS!$D$15*AG29^3+BMILMS!$E$15*AG29^2+BMILMS!$F$15*AG29+BMILMS!$G$15)),(IF(AG29&lt;90,BMILMS!$D$17*AG29^3+BMILMS!$E$17*AG29^2+BMILMS!$F$17*AG29+BMILMS!$G$17,BMILMS!$D$18*AG29^3+BMILMS!$E$18*AG29^2+BMILMS!$F$18*AG29+BMILMS!$G$18)))</f>
        <v>8.8969350000000003E-2</v>
      </c>
      <c r="AG29" s="24">
        <f t="shared" si="16"/>
        <v>0</v>
      </c>
      <c r="AI29" s="38">
        <f>IF(D29="M",WeightSDS!P$5*$AG29^7+WeightSDS!Q$5*$AG29^6+WeightSDS!R$5*$AG29^5+WeightSDS!S$5*$AG29^4+WeightSDS!T$5*$AG29^3+WeightSDS!U$5*$AG29^2+WeightSDS!V$5*$AG29+WeightSDS!W$5,IF($AG29&lt;186,WeightSDS!P$8*$AG29^7+WeightSDS!Q$8*$AG29^6+WeightSDS!R$8*$AG29^5+WeightSDS!S$8*$AG29^4+WeightSDS!T$8*$AG29^3+WeightSDS!U$8*$AG29^2+WeightSDS!V$8*$AG29+WeightSDS!W$8,WeightSDS!$U$9-WeightSDS!$V$9*($AG29-WeightSDS!$W$9)))</f>
        <v>0.75407122999999998</v>
      </c>
      <c r="AJ29" s="24">
        <f>IF(D29="M",IF($AG29&lt;45,WeightSDS!M$23*$AG29^10+WeightSDS!N$23*$AG29^9+WeightSDS!O$23*$AG29^8+WeightSDS!P$23*$AG29^7+WeightSDS!Q$23*$AG29^6+WeightSDS!R$23*$AG29^5+WeightSDS!S$23*$AG29^4+WeightSDS!T$23*$AG29^3+WeightSDS!U$23*$AG29^2+WeightSDS!V$23*$AG29+WeightSDS!W$23,IF($AG29&lt;153,WeightSDS!M$25*$AG29^10+WeightSDS!N$25*$AG29^9+WeightSDS!O$25*$AG29^8+WeightSDS!P$25*$AG29^7+WeightSDS!Q$25*$AG29^6+WeightSDS!R$25*$AG29^5+WeightSDS!S$25*$AG29^4+WeightSDS!T$25*$AG29^3+WeightSDS!U$25*$AG29^2+WeightSDS!V$25*$AG29+WeightSDS!W$25,WeightSDS!M$27+WeightSDS!N$27/(1+EXP(WeightSDS!O$27+WeightSDS!P$27*$AG29)))),IF($AG29&lt;43.8,WeightSDS!M$29*$AG29^10+WeightSDS!N$29*$AG29^9+WeightSDS!O$29*$AG29^8+WeightSDS!P$29*$AG29^7+WeightSDS!Q$29*$AG29^6+WeightSDS!R$29*$AG29^5+WeightSDS!S$29*$AG29^4+WeightSDS!T$29*$AG29^3+WeightSDS!U$29*$AG29^2+WeightSDS!V$29*$AG29+WeightSDS!W$29-0.010431*(1-$AG29/210),IF($AG29&lt;123,WeightSDS!M$30*$AG29^10+WeightSDS!N$30*$AG29^9+WeightSDS!O$30*$AG29^8+WeightSDS!P$30*$AG29^7+WeightSDS!Q$30*$AG29^6+WeightSDS!R$30*$AG29^5+WeightSDS!S$30*$AG29^4+WeightSDS!T$30*$AG29^3+WeightSDS!U$30*$AG29^2+WeightSDS!V$30*$AG29+WeightSDS!W$30-0.010431*(1-1/$AG29),WeightSDS!M$32+WeightSDS!N$32/(1+EXP(WeightSDS!O$32+WeightSDS!P$32*$AG29))-0.010431*(1-$AG29/210))))</f>
        <v>2.9500001032655536</v>
      </c>
      <c r="AK29" s="24">
        <f>IF(D29="M",IF($AG29&lt;162,WeightSDS!P$12*$AG29^7+WeightSDS!Q$12*$AG29^6+WeightSDS!R$12*$AG29^5+WeightSDS!S$12*$AG29^4+WeightSDS!T$12*$AG29^3+WeightSDS!U$12*$AG29^2+WeightSDS!V$12*$AG29+WeightSDS!W$12,WeightSDS!P$14*$AG29^7+WeightSDS!Q$14*$AG29^6+WeightSDS!R$14*$AG29^5+WeightSDS!S$14*$AG29^4+WeightSDS!T$14*$AG29^3+WeightSDS!U$14*$AG29^2+WeightSDS!V$14*$AG29+WeightSDS!W$14),IF($AG29&lt;156,WeightSDS!O$17*$AG29^8+WeightSDS!P$17*$AG29^7+WeightSDS!Q$17*$AG29^6+WeightSDS!R$17*$AG29^5+WeightSDS!S$17*$AG29^4+WeightSDS!T$17*$AG29^3+WeightSDS!U$17*$AG29^2+WeightSDS!V$17*$AG29+WeightSDS!W$17,IF($AG29&lt;186,WeightSDS!$U$18+(WeightSDS!$V$18-WeightSDS!$U$18)/24*($AG29-186)+WeightSDS!$W$18*(-$AG29+186)^2-0.005,WeightSDS!$U$18+(WeightSDS!$V$18-WeightSDS!$U$18)/24*($AG29-186)-0.005)))</f>
        <v>0.14604529399999999</v>
      </c>
    </row>
    <row r="30" spans="1:38">
      <c r="A30" s="4"/>
      <c r="B30" s="21"/>
      <c r="C30" s="21"/>
      <c r="D30" s="21"/>
      <c r="E30" s="22"/>
      <c r="F30" s="22"/>
      <c r="G30" s="23"/>
      <c r="H30" s="23"/>
      <c r="I30" s="8" t="str">
        <f t="shared" si="0"/>
        <v/>
      </c>
      <c r="J30" s="2" t="str">
        <f t="shared" si="4"/>
        <v/>
      </c>
      <c r="K30" s="2" t="str">
        <f t="shared" si="1"/>
        <v/>
      </c>
      <c r="L30" s="2" t="str">
        <f t="shared" si="5"/>
        <v/>
      </c>
      <c r="M30" s="2" t="str">
        <f t="shared" si="15"/>
        <v/>
      </c>
      <c r="N30" s="2" t="str">
        <f t="shared" si="7"/>
        <v/>
      </c>
      <c r="O30" s="8" t="str">
        <f t="shared" si="8"/>
        <v/>
      </c>
      <c r="P30" s="8" t="str">
        <f t="shared" si="9"/>
        <v/>
      </c>
      <c r="Q30" s="40" t="str">
        <f t="shared" si="10"/>
        <v/>
      </c>
      <c r="R30" s="48" t="str">
        <f t="shared" si="11"/>
        <v/>
      </c>
      <c r="S30" s="42"/>
      <c r="U30" s="35">
        <f t="shared" si="12"/>
        <v>0</v>
      </c>
      <c r="V30" s="24">
        <f t="shared" si="13"/>
        <v>0</v>
      </c>
      <c r="W30" s="41">
        <f t="shared" ref="W30:W93" si="17">DATEDIF(E30,F30,"Y")+(F30-(DATE(YEAR(E30)+DATEDIF(E30,F30,"Y"),MONTH(E30),DAY(E30))))/(365+IF(MOD(YEAR((DATE(YEAR(F30)-1,MONTH(E30),DAY(E30)))),4)=0,IF((DATE(YEAR(F30)-1,MONTH(E30),DAY(E30)))&gt;DATE(YEAR((DATE(YEAR(F30)-1,MONTH(E30),DAY(E30)))),2,29),0,1),0)+IF(MOD(YEAR(F30),4)=0,IF(F30&gt;DATE(YEAR(F30),2,29),1,0),0))</f>
        <v>0</v>
      </c>
      <c r="X30" s="31"/>
      <c r="Y30" s="31"/>
      <c r="Z30" s="31"/>
      <c r="AA30" s="25">
        <f t="shared" si="2"/>
        <v>9.0359999999999996</v>
      </c>
      <c r="AB30" s="25">
        <f t="shared" si="3"/>
        <v>-184.49199999999999</v>
      </c>
      <c r="AD30" s="24">
        <f>IF(D30="M",IF(AG30&lt;78,BMILMS!$D$5*AG30^3+BMILMS!$E$5*AG30^2+BMILMS!$F$5*AG30+BMILMS!$G$5,IF(AG30&lt;150,BMILMS!$D$6*AG30^3+BMILMS!$E$6*AG30^2+BMILMS!$F$6*AG30+BMILMS!$G$6,BMILMS!$D$7*AG30^3+BMILMS!$E$7*AG30^2+BMILMS!$F$7*AG30+BMILMS!$G$7)),IF(AG30&lt;69,BMILMS!$D$9*AG30^3+BMILMS!$E$9*AG30^2+BMILMS!$F$9*AG30+BMILMS!$G$9,IF(AG30&lt;150,BMILMS!$D$10*AG30^3+BMILMS!$E$10*AG30^2+BMILMS!$F$10*AG30+BMILMS!$G$10,BMILMS!$D$11*AG30^3+BMILMS!$E$11*AG30^2+BMILMS!$F$11*AG30+BMILMS!$G$11)))</f>
        <v>0.79584630099999998</v>
      </c>
      <c r="AE30" s="24">
        <f>IF(D30="M",(IF(AG30&lt;2.5,BMILMS!$D$21*AG30^3+BMILMS!$E$21*AG30^2+BMILMS!$F$21*AG30+BMILMS!$G$21,IF(AG30&lt;9.5,BMILMS!$D$22*AG30^3+BMILMS!$E$22*AG30^2+BMILMS!$F$22*AG30+BMILMS!$G$22,IF(AG30&lt;26.75,BMILMS!$D$23*AG30^3+BMILMS!$E$23*AG30^2+BMILMS!$F$23*AG30+BMILMS!$G$23,IF(AG30&lt;90,BMILMS!$D$24*AG30^3+BMILMS!$E$24*AG30^2+BMILMS!$F$24*AG30+BMILMS!$G$24,BMILMS!$D$25*AG30^3+BMILMS!$E$25*AG30^2+BMILMS!$F$25*AG30+BMILMS!$G$25))))),(IF(AG30&lt;2.5,BMILMS!$D$27*AG30^3+BMILMS!$E$27*AG30^2+BMILMS!$F$27*AG30+BMILMS!$G$27,IF(AG30&lt;9.5,BMILMS!$D$28*AG30^3+BMILMS!$E$28*AG30^2+BMILMS!$F$28*AG30+BMILMS!$G$28,IF(AG30&lt;26.75,BMILMS!$D$29*AG30^3+BMILMS!$E$29*AG30^2+BMILMS!$F$29*AG30+BMILMS!$G$29,IF(AG30&lt;90,BMILMS!$D$30*AG30^3+BMILMS!$E$30*AG30^2+BMILMS!$F$30*AG30+BMILMS!$G$30,IF(AG30&lt;150,BMILMS!$D$31*AG30^3+BMILMS!$E$31*AG30^2+BMILMS!$F$31*AG30+BMILMS!$G$31,BMILMS!$D$32*AG30^3+BMILMS!$E$32*AG30^2+BMILMS!$F$32*AG30+BMILMS!$G$32)))))))</f>
        <v>12.568967990000001</v>
      </c>
      <c r="AF30" s="24">
        <f>IF(D30="M",(IF(AG30&lt;90,BMILMS!$D$14*AG30^3+BMILMS!$E$14*AG30^2+BMILMS!$F$14*AG30+BMILMS!$G$14,BMILMS!$D$15*AG30^3+BMILMS!$E$15*AG30^2+BMILMS!$F$15*AG30+BMILMS!$G$15)),(IF(AG30&lt;90,BMILMS!$D$17*AG30^3+BMILMS!$E$17*AG30^2+BMILMS!$F$17*AG30+BMILMS!$G$17,BMILMS!$D$18*AG30^3+BMILMS!$E$18*AG30^2+BMILMS!$F$18*AG30+BMILMS!$G$18)))</f>
        <v>8.8969350000000003E-2</v>
      </c>
      <c r="AG30" s="24">
        <f t="shared" si="16"/>
        <v>0</v>
      </c>
      <c r="AI30" s="38">
        <f>IF(D30="M",WeightSDS!P$5*$AG30^7+WeightSDS!Q$5*$AG30^6+WeightSDS!R$5*$AG30^5+WeightSDS!S$5*$AG30^4+WeightSDS!T$5*$AG30^3+WeightSDS!U$5*$AG30^2+WeightSDS!V$5*$AG30+WeightSDS!W$5,IF($AG30&lt;186,WeightSDS!P$8*$AG30^7+WeightSDS!Q$8*$AG30^6+WeightSDS!R$8*$AG30^5+WeightSDS!S$8*$AG30^4+WeightSDS!T$8*$AG30^3+WeightSDS!U$8*$AG30^2+WeightSDS!V$8*$AG30+WeightSDS!W$8,WeightSDS!$U$9-WeightSDS!$V$9*($AG30-WeightSDS!$W$9)))</f>
        <v>0.75407122999999998</v>
      </c>
      <c r="AJ30" s="24">
        <f>IF(D30="M",IF($AG30&lt;45,WeightSDS!M$23*$AG30^10+WeightSDS!N$23*$AG30^9+WeightSDS!O$23*$AG30^8+WeightSDS!P$23*$AG30^7+WeightSDS!Q$23*$AG30^6+WeightSDS!R$23*$AG30^5+WeightSDS!S$23*$AG30^4+WeightSDS!T$23*$AG30^3+WeightSDS!U$23*$AG30^2+WeightSDS!V$23*$AG30+WeightSDS!W$23,IF($AG30&lt;153,WeightSDS!M$25*$AG30^10+WeightSDS!N$25*$AG30^9+WeightSDS!O$25*$AG30^8+WeightSDS!P$25*$AG30^7+WeightSDS!Q$25*$AG30^6+WeightSDS!R$25*$AG30^5+WeightSDS!S$25*$AG30^4+WeightSDS!T$25*$AG30^3+WeightSDS!U$25*$AG30^2+WeightSDS!V$25*$AG30+WeightSDS!W$25,WeightSDS!M$27+WeightSDS!N$27/(1+EXP(WeightSDS!O$27+WeightSDS!P$27*$AG30)))),IF($AG30&lt;43.8,WeightSDS!M$29*$AG30^10+WeightSDS!N$29*$AG30^9+WeightSDS!O$29*$AG30^8+WeightSDS!P$29*$AG30^7+WeightSDS!Q$29*$AG30^6+WeightSDS!R$29*$AG30^5+WeightSDS!S$29*$AG30^4+WeightSDS!T$29*$AG30^3+WeightSDS!U$29*$AG30^2+WeightSDS!V$29*$AG30+WeightSDS!W$29-0.010431*(1-$AG30/210),IF($AG30&lt;123,WeightSDS!M$30*$AG30^10+WeightSDS!N$30*$AG30^9+WeightSDS!O$30*$AG30^8+WeightSDS!P$30*$AG30^7+WeightSDS!Q$30*$AG30^6+WeightSDS!R$30*$AG30^5+WeightSDS!S$30*$AG30^4+WeightSDS!T$30*$AG30^3+WeightSDS!U$30*$AG30^2+WeightSDS!V$30*$AG30+WeightSDS!W$30-0.010431*(1-1/$AG30),WeightSDS!M$32+WeightSDS!N$32/(1+EXP(WeightSDS!O$32+WeightSDS!P$32*$AG30))-0.010431*(1-$AG30/210))))</f>
        <v>2.9500001032655536</v>
      </c>
      <c r="AK30" s="24">
        <f>IF(D30="M",IF($AG30&lt;162,WeightSDS!P$12*$AG30^7+WeightSDS!Q$12*$AG30^6+WeightSDS!R$12*$AG30^5+WeightSDS!S$12*$AG30^4+WeightSDS!T$12*$AG30^3+WeightSDS!U$12*$AG30^2+WeightSDS!V$12*$AG30+WeightSDS!W$12,WeightSDS!P$14*$AG30^7+WeightSDS!Q$14*$AG30^6+WeightSDS!R$14*$AG30^5+WeightSDS!S$14*$AG30^4+WeightSDS!T$14*$AG30^3+WeightSDS!U$14*$AG30^2+WeightSDS!V$14*$AG30+WeightSDS!W$14),IF($AG30&lt;156,WeightSDS!O$17*$AG30^8+WeightSDS!P$17*$AG30^7+WeightSDS!Q$17*$AG30^6+WeightSDS!R$17*$AG30^5+WeightSDS!S$17*$AG30^4+WeightSDS!T$17*$AG30^3+WeightSDS!U$17*$AG30^2+WeightSDS!V$17*$AG30+WeightSDS!W$17,IF($AG30&lt;186,WeightSDS!$U$18+(WeightSDS!$V$18-WeightSDS!$U$18)/24*($AG30-186)+WeightSDS!$W$18*(-$AG30+186)^2-0.005,WeightSDS!$U$18+(WeightSDS!$V$18-WeightSDS!$U$18)/24*($AG30-186)-0.005)))</f>
        <v>0.14604529399999999</v>
      </c>
    </row>
    <row r="31" spans="1:38">
      <c r="A31" s="4"/>
      <c r="B31" s="21"/>
      <c r="C31" s="21"/>
      <c r="D31" s="21"/>
      <c r="E31" s="22"/>
      <c r="F31" s="22"/>
      <c r="G31" s="23"/>
      <c r="H31" s="23"/>
      <c r="I31" s="8" t="str">
        <f t="shared" si="0"/>
        <v/>
      </c>
      <c r="J31" s="2" t="str">
        <f t="shared" si="4"/>
        <v/>
      </c>
      <c r="K31" s="2" t="str">
        <f t="shared" si="1"/>
        <v/>
      </c>
      <c r="L31" s="2" t="str">
        <f t="shared" si="5"/>
        <v/>
      </c>
      <c r="M31" s="2" t="str">
        <f t="shared" si="15"/>
        <v/>
      </c>
      <c r="N31" s="2" t="str">
        <f t="shared" si="7"/>
        <v/>
      </c>
      <c r="O31" s="8" t="str">
        <f t="shared" si="8"/>
        <v/>
      </c>
      <c r="P31" s="8" t="str">
        <f t="shared" si="9"/>
        <v/>
      </c>
      <c r="Q31" s="40" t="str">
        <f t="shared" si="10"/>
        <v/>
      </c>
      <c r="R31" s="48" t="str">
        <f t="shared" si="11"/>
        <v/>
      </c>
      <c r="S31" s="42"/>
      <c r="U31" s="35">
        <f t="shared" si="12"/>
        <v>0</v>
      </c>
      <c r="V31" s="24">
        <f t="shared" si="13"/>
        <v>0</v>
      </c>
      <c r="W31" s="41">
        <f t="shared" si="17"/>
        <v>0</v>
      </c>
      <c r="X31" s="31"/>
      <c r="Y31" s="31"/>
      <c r="Z31" s="31"/>
      <c r="AA31" s="25">
        <f t="shared" si="2"/>
        <v>9.0359999999999996</v>
      </c>
      <c r="AB31" s="25">
        <f t="shared" si="3"/>
        <v>-184.49199999999999</v>
      </c>
      <c r="AD31" s="24">
        <f>IF(D31="M",IF(AG31&lt;78,BMILMS!$D$5*AG31^3+BMILMS!$E$5*AG31^2+BMILMS!$F$5*AG31+BMILMS!$G$5,IF(AG31&lt;150,BMILMS!$D$6*AG31^3+BMILMS!$E$6*AG31^2+BMILMS!$F$6*AG31+BMILMS!$G$6,BMILMS!$D$7*AG31^3+BMILMS!$E$7*AG31^2+BMILMS!$F$7*AG31+BMILMS!$G$7)),IF(AG31&lt;69,BMILMS!$D$9*AG31^3+BMILMS!$E$9*AG31^2+BMILMS!$F$9*AG31+BMILMS!$G$9,IF(AG31&lt;150,BMILMS!$D$10*AG31^3+BMILMS!$E$10*AG31^2+BMILMS!$F$10*AG31+BMILMS!$G$10,BMILMS!$D$11*AG31^3+BMILMS!$E$11*AG31^2+BMILMS!$F$11*AG31+BMILMS!$G$11)))</f>
        <v>0.79584630099999998</v>
      </c>
      <c r="AE31" s="24">
        <f>IF(D31="M",(IF(AG31&lt;2.5,BMILMS!$D$21*AG31^3+BMILMS!$E$21*AG31^2+BMILMS!$F$21*AG31+BMILMS!$G$21,IF(AG31&lt;9.5,BMILMS!$D$22*AG31^3+BMILMS!$E$22*AG31^2+BMILMS!$F$22*AG31+BMILMS!$G$22,IF(AG31&lt;26.75,BMILMS!$D$23*AG31^3+BMILMS!$E$23*AG31^2+BMILMS!$F$23*AG31+BMILMS!$G$23,IF(AG31&lt;90,BMILMS!$D$24*AG31^3+BMILMS!$E$24*AG31^2+BMILMS!$F$24*AG31+BMILMS!$G$24,BMILMS!$D$25*AG31^3+BMILMS!$E$25*AG31^2+BMILMS!$F$25*AG31+BMILMS!$G$25))))),(IF(AG31&lt;2.5,BMILMS!$D$27*AG31^3+BMILMS!$E$27*AG31^2+BMILMS!$F$27*AG31+BMILMS!$G$27,IF(AG31&lt;9.5,BMILMS!$D$28*AG31^3+BMILMS!$E$28*AG31^2+BMILMS!$F$28*AG31+BMILMS!$G$28,IF(AG31&lt;26.75,BMILMS!$D$29*AG31^3+BMILMS!$E$29*AG31^2+BMILMS!$F$29*AG31+BMILMS!$G$29,IF(AG31&lt;90,BMILMS!$D$30*AG31^3+BMILMS!$E$30*AG31^2+BMILMS!$F$30*AG31+BMILMS!$G$30,IF(AG31&lt;150,BMILMS!$D$31*AG31^3+BMILMS!$E$31*AG31^2+BMILMS!$F$31*AG31+BMILMS!$G$31,BMILMS!$D$32*AG31^3+BMILMS!$E$32*AG31^2+BMILMS!$F$32*AG31+BMILMS!$G$32)))))))</f>
        <v>12.568967990000001</v>
      </c>
      <c r="AF31" s="24">
        <f>IF(D31="M",(IF(AG31&lt;90,BMILMS!$D$14*AG31^3+BMILMS!$E$14*AG31^2+BMILMS!$F$14*AG31+BMILMS!$G$14,BMILMS!$D$15*AG31^3+BMILMS!$E$15*AG31^2+BMILMS!$F$15*AG31+BMILMS!$G$15)),(IF(AG31&lt;90,BMILMS!$D$17*AG31^3+BMILMS!$E$17*AG31^2+BMILMS!$F$17*AG31+BMILMS!$G$17,BMILMS!$D$18*AG31^3+BMILMS!$E$18*AG31^2+BMILMS!$F$18*AG31+BMILMS!$G$18)))</f>
        <v>8.8969350000000003E-2</v>
      </c>
      <c r="AG31" s="24">
        <f t="shared" si="16"/>
        <v>0</v>
      </c>
      <c r="AI31" s="38">
        <f>IF(D31="M",WeightSDS!P$5*$AG31^7+WeightSDS!Q$5*$AG31^6+WeightSDS!R$5*$AG31^5+WeightSDS!S$5*$AG31^4+WeightSDS!T$5*$AG31^3+WeightSDS!U$5*$AG31^2+WeightSDS!V$5*$AG31+WeightSDS!W$5,IF($AG31&lt;186,WeightSDS!P$8*$AG31^7+WeightSDS!Q$8*$AG31^6+WeightSDS!R$8*$AG31^5+WeightSDS!S$8*$AG31^4+WeightSDS!T$8*$AG31^3+WeightSDS!U$8*$AG31^2+WeightSDS!V$8*$AG31+WeightSDS!W$8,WeightSDS!$U$9-WeightSDS!$V$9*($AG31-WeightSDS!$W$9)))</f>
        <v>0.75407122999999998</v>
      </c>
      <c r="AJ31" s="24">
        <f>IF(D31="M",IF($AG31&lt;45,WeightSDS!M$23*$AG31^10+WeightSDS!N$23*$AG31^9+WeightSDS!O$23*$AG31^8+WeightSDS!P$23*$AG31^7+WeightSDS!Q$23*$AG31^6+WeightSDS!R$23*$AG31^5+WeightSDS!S$23*$AG31^4+WeightSDS!T$23*$AG31^3+WeightSDS!U$23*$AG31^2+WeightSDS!V$23*$AG31+WeightSDS!W$23,IF($AG31&lt;153,WeightSDS!M$25*$AG31^10+WeightSDS!N$25*$AG31^9+WeightSDS!O$25*$AG31^8+WeightSDS!P$25*$AG31^7+WeightSDS!Q$25*$AG31^6+WeightSDS!R$25*$AG31^5+WeightSDS!S$25*$AG31^4+WeightSDS!T$25*$AG31^3+WeightSDS!U$25*$AG31^2+WeightSDS!V$25*$AG31+WeightSDS!W$25,WeightSDS!M$27+WeightSDS!N$27/(1+EXP(WeightSDS!O$27+WeightSDS!P$27*$AG31)))),IF($AG31&lt;43.8,WeightSDS!M$29*$AG31^10+WeightSDS!N$29*$AG31^9+WeightSDS!O$29*$AG31^8+WeightSDS!P$29*$AG31^7+WeightSDS!Q$29*$AG31^6+WeightSDS!R$29*$AG31^5+WeightSDS!S$29*$AG31^4+WeightSDS!T$29*$AG31^3+WeightSDS!U$29*$AG31^2+WeightSDS!V$29*$AG31+WeightSDS!W$29-0.010431*(1-$AG31/210),IF($AG31&lt;123,WeightSDS!M$30*$AG31^10+WeightSDS!N$30*$AG31^9+WeightSDS!O$30*$AG31^8+WeightSDS!P$30*$AG31^7+WeightSDS!Q$30*$AG31^6+WeightSDS!R$30*$AG31^5+WeightSDS!S$30*$AG31^4+WeightSDS!T$30*$AG31^3+WeightSDS!U$30*$AG31^2+WeightSDS!V$30*$AG31+WeightSDS!W$30-0.010431*(1-1/$AG31),WeightSDS!M$32+WeightSDS!N$32/(1+EXP(WeightSDS!O$32+WeightSDS!P$32*$AG31))-0.010431*(1-$AG31/210))))</f>
        <v>2.9500001032655536</v>
      </c>
      <c r="AK31" s="24">
        <f>IF(D31="M",IF($AG31&lt;162,WeightSDS!P$12*$AG31^7+WeightSDS!Q$12*$AG31^6+WeightSDS!R$12*$AG31^5+WeightSDS!S$12*$AG31^4+WeightSDS!T$12*$AG31^3+WeightSDS!U$12*$AG31^2+WeightSDS!V$12*$AG31+WeightSDS!W$12,WeightSDS!P$14*$AG31^7+WeightSDS!Q$14*$AG31^6+WeightSDS!R$14*$AG31^5+WeightSDS!S$14*$AG31^4+WeightSDS!T$14*$AG31^3+WeightSDS!U$14*$AG31^2+WeightSDS!V$14*$AG31+WeightSDS!W$14),IF($AG31&lt;156,WeightSDS!O$17*$AG31^8+WeightSDS!P$17*$AG31^7+WeightSDS!Q$17*$AG31^6+WeightSDS!R$17*$AG31^5+WeightSDS!S$17*$AG31^4+WeightSDS!T$17*$AG31^3+WeightSDS!U$17*$AG31^2+WeightSDS!V$17*$AG31+WeightSDS!W$17,IF($AG31&lt;186,WeightSDS!$U$18+(WeightSDS!$V$18-WeightSDS!$U$18)/24*($AG31-186)+WeightSDS!$W$18*(-$AG31+186)^2-0.005,WeightSDS!$U$18+(WeightSDS!$V$18-WeightSDS!$U$18)/24*($AG31-186)-0.005)))</f>
        <v>0.14604529399999999</v>
      </c>
    </row>
    <row r="32" spans="1:38">
      <c r="A32" s="4"/>
      <c r="B32" s="21"/>
      <c r="C32" s="21"/>
      <c r="D32" s="21"/>
      <c r="E32" s="22"/>
      <c r="F32" s="22"/>
      <c r="G32" s="23"/>
      <c r="H32" s="23"/>
      <c r="I32" s="8" t="str">
        <f t="shared" si="0"/>
        <v/>
      </c>
      <c r="J32" s="2" t="str">
        <f t="shared" si="4"/>
        <v/>
      </c>
      <c r="K32" s="2" t="str">
        <f t="shared" si="1"/>
        <v/>
      </c>
      <c r="L32" s="2" t="str">
        <f t="shared" si="5"/>
        <v/>
      </c>
      <c r="M32" s="2" t="str">
        <f t="shared" si="15"/>
        <v/>
      </c>
      <c r="N32" s="2" t="str">
        <f t="shared" si="7"/>
        <v/>
      </c>
      <c r="O32" s="8" t="str">
        <f t="shared" si="8"/>
        <v/>
      </c>
      <c r="P32" s="8" t="str">
        <f t="shared" si="9"/>
        <v/>
      </c>
      <c r="Q32" s="40" t="str">
        <f t="shared" si="10"/>
        <v/>
      </c>
      <c r="R32" s="48" t="str">
        <f t="shared" si="11"/>
        <v/>
      </c>
      <c r="S32" s="42"/>
      <c r="U32" s="35">
        <f t="shared" si="12"/>
        <v>0</v>
      </c>
      <c r="V32" s="24">
        <f t="shared" si="13"/>
        <v>0</v>
      </c>
      <c r="W32" s="41">
        <f t="shared" si="17"/>
        <v>0</v>
      </c>
      <c r="X32" s="31"/>
      <c r="Y32" s="31"/>
      <c r="Z32" s="31"/>
      <c r="AA32" s="25">
        <f t="shared" si="2"/>
        <v>9.0359999999999996</v>
      </c>
      <c r="AB32" s="25">
        <f t="shared" si="3"/>
        <v>-184.49199999999999</v>
      </c>
      <c r="AD32" s="24">
        <f>IF(D32="M",IF(AG32&lt;78,BMILMS!$D$5*AG32^3+BMILMS!$E$5*AG32^2+BMILMS!$F$5*AG32+BMILMS!$G$5,IF(AG32&lt;150,BMILMS!$D$6*AG32^3+BMILMS!$E$6*AG32^2+BMILMS!$F$6*AG32+BMILMS!$G$6,BMILMS!$D$7*AG32^3+BMILMS!$E$7*AG32^2+BMILMS!$F$7*AG32+BMILMS!$G$7)),IF(AG32&lt;69,BMILMS!$D$9*AG32^3+BMILMS!$E$9*AG32^2+BMILMS!$F$9*AG32+BMILMS!$G$9,IF(AG32&lt;150,BMILMS!$D$10*AG32^3+BMILMS!$E$10*AG32^2+BMILMS!$F$10*AG32+BMILMS!$G$10,BMILMS!$D$11*AG32^3+BMILMS!$E$11*AG32^2+BMILMS!$F$11*AG32+BMILMS!$G$11)))</f>
        <v>0.79584630099999998</v>
      </c>
      <c r="AE32" s="24">
        <f>IF(D32="M",(IF(AG32&lt;2.5,BMILMS!$D$21*AG32^3+BMILMS!$E$21*AG32^2+BMILMS!$F$21*AG32+BMILMS!$G$21,IF(AG32&lt;9.5,BMILMS!$D$22*AG32^3+BMILMS!$E$22*AG32^2+BMILMS!$F$22*AG32+BMILMS!$G$22,IF(AG32&lt;26.75,BMILMS!$D$23*AG32^3+BMILMS!$E$23*AG32^2+BMILMS!$F$23*AG32+BMILMS!$G$23,IF(AG32&lt;90,BMILMS!$D$24*AG32^3+BMILMS!$E$24*AG32^2+BMILMS!$F$24*AG32+BMILMS!$G$24,BMILMS!$D$25*AG32^3+BMILMS!$E$25*AG32^2+BMILMS!$F$25*AG32+BMILMS!$G$25))))),(IF(AG32&lt;2.5,BMILMS!$D$27*AG32^3+BMILMS!$E$27*AG32^2+BMILMS!$F$27*AG32+BMILMS!$G$27,IF(AG32&lt;9.5,BMILMS!$D$28*AG32^3+BMILMS!$E$28*AG32^2+BMILMS!$F$28*AG32+BMILMS!$G$28,IF(AG32&lt;26.75,BMILMS!$D$29*AG32^3+BMILMS!$E$29*AG32^2+BMILMS!$F$29*AG32+BMILMS!$G$29,IF(AG32&lt;90,BMILMS!$D$30*AG32^3+BMILMS!$E$30*AG32^2+BMILMS!$F$30*AG32+BMILMS!$G$30,IF(AG32&lt;150,BMILMS!$D$31*AG32^3+BMILMS!$E$31*AG32^2+BMILMS!$F$31*AG32+BMILMS!$G$31,BMILMS!$D$32*AG32^3+BMILMS!$E$32*AG32^2+BMILMS!$F$32*AG32+BMILMS!$G$32)))))))</f>
        <v>12.568967990000001</v>
      </c>
      <c r="AF32" s="24">
        <f>IF(D32="M",(IF(AG32&lt;90,BMILMS!$D$14*AG32^3+BMILMS!$E$14*AG32^2+BMILMS!$F$14*AG32+BMILMS!$G$14,BMILMS!$D$15*AG32^3+BMILMS!$E$15*AG32^2+BMILMS!$F$15*AG32+BMILMS!$G$15)),(IF(AG32&lt;90,BMILMS!$D$17*AG32^3+BMILMS!$E$17*AG32^2+BMILMS!$F$17*AG32+BMILMS!$G$17,BMILMS!$D$18*AG32^3+BMILMS!$E$18*AG32^2+BMILMS!$F$18*AG32+BMILMS!$G$18)))</f>
        <v>8.8969350000000003E-2</v>
      </c>
      <c r="AG32" s="24">
        <f t="shared" si="16"/>
        <v>0</v>
      </c>
      <c r="AI32" s="38">
        <f>IF(D32="M",WeightSDS!P$5*$AG32^7+WeightSDS!Q$5*$AG32^6+WeightSDS!R$5*$AG32^5+WeightSDS!S$5*$AG32^4+WeightSDS!T$5*$AG32^3+WeightSDS!U$5*$AG32^2+WeightSDS!V$5*$AG32+WeightSDS!W$5,IF($AG32&lt;186,WeightSDS!P$8*$AG32^7+WeightSDS!Q$8*$AG32^6+WeightSDS!R$8*$AG32^5+WeightSDS!S$8*$AG32^4+WeightSDS!T$8*$AG32^3+WeightSDS!U$8*$AG32^2+WeightSDS!V$8*$AG32+WeightSDS!W$8,WeightSDS!$U$9-WeightSDS!$V$9*($AG32-WeightSDS!$W$9)))</f>
        <v>0.75407122999999998</v>
      </c>
      <c r="AJ32" s="24">
        <f>IF(D32="M",IF($AG32&lt;45,WeightSDS!M$23*$AG32^10+WeightSDS!N$23*$AG32^9+WeightSDS!O$23*$AG32^8+WeightSDS!P$23*$AG32^7+WeightSDS!Q$23*$AG32^6+WeightSDS!R$23*$AG32^5+WeightSDS!S$23*$AG32^4+WeightSDS!T$23*$AG32^3+WeightSDS!U$23*$AG32^2+WeightSDS!V$23*$AG32+WeightSDS!W$23,IF($AG32&lt;153,WeightSDS!M$25*$AG32^10+WeightSDS!N$25*$AG32^9+WeightSDS!O$25*$AG32^8+WeightSDS!P$25*$AG32^7+WeightSDS!Q$25*$AG32^6+WeightSDS!R$25*$AG32^5+WeightSDS!S$25*$AG32^4+WeightSDS!T$25*$AG32^3+WeightSDS!U$25*$AG32^2+WeightSDS!V$25*$AG32+WeightSDS!W$25,WeightSDS!M$27+WeightSDS!N$27/(1+EXP(WeightSDS!O$27+WeightSDS!P$27*$AG32)))),IF($AG32&lt;43.8,WeightSDS!M$29*$AG32^10+WeightSDS!N$29*$AG32^9+WeightSDS!O$29*$AG32^8+WeightSDS!P$29*$AG32^7+WeightSDS!Q$29*$AG32^6+WeightSDS!R$29*$AG32^5+WeightSDS!S$29*$AG32^4+WeightSDS!T$29*$AG32^3+WeightSDS!U$29*$AG32^2+WeightSDS!V$29*$AG32+WeightSDS!W$29-0.010431*(1-$AG32/210),IF($AG32&lt;123,WeightSDS!M$30*$AG32^10+WeightSDS!N$30*$AG32^9+WeightSDS!O$30*$AG32^8+WeightSDS!P$30*$AG32^7+WeightSDS!Q$30*$AG32^6+WeightSDS!R$30*$AG32^5+WeightSDS!S$30*$AG32^4+WeightSDS!T$30*$AG32^3+WeightSDS!U$30*$AG32^2+WeightSDS!V$30*$AG32+WeightSDS!W$30-0.010431*(1-1/$AG32),WeightSDS!M$32+WeightSDS!N$32/(1+EXP(WeightSDS!O$32+WeightSDS!P$32*$AG32))-0.010431*(1-$AG32/210))))</f>
        <v>2.9500001032655536</v>
      </c>
      <c r="AK32" s="24">
        <f>IF(D32="M",IF($AG32&lt;162,WeightSDS!P$12*$AG32^7+WeightSDS!Q$12*$AG32^6+WeightSDS!R$12*$AG32^5+WeightSDS!S$12*$AG32^4+WeightSDS!T$12*$AG32^3+WeightSDS!U$12*$AG32^2+WeightSDS!V$12*$AG32+WeightSDS!W$12,WeightSDS!P$14*$AG32^7+WeightSDS!Q$14*$AG32^6+WeightSDS!R$14*$AG32^5+WeightSDS!S$14*$AG32^4+WeightSDS!T$14*$AG32^3+WeightSDS!U$14*$AG32^2+WeightSDS!V$14*$AG32+WeightSDS!W$14),IF($AG32&lt;156,WeightSDS!O$17*$AG32^8+WeightSDS!P$17*$AG32^7+WeightSDS!Q$17*$AG32^6+WeightSDS!R$17*$AG32^5+WeightSDS!S$17*$AG32^4+WeightSDS!T$17*$AG32^3+WeightSDS!U$17*$AG32^2+WeightSDS!V$17*$AG32+WeightSDS!W$17,IF($AG32&lt;186,WeightSDS!$U$18+(WeightSDS!$V$18-WeightSDS!$U$18)/24*($AG32-186)+WeightSDS!$W$18*(-$AG32+186)^2-0.005,WeightSDS!$U$18+(WeightSDS!$V$18-WeightSDS!$U$18)/24*($AG32-186)-0.005)))</f>
        <v>0.14604529399999999</v>
      </c>
    </row>
    <row r="33" spans="1:37">
      <c r="A33" s="4"/>
      <c r="B33" s="21"/>
      <c r="C33" s="21"/>
      <c r="D33" s="21"/>
      <c r="E33" s="22"/>
      <c r="F33" s="22"/>
      <c r="G33" s="23"/>
      <c r="H33" s="23"/>
      <c r="I33" s="8" t="str">
        <f t="shared" si="0"/>
        <v/>
      </c>
      <c r="J33" s="2" t="str">
        <f t="shared" si="4"/>
        <v/>
      </c>
      <c r="K33" s="2" t="str">
        <f t="shared" si="1"/>
        <v/>
      </c>
      <c r="L33" s="2" t="str">
        <f t="shared" si="5"/>
        <v/>
      </c>
      <c r="M33" s="2" t="str">
        <f t="shared" si="15"/>
        <v/>
      </c>
      <c r="N33" s="2" t="str">
        <f t="shared" si="7"/>
        <v/>
      </c>
      <c r="O33" s="8" t="str">
        <f t="shared" si="8"/>
        <v/>
      </c>
      <c r="P33" s="8" t="str">
        <f t="shared" si="9"/>
        <v/>
      </c>
      <c r="Q33" s="40" t="str">
        <f t="shared" si="10"/>
        <v/>
      </c>
      <c r="R33" s="48" t="str">
        <f t="shared" si="11"/>
        <v/>
      </c>
      <c r="S33" s="43"/>
      <c r="U33" s="35">
        <f t="shared" si="12"/>
        <v>0</v>
      </c>
      <c r="V33" s="24">
        <f t="shared" si="13"/>
        <v>0</v>
      </c>
      <c r="W33" s="41">
        <f t="shared" si="17"/>
        <v>0</v>
      </c>
      <c r="X33" s="31"/>
      <c r="Y33" s="31"/>
      <c r="Z33" s="31"/>
      <c r="AA33" s="25">
        <f t="shared" si="2"/>
        <v>9.0359999999999996</v>
      </c>
      <c r="AB33" s="25">
        <f t="shared" si="3"/>
        <v>-184.49199999999999</v>
      </c>
      <c r="AD33" s="24">
        <f>IF(D33="M",IF(AG33&lt;78,BMILMS!$D$5*AG33^3+BMILMS!$E$5*AG33^2+BMILMS!$F$5*AG33+BMILMS!$G$5,IF(AG33&lt;150,BMILMS!$D$6*AG33^3+BMILMS!$E$6*AG33^2+BMILMS!$F$6*AG33+BMILMS!$G$6,BMILMS!$D$7*AG33^3+BMILMS!$E$7*AG33^2+BMILMS!$F$7*AG33+BMILMS!$G$7)),IF(AG33&lt;69,BMILMS!$D$9*AG33^3+BMILMS!$E$9*AG33^2+BMILMS!$F$9*AG33+BMILMS!$G$9,IF(AG33&lt;150,BMILMS!$D$10*AG33^3+BMILMS!$E$10*AG33^2+BMILMS!$F$10*AG33+BMILMS!$G$10,BMILMS!$D$11*AG33^3+BMILMS!$E$11*AG33^2+BMILMS!$F$11*AG33+BMILMS!$G$11)))</f>
        <v>0.79584630099999998</v>
      </c>
      <c r="AE33" s="24">
        <f>IF(D33="M",(IF(AG33&lt;2.5,BMILMS!$D$21*AG33^3+BMILMS!$E$21*AG33^2+BMILMS!$F$21*AG33+BMILMS!$G$21,IF(AG33&lt;9.5,BMILMS!$D$22*AG33^3+BMILMS!$E$22*AG33^2+BMILMS!$F$22*AG33+BMILMS!$G$22,IF(AG33&lt;26.75,BMILMS!$D$23*AG33^3+BMILMS!$E$23*AG33^2+BMILMS!$F$23*AG33+BMILMS!$G$23,IF(AG33&lt;90,BMILMS!$D$24*AG33^3+BMILMS!$E$24*AG33^2+BMILMS!$F$24*AG33+BMILMS!$G$24,BMILMS!$D$25*AG33^3+BMILMS!$E$25*AG33^2+BMILMS!$F$25*AG33+BMILMS!$G$25))))),(IF(AG33&lt;2.5,BMILMS!$D$27*AG33^3+BMILMS!$E$27*AG33^2+BMILMS!$F$27*AG33+BMILMS!$G$27,IF(AG33&lt;9.5,BMILMS!$D$28*AG33^3+BMILMS!$E$28*AG33^2+BMILMS!$F$28*AG33+BMILMS!$G$28,IF(AG33&lt;26.75,BMILMS!$D$29*AG33^3+BMILMS!$E$29*AG33^2+BMILMS!$F$29*AG33+BMILMS!$G$29,IF(AG33&lt;90,BMILMS!$D$30*AG33^3+BMILMS!$E$30*AG33^2+BMILMS!$F$30*AG33+BMILMS!$G$30,IF(AG33&lt;150,BMILMS!$D$31*AG33^3+BMILMS!$E$31*AG33^2+BMILMS!$F$31*AG33+BMILMS!$G$31,BMILMS!$D$32*AG33^3+BMILMS!$E$32*AG33^2+BMILMS!$F$32*AG33+BMILMS!$G$32)))))))</f>
        <v>12.568967990000001</v>
      </c>
      <c r="AF33" s="24">
        <f>IF(D33="M",(IF(AG33&lt;90,BMILMS!$D$14*AG33^3+BMILMS!$E$14*AG33^2+BMILMS!$F$14*AG33+BMILMS!$G$14,BMILMS!$D$15*AG33^3+BMILMS!$E$15*AG33^2+BMILMS!$F$15*AG33+BMILMS!$G$15)),(IF(AG33&lt;90,BMILMS!$D$17*AG33^3+BMILMS!$E$17*AG33^2+BMILMS!$F$17*AG33+BMILMS!$G$17,BMILMS!$D$18*AG33^3+BMILMS!$E$18*AG33^2+BMILMS!$F$18*AG33+BMILMS!$G$18)))</f>
        <v>8.8969350000000003E-2</v>
      </c>
      <c r="AG33" s="24">
        <f t="shared" si="16"/>
        <v>0</v>
      </c>
      <c r="AI33" s="38">
        <f>IF(D33="M",WeightSDS!P$5*$AG33^7+WeightSDS!Q$5*$AG33^6+WeightSDS!R$5*$AG33^5+WeightSDS!S$5*$AG33^4+WeightSDS!T$5*$AG33^3+WeightSDS!U$5*$AG33^2+WeightSDS!V$5*$AG33+WeightSDS!W$5,IF($AG33&lt;186,WeightSDS!P$8*$AG33^7+WeightSDS!Q$8*$AG33^6+WeightSDS!R$8*$AG33^5+WeightSDS!S$8*$AG33^4+WeightSDS!T$8*$AG33^3+WeightSDS!U$8*$AG33^2+WeightSDS!V$8*$AG33+WeightSDS!W$8,WeightSDS!$U$9-WeightSDS!$V$9*($AG33-WeightSDS!$W$9)))</f>
        <v>0.75407122999999998</v>
      </c>
      <c r="AJ33" s="24">
        <f>IF(D33="M",IF($AG33&lt;45,WeightSDS!M$23*$AG33^10+WeightSDS!N$23*$AG33^9+WeightSDS!O$23*$AG33^8+WeightSDS!P$23*$AG33^7+WeightSDS!Q$23*$AG33^6+WeightSDS!R$23*$AG33^5+WeightSDS!S$23*$AG33^4+WeightSDS!T$23*$AG33^3+WeightSDS!U$23*$AG33^2+WeightSDS!V$23*$AG33+WeightSDS!W$23,IF($AG33&lt;153,WeightSDS!M$25*$AG33^10+WeightSDS!N$25*$AG33^9+WeightSDS!O$25*$AG33^8+WeightSDS!P$25*$AG33^7+WeightSDS!Q$25*$AG33^6+WeightSDS!R$25*$AG33^5+WeightSDS!S$25*$AG33^4+WeightSDS!T$25*$AG33^3+WeightSDS!U$25*$AG33^2+WeightSDS!V$25*$AG33+WeightSDS!W$25,WeightSDS!M$27+WeightSDS!N$27/(1+EXP(WeightSDS!O$27+WeightSDS!P$27*$AG33)))),IF($AG33&lt;43.8,WeightSDS!M$29*$AG33^10+WeightSDS!N$29*$AG33^9+WeightSDS!O$29*$AG33^8+WeightSDS!P$29*$AG33^7+WeightSDS!Q$29*$AG33^6+WeightSDS!R$29*$AG33^5+WeightSDS!S$29*$AG33^4+WeightSDS!T$29*$AG33^3+WeightSDS!U$29*$AG33^2+WeightSDS!V$29*$AG33+WeightSDS!W$29-0.010431*(1-$AG33/210),IF($AG33&lt;123,WeightSDS!M$30*$AG33^10+WeightSDS!N$30*$AG33^9+WeightSDS!O$30*$AG33^8+WeightSDS!P$30*$AG33^7+WeightSDS!Q$30*$AG33^6+WeightSDS!R$30*$AG33^5+WeightSDS!S$30*$AG33^4+WeightSDS!T$30*$AG33^3+WeightSDS!U$30*$AG33^2+WeightSDS!V$30*$AG33+WeightSDS!W$30-0.010431*(1-1/$AG33),WeightSDS!M$32+WeightSDS!N$32/(1+EXP(WeightSDS!O$32+WeightSDS!P$32*$AG33))-0.010431*(1-$AG33/210))))</f>
        <v>2.9500001032655536</v>
      </c>
      <c r="AK33" s="24">
        <f>IF(D33="M",IF($AG33&lt;162,WeightSDS!P$12*$AG33^7+WeightSDS!Q$12*$AG33^6+WeightSDS!R$12*$AG33^5+WeightSDS!S$12*$AG33^4+WeightSDS!T$12*$AG33^3+WeightSDS!U$12*$AG33^2+WeightSDS!V$12*$AG33+WeightSDS!W$12,WeightSDS!P$14*$AG33^7+WeightSDS!Q$14*$AG33^6+WeightSDS!R$14*$AG33^5+WeightSDS!S$14*$AG33^4+WeightSDS!T$14*$AG33^3+WeightSDS!U$14*$AG33^2+WeightSDS!V$14*$AG33+WeightSDS!W$14),IF($AG33&lt;156,WeightSDS!O$17*$AG33^8+WeightSDS!P$17*$AG33^7+WeightSDS!Q$17*$AG33^6+WeightSDS!R$17*$AG33^5+WeightSDS!S$17*$AG33^4+WeightSDS!T$17*$AG33^3+WeightSDS!U$17*$AG33^2+WeightSDS!V$17*$AG33+WeightSDS!W$17,IF($AG33&lt;186,WeightSDS!$U$18+(WeightSDS!$V$18-WeightSDS!$U$18)/24*($AG33-186)+WeightSDS!$W$18*(-$AG33+186)^2-0.005,WeightSDS!$U$18+(WeightSDS!$V$18-WeightSDS!$U$18)/24*($AG33-186)-0.005)))</f>
        <v>0.14604529399999999</v>
      </c>
    </row>
    <row r="34" spans="1:37">
      <c r="A34" s="4"/>
      <c r="B34" s="21"/>
      <c r="C34" s="21"/>
      <c r="D34" s="21"/>
      <c r="E34" s="22"/>
      <c r="F34" s="22"/>
      <c r="G34" s="23"/>
      <c r="H34" s="23"/>
      <c r="I34" s="8" t="str">
        <f t="shared" si="0"/>
        <v/>
      </c>
      <c r="J34" s="2" t="str">
        <f t="shared" si="4"/>
        <v/>
      </c>
      <c r="K34" s="2" t="str">
        <f t="shared" si="1"/>
        <v/>
      </c>
      <c r="L34" s="2" t="str">
        <f t="shared" si="5"/>
        <v/>
      </c>
      <c r="M34" s="2" t="str">
        <f t="shared" si="15"/>
        <v/>
      </c>
      <c r="N34" s="2" t="str">
        <f t="shared" si="7"/>
        <v/>
      </c>
      <c r="O34" s="8" t="str">
        <f t="shared" si="8"/>
        <v/>
      </c>
      <c r="P34" s="8" t="str">
        <f t="shared" si="9"/>
        <v/>
      </c>
      <c r="Q34" s="40" t="str">
        <f t="shared" si="10"/>
        <v/>
      </c>
      <c r="R34" s="48" t="str">
        <f t="shared" si="11"/>
        <v/>
      </c>
      <c r="S34" s="43"/>
      <c r="U34" s="35">
        <f t="shared" si="12"/>
        <v>0</v>
      </c>
      <c r="V34" s="24">
        <f t="shared" si="13"/>
        <v>0</v>
      </c>
      <c r="W34" s="41">
        <f t="shared" si="17"/>
        <v>0</v>
      </c>
      <c r="X34" s="31"/>
      <c r="Y34" s="31"/>
      <c r="Z34" s="31"/>
      <c r="AA34" s="25">
        <f t="shared" si="2"/>
        <v>9.0359999999999996</v>
      </c>
      <c r="AB34" s="25">
        <f t="shared" si="3"/>
        <v>-184.49199999999999</v>
      </c>
      <c r="AD34" s="24">
        <f>IF(D34="M",IF(AG34&lt;78,BMILMS!$D$5*AG34^3+BMILMS!$E$5*AG34^2+BMILMS!$F$5*AG34+BMILMS!$G$5,IF(AG34&lt;150,BMILMS!$D$6*AG34^3+BMILMS!$E$6*AG34^2+BMILMS!$F$6*AG34+BMILMS!$G$6,BMILMS!$D$7*AG34^3+BMILMS!$E$7*AG34^2+BMILMS!$F$7*AG34+BMILMS!$G$7)),IF(AG34&lt;69,BMILMS!$D$9*AG34^3+BMILMS!$E$9*AG34^2+BMILMS!$F$9*AG34+BMILMS!$G$9,IF(AG34&lt;150,BMILMS!$D$10*AG34^3+BMILMS!$E$10*AG34^2+BMILMS!$F$10*AG34+BMILMS!$G$10,BMILMS!$D$11*AG34^3+BMILMS!$E$11*AG34^2+BMILMS!$F$11*AG34+BMILMS!$G$11)))</f>
        <v>0.79584630099999998</v>
      </c>
      <c r="AE34" s="24">
        <f>IF(D34="M",(IF(AG34&lt;2.5,BMILMS!$D$21*AG34^3+BMILMS!$E$21*AG34^2+BMILMS!$F$21*AG34+BMILMS!$G$21,IF(AG34&lt;9.5,BMILMS!$D$22*AG34^3+BMILMS!$E$22*AG34^2+BMILMS!$F$22*AG34+BMILMS!$G$22,IF(AG34&lt;26.75,BMILMS!$D$23*AG34^3+BMILMS!$E$23*AG34^2+BMILMS!$F$23*AG34+BMILMS!$G$23,IF(AG34&lt;90,BMILMS!$D$24*AG34^3+BMILMS!$E$24*AG34^2+BMILMS!$F$24*AG34+BMILMS!$G$24,BMILMS!$D$25*AG34^3+BMILMS!$E$25*AG34^2+BMILMS!$F$25*AG34+BMILMS!$G$25))))),(IF(AG34&lt;2.5,BMILMS!$D$27*AG34^3+BMILMS!$E$27*AG34^2+BMILMS!$F$27*AG34+BMILMS!$G$27,IF(AG34&lt;9.5,BMILMS!$D$28*AG34^3+BMILMS!$E$28*AG34^2+BMILMS!$F$28*AG34+BMILMS!$G$28,IF(AG34&lt;26.75,BMILMS!$D$29*AG34^3+BMILMS!$E$29*AG34^2+BMILMS!$F$29*AG34+BMILMS!$G$29,IF(AG34&lt;90,BMILMS!$D$30*AG34^3+BMILMS!$E$30*AG34^2+BMILMS!$F$30*AG34+BMILMS!$G$30,IF(AG34&lt;150,BMILMS!$D$31*AG34^3+BMILMS!$E$31*AG34^2+BMILMS!$F$31*AG34+BMILMS!$G$31,BMILMS!$D$32*AG34^3+BMILMS!$E$32*AG34^2+BMILMS!$F$32*AG34+BMILMS!$G$32)))))))</f>
        <v>12.568967990000001</v>
      </c>
      <c r="AF34" s="24">
        <f>IF(D34="M",(IF(AG34&lt;90,BMILMS!$D$14*AG34^3+BMILMS!$E$14*AG34^2+BMILMS!$F$14*AG34+BMILMS!$G$14,BMILMS!$D$15*AG34^3+BMILMS!$E$15*AG34^2+BMILMS!$F$15*AG34+BMILMS!$G$15)),(IF(AG34&lt;90,BMILMS!$D$17*AG34^3+BMILMS!$E$17*AG34^2+BMILMS!$F$17*AG34+BMILMS!$G$17,BMILMS!$D$18*AG34^3+BMILMS!$E$18*AG34^2+BMILMS!$F$18*AG34+BMILMS!$G$18)))</f>
        <v>8.8969350000000003E-2</v>
      </c>
      <c r="AG34" s="24">
        <f t="shared" si="16"/>
        <v>0</v>
      </c>
      <c r="AI34" s="38">
        <f>IF(D34="M",WeightSDS!P$5*$AG34^7+WeightSDS!Q$5*$AG34^6+WeightSDS!R$5*$AG34^5+WeightSDS!S$5*$AG34^4+WeightSDS!T$5*$AG34^3+WeightSDS!U$5*$AG34^2+WeightSDS!V$5*$AG34+WeightSDS!W$5,IF($AG34&lt;186,WeightSDS!P$8*$AG34^7+WeightSDS!Q$8*$AG34^6+WeightSDS!R$8*$AG34^5+WeightSDS!S$8*$AG34^4+WeightSDS!T$8*$AG34^3+WeightSDS!U$8*$AG34^2+WeightSDS!V$8*$AG34+WeightSDS!W$8,WeightSDS!$U$9-WeightSDS!$V$9*($AG34-WeightSDS!$W$9)))</f>
        <v>0.75407122999999998</v>
      </c>
      <c r="AJ34" s="24">
        <f>IF(D34="M",IF($AG34&lt;45,WeightSDS!M$23*$AG34^10+WeightSDS!N$23*$AG34^9+WeightSDS!O$23*$AG34^8+WeightSDS!P$23*$AG34^7+WeightSDS!Q$23*$AG34^6+WeightSDS!R$23*$AG34^5+WeightSDS!S$23*$AG34^4+WeightSDS!T$23*$AG34^3+WeightSDS!U$23*$AG34^2+WeightSDS!V$23*$AG34+WeightSDS!W$23,IF($AG34&lt;153,WeightSDS!M$25*$AG34^10+WeightSDS!N$25*$AG34^9+WeightSDS!O$25*$AG34^8+WeightSDS!P$25*$AG34^7+WeightSDS!Q$25*$AG34^6+WeightSDS!R$25*$AG34^5+WeightSDS!S$25*$AG34^4+WeightSDS!T$25*$AG34^3+WeightSDS!U$25*$AG34^2+WeightSDS!V$25*$AG34+WeightSDS!W$25,WeightSDS!M$27+WeightSDS!N$27/(1+EXP(WeightSDS!O$27+WeightSDS!P$27*$AG34)))),IF($AG34&lt;43.8,WeightSDS!M$29*$AG34^10+WeightSDS!N$29*$AG34^9+WeightSDS!O$29*$AG34^8+WeightSDS!P$29*$AG34^7+WeightSDS!Q$29*$AG34^6+WeightSDS!R$29*$AG34^5+WeightSDS!S$29*$AG34^4+WeightSDS!T$29*$AG34^3+WeightSDS!U$29*$AG34^2+WeightSDS!V$29*$AG34+WeightSDS!W$29-0.010431*(1-$AG34/210),IF($AG34&lt;123,WeightSDS!M$30*$AG34^10+WeightSDS!N$30*$AG34^9+WeightSDS!O$30*$AG34^8+WeightSDS!P$30*$AG34^7+WeightSDS!Q$30*$AG34^6+WeightSDS!R$30*$AG34^5+WeightSDS!S$30*$AG34^4+WeightSDS!T$30*$AG34^3+WeightSDS!U$30*$AG34^2+WeightSDS!V$30*$AG34+WeightSDS!W$30-0.010431*(1-1/$AG34),WeightSDS!M$32+WeightSDS!N$32/(1+EXP(WeightSDS!O$32+WeightSDS!P$32*$AG34))-0.010431*(1-$AG34/210))))</f>
        <v>2.9500001032655536</v>
      </c>
      <c r="AK34" s="24">
        <f>IF(D34="M",IF($AG34&lt;162,WeightSDS!P$12*$AG34^7+WeightSDS!Q$12*$AG34^6+WeightSDS!R$12*$AG34^5+WeightSDS!S$12*$AG34^4+WeightSDS!T$12*$AG34^3+WeightSDS!U$12*$AG34^2+WeightSDS!V$12*$AG34+WeightSDS!W$12,WeightSDS!P$14*$AG34^7+WeightSDS!Q$14*$AG34^6+WeightSDS!R$14*$AG34^5+WeightSDS!S$14*$AG34^4+WeightSDS!T$14*$AG34^3+WeightSDS!U$14*$AG34^2+WeightSDS!V$14*$AG34+WeightSDS!W$14),IF($AG34&lt;156,WeightSDS!O$17*$AG34^8+WeightSDS!P$17*$AG34^7+WeightSDS!Q$17*$AG34^6+WeightSDS!R$17*$AG34^5+WeightSDS!S$17*$AG34^4+WeightSDS!T$17*$AG34^3+WeightSDS!U$17*$AG34^2+WeightSDS!V$17*$AG34+WeightSDS!W$17,IF($AG34&lt;186,WeightSDS!$U$18+(WeightSDS!$V$18-WeightSDS!$U$18)/24*($AG34-186)+WeightSDS!$W$18*(-$AG34+186)^2-0.005,WeightSDS!$U$18+(WeightSDS!$V$18-WeightSDS!$U$18)/24*($AG34-186)-0.005)))</f>
        <v>0.14604529399999999</v>
      </c>
    </row>
    <row r="35" spans="1:37">
      <c r="A35" s="4"/>
      <c r="B35" s="21"/>
      <c r="C35" s="21"/>
      <c r="D35" s="21"/>
      <c r="E35" s="22"/>
      <c r="F35" s="22"/>
      <c r="G35" s="23"/>
      <c r="H35" s="23"/>
      <c r="I35" s="8" t="str">
        <f t="shared" si="0"/>
        <v/>
      </c>
      <c r="J35" s="2" t="str">
        <f t="shared" si="4"/>
        <v/>
      </c>
      <c r="K35" s="2" t="str">
        <f t="shared" si="1"/>
        <v/>
      </c>
      <c r="L35" s="2" t="str">
        <f t="shared" si="5"/>
        <v/>
      </c>
      <c r="M35" s="2" t="str">
        <f t="shared" si="15"/>
        <v/>
      </c>
      <c r="N35" s="2" t="str">
        <f t="shared" si="7"/>
        <v/>
      </c>
      <c r="O35" s="8" t="str">
        <f t="shared" si="8"/>
        <v/>
      </c>
      <c r="P35" s="8" t="str">
        <f t="shared" si="9"/>
        <v/>
      </c>
      <c r="Q35" s="40" t="str">
        <f t="shared" si="10"/>
        <v/>
      </c>
      <c r="R35" s="48" t="str">
        <f t="shared" si="11"/>
        <v/>
      </c>
      <c r="S35" s="8"/>
      <c r="U35" s="35">
        <f t="shared" si="12"/>
        <v>0</v>
      </c>
      <c r="V35" s="24">
        <f t="shared" si="13"/>
        <v>0</v>
      </c>
      <c r="W35" s="41">
        <f t="shared" si="17"/>
        <v>0</v>
      </c>
      <c r="X35" s="31"/>
      <c r="Y35" s="31"/>
      <c r="Z35" s="31"/>
      <c r="AA35" s="25">
        <f t="shared" si="2"/>
        <v>9.0359999999999996</v>
      </c>
      <c r="AB35" s="25">
        <f t="shared" si="3"/>
        <v>-184.49199999999999</v>
      </c>
      <c r="AD35" s="24">
        <f>IF(D35="M",IF(AG35&lt;78,BMILMS!$D$5*AG35^3+BMILMS!$E$5*AG35^2+BMILMS!$F$5*AG35+BMILMS!$G$5,IF(AG35&lt;150,BMILMS!$D$6*AG35^3+BMILMS!$E$6*AG35^2+BMILMS!$F$6*AG35+BMILMS!$G$6,BMILMS!$D$7*AG35^3+BMILMS!$E$7*AG35^2+BMILMS!$F$7*AG35+BMILMS!$G$7)),IF(AG35&lt;69,BMILMS!$D$9*AG35^3+BMILMS!$E$9*AG35^2+BMILMS!$F$9*AG35+BMILMS!$G$9,IF(AG35&lt;150,BMILMS!$D$10*AG35^3+BMILMS!$E$10*AG35^2+BMILMS!$F$10*AG35+BMILMS!$G$10,BMILMS!$D$11*AG35^3+BMILMS!$E$11*AG35^2+BMILMS!$F$11*AG35+BMILMS!$G$11)))</f>
        <v>0.79584630099999998</v>
      </c>
      <c r="AE35" s="24">
        <f>IF(D35="M",(IF(AG35&lt;2.5,BMILMS!$D$21*AG35^3+BMILMS!$E$21*AG35^2+BMILMS!$F$21*AG35+BMILMS!$G$21,IF(AG35&lt;9.5,BMILMS!$D$22*AG35^3+BMILMS!$E$22*AG35^2+BMILMS!$F$22*AG35+BMILMS!$G$22,IF(AG35&lt;26.75,BMILMS!$D$23*AG35^3+BMILMS!$E$23*AG35^2+BMILMS!$F$23*AG35+BMILMS!$G$23,IF(AG35&lt;90,BMILMS!$D$24*AG35^3+BMILMS!$E$24*AG35^2+BMILMS!$F$24*AG35+BMILMS!$G$24,BMILMS!$D$25*AG35^3+BMILMS!$E$25*AG35^2+BMILMS!$F$25*AG35+BMILMS!$G$25))))),(IF(AG35&lt;2.5,BMILMS!$D$27*AG35^3+BMILMS!$E$27*AG35^2+BMILMS!$F$27*AG35+BMILMS!$G$27,IF(AG35&lt;9.5,BMILMS!$D$28*AG35^3+BMILMS!$E$28*AG35^2+BMILMS!$F$28*AG35+BMILMS!$G$28,IF(AG35&lt;26.75,BMILMS!$D$29*AG35^3+BMILMS!$E$29*AG35^2+BMILMS!$F$29*AG35+BMILMS!$G$29,IF(AG35&lt;90,BMILMS!$D$30*AG35^3+BMILMS!$E$30*AG35^2+BMILMS!$F$30*AG35+BMILMS!$G$30,IF(AG35&lt;150,BMILMS!$D$31*AG35^3+BMILMS!$E$31*AG35^2+BMILMS!$F$31*AG35+BMILMS!$G$31,BMILMS!$D$32*AG35^3+BMILMS!$E$32*AG35^2+BMILMS!$F$32*AG35+BMILMS!$G$32)))))))</f>
        <v>12.568967990000001</v>
      </c>
      <c r="AF35" s="24">
        <f>IF(D35="M",(IF(AG35&lt;90,BMILMS!$D$14*AG35^3+BMILMS!$E$14*AG35^2+BMILMS!$F$14*AG35+BMILMS!$G$14,BMILMS!$D$15*AG35^3+BMILMS!$E$15*AG35^2+BMILMS!$F$15*AG35+BMILMS!$G$15)),(IF(AG35&lt;90,BMILMS!$D$17*AG35^3+BMILMS!$E$17*AG35^2+BMILMS!$F$17*AG35+BMILMS!$G$17,BMILMS!$D$18*AG35^3+BMILMS!$E$18*AG35^2+BMILMS!$F$18*AG35+BMILMS!$G$18)))</f>
        <v>8.8969350000000003E-2</v>
      </c>
      <c r="AG35" s="24">
        <f t="shared" si="16"/>
        <v>0</v>
      </c>
      <c r="AI35" s="38">
        <f>IF(D35="M",WeightSDS!P$5*$AG35^7+WeightSDS!Q$5*$AG35^6+WeightSDS!R$5*$AG35^5+WeightSDS!S$5*$AG35^4+WeightSDS!T$5*$AG35^3+WeightSDS!U$5*$AG35^2+WeightSDS!V$5*$AG35+WeightSDS!W$5,IF($AG35&lt;186,WeightSDS!P$8*$AG35^7+WeightSDS!Q$8*$AG35^6+WeightSDS!R$8*$AG35^5+WeightSDS!S$8*$AG35^4+WeightSDS!T$8*$AG35^3+WeightSDS!U$8*$AG35^2+WeightSDS!V$8*$AG35+WeightSDS!W$8,WeightSDS!$U$9-WeightSDS!$V$9*($AG35-WeightSDS!$W$9)))</f>
        <v>0.75407122999999998</v>
      </c>
      <c r="AJ35" s="24">
        <f>IF(D35="M",IF($AG35&lt;45,WeightSDS!M$23*$AG35^10+WeightSDS!N$23*$AG35^9+WeightSDS!O$23*$AG35^8+WeightSDS!P$23*$AG35^7+WeightSDS!Q$23*$AG35^6+WeightSDS!R$23*$AG35^5+WeightSDS!S$23*$AG35^4+WeightSDS!T$23*$AG35^3+WeightSDS!U$23*$AG35^2+WeightSDS!V$23*$AG35+WeightSDS!W$23,IF($AG35&lt;153,WeightSDS!M$25*$AG35^10+WeightSDS!N$25*$AG35^9+WeightSDS!O$25*$AG35^8+WeightSDS!P$25*$AG35^7+WeightSDS!Q$25*$AG35^6+WeightSDS!R$25*$AG35^5+WeightSDS!S$25*$AG35^4+WeightSDS!T$25*$AG35^3+WeightSDS!U$25*$AG35^2+WeightSDS!V$25*$AG35+WeightSDS!W$25,WeightSDS!M$27+WeightSDS!N$27/(1+EXP(WeightSDS!O$27+WeightSDS!P$27*$AG35)))),IF($AG35&lt;43.8,WeightSDS!M$29*$AG35^10+WeightSDS!N$29*$AG35^9+WeightSDS!O$29*$AG35^8+WeightSDS!P$29*$AG35^7+WeightSDS!Q$29*$AG35^6+WeightSDS!R$29*$AG35^5+WeightSDS!S$29*$AG35^4+WeightSDS!T$29*$AG35^3+WeightSDS!U$29*$AG35^2+WeightSDS!V$29*$AG35+WeightSDS!W$29-0.010431*(1-$AG35/210),IF($AG35&lt;123,WeightSDS!M$30*$AG35^10+WeightSDS!N$30*$AG35^9+WeightSDS!O$30*$AG35^8+WeightSDS!P$30*$AG35^7+WeightSDS!Q$30*$AG35^6+WeightSDS!R$30*$AG35^5+WeightSDS!S$30*$AG35^4+WeightSDS!T$30*$AG35^3+WeightSDS!U$30*$AG35^2+WeightSDS!V$30*$AG35+WeightSDS!W$30-0.010431*(1-1/$AG35),WeightSDS!M$32+WeightSDS!N$32/(1+EXP(WeightSDS!O$32+WeightSDS!P$32*$AG35))-0.010431*(1-$AG35/210))))</f>
        <v>2.9500001032655536</v>
      </c>
      <c r="AK35" s="24">
        <f>IF(D35="M",IF($AG35&lt;162,WeightSDS!P$12*$AG35^7+WeightSDS!Q$12*$AG35^6+WeightSDS!R$12*$AG35^5+WeightSDS!S$12*$AG35^4+WeightSDS!T$12*$AG35^3+WeightSDS!U$12*$AG35^2+WeightSDS!V$12*$AG35+WeightSDS!W$12,WeightSDS!P$14*$AG35^7+WeightSDS!Q$14*$AG35^6+WeightSDS!R$14*$AG35^5+WeightSDS!S$14*$AG35^4+WeightSDS!T$14*$AG35^3+WeightSDS!U$14*$AG35^2+WeightSDS!V$14*$AG35+WeightSDS!W$14),IF($AG35&lt;156,WeightSDS!O$17*$AG35^8+WeightSDS!P$17*$AG35^7+WeightSDS!Q$17*$AG35^6+WeightSDS!R$17*$AG35^5+WeightSDS!S$17*$AG35^4+WeightSDS!T$17*$AG35^3+WeightSDS!U$17*$AG35^2+WeightSDS!V$17*$AG35+WeightSDS!W$17,IF($AG35&lt;186,WeightSDS!$U$18+(WeightSDS!$V$18-WeightSDS!$U$18)/24*($AG35-186)+WeightSDS!$W$18*(-$AG35+186)^2-0.005,WeightSDS!$U$18+(WeightSDS!$V$18-WeightSDS!$U$18)/24*($AG35-186)-0.005)))</f>
        <v>0.14604529399999999</v>
      </c>
    </row>
    <row r="36" spans="1:37">
      <c r="A36" s="4"/>
      <c r="B36" s="21"/>
      <c r="C36" s="21"/>
      <c r="D36" s="21"/>
      <c r="E36" s="22"/>
      <c r="F36" s="22"/>
      <c r="G36" s="23"/>
      <c r="H36" s="23"/>
      <c r="I36" s="8" t="str">
        <f t="shared" si="0"/>
        <v/>
      </c>
      <c r="J36" s="2" t="str">
        <f t="shared" si="4"/>
        <v/>
      </c>
      <c r="K36" s="2" t="str">
        <f t="shared" si="1"/>
        <v/>
      </c>
      <c r="L36" s="2" t="str">
        <f t="shared" si="5"/>
        <v/>
      </c>
      <c r="M36" s="2" t="str">
        <f t="shared" si="15"/>
        <v/>
      </c>
      <c r="N36" s="2" t="str">
        <f t="shared" si="7"/>
        <v/>
      </c>
      <c r="O36" s="8" t="str">
        <f t="shared" si="8"/>
        <v/>
      </c>
      <c r="P36" s="8" t="str">
        <f t="shared" si="9"/>
        <v/>
      </c>
      <c r="Q36" s="40" t="str">
        <f t="shared" si="10"/>
        <v/>
      </c>
      <c r="R36" s="48" t="str">
        <f t="shared" si="11"/>
        <v/>
      </c>
      <c r="S36" s="8"/>
      <c r="U36" s="35">
        <f t="shared" si="12"/>
        <v>0</v>
      </c>
      <c r="V36" s="24">
        <f t="shared" si="13"/>
        <v>0</v>
      </c>
      <c r="W36" s="41">
        <f t="shared" si="17"/>
        <v>0</v>
      </c>
      <c r="X36" s="31"/>
      <c r="Y36" s="31"/>
      <c r="Z36" s="31"/>
      <c r="AA36" s="25">
        <f t="shared" si="2"/>
        <v>9.0359999999999996</v>
      </c>
      <c r="AB36" s="25">
        <f t="shared" si="3"/>
        <v>-184.49199999999999</v>
      </c>
      <c r="AD36" s="24">
        <f>IF(D36="M",IF(AG36&lt;78,BMILMS!$D$5*AG36^3+BMILMS!$E$5*AG36^2+BMILMS!$F$5*AG36+BMILMS!$G$5,IF(AG36&lt;150,BMILMS!$D$6*AG36^3+BMILMS!$E$6*AG36^2+BMILMS!$F$6*AG36+BMILMS!$G$6,BMILMS!$D$7*AG36^3+BMILMS!$E$7*AG36^2+BMILMS!$F$7*AG36+BMILMS!$G$7)),IF(AG36&lt;69,BMILMS!$D$9*AG36^3+BMILMS!$E$9*AG36^2+BMILMS!$F$9*AG36+BMILMS!$G$9,IF(AG36&lt;150,BMILMS!$D$10*AG36^3+BMILMS!$E$10*AG36^2+BMILMS!$F$10*AG36+BMILMS!$G$10,BMILMS!$D$11*AG36^3+BMILMS!$E$11*AG36^2+BMILMS!$F$11*AG36+BMILMS!$G$11)))</f>
        <v>0.79584630099999998</v>
      </c>
      <c r="AE36" s="24">
        <f>IF(D36="M",(IF(AG36&lt;2.5,BMILMS!$D$21*AG36^3+BMILMS!$E$21*AG36^2+BMILMS!$F$21*AG36+BMILMS!$G$21,IF(AG36&lt;9.5,BMILMS!$D$22*AG36^3+BMILMS!$E$22*AG36^2+BMILMS!$F$22*AG36+BMILMS!$G$22,IF(AG36&lt;26.75,BMILMS!$D$23*AG36^3+BMILMS!$E$23*AG36^2+BMILMS!$F$23*AG36+BMILMS!$G$23,IF(AG36&lt;90,BMILMS!$D$24*AG36^3+BMILMS!$E$24*AG36^2+BMILMS!$F$24*AG36+BMILMS!$G$24,BMILMS!$D$25*AG36^3+BMILMS!$E$25*AG36^2+BMILMS!$F$25*AG36+BMILMS!$G$25))))),(IF(AG36&lt;2.5,BMILMS!$D$27*AG36^3+BMILMS!$E$27*AG36^2+BMILMS!$F$27*AG36+BMILMS!$G$27,IF(AG36&lt;9.5,BMILMS!$D$28*AG36^3+BMILMS!$E$28*AG36^2+BMILMS!$F$28*AG36+BMILMS!$G$28,IF(AG36&lt;26.75,BMILMS!$D$29*AG36^3+BMILMS!$E$29*AG36^2+BMILMS!$F$29*AG36+BMILMS!$G$29,IF(AG36&lt;90,BMILMS!$D$30*AG36^3+BMILMS!$E$30*AG36^2+BMILMS!$F$30*AG36+BMILMS!$G$30,IF(AG36&lt;150,BMILMS!$D$31*AG36^3+BMILMS!$E$31*AG36^2+BMILMS!$F$31*AG36+BMILMS!$G$31,BMILMS!$D$32*AG36^3+BMILMS!$E$32*AG36^2+BMILMS!$F$32*AG36+BMILMS!$G$32)))))))</f>
        <v>12.568967990000001</v>
      </c>
      <c r="AF36" s="24">
        <f>IF(D36="M",(IF(AG36&lt;90,BMILMS!$D$14*AG36^3+BMILMS!$E$14*AG36^2+BMILMS!$F$14*AG36+BMILMS!$G$14,BMILMS!$D$15*AG36^3+BMILMS!$E$15*AG36^2+BMILMS!$F$15*AG36+BMILMS!$G$15)),(IF(AG36&lt;90,BMILMS!$D$17*AG36^3+BMILMS!$E$17*AG36^2+BMILMS!$F$17*AG36+BMILMS!$G$17,BMILMS!$D$18*AG36^3+BMILMS!$E$18*AG36^2+BMILMS!$F$18*AG36+BMILMS!$G$18)))</f>
        <v>8.8969350000000003E-2</v>
      </c>
      <c r="AG36" s="24">
        <f t="shared" si="16"/>
        <v>0</v>
      </c>
      <c r="AI36" s="38">
        <f>IF(D36="M",WeightSDS!P$5*$AG36^7+WeightSDS!Q$5*$AG36^6+WeightSDS!R$5*$AG36^5+WeightSDS!S$5*$AG36^4+WeightSDS!T$5*$AG36^3+WeightSDS!U$5*$AG36^2+WeightSDS!V$5*$AG36+WeightSDS!W$5,IF($AG36&lt;186,WeightSDS!P$8*$AG36^7+WeightSDS!Q$8*$AG36^6+WeightSDS!R$8*$AG36^5+WeightSDS!S$8*$AG36^4+WeightSDS!T$8*$AG36^3+WeightSDS!U$8*$AG36^2+WeightSDS!V$8*$AG36+WeightSDS!W$8,WeightSDS!$U$9-WeightSDS!$V$9*($AG36-WeightSDS!$W$9)))</f>
        <v>0.75407122999999998</v>
      </c>
      <c r="AJ36" s="24">
        <f>IF(D36="M",IF($AG36&lt;45,WeightSDS!M$23*$AG36^10+WeightSDS!N$23*$AG36^9+WeightSDS!O$23*$AG36^8+WeightSDS!P$23*$AG36^7+WeightSDS!Q$23*$AG36^6+WeightSDS!R$23*$AG36^5+WeightSDS!S$23*$AG36^4+WeightSDS!T$23*$AG36^3+WeightSDS!U$23*$AG36^2+WeightSDS!V$23*$AG36+WeightSDS!W$23,IF($AG36&lt;153,WeightSDS!M$25*$AG36^10+WeightSDS!N$25*$AG36^9+WeightSDS!O$25*$AG36^8+WeightSDS!P$25*$AG36^7+WeightSDS!Q$25*$AG36^6+WeightSDS!R$25*$AG36^5+WeightSDS!S$25*$AG36^4+WeightSDS!T$25*$AG36^3+WeightSDS!U$25*$AG36^2+WeightSDS!V$25*$AG36+WeightSDS!W$25,WeightSDS!M$27+WeightSDS!N$27/(1+EXP(WeightSDS!O$27+WeightSDS!P$27*$AG36)))),IF($AG36&lt;43.8,WeightSDS!M$29*$AG36^10+WeightSDS!N$29*$AG36^9+WeightSDS!O$29*$AG36^8+WeightSDS!P$29*$AG36^7+WeightSDS!Q$29*$AG36^6+WeightSDS!R$29*$AG36^5+WeightSDS!S$29*$AG36^4+WeightSDS!T$29*$AG36^3+WeightSDS!U$29*$AG36^2+WeightSDS!V$29*$AG36+WeightSDS!W$29-0.010431*(1-$AG36/210),IF($AG36&lt;123,WeightSDS!M$30*$AG36^10+WeightSDS!N$30*$AG36^9+WeightSDS!O$30*$AG36^8+WeightSDS!P$30*$AG36^7+WeightSDS!Q$30*$AG36^6+WeightSDS!R$30*$AG36^5+WeightSDS!S$30*$AG36^4+WeightSDS!T$30*$AG36^3+WeightSDS!U$30*$AG36^2+WeightSDS!V$30*$AG36+WeightSDS!W$30-0.010431*(1-1/$AG36),WeightSDS!M$32+WeightSDS!N$32/(1+EXP(WeightSDS!O$32+WeightSDS!P$32*$AG36))-0.010431*(1-$AG36/210))))</f>
        <v>2.9500001032655536</v>
      </c>
      <c r="AK36" s="24">
        <f>IF(D36="M",IF($AG36&lt;162,WeightSDS!P$12*$AG36^7+WeightSDS!Q$12*$AG36^6+WeightSDS!R$12*$AG36^5+WeightSDS!S$12*$AG36^4+WeightSDS!T$12*$AG36^3+WeightSDS!U$12*$AG36^2+WeightSDS!V$12*$AG36+WeightSDS!W$12,WeightSDS!P$14*$AG36^7+WeightSDS!Q$14*$AG36^6+WeightSDS!R$14*$AG36^5+WeightSDS!S$14*$AG36^4+WeightSDS!T$14*$AG36^3+WeightSDS!U$14*$AG36^2+WeightSDS!V$14*$AG36+WeightSDS!W$14),IF($AG36&lt;156,WeightSDS!O$17*$AG36^8+WeightSDS!P$17*$AG36^7+WeightSDS!Q$17*$AG36^6+WeightSDS!R$17*$AG36^5+WeightSDS!S$17*$AG36^4+WeightSDS!T$17*$AG36^3+WeightSDS!U$17*$AG36^2+WeightSDS!V$17*$AG36+WeightSDS!W$17,IF($AG36&lt;186,WeightSDS!$U$18+(WeightSDS!$V$18-WeightSDS!$U$18)/24*($AG36-186)+WeightSDS!$W$18*(-$AG36+186)^2-0.005,WeightSDS!$U$18+(WeightSDS!$V$18-WeightSDS!$U$18)/24*($AG36-186)-0.005)))</f>
        <v>0.14604529399999999</v>
      </c>
    </row>
    <row r="37" spans="1:37">
      <c r="A37" s="4"/>
      <c r="B37" s="21"/>
      <c r="C37" s="21"/>
      <c r="D37" s="21"/>
      <c r="E37" s="22"/>
      <c r="F37" s="22"/>
      <c r="G37" s="23"/>
      <c r="H37" s="23"/>
      <c r="I37" s="8" t="str">
        <f t="shared" si="0"/>
        <v/>
      </c>
      <c r="J37" s="2" t="str">
        <f t="shared" si="4"/>
        <v/>
      </c>
      <c r="K37" s="2" t="str">
        <f t="shared" si="1"/>
        <v/>
      </c>
      <c r="L37" s="2" t="str">
        <f t="shared" si="5"/>
        <v/>
      </c>
      <c r="M37" s="2" t="str">
        <f t="shared" si="15"/>
        <v/>
      </c>
      <c r="N37" s="2" t="str">
        <f t="shared" si="7"/>
        <v/>
      </c>
      <c r="O37" s="8" t="str">
        <f t="shared" si="8"/>
        <v/>
      </c>
      <c r="P37" s="8" t="str">
        <f t="shared" si="9"/>
        <v/>
      </c>
      <c r="Q37" s="40" t="str">
        <f t="shared" si="10"/>
        <v/>
      </c>
      <c r="R37" s="48" t="str">
        <f t="shared" si="11"/>
        <v/>
      </c>
      <c r="S37" s="8"/>
      <c r="U37" s="35">
        <f t="shared" si="12"/>
        <v>0</v>
      </c>
      <c r="V37" s="24">
        <f t="shared" si="13"/>
        <v>0</v>
      </c>
      <c r="W37" s="41">
        <f t="shared" si="17"/>
        <v>0</v>
      </c>
      <c r="X37" s="31"/>
      <c r="Y37" s="31"/>
      <c r="Z37" s="31"/>
      <c r="AA37" s="25">
        <f t="shared" si="2"/>
        <v>9.0359999999999996</v>
      </c>
      <c r="AB37" s="25">
        <f t="shared" si="3"/>
        <v>-184.49199999999999</v>
      </c>
      <c r="AD37" s="24">
        <f>IF(D37="M",IF(AG37&lt;78,BMILMS!$D$5*AG37^3+BMILMS!$E$5*AG37^2+BMILMS!$F$5*AG37+BMILMS!$G$5,IF(AG37&lt;150,BMILMS!$D$6*AG37^3+BMILMS!$E$6*AG37^2+BMILMS!$F$6*AG37+BMILMS!$G$6,BMILMS!$D$7*AG37^3+BMILMS!$E$7*AG37^2+BMILMS!$F$7*AG37+BMILMS!$G$7)),IF(AG37&lt;69,BMILMS!$D$9*AG37^3+BMILMS!$E$9*AG37^2+BMILMS!$F$9*AG37+BMILMS!$G$9,IF(AG37&lt;150,BMILMS!$D$10*AG37^3+BMILMS!$E$10*AG37^2+BMILMS!$F$10*AG37+BMILMS!$G$10,BMILMS!$D$11*AG37^3+BMILMS!$E$11*AG37^2+BMILMS!$F$11*AG37+BMILMS!$G$11)))</f>
        <v>0.79584630099999998</v>
      </c>
      <c r="AE37" s="24">
        <f>IF(D37="M",(IF(AG37&lt;2.5,BMILMS!$D$21*AG37^3+BMILMS!$E$21*AG37^2+BMILMS!$F$21*AG37+BMILMS!$G$21,IF(AG37&lt;9.5,BMILMS!$D$22*AG37^3+BMILMS!$E$22*AG37^2+BMILMS!$F$22*AG37+BMILMS!$G$22,IF(AG37&lt;26.75,BMILMS!$D$23*AG37^3+BMILMS!$E$23*AG37^2+BMILMS!$F$23*AG37+BMILMS!$G$23,IF(AG37&lt;90,BMILMS!$D$24*AG37^3+BMILMS!$E$24*AG37^2+BMILMS!$F$24*AG37+BMILMS!$G$24,BMILMS!$D$25*AG37^3+BMILMS!$E$25*AG37^2+BMILMS!$F$25*AG37+BMILMS!$G$25))))),(IF(AG37&lt;2.5,BMILMS!$D$27*AG37^3+BMILMS!$E$27*AG37^2+BMILMS!$F$27*AG37+BMILMS!$G$27,IF(AG37&lt;9.5,BMILMS!$D$28*AG37^3+BMILMS!$E$28*AG37^2+BMILMS!$F$28*AG37+BMILMS!$G$28,IF(AG37&lt;26.75,BMILMS!$D$29*AG37^3+BMILMS!$E$29*AG37^2+BMILMS!$F$29*AG37+BMILMS!$G$29,IF(AG37&lt;90,BMILMS!$D$30*AG37^3+BMILMS!$E$30*AG37^2+BMILMS!$F$30*AG37+BMILMS!$G$30,IF(AG37&lt;150,BMILMS!$D$31*AG37^3+BMILMS!$E$31*AG37^2+BMILMS!$F$31*AG37+BMILMS!$G$31,BMILMS!$D$32*AG37^3+BMILMS!$E$32*AG37^2+BMILMS!$F$32*AG37+BMILMS!$G$32)))))))</f>
        <v>12.568967990000001</v>
      </c>
      <c r="AF37" s="24">
        <f>IF(D37="M",(IF(AG37&lt;90,BMILMS!$D$14*AG37^3+BMILMS!$E$14*AG37^2+BMILMS!$F$14*AG37+BMILMS!$G$14,BMILMS!$D$15*AG37^3+BMILMS!$E$15*AG37^2+BMILMS!$F$15*AG37+BMILMS!$G$15)),(IF(AG37&lt;90,BMILMS!$D$17*AG37^3+BMILMS!$E$17*AG37^2+BMILMS!$F$17*AG37+BMILMS!$G$17,BMILMS!$D$18*AG37^3+BMILMS!$E$18*AG37^2+BMILMS!$F$18*AG37+BMILMS!$G$18)))</f>
        <v>8.8969350000000003E-2</v>
      </c>
      <c r="AG37" s="24">
        <f t="shared" si="16"/>
        <v>0</v>
      </c>
      <c r="AI37" s="38">
        <f>IF(D37="M",WeightSDS!P$5*$AG37^7+WeightSDS!Q$5*$AG37^6+WeightSDS!R$5*$AG37^5+WeightSDS!S$5*$AG37^4+WeightSDS!T$5*$AG37^3+WeightSDS!U$5*$AG37^2+WeightSDS!V$5*$AG37+WeightSDS!W$5,IF($AG37&lt;186,WeightSDS!P$8*$AG37^7+WeightSDS!Q$8*$AG37^6+WeightSDS!R$8*$AG37^5+WeightSDS!S$8*$AG37^4+WeightSDS!T$8*$AG37^3+WeightSDS!U$8*$AG37^2+WeightSDS!V$8*$AG37+WeightSDS!W$8,WeightSDS!$U$9-WeightSDS!$V$9*($AG37-WeightSDS!$W$9)))</f>
        <v>0.75407122999999998</v>
      </c>
      <c r="AJ37" s="24">
        <f>IF(D37="M",IF($AG37&lt;45,WeightSDS!M$23*$AG37^10+WeightSDS!N$23*$AG37^9+WeightSDS!O$23*$AG37^8+WeightSDS!P$23*$AG37^7+WeightSDS!Q$23*$AG37^6+WeightSDS!R$23*$AG37^5+WeightSDS!S$23*$AG37^4+WeightSDS!T$23*$AG37^3+WeightSDS!U$23*$AG37^2+WeightSDS!V$23*$AG37+WeightSDS!W$23,IF($AG37&lt;153,WeightSDS!M$25*$AG37^10+WeightSDS!N$25*$AG37^9+WeightSDS!O$25*$AG37^8+WeightSDS!P$25*$AG37^7+WeightSDS!Q$25*$AG37^6+WeightSDS!R$25*$AG37^5+WeightSDS!S$25*$AG37^4+WeightSDS!T$25*$AG37^3+WeightSDS!U$25*$AG37^2+WeightSDS!V$25*$AG37+WeightSDS!W$25,WeightSDS!M$27+WeightSDS!N$27/(1+EXP(WeightSDS!O$27+WeightSDS!P$27*$AG37)))),IF($AG37&lt;43.8,WeightSDS!M$29*$AG37^10+WeightSDS!N$29*$AG37^9+WeightSDS!O$29*$AG37^8+WeightSDS!P$29*$AG37^7+WeightSDS!Q$29*$AG37^6+WeightSDS!R$29*$AG37^5+WeightSDS!S$29*$AG37^4+WeightSDS!T$29*$AG37^3+WeightSDS!U$29*$AG37^2+WeightSDS!V$29*$AG37+WeightSDS!W$29-0.010431*(1-$AG37/210),IF($AG37&lt;123,WeightSDS!M$30*$AG37^10+WeightSDS!N$30*$AG37^9+WeightSDS!O$30*$AG37^8+WeightSDS!P$30*$AG37^7+WeightSDS!Q$30*$AG37^6+WeightSDS!R$30*$AG37^5+WeightSDS!S$30*$AG37^4+WeightSDS!T$30*$AG37^3+WeightSDS!U$30*$AG37^2+WeightSDS!V$30*$AG37+WeightSDS!W$30-0.010431*(1-1/$AG37),WeightSDS!M$32+WeightSDS!N$32/(1+EXP(WeightSDS!O$32+WeightSDS!P$32*$AG37))-0.010431*(1-$AG37/210))))</f>
        <v>2.9500001032655536</v>
      </c>
      <c r="AK37" s="24">
        <f>IF(D37="M",IF($AG37&lt;162,WeightSDS!P$12*$AG37^7+WeightSDS!Q$12*$AG37^6+WeightSDS!R$12*$AG37^5+WeightSDS!S$12*$AG37^4+WeightSDS!T$12*$AG37^3+WeightSDS!U$12*$AG37^2+WeightSDS!V$12*$AG37+WeightSDS!W$12,WeightSDS!P$14*$AG37^7+WeightSDS!Q$14*$AG37^6+WeightSDS!R$14*$AG37^5+WeightSDS!S$14*$AG37^4+WeightSDS!T$14*$AG37^3+WeightSDS!U$14*$AG37^2+WeightSDS!V$14*$AG37+WeightSDS!W$14),IF($AG37&lt;156,WeightSDS!O$17*$AG37^8+WeightSDS!P$17*$AG37^7+WeightSDS!Q$17*$AG37^6+WeightSDS!R$17*$AG37^5+WeightSDS!S$17*$AG37^4+WeightSDS!T$17*$AG37^3+WeightSDS!U$17*$AG37^2+WeightSDS!V$17*$AG37+WeightSDS!W$17,IF($AG37&lt;186,WeightSDS!$U$18+(WeightSDS!$V$18-WeightSDS!$U$18)/24*($AG37-186)+WeightSDS!$W$18*(-$AG37+186)^2-0.005,WeightSDS!$U$18+(WeightSDS!$V$18-WeightSDS!$U$18)/24*($AG37-186)-0.005)))</f>
        <v>0.14604529399999999</v>
      </c>
    </row>
    <row r="38" spans="1:37">
      <c r="A38" s="4"/>
      <c r="B38" s="21"/>
      <c r="C38" s="21"/>
      <c r="D38" s="21"/>
      <c r="E38" s="22"/>
      <c r="F38" s="22"/>
      <c r="G38" s="23"/>
      <c r="H38" s="23"/>
      <c r="I38" s="8" t="str">
        <f t="shared" si="0"/>
        <v/>
      </c>
      <c r="J38" s="2" t="str">
        <f t="shared" si="4"/>
        <v/>
      </c>
      <c r="K38" s="2" t="str">
        <f t="shared" si="1"/>
        <v/>
      </c>
      <c r="L38" s="2" t="str">
        <f t="shared" si="5"/>
        <v/>
      </c>
      <c r="M38" s="2" t="str">
        <f t="shared" si="15"/>
        <v/>
      </c>
      <c r="N38" s="2" t="str">
        <f t="shared" si="7"/>
        <v/>
      </c>
      <c r="O38" s="8" t="str">
        <f t="shared" si="8"/>
        <v/>
      </c>
      <c r="P38" s="8" t="str">
        <f t="shared" si="9"/>
        <v/>
      </c>
      <c r="Q38" s="40" t="str">
        <f t="shared" si="10"/>
        <v/>
      </c>
      <c r="R38" s="48" t="str">
        <f t="shared" si="11"/>
        <v/>
      </c>
      <c r="S38" s="8"/>
      <c r="U38" s="35">
        <f t="shared" si="12"/>
        <v>0</v>
      </c>
      <c r="V38" s="24">
        <f t="shared" si="13"/>
        <v>0</v>
      </c>
      <c r="W38" s="41">
        <f t="shared" si="17"/>
        <v>0</v>
      </c>
      <c r="X38" s="31"/>
      <c r="Y38" s="31"/>
      <c r="Z38" s="31"/>
      <c r="AA38" s="25">
        <f t="shared" si="2"/>
        <v>9.0359999999999996</v>
      </c>
      <c r="AB38" s="25">
        <f t="shared" si="3"/>
        <v>-184.49199999999999</v>
      </c>
      <c r="AD38" s="24">
        <f>IF(D38="M",IF(AG38&lt;78,BMILMS!$D$5*AG38^3+BMILMS!$E$5*AG38^2+BMILMS!$F$5*AG38+BMILMS!$G$5,IF(AG38&lt;150,BMILMS!$D$6*AG38^3+BMILMS!$E$6*AG38^2+BMILMS!$F$6*AG38+BMILMS!$G$6,BMILMS!$D$7*AG38^3+BMILMS!$E$7*AG38^2+BMILMS!$F$7*AG38+BMILMS!$G$7)),IF(AG38&lt;69,BMILMS!$D$9*AG38^3+BMILMS!$E$9*AG38^2+BMILMS!$F$9*AG38+BMILMS!$G$9,IF(AG38&lt;150,BMILMS!$D$10*AG38^3+BMILMS!$E$10*AG38^2+BMILMS!$F$10*AG38+BMILMS!$G$10,BMILMS!$D$11*AG38^3+BMILMS!$E$11*AG38^2+BMILMS!$F$11*AG38+BMILMS!$G$11)))</f>
        <v>0.79584630099999998</v>
      </c>
      <c r="AE38" s="24">
        <f>IF(D38="M",(IF(AG38&lt;2.5,BMILMS!$D$21*AG38^3+BMILMS!$E$21*AG38^2+BMILMS!$F$21*AG38+BMILMS!$G$21,IF(AG38&lt;9.5,BMILMS!$D$22*AG38^3+BMILMS!$E$22*AG38^2+BMILMS!$F$22*AG38+BMILMS!$G$22,IF(AG38&lt;26.75,BMILMS!$D$23*AG38^3+BMILMS!$E$23*AG38^2+BMILMS!$F$23*AG38+BMILMS!$G$23,IF(AG38&lt;90,BMILMS!$D$24*AG38^3+BMILMS!$E$24*AG38^2+BMILMS!$F$24*AG38+BMILMS!$G$24,BMILMS!$D$25*AG38^3+BMILMS!$E$25*AG38^2+BMILMS!$F$25*AG38+BMILMS!$G$25))))),(IF(AG38&lt;2.5,BMILMS!$D$27*AG38^3+BMILMS!$E$27*AG38^2+BMILMS!$F$27*AG38+BMILMS!$G$27,IF(AG38&lt;9.5,BMILMS!$D$28*AG38^3+BMILMS!$E$28*AG38^2+BMILMS!$F$28*AG38+BMILMS!$G$28,IF(AG38&lt;26.75,BMILMS!$D$29*AG38^3+BMILMS!$E$29*AG38^2+BMILMS!$F$29*AG38+BMILMS!$G$29,IF(AG38&lt;90,BMILMS!$D$30*AG38^3+BMILMS!$E$30*AG38^2+BMILMS!$F$30*AG38+BMILMS!$G$30,IF(AG38&lt;150,BMILMS!$D$31*AG38^3+BMILMS!$E$31*AG38^2+BMILMS!$F$31*AG38+BMILMS!$G$31,BMILMS!$D$32*AG38^3+BMILMS!$E$32*AG38^2+BMILMS!$F$32*AG38+BMILMS!$G$32)))))))</f>
        <v>12.568967990000001</v>
      </c>
      <c r="AF38" s="24">
        <f>IF(D38="M",(IF(AG38&lt;90,BMILMS!$D$14*AG38^3+BMILMS!$E$14*AG38^2+BMILMS!$F$14*AG38+BMILMS!$G$14,BMILMS!$D$15*AG38^3+BMILMS!$E$15*AG38^2+BMILMS!$F$15*AG38+BMILMS!$G$15)),(IF(AG38&lt;90,BMILMS!$D$17*AG38^3+BMILMS!$E$17*AG38^2+BMILMS!$F$17*AG38+BMILMS!$G$17,BMILMS!$D$18*AG38^3+BMILMS!$E$18*AG38^2+BMILMS!$F$18*AG38+BMILMS!$G$18)))</f>
        <v>8.8969350000000003E-2</v>
      </c>
      <c r="AG38" s="24">
        <f t="shared" si="16"/>
        <v>0</v>
      </c>
      <c r="AI38" s="38">
        <f>IF(D38="M",WeightSDS!P$5*$AG38^7+WeightSDS!Q$5*$AG38^6+WeightSDS!R$5*$AG38^5+WeightSDS!S$5*$AG38^4+WeightSDS!T$5*$AG38^3+WeightSDS!U$5*$AG38^2+WeightSDS!V$5*$AG38+WeightSDS!W$5,IF($AG38&lt;186,WeightSDS!P$8*$AG38^7+WeightSDS!Q$8*$AG38^6+WeightSDS!R$8*$AG38^5+WeightSDS!S$8*$AG38^4+WeightSDS!T$8*$AG38^3+WeightSDS!U$8*$AG38^2+WeightSDS!V$8*$AG38+WeightSDS!W$8,WeightSDS!$U$9-WeightSDS!$V$9*($AG38-WeightSDS!$W$9)))</f>
        <v>0.75407122999999998</v>
      </c>
      <c r="AJ38" s="24">
        <f>IF(D38="M",IF($AG38&lt;45,WeightSDS!M$23*$AG38^10+WeightSDS!N$23*$AG38^9+WeightSDS!O$23*$AG38^8+WeightSDS!P$23*$AG38^7+WeightSDS!Q$23*$AG38^6+WeightSDS!R$23*$AG38^5+WeightSDS!S$23*$AG38^4+WeightSDS!T$23*$AG38^3+WeightSDS!U$23*$AG38^2+WeightSDS!V$23*$AG38+WeightSDS!W$23,IF($AG38&lt;153,WeightSDS!M$25*$AG38^10+WeightSDS!N$25*$AG38^9+WeightSDS!O$25*$AG38^8+WeightSDS!P$25*$AG38^7+WeightSDS!Q$25*$AG38^6+WeightSDS!R$25*$AG38^5+WeightSDS!S$25*$AG38^4+WeightSDS!T$25*$AG38^3+WeightSDS!U$25*$AG38^2+WeightSDS!V$25*$AG38+WeightSDS!W$25,WeightSDS!M$27+WeightSDS!N$27/(1+EXP(WeightSDS!O$27+WeightSDS!P$27*$AG38)))),IF($AG38&lt;43.8,WeightSDS!M$29*$AG38^10+WeightSDS!N$29*$AG38^9+WeightSDS!O$29*$AG38^8+WeightSDS!P$29*$AG38^7+WeightSDS!Q$29*$AG38^6+WeightSDS!R$29*$AG38^5+WeightSDS!S$29*$AG38^4+WeightSDS!T$29*$AG38^3+WeightSDS!U$29*$AG38^2+WeightSDS!V$29*$AG38+WeightSDS!W$29-0.010431*(1-$AG38/210),IF($AG38&lt;123,WeightSDS!M$30*$AG38^10+WeightSDS!N$30*$AG38^9+WeightSDS!O$30*$AG38^8+WeightSDS!P$30*$AG38^7+WeightSDS!Q$30*$AG38^6+WeightSDS!R$30*$AG38^5+WeightSDS!S$30*$AG38^4+WeightSDS!T$30*$AG38^3+WeightSDS!U$30*$AG38^2+WeightSDS!V$30*$AG38+WeightSDS!W$30-0.010431*(1-1/$AG38),WeightSDS!M$32+WeightSDS!N$32/(1+EXP(WeightSDS!O$32+WeightSDS!P$32*$AG38))-0.010431*(1-$AG38/210))))</f>
        <v>2.9500001032655536</v>
      </c>
      <c r="AK38" s="24">
        <f>IF(D38="M",IF($AG38&lt;162,WeightSDS!P$12*$AG38^7+WeightSDS!Q$12*$AG38^6+WeightSDS!R$12*$AG38^5+WeightSDS!S$12*$AG38^4+WeightSDS!T$12*$AG38^3+WeightSDS!U$12*$AG38^2+WeightSDS!V$12*$AG38+WeightSDS!W$12,WeightSDS!P$14*$AG38^7+WeightSDS!Q$14*$AG38^6+WeightSDS!R$14*$AG38^5+WeightSDS!S$14*$AG38^4+WeightSDS!T$14*$AG38^3+WeightSDS!U$14*$AG38^2+WeightSDS!V$14*$AG38+WeightSDS!W$14),IF($AG38&lt;156,WeightSDS!O$17*$AG38^8+WeightSDS!P$17*$AG38^7+WeightSDS!Q$17*$AG38^6+WeightSDS!R$17*$AG38^5+WeightSDS!S$17*$AG38^4+WeightSDS!T$17*$AG38^3+WeightSDS!U$17*$AG38^2+WeightSDS!V$17*$AG38+WeightSDS!W$17,IF($AG38&lt;186,WeightSDS!$U$18+(WeightSDS!$V$18-WeightSDS!$U$18)/24*($AG38-186)+WeightSDS!$W$18*(-$AG38+186)^2-0.005,WeightSDS!$U$18+(WeightSDS!$V$18-WeightSDS!$U$18)/24*($AG38-186)-0.005)))</f>
        <v>0.14604529399999999</v>
      </c>
    </row>
    <row r="39" spans="1:37">
      <c r="A39" s="4"/>
      <c r="B39" s="21"/>
      <c r="C39" s="21"/>
      <c r="D39" s="21"/>
      <c r="E39" s="22"/>
      <c r="F39" s="22"/>
      <c r="G39" s="23"/>
      <c r="H39" s="23"/>
      <c r="I39" s="8" t="str">
        <f t="shared" si="0"/>
        <v/>
      </c>
      <c r="J39" s="2" t="str">
        <f t="shared" si="4"/>
        <v/>
      </c>
      <c r="K39" s="2" t="str">
        <f t="shared" si="1"/>
        <v/>
      </c>
      <c r="L39" s="2" t="str">
        <f t="shared" si="5"/>
        <v/>
      </c>
      <c r="M39" s="2" t="str">
        <f t="shared" si="15"/>
        <v/>
      </c>
      <c r="N39" s="2" t="str">
        <f t="shared" si="7"/>
        <v/>
      </c>
      <c r="O39" s="8" t="str">
        <f t="shared" si="8"/>
        <v/>
      </c>
      <c r="P39" s="8" t="str">
        <f t="shared" si="9"/>
        <v/>
      </c>
      <c r="Q39" s="40" t="str">
        <f t="shared" si="10"/>
        <v/>
      </c>
      <c r="R39" s="48" t="str">
        <f t="shared" si="11"/>
        <v/>
      </c>
      <c r="S39" s="8"/>
      <c r="U39" s="35">
        <f t="shared" si="12"/>
        <v>0</v>
      </c>
      <c r="V39" s="24">
        <f t="shared" si="13"/>
        <v>0</v>
      </c>
      <c r="W39" s="41">
        <f t="shared" si="17"/>
        <v>0</v>
      </c>
      <c r="X39" s="31"/>
      <c r="Y39" s="31"/>
      <c r="Z39" s="31"/>
      <c r="AA39" s="25">
        <f t="shared" si="2"/>
        <v>9.0359999999999996</v>
      </c>
      <c r="AB39" s="25">
        <f t="shared" si="3"/>
        <v>-184.49199999999999</v>
      </c>
      <c r="AD39" s="24">
        <f>IF(D39="M",IF(AG39&lt;78,BMILMS!$D$5*AG39^3+BMILMS!$E$5*AG39^2+BMILMS!$F$5*AG39+BMILMS!$G$5,IF(AG39&lt;150,BMILMS!$D$6*AG39^3+BMILMS!$E$6*AG39^2+BMILMS!$F$6*AG39+BMILMS!$G$6,BMILMS!$D$7*AG39^3+BMILMS!$E$7*AG39^2+BMILMS!$F$7*AG39+BMILMS!$G$7)),IF(AG39&lt;69,BMILMS!$D$9*AG39^3+BMILMS!$E$9*AG39^2+BMILMS!$F$9*AG39+BMILMS!$G$9,IF(AG39&lt;150,BMILMS!$D$10*AG39^3+BMILMS!$E$10*AG39^2+BMILMS!$F$10*AG39+BMILMS!$G$10,BMILMS!$D$11*AG39^3+BMILMS!$E$11*AG39^2+BMILMS!$F$11*AG39+BMILMS!$G$11)))</f>
        <v>0.79584630099999998</v>
      </c>
      <c r="AE39" s="24">
        <f>IF(D39="M",(IF(AG39&lt;2.5,BMILMS!$D$21*AG39^3+BMILMS!$E$21*AG39^2+BMILMS!$F$21*AG39+BMILMS!$G$21,IF(AG39&lt;9.5,BMILMS!$D$22*AG39^3+BMILMS!$E$22*AG39^2+BMILMS!$F$22*AG39+BMILMS!$G$22,IF(AG39&lt;26.75,BMILMS!$D$23*AG39^3+BMILMS!$E$23*AG39^2+BMILMS!$F$23*AG39+BMILMS!$G$23,IF(AG39&lt;90,BMILMS!$D$24*AG39^3+BMILMS!$E$24*AG39^2+BMILMS!$F$24*AG39+BMILMS!$G$24,BMILMS!$D$25*AG39^3+BMILMS!$E$25*AG39^2+BMILMS!$F$25*AG39+BMILMS!$G$25))))),(IF(AG39&lt;2.5,BMILMS!$D$27*AG39^3+BMILMS!$E$27*AG39^2+BMILMS!$F$27*AG39+BMILMS!$G$27,IF(AG39&lt;9.5,BMILMS!$D$28*AG39^3+BMILMS!$E$28*AG39^2+BMILMS!$F$28*AG39+BMILMS!$G$28,IF(AG39&lt;26.75,BMILMS!$D$29*AG39^3+BMILMS!$E$29*AG39^2+BMILMS!$F$29*AG39+BMILMS!$G$29,IF(AG39&lt;90,BMILMS!$D$30*AG39^3+BMILMS!$E$30*AG39^2+BMILMS!$F$30*AG39+BMILMS!$G$30,IF(AG39&lt;150,BMILMS!$D$31*AG39^3+BMILMS!$E$31*AG39^2+BMILMS!$F$31*AG39+BMILMS!$G$31,BMILMS!$D$32*AG39^3+BMILMS!$E$32*AG39^2+BMILMS!$F$32*AG39+BMILMS!$G$32)))))))</f>
        <v>12.568967990000001</v>
      </c>
      <c r="AF39" s="24">
        <f>IF(D39="M",(IF(AG39&lt;90,BMILMS!$D$14*AG39^3+BMILMS!$E$14*AG39^2+BMILMS!$F$14*AG39+BMILMS!$G$14,BMILMS!$D$15*AG39^3+BMILMS!$E$15*AG39^2+BMILMS!$F$15*AG39+BMILMS!$G$15)),(IF(AG39&lt;90,BMILMS!$D$17*AG39^3+BMILMS!$E$17*AG39^2+BMILMS!$F$17*AG39+BMILMS!$G$17,BMILMS!$D$18*AG39^3+BMILMS!$E$18*AG39^2+BMILMS!$F$18*AG39+BMILMS!$G$18)))</f>
        <v>8.8969350000000003E-2</v>
      </c>
      <c r="AG39" s="24">
        <f t="shared" si="16"/>
        <v>0</v>
      </c>
      <c r="AI39" s="38">
        <f>IF(D39="M",WeightSDS!P$5*$AG39^7+WeightSDS!Q$5*$AG39^6+WeightSDS!R$5*$AG39^5+WeightSDS!S$5*$AG39^4+WeightSDS!T$5*$AG39^3+WeightSDS!U$5*$AG39^2+WeightSDS!V$5*$AG39+WeightSDS!W$5,IF($AG39&lt;186,WeightSDS!P$8*$AG39^7+WeightSDS!Q$8*$AG39^6+WeightSDS!R$8*$AG39^5+WeightSDS!S$8*$AG39^4+WeightSDS!T$8*$AG39^3+WeightSDS!U$8*$AG39^2+WeightSDS!V$8*$AG39+WeightSDS!W$8,WeightSDS!$U$9-WeightSDS!$V$9*($AG39-WeightSDS!$W$9)))</f>
        <v>0.75407122999999998</v>
      </c>
      <c r="AJ39" s="24">
        <f>IF(D39="M",IF($AG39&lt;45,WeightSDS!M$23*$AG39^10+WeightSDS!N$23*$AG39^9+WeightSDS!O$23*$AG39^8+WeightSDS!P$23*$AG39^7+WeightSDS!Q$23*$AG39^6+WeightSDS!R$23*$AG39^5+WeightSDS!S$23*$AG39^4+WeightSDS!T$23*$AG39^3+WeightSDS!U$23*$AG39^2+WeightSDS!V$23*$AG39+WeightSDS!W$23,IF($AG39&lt;153,WeightSDS!M$25*$AG39^10+WeightSDS!N$25*$AG39^9+WeightSDS!O$25*$AG39^8+WeightSDS!P$25*$AG39^7+WeightSDS!Q$25*$AG39^6+WeightSDS!R$25*$AG39^5+WeightSDS!S$25*$AG39^4+WeightSDS!T$25*$AG39^3+WeightSDS!U$25*$AG39^2+WeightSDS!V$25*$AG39+WeightSDS!W$25,WeightSDS!M$27+WeightSDS!N$27/(1+EXP(WeightSDS!O$27+WeightSDS!P$27*$AG39)))),IF($AG39&lt;43.8,WeightSDS!M$29*$AG39^10+WeightSDS!N$29*$AG39^9+WeightSDS!O$29*$AG39^8+WeightSDS!P$29*$AG39^7+WeightSDS!Q$29*$AG39^6+WeightSDS!R$29*$AG39^5+WeightSDS!S$29*$AG39^4+WeightSDS!T$29*$AG39^3+WeightSDS!U$29*$AG39^2+WeightSDS!V$29*$AG39+WeightSDS!W$29-0.010431*(1-$AG39/210),IF($AG39&lt;123,WeightSDS!M$30*$AG39^10+WeightSDS!N$30*$AG39^9+WeightSDS!O$30*$AG39^8+WeightSDS!P$30*$AG39^7+WeightSDS!Q$30*$AG39^6+WeightSDS!R$30*$AG39^5+WeightSDS!S$30*$AG39^4+WeightSDS!T$30*$AG39^3+WeightSDS!U$30*$AG39^2+WeightSDS!V$30*$AG39+WeightSDS!W$30-0.010431*(1-1/$AG39),WeightSDS!M$32+WeightSDS!N$32/(1+EXP(WeightSDS!O$32+WeightSDS!P$32*$AG39))-0.010431*(1-$AG39/210))))</f>
        <v>2.9500001032655536</v>
      </c>
      <c r="AK39" s="24">
        <f>IF(D39="M",IF($AG39&lt;162,WeightSDS!P$12*$AG39^7+WeightSDS!Q$12*$AG39^6+WeightSDS!R$12*$AG39^5+WeightSDS!S$12*$AG39^4+WeightSDS!T$12*$AG39^3+WeightSDS!U$12*$AG39^2+WeightSDS!V$12*$AG39+WeightSDS!W$12,WeightSDS!P$14*$AG39^7+WeightSDS!Q$14*$AG39^6+WeightSDS!R$14*$AG39^5+WeightSDS!S$14*$AG39^4+WeightSDS!T$14*$AG39^3+WeightSDS!U$14*$AG39^2+WeightSDS!V$14*$AG39+WeightSDS!W$14),IF($AG39&lt;156,WeightSDS!O$17*$AG39^8+WeightSDS!P$17*$AG39^7+WeightSDS!Q$17*$AG39^6+WeightSDS!R$17*$AG39^5+WeightSDS!S$17*$AG39^4+WeightSDS!T$17*$AG39^3+WeightSDS!U$17*$AG39^2+WeightSDS!V$17*$AG39+WeightSDS!W$17,IF($AG39&lt;186,WeightSDS!$U$18+(WeightSDS!$V$18-WeightSDS!$U$18)/24*($AG39-186)+WeightSDS!$W$18*(-$AG39+186)^2-0.005,WeightSDS!$U$18+(WeightSDS!$V$18-WeightSDS!$U$18)/24*($AG39-186)-0.005)))</f>
        <v>0.14604529399999999</v>
      </c>
    </row>
    <row r="40" spans="1:37">
      <c r="A40" s="4"/>
      <c r="B40" s="21"/>
      <c r="C40" s="21"/>
      <c r="D40" s="21"/>
      <c r="E40" s="22"/>
      <c r="F40" s="22"/>
      <c r="G40" s="23"/>
      <c r="H40" s="23"/>
      <c r="I40" s="8" t="str">
        <f t="shared" si="0"/>
        <v/>
      </c>
      <c r="J40" s="2" t="str">
        <f t="shared" si="4"/>
        <v/>
      </c>
      <c r="K40" s="2" t="str">
        <f t="shared" si="1"/>
        <v/>
      </c>
      <c r="L40" s="2" t="str">
        <f t="shared" si="5"/>
        <v/>
      </c>
      <c r="M40" s="2" t="str">
        <f t="shared" si="15"/>
        <v/>
      </c>
      <c r="N40" s="2" t="str">
        <f t="shared" si="7"/>
        <v/>
      </c>
      <c r="O40" s="8" t="str">
        <f t="shared" si="8"/>
        <v/>
      </c>
      <c r="P40" s="8" t="str">
        <f t="shared" si="9"/>
        <v/>
      </c>
      <c r="Q40" s="40" t="str">
        <f t="shared" si="10"/>
        <v/>
      </c>
      <c r="R40" s="48" t="str">
        <f t="shared" si="11"/>
        <v/>
      </c>
      <c r="S40" s="8"/>
      <c r="U40" s="35">
        <f t="shared" si="12"/>
        <v>0</v>
      </c>
      <c r="V40" s="24">
        <f t="shared" si="13"/>
        <v>0</v>
      </c>
      <c r="W40" s="41">
        <f t="shared" si="17"/>
        <v>0</v>
      </c>
      <c r="X40" s="31"/>
      <c r="Y40" s="31"/>
      <c r="Z40" s="31"/>
      <c r="AA40" s="25">
        <f t="shared" si="2"/>
        <v>9.0359999999999996</v>
      </c>
      <c r="AB40" s="25">
        <f t="shared" si="3"/>
        <v>-184.49199999999999</v>
      </c>
      <c r="AD40" s="24">
        <f>IF(D40="M",IF(AG40&lt;78,BMILMS!$D$5*AG40^3+BMILMS!$E$5*AG40^2+BMILMS!$F$5*AG40+BMILMS!$G$5,IF(AG40&lt;150,BMILMS!$D$6*AG40^3+BMILMS!$E$6*AG40^2+BMILMS!$F$6*AG40+BMILMS!$G$6,BMILMS!$D$7*AG40^3+BMILMS!$E$7*AG40^2+BMILMS!$F$7*AG40+BMILMS!$G$7)),IF(AG40&lt;69,BMILMS!$D$9*AG40^3+BMILMS!$E$9*AG40^2+BMILMS!$F$9*AG40+BMILMS!$G$9,IF(AG40&lt;150,BMILMS!$D$10*AG40^3+BMILMS!$E$10*AG40^2+BMILMS!$F$10*AG40+BMILMS!$G$10,BMILMS!$D$11*AG40^3+BMILMS!$E$11*AG40^2+BMILMS!$F$11*AG40+BMILMS!$G$11)))</f>
        <v>0.79584630099999998</v>
      </c>
      <c r="AE40" s="24">
        <f>IF(D40="M",(IF(AG40&lt;2.5,BMILMS!$D$21*AG40^3+BMILMS!$E$21*AG40^2+BMILMS!$F$21*AG40+BMILMS!$G$21,IF(AG40&lt;9.5,BMILMS!$D$22*AG40^3+BMILMS!$E$22*AG40^2+BMILMS!$F$22*AG40+BMILMS!$G$22,IF(AG40&lt;26.75,BMILMS!$D$23*AG40^3+BMILMS!$E$23*AG40^2+BMILMS!$F$23*AG40+BMILMS!$G$23,IF(AG40&lt;90,BMILMS!$D$24*AG40^3+BMILMS!$E$24*AG40^2+BMILMS!$F$24*AG40+BMILMS!$G$24,BMILMS!$D$25*AG40^3+BMILMS!$E$25*AG40^2+BMILMS!$F$25*AG40+BMILMS!$G$25))))),(IF(AG40&lt;2.5,BMILMS!$D$27*AG40^3+BMILMS!$E$27*AG40^2+BMILMS!$F$27*AG40+BMILMS!$G$27,IF(AG40&lt;9.5,BMILMS!$D$28*AG40^3+BMILMS!$E$28*AG40^2+BMILMS!$F$28*AG40+BMILMS!$G$28,IF(AG40&lt;26.75,BMILMS!$D$29*AG40^3+BMILMS!$E$29*AG40^2+BMILMS!$F$29*AG40+BMILMS!$G$29,IF(AG40&lt;90,BMILMS!$D$30*AG40^3+BMILMS!$E$30*AG40^2+BMILMS!$F$30*AG40+BMILMS!$G$30,IF(AG40&lt;150,BMILMS!$D$31*AG40^3+BMILMS!$E$31*AG40^2+BMILMS!$F$31*AG40+BMILMS!$G$31,BMILMS!$D$32*AG40^3+BMILMS!$E$32*AG40^2+BMILMS!$F$32*AG40+BMILMS!$G$32)))))))</f>
        <v>12.568967990000001</v>
      </c>
      <c r="AF40" s="24">
        <f>IF(D40="M",(IF(AG40&lt;90,BMILMS!$D$14*AG40^3+BMILMS!$E$14*AG40^2+BMILMS!$F$14*AG40+BMILMS!$G$14,BMILMS!$D$15*AG40^3+BMILMS!$E$15*AG40^2+BMILMS!$F$15*AG40+BMILMS!$G$15)),(IF(AG40&lt;90,BMILMS!$D$17*AG40^3+BMILMS!$E$17*AG40^2+BMILMS!$F$17*AG40+BMILMS!$G$17,BMILMS!$D$18*AG40^3+BMILMS!$E$18*AG40^2+BMILMS!$F$18*AG40+BMILMS!$G$18)))</f>
        <v>8.8969350000000003E-2</v>
      </c>
      <c r="AG40" s="24">
        <f t="shared" si="16"/>
        <v>0</v>
      </c>
      <c r="AI40" s="38">
        <f>IF(D40="M",WeightSDS!P$5*$AG40^7+WeightSDS!Q$5*$AG40^6+WeightSDS!R$5*$AG40^5+WeightSDS!S$5*$AG40^4+WeightSDS!T$5*$AG40^3+WeightSDS!U$5*$AG40^2+WeightSDS!V$5*$AG40+WeightSDS!W$5,IF($AG40&lt;186,WeightSDS!P$8*$AG40^7+WeightSDS!Q$8*$AG40^6+WeightSDS!R$8*$AG40^5+WeightSDS!S$8*$AG40^4+WeightSDS!T$8*$AG40^3+WeightSDS!U$8*$AG40^2+WeightSDS!V$8*$AG40+WeightSDS!W$8,WeightSDS!$U$9-WeightSDS!$V$9*($AG40-WeightSDS!$W$9)))</f>
        <v>0.75407122999999998</v>
      </c>
      <c r="AJ40" s="24">
        <f>IF(D40="M",IF($AG40&lt;45,WeightSDS!M$23*$AG40^10+WeightSDS!N$23*$AG40^9+WeightSDS!O$23*$AG40^8+WeightSDS!P$23*$AG40^7+WeightSDS!Q$23*$AG40^6+WeightSDS!R$23*$AG40^5+WeightSDS!S$23*$AG40^4+WeightSDS!T$23*$AG40^3+WeightSDS!U$23*$AG40^2+WeightSDS!V$23*$AG40+WeightSDS!W$23,IF($AG40&lt;153,WeightSDS!M$25*$AG40^10+WeightSDS!N$25*$AG40^9+WeightSDS!O$25*$AG40^8+WeightSDS!P$25*$AG40^7+WeightSDS!Q$25*$AG40^6+WeightSDS!R$25*$AG40^5+WeightSDS!S$25*$AG40^4+WeightSDS!T$25*$AG40^3+WeightSDS!U$25*$AG40^2+WeightSDS!V$25*$AG40+WeightSDS!W$25,WeightSDS!M$27+WeightSDS!N$27/(1+EXP(WeightSDS!O$27+WeightSDS!P$27*$AG40)))),IF($AG40&lt;43.8,WeightSDS!M$29*$AG40^10+WeightSDS!N$29*$AG40^9+WeightSDS!O$29*$AG40^8+WeightSDS!P$29*$AG40^7+WeightSDS!Q$29*$AG40^6+WeightSDS!R$29*$AG40^5+WeightSDS!S$29*$AG40^4+WeightSDS!T$29*$AG40^3+WeightSDS!U$29*$AG40^2+WeightSDS!V$29*$AG40+WeightSDS!W$29-0.010431*(1-$AG40/210),IF($AG40&lt;123,WeightSDS!M$30*$AG40^10+WeightSDS!N$30*$AG40^9+WeightSDS!O$30*$AG40^8+WeightSDS!P$30*$AG40^7+WeightSDS!Q$30*$AG40^6+WeightSDS!R$30*$AG40^5+WeightSDS!S$30*$AG40^4+WeightSDS!T$30*$AG40^3+WeightSDS!U$30*$AG40^2+WeightSDS!V$30*$AG40+WeightSDS!W$30-0.010431*(1-1/$AG40),WeightSDS!M$32+WeightSDS!N$32/(1+EXP(WeightSDS!O$32+WeightSDS!P$32*$AG40))-0.010431*(1-$AG40/210))))</f>
        <v>2.9500001032655536</v>
      </c>
      <c r="AK40" s="24">
        <f>IF(D40="M",IF($AG40&lt;162,WeightSDS!P$12*$AG40^7+WeightSDS!Q$12*$AG40^6+WeightSDS!R$12*$AG40^5+WeightSDS!S$12*$AG40^4+WeightSDS!T$12*$AG40^3+WeightSDS!U$12*$AG40^2+WeightSDS!V$12*$AG40+WeightSDS!W$12,WeightSDS!P$14*$AG40^7+WeightSDS!Q$14*$AG40^6+WeightSDS!R$14*$AG40^5+WeightSDS!S$14*$AG40^4+WeightSDS!T$14*$AG40^3+WeightSDS!U$14*$AG40^2+WeightSDS!V$14*$AG40+WeightSDS!W$14),IF($AG40&lt;156,WeightSDS!O$17*$AG40^8+WeightSDS!P$17*$AG40^7+WeightSDS!Q$17*$AG40^6+WeightSDS!R$17*$AG40^5+WeightSDS!S$17*$AG40^4+WeightSDS!T$17*$AG40^3+WeightSDS!U$17*$AG40^2+WeightSDS!V$17*$AG40+WeightSDS!W$17,IF($AG40&lt;186,WeightSDS!$U$18+(WeightSDS!$V$18-WeightSDS!$U$18)/24*($AG40-186)+WeightSDS!$W$18*(-$AG40+186)^2-0.005,WeightSDS!$U$18+(WeightSDS!$V$18-WeightSDS!$U$18)/24*($AG40-186)-0.005)))</f>
        <v>0.14604529399999999</v>
      </c>
    </row>
    <row r="41" spans="1:37">
      <c r="A41" s="4"/>
      <c r="B41" s="21"/>
      <c r="C41" s="21"/>
      <c r="D41" s="21"/>
      <c r="E41" s="22"/>
      <c r="F41" s="22"/>
      <c r="G41" s="23"/>
      <c r="H41" s="23"/>
      <c r="I41" s="8" t="str">
        <f t="shared" si="0"/>
        <v/>
      </c>
      <c r="J41" s="2" t="str">
        <f t="shared" si="4"/>
        <v/>
      </c>
      <c r="K41" s="2" t="str">
        <f t="shared" si="1"/>
        <v/>
      </c>
      <c r="L41" s="2" t="str">
        <f t="shared" si="5"/>
        <v/>
      </c>
      <c r="M41" s="2" t="str">
        <f t="shared" si="15"/>
        <v/>
      </c>
      <c r="N41" s="2" t="str">
        <f t="shared" si="7"/>
        <v/>
      </c>
      <c r="O41" s="8" t="str">
        <f t="shared" si="8"/>
        <v/>
      </c>
      <c r="P41" s="8" t="str">
        <f t="shared" si="9"/>
        <v/>
      </c>
      <c r="Q41" s="40" t="str">
        <f t="shared" si="10"/>
        <v/>
      </c>
      <c r="R41" s="48" t="str">
        <f t="shared" si="11"/>
        <v/>
      </c>
      <c r="S41" s="8"/>
      <c r="U41" s="35">
        <f t="shared" si="12"/>
        <v>0</v>
      </c>
      <c r="V41" s="24">
        <f t="shared" si="13"/>
        <v>0</v>
      </c>
      <c r="W41" s="41">
        <f t="shared" si="17"/>
        <v>0</v>
      </c>
      <c r="X41" s="31"/>
      <c r="Y41" s="31"/>
      <c r="Z41" s="31"/>
      <c r="AA41" s="25">
        <f t="shared" si="2"/>
        <v>9.0359999999999996</v>
      </c>
      <c r="AB41" s="25">
        <f t="shared" si="3"/>
        <v>-184.49199999999999</v>
      </c>
      <c r="AD41" s="24">
        <f>IF(D41="M",IF(AG41&lt;78,BMILMS!$D$5*AG41^3+BMILMS!$E$5*AG41^2+BMILMS!$F$5*AG41+BMILMS!$G$5,IF(AG41&lt;150,BMILMS!$D$6*AG41^3+BMILMS!$E$6*AG41^2+BMILMS!$F$6*AG41+BMILMS!$G$6,BMILMS!$D$7*AG41^3+BMILMS!$E$7*AG41^2+BMILMS!$F$7*AG41+BMILMS!$G$7)),IF(AG41&lt;69,BMILMS!$D$9*AG41^3+BMILMS!$E$9*AG41^2+BMILMS!$F$9*AG41+BMILMS!$G$9,IF(AG41&lt;150,BMILMS!$D$10*AG41^3+BMILMS!$E$10*AG41^2+BMILMS!$F$10*AG41+BMILMS!$G$10,BMILMS!$D$11*AG41^3+BMILMS!$E$11*AG41^2+BMILMS!$F$11*AG41+BMILMS!$G$11)))</f>
        <v>0.79584630099999998</v>
      </c>
      <c r="AE41" s="24">
        <f>IF(D41="M",(IF(AG41&lt;2.5,BMILMS!$D$21*AG41^3+BMILMS!$E$21*AG41^2+BMILMS!$F$21*AG41+BMILMS!$G$21,IF(AG41&lt;9.5,BMILMS!$D$22*AG41^3+BMILMS!$E$22*AG41^2+BMILMS!$F$22*AG41+BMILMS!$G$22,IF(AG41&lt;26.75,BMILMS!$D$23*AG41^3+BMILMS!$E$23*AG41^2+BMILMS!$F$23*AG41+BMILMS!$G$23,IF(AG41&lt;90,BMILMS!$D$24*AG41^3+BMILMS!$E$24*AG41^2+BMILMS!$F$24*AG41+BMILMS!$G$24,BMILMS!$D$25*AG41^3+BMILMS!$E$25*AG41^2+BMILMS!$F$25*AG41+BMILMS!$G$25))))),(IF(AG41&lt;2.5,BMILMS!$D$27*AG41^3+BMILMS!$E$27*AG41^2+BMILMS!$F$27*AG41+BMILMS!$G$27,IF(AG41&lt;9.5,BMILMS!$D$28*AG41^3+BMILMS!$E$28*AG41^2+BMILMS!$F$28*AG41+BMILMS!$G$28,IF(AG41&lt;26.75,BMILMS!$D$29*AG41^3+BMILMS!$E$29*AG41^2+BMILMS!$F$29*AG41+BMILMS!$G$29,IF(AG41&lt;90,BMILMS!$D$30*AG41^3+BMILMS!$E$30*AG41^2+BMILMS!$F$30*AG41+BMILMS!$G$30,IF(AG41&lt;150,BMILMS!$D$31*AG41^3+BMILMS!$E$31*AG41^2+BMILMS!$F$31*AG41+BMILMS!$G$31,BMILMS!$D$32*AG41^3+BMILMS!$E$32*AG41^2+BMILMS!$F$32*AG41+BMILMS!$G$32)))))))</f>
        <v>12.568967990000001</v>
      </c>
      <c r="AF41" s="24">
        <f>IF(D41="M",(IF(AG41&lt;90,BMILMS!$D$14*AG41^3+BMILMS!$E$14*AG41^2+BMILMS!$F$14*AG41+BMILMS!$G$14,BMILMS!$D$15*AG41^3+BMILMS!$E$15*AG41^2+BMILMS!$F$15*AG41+BMILMS!$G$15)),(IF(AG41&lt;90,BMILMS!$D$17*AG41^3+BMILMS!$E$17*AG41^2+BMILMS!$F$17*AG41+BMILMS!$G$17,BMILMS!$D$18*AG41^3+BMILMS!$E$18*AG41^2+BMILMS!$F$18*AG41+BMILMS!$G$18)))</f>
        <v>8.8969350000000003E-2</v>
      </c>
      <c r="AG41" s="24">
        <f t="shared" si="16"/>
        <v>0</v>
      </c>
      <c r="AI41" s="38">
        <f>IF(D41="M",WeightSDS!P$5*$AG41^7+WeightSDS!Q$5*$AG41^6+WeightSDS!R$5*$AG41^5+WeightSDS!S$5*$AG41^4+WeightSDS!T$5*$AG41^3+WeightSDS!U$5*$AG41^2+WeightSDS!V$5*$AG41+WeightSDS!W$5,IF($AG41&lt;186,WeightSDS!P$8*$AG41^7+WeightSDS!Q$8*$AG41^6+WeightSDS!R$8*$AG41^5+WeightSDS!S$8*$AG41^4+WeightSDS!T$8*$AG41^3+WeightSDS!U$8*$AG41^2+WeightSDS!V$8*$AG41+WeightSDS!W$8,WeightSDS!$U$9-WeightSDS!$V$9*($AG41-WeightSDS!$W$9)))</f>
        <v>0.75407122999999998</v>
      </c>
      <c r="AJ41" s="24">
        <f>IF(D41="M",IF($AG41&lt;45,WeightSDS!M$23*$AG41^10+WeightSDS!N$23*$AG41^9+WeightSDS!O$23*$AG41^8+WeightSDS!P$23*$AG41^7+WeightSDS!Q$23*$AG41^6+WeightSDS!R$23*$AG41^5+WeightSDS!S$23*$AG41^4+WeightSDS!T$23*$AG41^3+WeightSDS!U$23*$AG41^2+WeightSDS!V$23*$AG41+WeightSDS!W$23,IF($AG41&lt;153,WeightSDS!M$25*$AG41^10+WeightSDS!N$25*$AG41^9+WeightSDS!O$25*$AG41^8+WeightSDS!P$25*$AG41^7+WeightSDS!Q$25*$AG41^6+WeightSDS!R$25*$AG41^5+WeightSDS!S$25*$AG41^4+WeightSDS!T$25*$AG41^3+WeightSDS!U$25*$AG41^2+WeightSDS!V$25*$AG41+WeightSDS!W$25,WeightSDS!M$27+WeightSDS!N$27/(1+EXP(WeightSDS!O$27+WeightSDS!P$27*$AG41)))),IF($AG41&lt;43.8,WeightSDS!M$29*$AG41^10+WeightSDS!N$29*$AG41^9+WeightSDS!O$29*$AG41^8+WeightSDS!P$29*$AG41^7+WeightSDS!Q$29*$AG41^6+WeightSDS!R$29*$AG41^5+WeightSDS!S$29*$AG41^4+WeightSDS!T$29*$AG41^3+WeightSDS!U$29*$AG41^2+WeightSDS!V$29*$AG41+WeightSDS!W$29-0.010431*(1-$AG41/210),IF($AG41&lt;123,WeightSDS!M$30*$AG41^10+WeightSDS!N$30*$AG41^9+WeightSDS!O$30*$AG41^8+WeightSDS!P$30*$AG41^7+WeightSDS!Q$30*$AG41^6+WeightSDS!R$30*$AG41^5+WeightSDS!S$30*$AG41^4+WeightSDS!T$30*$AG41^3+WeightSDS!U$30*$AG41^2+WeightSDS!V$30*$AG41+WeightSDS!W$30-0.010431*(1-1/$AG41),WeightSDS!M$32+WeightSDS!N$32/(1+EXP(WeightSDS!O$32+WeightSDS!P$32*$AG41))-0.010431*(1-$AG41/210))))</f>
        <v>2.9500001032655536</v>
      </c>
      <c r="AK41" s="24">
        <f>IF(D41="M",IF($AG41&lt;162,WeightSDS!P$12*$AG41^7+WeightSDS!Q$12*$AG41^6+WeightSDS!R$12*$AG41^5+WeightSDS!S$12*$AG41^4+WeightSDS!T$12*$AG41^3+WeightSDS!U$12*$AG41^2+WeightSDS!V$12*$AG41+WeightSDS!W$12,WeightSDS!P$14*$AG41^7+WeightSDS!Q$14*$AG41^6+WeightSDS!R$14*$AG41^5+WeightSDS!S$14*$AG41^4+WeightSDS!T$14*$AG41^3+WeightSDS!U$14*$AG41^2+WeightSDS!V$14*$AG41+WeightSDS!W$14),IF($AG41&lt;156,WeightSDS!O$17*$AG41^8+WeightSDS!P$17*$AG41^7+WeightSDS!Q$17*$AG41^6+WeightSDS!R$17*$AG41^5+WeightSDS!S$17*$AG41^4+WeightSDS!T$17*$AG41^3+WeightSDS!U$17*$AG41^2+WeightSDS!V$17*$AG41+WeightSDS!W$17,IF($AG41&lt;186,WeightSDS!$U$18+(WeightSDS!$V$18-WeightSDS!$U$18)/24*($AG41-186)+WeightSDS!$W$18*(-$AG41+186)^2-0.005,WeightSDS!$U$18+(WeightSDS!$V$18-WeightSDS!$U$18)/24*($AG41-186)-0.005)))</f>
        <v>0.14604529399999999</v>
      </c>
    </row>
    <row r="42" spans="1:37">
      <c r="A42" s="4"/>
      <c r="B42" s="21"/>
      <c r="C42" s="21"/>
      <c r="D42" s="21"/>
      <c r="E42" s="22"/>
      <c r="F42" s="22"/>
      <c r="G42" s="23"/>
      <c r="H42" s="23"/>
      <c r="I42" s="8" t="str">
        <f t="shared" si="0"/>
        <v/>
      </c>
      <c r="J42" s="2" t="str">
        <f t="shared" si="4"/>
        <v/>
      </c>
      <c r="K42" s="2" t="str">
        <f t="shared" si="1"/>
        <v/>
      </c>
      <c r="L42" s="2" t="str">
        <f t="shared" si="5"/>
        <v/>
      </c>
      <c r="M42" s="2" t="str">
        <f t="shared" si="15"/>
        <v/>
      </c>
      <c r="N42" s="2" t="str">
        <f t="shared" si="7"/>
        <v/>
      </c>
      <c r="O42" s="8" t="str">
        <f t="shared" si="8"/>
        <v/>
      </c>
      <c r="P42" s="8" t="str">
        <f t="shared" si="9"/>
        <v/>
      </c>
      <c r="Q42" s="40" t="str">
        <f t="shared" si="10"/>
        <v/>
      </c>
      <c r="R42" s="48" t="str">
        <f t="shared" si="11"/>
        <v/>
      </c>
      <c r="S42" s="8"/>
      <c r="U42" s="35">
        <f t="shared" si="12"/>
        <v>0</v>
      </c>
      <c r="V42" s="24">
        <f t="shared" si="13"/>
        <v>0</v>
      </c>
      <c r="W42" s="41">
        <f t="shared" si="17"/>
        <v>0</v>
      </c>
      <c r="X42" s="31"/>
      <c r="Y42" s="31"/>
      <c r="Z42" s="31"/>
      <c r="AA42" s="25">
        <f t="shared" si="2"/>
        <v>9.0359999999999996</v>
      </c>
      <c r="AB42" s="25">
        <f t="shared" si="3"/>
        <v>-184.49199999999999</v>
      </c>
      <c r="AD42" s="24">
        <f>IF(D42="M",IF(AG42&lt;78,BMILMS!$D$5*AG42^3+BMILMS!$E$5*AG42^2+BMILMS!$F$5*AG42+BMILMS!$G$5,IF(AG42&lt;150,BMILMS!$D$6*AG42^3+BMILMS!$E$6*AG42^2+BMILMS!$F$6*AG42+BMILMS!$G$6,BMILMS!$D$7*AG42^3+BMILMS!$E$7*AG42^2+BMILMS!$F$7*AG42+BMILMS!$G$7)),IF(AG42&lt;69,BMILMS!$D$9*AG42^3+BMILMS!$E$9*AG42^2+BMILMS!$F$9*AG42+BMILMS!$G$9,IF(AG42&lt;150,BMILMS!$D$10*AG42^3+BMILMS!$E$10*AG42^2+BMILMS!$F$10*AG42+BMILMS!$G$10,BMILMS!$D$11*AG42^3+BMILMS!$E$11*AG42^2+BMILMS!$F$11*AG42+BMILMS!$G$11)))</f>
        <v>0.79584630099999998</v>
      </c>
      <c r="AE42" s="24">
        <f>IF(D42="M",(IF(AG42&lt;2.5,BMILMS!$D$21*AG42^3+BMILMS!$E$21*AG42^2+BMILMS!$F$21*AG42+BMILMS!$G$21,IF(AG42&lt;9.5,BMILMS!$D$22*AG42^3+BMILMS!$E$22*AG42^2+BMILMS!$F$22*AG42+BMILMS!$G$22,IF(AG42&lt;26.75,BMILMS!$D$23*AG42^3+BMILMS!$E$23*AG42^2+BMILMS!$F$23*AG42+BMILMS!$G$23,IF(AG42&lt;90,BMILMS!$D$24*AG42^3+BMILMS!$E$24*AG42^2+BMILMS!$F$24*AG42+BMILMS!$G$24,BMILMS!$D$25*AG42^3+BMILMS!$E$25*AG42^2+BMILMS!$F$25*AG42+BMILMS!$G$25))))),(IF(AG42&lt;2.5,BMILMS!$D$27*AG42^3+BMILMS!$E$27*AG42^2+BMILMS!$F$27*AG42+BMILMS!$G$27,IF(AG42&lt;9.5,BMILMS!$D$28*AG42^3+BMILMS!$E$28*AG42^2+BMILMS!$F$28*AG42+BMILMS!$G$28,IF(AG42&lt;26.75,BMILMS!$D$29*AG42^3+BMILMS!$E$29*AG42^2+BMILMS!$F$29*AG42+BMILMS!$G$29,IF(AG42&lt;90,BMILMS!$D$30*AG42^3+BMILMS!$E$30*AG42^2+BMILMS!$F$30*AG42+BMILMS!$G$30,IF(AG42&lt;150,BMILMS!$D$31*AG42^3+BMILMS!$E$31*AG42^2+BMILMS!$F$31*AG42+BMILMS!$G$31,BMILMS!$D$32*AG42^3+BMILMS!$E$32*AG42^2+BMILMS!$F$32*AG42+BMILMS!$G$32)))))))</f>
        <v>12.568967990000001</v>
      </c>
      <c r="AF42" s="24">
        <f>IF(D42="M",(IF(AG42&lt;90,BMILMS!$D$14*AG42^3+BMILMS!$E$14*AG42^2+BMILMS!$F$14*AG42+BMILMS!$G$14,BMILMS!$D$15*AG42^3+BMILMS!$E$15*AG42^2+BMILMS!$F$15*AG42+BMILMS!$G$15)),(IF(AG42&lt;90,BMILMS!$D$17*AG42^3+BMILMS!$E$17*AG42^2+BMILMS!$F$17*AG42+BMILMS!$G$17,BMILMS!$D$18*AG42^3+BMILMS!$E$18*AG42^2+BMILMS!$F$18*AG42+BMILMS!$G$18)))</f>
        <v>8.8969350000000003E-2</v>
      </c>
      <c r="AG42" s="24">
        <f t="shared" si="16"/>
        <v>0</v>
      </c>
      <c r="AI42" s="38">
        <f>IF(D42="M",WeightSDS!P$5*$AG42^7+WeightSDS!Q$5*$AG42^6+WeightSDS!R$5*$AG42^5+WeightSDS!S$5*$AG42^4+WeightSDS!T$5*$AG42^3+WeightSDS!U$5*$AG42^2+WeightSDS!V$5*$AG42+WeightSDS!W$5,IF($AG42&lt;186,WeightSDS!P$8*$AG42^7+WeightSDS!Q$8*$AG42^6+WeightSDS!R$8*$AG42^5+WeightSDS!S$8*$AG42^4+WeightSDS!T$8*$AG42^3+WeightSDS!U$8*$AG42^2+WeightSDS!V$8*$AG42+WeightSDS!W$8,WeightSDS!$U$9-WeightSDS!$V$9*($AG42-WeightSDS!$W$9)))</f>
        <v>0.75407122999999998</v>
      </c>
      <c r="AJ42" s="24">
        <f>IF(D42="M",IF($AG42&lt;45,WeightSDS!M$23*$AG42^10+WeightSDS!N$23*$AG42^9+WeightSDS!O$23*$AG42^8+WeightSDS!P$23*$AG42^7+WeightSDS!Q$23*$AG42^6+WeightSDS!R$23*$AG42^5+WeightSDS!S$23*$AG42^4+WeightSDS!T$23*$AG42^3+WeightSDS!U$23*$AG42^2+WeightSDS!V$23*$AG42+WeightSDS!W$23,IF($AG42&lt;153,WeightSDS!M$25*$AG42^10+WeightSDS!N$25*$AG42^9+WeightSDS!O$25*$AG42^8+WeightSDS!P$25*$AG42^7+WeightSDS!Q$25*$AG42^6+WeightSDS!R$25*$AG42^5+WeightSDS!S$25*$AG42^4+WeightSDS!T$25*$AG42^3+WeightSDS!U$25*$AG42^2+WeightSDS!V$25*$AG42+WeightSDS!W$25,WeightSDS!M$27+WeightSDS!N$27/(1+EXP(WeightSDS!O$27+WeightSDS!P$27*$AG42)))),IF($AG42&lt;43.8,WeightSDS!M$29*$AG42^10+WeightSDS!N$29*$AG42^9+WeightSDS!O$29*$AG42^8+WeightSDS!P$29*$AG42^7+WeightSDS!Q$29*$AG42^6+WeightSDS!R$29*$AG42^5+WeightSDS!S$29*$AG42^4+WeightSDS!T$29*$AG42^3+WeightSDS!U$29*$AG42^2+WeightSDS!V$29*$AG42+WeightSDS!W$29-0.010431*(1-$AG42/210),IF($AG42&lt;123,WeightSDS!M$30*$AG42^10+WeightSDS!N$30*$AG42^9+WeightSDS!O$30*$AG42^8+WeightSDS!P$30*$AG42^7+WeightSDS!Q$30*$AG42^6+WeightSDS!R$30*$AG42^5+WeightSDS!S$30*$AG42^4+WeightSDS!T$30*$AG42^3+WeightSDS!U$30*$AG42^2+WeightSDS!V$30*$AG42+WeightSDS!W$30-0.010431*(1-1/$AG42),WeightSDS!M$32+WeightSDS!N$32/(1+EXP(WeightSDS!O$32+WeightSDS!P$32*$AG42))-0.010431*(1-$AG42/210))))</f>
        <v>2.9500001032655536</v>
      </c>
      <c r="AK42" s="24">
        <f>IF(D42="M",IF($AG42&lt;162,WeightSDS!P$12*$AG42^7+WeightSDS!Q$12*$AG42^6+WeightSDS!R$12*$AG42^5+WeightSDS!S$12*$AG42^4+WeightSDS!T$12*$AG42^3+WeightSDS!U$12*$AG42^2+WeightSDS!V$12*$AG42+WeightSDS!W$12,WeightSDS!P$14*$AG42^7+WeightSDS!Q$14*$AG42^6+WeightSDS!R$14*$AG42^5+WeightSDS!S$14*$AG42^4+WeightSDS!T$14*$AG42^3+WeightSDS!U$14*$AG42^2+WeightSDS!V$14*$AG42+WeightSDS!W$14),IF($AG42&lt;156,WeightSDS!O$17*$AG42^8+WeightSDS!P$17*$AG42^7+WeightSDS!Q$17*$AG42^6+WeightSDS!R$17*$AG42^5+WeightSDS!S$17*$AG42^4+WeightSDS!T$17*$AG42^3+WeightSDS!U$17*$AG42^2+WeightSDS!V$17*$AG42+WeightSDS!W$17,IF($AG42&lt;186,WeightSDS!$U$18+(WeightSDS!$V$18-WeightSDS!$U$18)/24*($AG42-186)+WeightSDS!$W$18*(-$AG42+186)^2-0.005,WeightSDS!$U$18+(WeightSDS!$V$18-WeightSDS!$U$18)/24*($AG42-186)-0.005)))</f>
        <v>0.14604529399999999</v>
      </c>
    </row>
    <row r="43" spans="1:37">
      <c r="A43" s="4"/>
      <c r="B43" s="21"/>
      <c r="C43" s="21"/>
      <c r="D43" s="21"/>
      <c r="E43" s="22"/>
      <c r="F43" s="22"/>
      <c r="G43" s="23"/>
      <c r="H43" s="23"/>
      <c r="I43" s="8" t="str">
        <f t="shared" si="0"/>
        <v/>
      </c>
      <c r="J43" s="2" t="str">
        <f t="shared" si="4"/>
        <v/>
      </c>
      <c r="K43" s="2" t="str">
        <f t="shared" si="1"/>
        <v/>
      </c>
      <c r="L43" s="2" t="str">
        <f t="shared" si="5"/>
        <v/>
      </c>
      <c r="M43" s="2" t="str">
        <f t="shared" si="15"/>
        <v/>
      </c>
      <c r="N43" s="2" t="str">
        <f t="shared" si="7"/>
        <v/>
      </c>
      <c r="O43" s="8" t="str">
        <f t="shared" si="8"/>
        <v/>
      </c>
      <c r="P43" s="8" t="str">
        <f t="shared" si="9"/>
        <v/>
      </c>
      <c r="Q43" s="40" t="str">
        <f t="shared" si="10"/>
        <v/>
      </c>
      <c r="R43" s="48" t="str">
        <f t="shared" si="11"/>
        <v/>
      </c>
      <c r="S43" s="8"/>
      <c r="U43" s="35">
        <f t="shared" si="12"/>
        <v>0</v>
      </c>
      <c r="V43" s="24">
        <f t="shared" si="13"/>
        <v>0</v>
      </c>
      <c r="W43" s="41">
        <f t="shared" si="17"/>
        <v>0</v>
      </c>
      <c r="X43" s="31"/>
      <c r="Y43" s="31"/>
      <c r="Z43" s="31"/>
      <c r="AA43" s="25">
        <f t="shared" si="2"/>
        <v>9.0359999999999996</v>
      </c>
      <c r="AB43" s="25">
        <f t="shared" si="3"/>
        <v>-184.49199999999999</v>
      </c>
      <c r="AD43" s="24">
        <f>IF(D43="M",IF(AG43&lt;78,BMILMS!$D$5*AG43^3+BMILMS!$E$5*AG43^2+BMILMS!$F$5*AG43+BMILMS!$G$5,IF(AG43&lt;150,BMILMS!$D$6*AG43^3+BMILMS!$E$6*AG43^2+BMILMS!$F$6*AG43+BMILMS!$G$6,BMILMS!$D$7*AG43^3+BMILMS!$E$7*AG43^2+BMILMS!$F$7*AG43+BMILMS!$G$7)),IF(AG43&lt;69,BMILMS!$D$9*AG43^3+BMILMS!$E$9*AG43^2+BMILMS!$F$9*AG43+BMILMS!$G$9,IF(AG43&lt;150,BMILMS!$D$10*AG43^3+BMILMS!$E$10*AG43^2+BMILMS!$F$10*AG43+BMILMS!$G$10,BMILMS!$D$11*AG43^3+BMILMS!$E$11*AG43^2+BMILMS!$F$11*AG43+BMILMS!$G$11)))</f>
        <v>0.79584630099999998</v>
      </c>
      <c r="AE43" s="24">
        <f>IF(D43="M",(IF(AG43&lt;2.5,BMILMS!$D$21*AG43^3+BMILMS!$E$21*AG43^2+BMILMS!$F$21*AG43+BMILMS!$G$21,IF(AG43&lt;9.5,BMILMS!$D$22*AG43^3+BMILMS!$E$22*AG43^2+BMILMS!$F$22*AG43+BMILMS!$G$22,IF(AG43&lt;26.75,BMILMS!$D$23*AG43^3+BMILMS!$E$23*AG43^2+BMILMS!$F$23*AG43+BMILMS!$G$23,IF(AG43&lt;90,BMILMS!$D$24*AG43^3+BMILMS!$E$24*AG43^2+BMILMS!$F$24*AG43+BMILMS!$G$24,BMILMS!$D$25*AG43^3+BMILMS!$E$25*AG43^2+BMILMS!$F$25*AG43+BMILMS!$G$25))))),(IF(AG43&lt;2.5,BMILMS!$D$27*AG43^3+BMILMS!$E$27*AG43^2+BMILMS!$F$27*AG43+BMILMS!$G$27,IF(AG43&lt;9.5,BMILMS!$D$28*AG43^3+BMILMS!$E$28*AG43^2+BMILMS!$F$28*AG43+BMILMS!$G$28,IF(AG43&lt;26.75,BMILMS!$D$29*AG43^3+BMILMS!$E$29*AG43^2+BMILMS!$F$29*AG43+BMILMS!$G$29,IF(AG43&lt;90,BMILMS!$D$30*AG43^3+BMILMS!$E$30*AG43^2+BMILMS!$F$30*AG43+BMILMS!$G$30,IF(AG43&lt;150,BMILMS!$D$31*AG43^3+BMILMS!$E$31*AG43^2+BMILMS!$F$31*AG43+BMILMS!$G$31,BMILMS!$D$32*AG43^3+BMILMS!$E$32*AG43^2+BMILMS!$F$32*AG43+BMILMS!$G$32)))))))</f>
        <v>12.568967990000001</v>
      </c>
      <c r="AF43" s="24">
        <f>IF(D43="M",(IF(AG43&lt;90,BMILMS!$D$14*AG43^3+BMILMS!$E$14*AG43^2+BMILMS!$F$14*AG43+BMILMS!$G$14,BMILMS!$D$15*AG43^3+BMILMS!$E$15*AG43^2+BMILMS!$F$15*AG43+BMILMS!$G$15)),(IF(AG43&lt;90,BMILMS!$D$17*AG43^3+BMILMS!$E$17*AG43^2+BMILMS!$F$17*AG43+BMILMS!$G$17,BMILMS!$D$18*AG43^3+BMILMS!$E$18*AG43^2+BMILMS!$F$18*AG43+BMILMS!$G$18)))</f>
        <v>8.8969350000000003E-2</v>
      </c>
      <c r="AG43" s="24">
        <f t="shared" si="16"/>
        <v>0</v>
      </c>
      <c r="AI43" s="38">
        <f>IF(D43="M",WeightSDS!P$5*$AG43^7+WeightSDS!Q$5*$AG43^6+WeightSDS!R$5*$AG43^5+WeightSDS!S$5*$AG43^4+WeightSDS!T$5*$AG43^3+WeightSDS!U$5*$AG43^2+WeightSDS!V$5*$AG43+WeightSDS!W$5,IF($AG43&lt;186,WeightSDS!P$8*$AG43^7+WeightSDS!Q$8*$AG43^6+WeightSDS!R$8*$AG43^5+WeightSDS!S$8*$AG43^4+WeightSDS!T$8*$AG43^3+WeightSDS!U$8*$AG43^2+WeightSDS!V$8*$AG43+WeightSDS!W$8,WeightSDS!$U$9-WeightSDS!$V$9*($AG43-WeightSDS!$W$9)))</f>
        <v>0.75407122999999998</v>
      </c>
      <c r="AJ43" s="24">
        <f>IF(D43="M",IF($AG43&lt;45,WeightSDS!M$23*$AG43^10+WeightSDS!N$23*$AG43^9+WeightSDS!O$23*$AG43^8+WeightSDS!P$23*$AG43^7+WeightSDS!Q$23*$AG43^6+WeightSDS!R$23*$AG43^5+WeightSDS!S$23*$AG43^4+WeightSDS!T$23*$AG43^3+WeightSDS!U$23*$AG43^2+WeightSDS!V$23*$AG43+WeightSDS!W$23,IF($AG43&lt;153,WeightSDS!M$25*$AG43^10+WeightSDS!N$25*$AG43^9+WeightSDS!O$25*$AG43^8+WeightSDS!P$25*$AG43^7+WeightSDS!Q$25*$AG43^6+WeightSDS!R$25*$AG43^5+WeightSDS!S$25*$AG43^4+WeightSDS!T$25*$AG43^3+WeightSDS!U$25*$AG43^2+WeightSDS!V$25*$AG43+WeightSDS!W$25,WeightSDS!M$27+WeightSDS!N$27/(1+EXP(WeightSDS!O$27+WeightSDS!P$27*$AG43)))),IF($AG43&lt;43.8,WeightSDS!M$29*$AG43^10+WeightSDS!N$29*$AG43^9+WeightSDS!O$29*$AG43^8+WeightSDS!P$29*$AG43^7+WeightSDS!Q$29*$AG43^6+WeightSDS!R$29*$AG43^5+WeightSDS!S$29*$AG43^4+WeightSDS!T$29*$AG43^3+WeightSDS!U$29*$AG43^2+WeightSDS!V$29*$AG43+WeightSDS!W$29-0.010431*(1-$AG43/210),IF($AG43&lt;123,WeightSDS!M$30*$AG43^10+WeightSDS!N$30*$AG43^9+WeightSDS!O$30*$AG43^8+WeightSDS!P$30*$AG43^7+WeightSDS!Q$30*$AG43^6+WeightSDS!R$30*$AG43^5+WeightSDS!S$30*$AG43^4+WeightSDS!T$30*$AG43^3+WeightSDS!U$30*$AG43^2+WeightSDS!V$30*$AG43+WeightSDS!W$30-0.010431*(1-1/$AG43),WeightSDS!M$32+WeightSDS!N$32/(1+EXP(WeightSDS!O$32+WeightSDS!P$32*$AG43))-0.010431*(1-$AG43/210))))</f>
        <v>2.9500001032655536</v>
      </c>
      <c r="AK43" s="24">
        <f>IF(D43="M",IF($AG43&lt;162,WeightSDS!P$12*$AG43^7+WeightSDS!Q$12*$AG43^6+WeightSDS!R$12*$AG43^5+WeightSDS!S$12*$AG43^4+WeightSDS!T$12*$AG43^3+WeightSDS!U$12*$AG43^2+WeightSDS!V$12*$AG43+WeightSDS!W$12,WeightSDS!P$14*$AG43^7+WeightSDS!Q$14*$AG43^6+WeightSDS!R$14*$AG43^5+WeightSDS!S$14*$AG43^4+WeightSDS!T$14*$AG43^3+WeightSDS!U$14*$AG43^2+WeightSDS!V$14*$AG43+WeightSDS!W$14),IF($AG43&lt;156,WeightSDS!O$17*$AG43^8+WeightSDS!P$17*$AG43^7+WeightSDS!Q$17*$AG43^6+WeightSDS!R$17*$AG43^5+WeightSDS!S$17*$AG43^4+WeightSDS!T$17*$AG43^3+WeightSDS!U$17*$AG43^2+WeightSDS!V$17*$AG43+WeightSDS!W$17,IF($AG43&lt;186,WeightSDS!$U$18+(WeightSDS!$V$18-WeightSDS!$U$18)/24*($AG43-186)+WeightSDS!$W$18*(-$AG43+186)^2-0.005,WeightSDS!$U$18+(WeightSDS!$V$18-WeightSDS!$U$18)/24*($AG43-186)-0.005)))</f>
        <v>0.14604529399999999</v>
      </c>
    </row>
    <row r="44" spans="1:37">
      <c r="A44" s="4"/>
      <c r="B44" s="21"/>
      <c r="C44" s="21"/>
      <c r="D44" s="21"/>
      <c r="E44" s="22"/>
      <c r="F44" s="22"/>
      <c r="G44" s="23"/>
      <c r="H44" s="23"/>
      <c r="I44" s="8" t="str">
        <f t="shared" si="0"/>
        <v/>
      </c>
      <c r="J44" s="2" t="str">
        <f t="shared" si="4"/>
        <v/>
      </c>
      <c r="K44" s="2" t="str">
        <f t="shared" si="1"/>
        <v/>
      </c>
      <c r="L44" s="2" t="str">
        <f t="shared" si="5"/>
        <v/>
      </c>
      <c r="M44" s="2" t="str">
        <f t="shared" si="15"/>
        <v/>
      </c>
      <c r="N44" s="2" t="str">
        <f t="shared" si="7"/>
        <v/>
      </c>
      <c r="O44" s="8" t="str">
        <f t="shared" si="8"/>
        <v/>
      </c>
      <c r="P44" s="8" t="str">
        <f t="shared" si="9"/>
        <v/>
      </c>
      <c r="Q44" s="40" t="str">
        <f t="shared" si="10"/>
        <v/>
      </c>
      <c r="R44" s="48" t="str">
        <f t="shared" si="11"/>
        <v/>
      </c>
      <c r="S44" s="8"/>
      <c r="U44" s="35">
        <f t="shared" si="12"/>
        <v>0</v>
      </c>
      <c r="V44" s="24">
        <f t="shared" si="13"/>
        <v>0</v>
      </c>
      <c r="W44" s="41">
        <f t="shared" si="17"/>
        <v>0</v>
      </c>
      <c r="X44" s="31"/>
      <c r="Y44" s="31"/>
      <c r="Z44" s="31"/>
      <c r="AA44" s="25">
        <f t="shared" si="2"/>
        <v>9.0359999999999996</v>
      </c>
      <c r="AB44" s="25">
        <f t="shared" si="3"/>
        <v>-184.49199999999999</v>
      </c>
      <c r="AD44" s="24">
        <f>IF(D44="M",IF(AG44&lt;78,BMILMS!$D$5*AG44^3+BMILMS!$E$5*AG44^2+BMILMS!$F$5*AG44+BMILMS!$G$5,IF(AG44&lt;150,BMILMS!$D$6*AG44^3+BMILMS!$E$6*AG44^2+BMILMS!$F$6*AG44+BMILMS!$G$6,BMILMS!$D$7*AG44^3+BMILMS!$E$7*AG44^2+BMILMS!$F$7*AG44+BMILMS!$G$7)),IF(AG44&lt;69,BMILMS!$D$9*AG44^3+BMILMS!$E$9*AG44^2+BMILMS!$F$9*AG44+BMILMS!$G$9,IF(AG44&lt;150,BMILMS!$D$10*AG44^3+BMILMS!$E$10*AG44^2+BMILMS!$F$10*AG44+BMILMS!$G$10,BMILMS!$D$11*AG44^3+BMILMS!$E$11*AG44^2+BMILMS!$F$11*AG44+BMILMS!$G$11)))</f>
        <v>0.79584630099999998</v>
      </c>
      <c r="AE44" s="24">
        <f>IF(D44="M",(IF(AG44&lt;2.5,BMILMS!$D$21*AG44^3+BMILMS!$E$21*AG44^2+BMILMS!$F$21*AG44+BMILMS!$G$21,IF(AG44&lt;9.5,BMILMS!$D$22*AG44^3+BMILMS!$E$22*AG44^2+BMILMS!$F$22*AG44+BMILMS!$G$22,IF(AG44&lt;26.75,BMILMS!$D$23*AG44^3+BMILMS!$E$23*AG44^2+BMILMS!$F$23*AG44+BMILMS!$G$23,IF(AG44&lt;90,BMILMS!$D$24*AG44^3+BMILMS!$E$24*AG44^2+BMILMS!$F$24*AG44+BMILMS!$G$24,BMILMS!$D$25*AG44^3+BMILMS!$E$25*AG44^2+BMILMS!$F$25*AG44+BMILMS!$G$25))))),(IF(AG44&lt;2.5,BMILMS!$D$27*AG44^3+BMILMS!$E$27*AG44^2+BMILMS!$F$27*AG44+BMILMS!$G$27,IF(AG44&lt;9.5,BMILMS!$D$28*AG44^3+BMILMS!$E$28*AG44^2+BMILMS!$F$28*AG44+BMILMS!$G$28,IF(AG44&lt;26.75,BMILMS!$D$29*AG44^3+BMILMS!$E$29*AG44^2+BMILMS!$F$29*AG44+BMILMS!$G$29,IF(AG44&lt;90,BMILMS!$D$30*AG44^3+BMILMS!$E$30*AG44^2+BMILMS!$F$30*AG44+BMILMS!$G$30,IF(AG44&lt;150,BMILMS!$D$31*AG44^3+BMILMS!$E$31*AG44^2+BMILMS!$F$31*AG44+BMILMS!$G$31,BMILMS!$D$32*AG44^3+BMILMS!$E$32*AG44^2+BMILMS!$F$32*AG44+BMILMS!$G$32)))))))</f>
        <v>12.568967990000001</v>
      </c>
      <c r="AF44" s="24">
        <f>IF(D44="M",(IF(AG44&lt;90,BMILMS!$D$14*AG44^3+BMILMS!$E$14*AG44^2+BMILMS!$F$14*AG44+BMILMS!$G$14,BMILMS!$D$15*AG44^3+BMILMS!$E$15*AG44^2+BMILMS!$F$15*AG44+BMILMS!$G$15)),(IF(AG44&lt;90,BMILMS!$D$17*AG44^3+BMILMS!$E$17*AG44^2+BMILMS!$F$17*AG44+BMILMS!$G$17,BMILMS!$D$18*AG44^3+BMILMS!$E$18*AG44^2+BMILMS!$F$18*AG44+BMILMS!$G$18)))</f>
        <v>8.8969350000000003E-2</v>
      </c>
      <c r="AG44" s="24">
        <f t="shared" si="16"/>
        <v>0</v>
      </c>
      <c r="AI44" s="38">
        <f>IF(D44="M",WeightSDS!P$5*$AG44^7+WeightSDS!Q$5*$AG44^6+WeightSDS!R$5*$AG44^5+WeightSDS!S$5*$AG44^4+WeightSDS!T$5*$AG44^3+WeightSDS!U$5*$AG44^2+WeightSDS!V$5*$AG44+WeightSDS!W$5,IF($AG44&lt;186,WeightSDS!P$8*$AG44^7+WeightSDS!Q$8*$AG44^6+WeightSDS!R$8*$AG44^5+WeightSDS!S$8*$AG44^4+WeightSDS!T$8*$AG44^3+WeightSDS!U$8*$AG44^2+WeightSDS!V$8*$AG44+WeightSDS!W$8,WeightSDS!$U$9-WeightSDS!$V$9*($AG44-WeightSDS!$W$9)))</f>
        <v>0.75407122999999998</v>
      </c>
      <c r="AJ44" s="24">
        <f>IF(D44="M",IF($AG44&lt;45,WeightSDS!M$23*$AG44^10+WeightSDS!N$23*$AG44^9+WeightSDS!O$23*$AG44^8+WeightSDS!P$23*$AG44^7+WeightSDS!Q$23*$AG44^6+WeightSDS!R$23*$AG44^5+WeightSDS!S$23*$AG44^4+WeightSDS!T$23*$AG44^3+WeightSDS!U$23*$AG44^2+WeightSDS!V$23*$AG44+WeightSDS!W$23,IF($AG44&lt;153,WeightSDS!M$25*$AG44^10+WeightSDS!N$25*$AG44^9+WeightSDS!O$25*$AG44^8+WeightSDS!P$25*$AG44^7+WeightSDS!Q$25*$AG44^6+WeightSDS!R$25*$AG44^5+WeightSDS!S$25*$AG44^4+WeightSDS!T$25*$AG44^3+WeightSDS!U$25*$AG44^2+WeightSDS!V$25*$AG44+WeightSDS!W$25,WeightSDS!M$27+WeightSDS!N$27/(1+EXP(WeightSDS!O$27+WeightSDS!P$27*$AG44)))),IF($AG44&lt;43.8,WeightSDS!M$29*$AG44^10+WeightSDS!N$29*$AG44^9+WeightSDS!O$29*$AG44^8+WeightSDS!P$29*$AG44^7+WeightSDS!Q$29*$AG44^6+WeightSDS!R$29*$AG44^5+WeightSDS!S$29*$AG44^4+WeightSDS!T$29*$AG44^3+WeightSDS!U$29*$AG44^2+WeightSDS!V$29*$AG44+WeightSDS!W$29-0.010431*(1-$AG44/210),IF($AG44&lt;123,WeightSDS!M$30*$AG44^10+WeightSDS!N$30*$AG44^9+WeightSDS!O$30*$AG44^8+WeightSDS!P$30*$AG44^7+WeightSDS!Q$30*$AG44^6+WeightSDS!R$30*$AG44^5+WeightSDS!S$30*$AG44^4+WeightSDS!T$30*$AG44^3+WeightSDS!U$30*$AG44^2+WeightSDS!V$30*$AG44+WeightSDS!W$30-0.010431*(1-1/$AG44),WeightSDS!M$32+WeightSDS!N$32/(1+EXP(WeightSDS!O$32+WeightSDS!P$32*$AG44))-0.010431*(1-$AG44/210))))</f>
        <v>2.9500001032655536</v>
      </c>
      <c r="AK44" s="24">
        <f>IF(D44="M",IF($AG44&lt;162,WeightSDS!P$12*$AG44^7+WeightSDS!Q$12*$AG44^6+WeightSDS!R$12*$AG44^5+WeightSDS!S$12*$AG44^4+WeightSDS!T$12*$AG44^3+WeightSDS!U$12*$AG44^2+WeightSDS!V$12*$AG44+WeightSDS!W$12,WeightSDS!P$14*$AG44^7+WeightSDS!Q$14*$AG44^6+WeightSDS!R$14*$AG44^5+WeightSDS!S$14*$AG44^4+WeightSDS!T$14*$AG44^3+WeightSDS!U$14*$AG44^2+WeightSDS!V$14*$AG44+WeightSDS!W$14),IF($AG44&lt;156,WeightSDS!O$17*$AG44^8+WeightSDS!P$17*$AG44^7+WeightSDS!Q$17*$AG44^6+WeightSDS!R$17*$AG44^5+WeightSDS!S$17*$AG44^4+WeightSDS!T$17*$AG44^3+WeightSDS!U$17*$AG44^2+WeightSDS!V$17*$AG44+WeightSDS!W$17,IF($AG44&lt;186,WeightSDS!$U$18+(WeightSDS!$V$18-WeightSDS!$U$18)/24*($AG44-186)+WeightSDS!$W$18*(-$AG44+186)^2-0.005,WeightSDS!$U$18+(WeightSDS!$V$18-WeightSDS!$U$18)/24*($AG44-186)-0.005)))</f>
        <v>0.14604529399999999</v>
      </c>
    </row>
    <row r="45" spans="1:37">
      <c r="A45" s="4"/>
      <c r="B45" s="21"/>
      <c r="C45" s="21"/>
      <c r="D45" s="21"/>
      <c r="E45" s="22"/>
      <c r="F45" s="22"/>
      <c r="G45" s="23"/>
      <c r="H45" s="23"/>
      <c r="I45" s="8" t="str">
        <f t="shared" si="0"/>
        <v/>
      </c>
      <c r="J45" s="2" t="str">
        <f t="shared" si="4"/>
        <v/>
      </c>
      <c r="K45" s="2" t="str">
        <f t="shared" si="1"/>
        <v/>
      </c>
      <c r="L45" s="2" t="str">
        <f t="shared" si="5"/>
        <v/>
      </c>
      <c r="M45" s="2" t="str">
        <f t="shared" si="15"/>
        <v/>
      </c>
      <c r="N45" s="2" t="str">
        <f t="shared" si="7"/>
        <v/>
      </c>
      <c r="O45" s="8" t="str">
        <f t="shared" si="8"/>
        <v/>
      </c>
      <c r="P45" s="8" t="str">
        <f t="shared" si="9"/>
        <v/>
      </c>
      <c r="Q45" s="40" t="str">
        <f t="shared" si="10"/>
        <v/>
      </c>
      <c r="R45" s="48" t="str">
        <f t="shared" si="11"/>
        <v/>
      </c>
      <c r="S45" s="8"/>
      <c r="U45" s="35">
        <f t="shared" si="12"/>
        <v>0</v>
      </c>
      <c r="V45" s="24">
        <f t="shared" si="13"/>
        <v>0</v>
      </c>
      <c r="W45" s="41">
        <f t="shared" si="17"/>
        <v>0</v>
      </c>
      <c r="X45" s="31"/>
      <c r="Y45" s="31"/>
      <c r="Z45" s="31"/>
      <c r="AA45" s="25">
        <f t="shared" si="2"/>
        <v>9.0359999999999996</v>
      </c>
      <c r="AB45" s="25">
        <f t="shared" si="3"/>
        <v>-184.49199999999999</v>
      </c>
      <c r="AD45" s="24">
        <f>IF(D45="M",IF(AG45&lt;78,BMILMS!$D$5*AG45^3+BMILMS!$E$5*AG45^2+BMILMS!$F$5*AG45+BMILMS!$G$5,IF(AG45&lt;150,BMILMS!$D$6*AG45^3+BMILMS!$E$6*AG45^2+BMILMS!$F$6*AG45+BMILMS!$G$6,BMILMS!$D$7*AG45^3+BMILMS!$E$7*AG45^2+BMILMS!$F$7*AG45+BMILMS!$G$7)),IF(AG45&lt;69,BMILMS!$D$9*AG45^3+BMILMS!$E$9*AG45^2+BMILMS!$F$9*AG45+BMILMS!$G$9,IF(AG45&lt;150,BMILMS!$D$10*AG45^3+BMILMS!$E$10*AG45^2+BMILMS!$F$10*AG45+BMILMS!$G$10,BMILMS!$D$11*AG45^3+BMILMS!$E$11*AG45^2+BMILMS!$F$11*AG45+BMILMS!$G$11)))</f>
        <v>0.79584630099999998</v>
      </c>
      <c r="AE45" s="24">
        <f>IF(D45="M",(IF(AG45&lt;2.5,BMILMS!$D$21*AG45^3+BMILMS!$E$21*AG45^2+BMILMS!$F$21*AG45+BMILMS!$G$21,IF(AG45&lt;9.5,BMILMS!$D$22*AG45^3+BMILMS!$E$22*AG45^2+BMILMS!$F$22*AG45+BMILMS!$G$22,IF(AG45&lt;26.75,BMILMS!$D$23*AG45^3+BMILMS!$E$23*AG45^2+BMILMS!$F$23*AG45+BMILMS!$G$23,IF(AG45&lt;90,BMILMS!$D$24*AG45^3+BMILMS!$E$24*AG45^2+BMILMS!$F$24*AG45+BMILMS!$G$24,BMILMS!$D$25*AG45^3+BMILMS!$E$25*AG45^2+BMILMS!$F$25*AG45+BMILMS!$G$25))))),(IF(AG45&lt;2.5,BMILMS!$D$27*AG45^3+BMILMS!$E$27*AG45^2+BMILMS!$F$27*AG45+BMILMS!$G$27,IF(AG45&lt;9.5,BMILMS!$D$28*AG45^3+BMILMS!$E$28*AG45^2+BMILMS!$F$28*AG45+BMILMS!$G$28,IF(AG45&lt;26.75,BMILMS!$D$29*AG45^3+BMILMS!$E$29*AG45^2+BMILMS!$F$29*AG45+BMILMS!$G$29,IF(AG45&lt;90,BMILMS!$D$30*AG45^3+BMILMS!$E$30*AG45^2+BMILMS!$F$30*AG45+BMILMS!$G$30,IF(AG45&lt;150,BMILMS!$D$31*AG45^3+BMILMS!$E$31*AG45^2+BMILMS!$F$31*AG45+BMILMS!$G$31,BMILMS!$D$32*AG45^3+BMILMS!$E$32*AG45^2+BMILMS!$F$32*AG45+BMILMS!$G$32)))))))</f>
        <v>12.568967990000001</v>
      </c>
      <c r="AF45" s="24">
        <f>IF(D45="M",(IF(AG45&lt;90,BMILMS!$D$14*AG45^3+BMILMS!$E$14*AG45^2+BMILMS!$F$14*AG45+BMILMS!$G$14,BMILMS!$D$15*AG45^3+BMILMS!$E$15*AG45^2+BMILMS!$F$15*AG45+BMILMS!$G$15)),(IF(AG45&lt;90,BMILMS!$D$17*AG45^3+BMILMS!$E$17*AG45^2+BMILMS!$F$17*AG45+BMILMS!$G$17,BMILMS!$D$18*AG45^3+BMILMS!$E$18*AG45^2+BMILMS!$F$18*AG45+BMILMS!$G$18)))</f>
        <v>8.8969350000000003E-2</v>
      </c>
      <c r="AG45" s="24">
        <f t="shared" si="16"/>
        <v>0</v>
      </c>
      <c r="AI45" s="38">
        <f>IF(D45="M",WeightSDS!P$5*$AG45^7+WeightSDS!Q$5*$AG45^6+WeightSDS!R$5*$AG45^5+WeightSDS!S$5*$AG45^4+WeightSDS!T$5*$AG45^3+WeightSDS!U$5*$AG45^2+WeightSDS!V$5*$AG45+WeightSDS!W$5,IF($AG45&lt;186,WeightSDS!P$8*$AG45^7+WeightSDS!Q$8*$AG45^6+WeightSDS!R$8*$AG45^5+WeightSDS!S$8*$AG45^4+WeightSDS!T$8*$AG45^3+WeightSDS!U$8*$AG45^2+WeightSDS!V$8*$AG45+WeightSDS!W$8,WeightSDS!$U$9-WeightSDS!$V$9*($AG45-WeightSDS!$W$9)))</f>
        <v>0.75407122999999998</v>
      </c>
      <c r="AJ45" s="24">
        <f>IF(D45="M",IF($AG45&lt;45,WeightSDS!M$23*$AG45^10+WeightSDS!N$23*$AG45^9+WeightSDS!O$23*$AG45^8+WeightSDS!P$23*$AG45^7+WeightSDS!Q$23*$AG45^6+WeightSDS!R$23*$AG45^5+WeightSDS!S$23*$AG45^4+WeightSDS!T$23*$AG45^3+WeightSDS!U$23*$AG45^2+WeightSDS!V$23*$AG45+WeightSDS!W$23,IF($AG45&lt;153,WeightSDS!M$25*$AG45^10+WeightSDS!N$25*$AG45^9+WeightSDS!O$25*$AG45^8+WeightSDS!P$25*$AG45^7+WeightSDS!Q$25*$AG45^6+WeightSDS!R$25*$AG45^5+WeightSDS!S$25*$AG45^4+WeightSDS!T$25*$AG45^3+WeightSDS!U$25*$AG45^2+WeightSDS!V$25*$AG45+WeightSDS!W$25,WeightSDS!M$27+WeightSDS!N$27/(1+EXP(WeightSDS!O$27+WeightSDS!P$27*$AG45)))),IF($AG45&lt;43.8,WeightSDS!M$29*$AG45^10+WeightSDS!N$29*$AG45^9+WeightSDS!O$29*$AG45^8+WeightSDS!P$29*$AG45^7+WeightSDS!Q$29*$AG45^6+WeightSDS!R$29*$AG45^5+WeightSDS!S$29*$AG45^4+WeightSDS!T$29*$AG45^3+WeightSDS!U$29*$AG45^2+WeightSDS!V$29*$AG45+WeightSDS!W$29-0.010431*(1-$AG45/210),IF($AG45&lt;123,WeightSDS!M$30*$AG45^10+WeightSDS!N$30*$AG45^9+WeightSDS!O$30*$AG45^8+WeightSDS!P$30*$AG45^7+WeightSDS!Q$30*$AG45^6+WeightSDS!R$30*$AG45^5+WeightSDS!S$30*$AG45^4+WeightSDS!T$30*$AG45^3+WeightSDS!U$30*$AG45^2+WeightSDS!V$30*$AG45+WeightSDS!W$30-0.010431*(1-1/$AG45),WeightSDS!M$32+WeightSDS!N$32/(1+EXP(WeightSDS!O$32+WeightSDS!P$32*$AG45))-0.010431*(1-$AG45/210))))</f>
        <v>2.9500001032655536</v>
      </c>
      <c r="AK45" s="24">
        <f>IF(D45="M",IF($AG45&lt;162,WeightSDS!P$12*$AG45^7+WeightSDS!Q$12*$AG45^6+WeightSDS!R$12*$AG45^5+WeightSDS!S$12*$AG45^4+WeightSDS!T$12*$AG45^3+WeightSDS!U$12*$AG45^2+WeightSDS!V$12*$AG45+WeightSDS!W$12,WeightSDS!P$14*$AG45^7+WeightSDS!Q$14*$AG45^6+WeightSDS!R$14*$AG45^5+WeightSDS!S$14*$AG45^4+WeightSDS!T$14*$AG45^3+WeightSDS!U$14*$AG45^2+WeightSDS!V$14*$AG45+WeightSDS!W$14),IF($AG45&lt;156,WeightSDS!O$17*$AG45^8+WeightSDS!P$17*$AG45^7+WeightSDS!Q$17*$AG45^6+WeightSDS!R$17*$AG45^5+WeightSDS!S$17*$AG45^4+WeightSDS!T$17*$AG45^3+WeightSDS!U$17*$AG45^2+WeightSDS!V$17*$AG45+WeightSDS!W$17,IF($AG45&lt;186,WeightSDS!$U$18+(WeightSDS!$V$18-WeightSDS!$U$18)/24*($AG45-186)+WeightSDS!$W$18*(-$AG45+186)^2-0.005,WeightSDS!$U$18+(WeightSDS!$V$18-WeightSDS!$U$18)/24*($AG45-186)-0.005)))</f>
        <v>0.14604529399999999</v>
      </c>
    </row>
    <row r="46" spans="1:37">
      <c r="A46" s="4"/>
      <c r="B46" s="21"/>
      <c r="C46" s="21"/>
      <c r="D46" s="21"/>
      <c r="E46" s="22"/>
      <c r="F46" s="22"/>
      <c r="G46" s="23"/>
      <c r="H46" s="23"/>
      <c r="I46" s="8" t="str">
        <f t="shared" si="0"/>
        <v/>
      </c>
      <c r="J46" s="2" t="str">
        <f t="shared" si="4"/>
        <v/>
      </c>
      <c r="K46" s="2" t="str">
        <f t="shared" si="1"/>
        <v/>
      </c>
      <c r="L46" s="2" t="str">
        <f t="shared" si="5"/>
        <v/>
      </c>
      <c r="M46" s="2" t="str">
        <f t="shared" si="15"/>
        <v/>
      </c>
      <c r="N46" s="2" t="str">
        <f t="shared" si="7"/>
        <v/>
      </c>
      <c r="O46" s="8" t="str">
        <f t="shared" si="8"/>
        <v/>
      </c>
      <c r="P46" s="8" t="str">
        <f t="shared" si="9"/>
        <v/>
      </c>
      <c r="Q46" s="40" t="str">
        <f t="shared" si="10"/>
        <v/>
      </c>
      <c r="R46" s="48" t="str">
        <f t="shared" si="11"/>
        <v/>
      </c>
      <c r="S46" s="8"/>
      <c r="U46" s="35">
        <f t="shared" si="12"/>
        <v>0</v>
      </c>
      <c r="V46" s="24">
        <f t="shared" si="13"/>
        <v>0</v>
      </c>
      <c r="W46" s="41">
        <f t="shared" si="17"/>
        <v>0</v>
      </c>
      <c r="X46" s="31"/>
      <c r="Y46" s="31"/>
      <c r="Z46" s="31"/>
      <c r="AA46" s="25">
        <f t="shared" si="2"/>
        <v>9.0359999999999996</v>
      </c>
      <c r="AB46" s="25">
        <f t="shared" si="3"/>
        <v>-184.49199999999999</v>
      </c>
      <c r="AD46" s="24">
        <f>IF(D46="M",IF(AG46&lt;78,BMILMS!$D$5*AG46^3+BMILMS!$E$5*AG46^2+BMILMS!$F$5*AG46+BMILMS!$G$5,IF(AG46&lt;150,BMILMS!$D$6*AG46^3+BMILMS!$E$6*AG46^2+BMILMS!$F$6*AG46+BMILMS!$G$6,BMILMS!$D$7*AG46^3+BMILMS!$E$7*AG46^2+BMILMS!$F$7*AG46+BMILMS!$G$7)),IF(AG46&lt;69,BMILMS!$D$9*AG46^3+BMILMS!$E$9*AG46^2+BMILMS!$F$9*AG46+BMILMS!$G$9,IF(AG46&lt;150,BMILMS!$D$10*AG46^3+BMILMS!$E$10*AG46^2+BMILMS!$F$10*AG46+BMILMS!$G$10,BMILMS!$D$11*AG46^3+BMILMS!$E$11*AG46^2+BMILMS!$F$11*AG46+BMILMS!$G$11)))</f>
        <v>0.79584630099999998</v>
      </c>
      <c r="AE46" s="24">
        <f>IF(D46="M",(IF(AG46&lt;2.5,BMILMS!$D$21*AG46^3+BMILMS!$E$21*AG46^2+BMILMS!$F$21*AG46+BMILMS!$G$21,IF(AG46&lt;9.5,BMILMS!$D$22*AG46^3+BMILMS!$E$22*AG46^2+BMILMS!$F$22*AG46+BMILMS!$G$22,IF(AG46&lt;26.75,BMILMS!$D$23*AG46^3+BMILMS!$E$23*AG46^2+BMILMS!$F$23*AG46+BMILMS!$G$23,IF(AG46&lt;90,BMILMS!$D$24*AG46^3+BMILMS!$E$24*AG46^2+BMILMS!$F$24*AG46+BMILMS!$G$24,BMILMS!$D$25*AG46^3+BMILMS!$E$25*AG46^2+BMILMS!$F$25*AG46+BMILMS!$G$25))))),(IF(AG46&lt;2.5,BMILMS!$D$27*AG46^3+BMILMS!$E$27*AG46^2+BMILMS!$F$27*AG46+BMILMS!$G$27,IF(AG46&lt;9.5,BMILMS!$D$28*AG46^3+BMILMS!$E$28*AG46^2+BMILMS!$F$28*AG46+BMILMS!$G$28,IF(AG46&lt;26.75,BMILMS!$D$29*AG46^3+BMILMS!$E$29*AG46^2+BMILMS!$F$29*AG46+BMILMS!$G$29,IF(AG46&lt;90,BMILMS!$D$30*AG46^3+BMILMS!$E$30*AG46^2+BMILMS!$F$30*AG46+BMILMS!$G$30,IF(AG46&lt;150,BMILMS!$D$31*AG46^3+BMILMS!$E$31*AG46^2+BMILMS!$F$31*AG46+BMILMS!$G$31,BMILMS!$D$32*AG46^3+BMILMS!$E$32*AG46^2+BMILMS!$F$32*AG46+BMILMS!$G$32)))))))</f>
        <v>12.568967990000001</v>
      </c>
      <c r="AF46" s="24">
        <f>IF(D46="M",(IF(AG46&lt;90,BMILMS!$D$14*AG46^3+BMILMS!$E$14*AG46^2+BMILMS!$F$14*AG46+BMILMS!$G$14,BMILMS!$D$15*AG46^3+BMILMS!$E$15*AG46^2+BMILMS!$F$15*AG46+BMILMS!$G$15)),(IF(AG46&lt;90,BMILMS!$D$17*AG46^3+BMILMS!$E$17*AG46^2+BMILMS!$F$17*AG46+BMILMS!$G$17,BMILMS!$D$18*AG46^3+BMILMS!$E$18*AG46^2+BMILMS!$F$18*AG46+BMILMS!$G$18)))</f>
        <v>8.8969350000000003E-2</v>
      </c>
      <c r="AG46" s="24">
        <f t="shared" si="16"/>
        <v>0</v>
      </c>
      <c r="AI46" s="38">
        <f>IF(D46="M",WeightSDS!P$5*$AG46^7+WeightSDS!Q$5*$AG46^6+WeightSDS!R$5*$AG46^5+WeightSDS!S$5*$AG46^4+WeightSDS!T$5*$AG46^3+WeightSDS!U$5*$AG46^2+WeightSDS!V$5*$AG46+WeightSDS!W$5,IF($AG46&lt;186,WeightSDS!P$8*$AG46^7+WeightSDS!Q$8*$AG46^6+WeightSDS!R$8*$AG46^5+WeightSDS!S$8*$AG46^4+WeightSDS!T$8*$AG46^3+WeightSDS!U$8*$AG46^2+WeightSDS!V$8*$AG46+WeightSDS!W$8,WeightSDS!$U$9-WeightSDS!$V$9*($AG46-WeightSDS!$W$9)))</f>
        <v>0.75407122999999998</v>
      </c>
      <c r="AJ46" s="24">
        <f>IF(D46="M",IF($AG46&lt;45,WeightSDS!M$23*$AG46^10+WeightSDS!N$23*$AG46^9+WeightSDS!O$23*$AG46^8+WeightSDS!P$23*$AG46^7+WeightSDS!Q$23*$AG46^6+WeightSDS!R$23*$AG46^5+WeightSDS!S$23*$AG46^4+WeightSDS!T$23*$AG46^3+WeightSDS!U$23*$AG46^2+WeightSDS!V$23*$AG46+WeightSDS!W$23,IF($AG46&lt;153,WeightSDS!M$25*$AG46^10+WeightSDS!N$25*$AG46^9+WeightSDS!O$25*$AG46^8+WeightSDS!P$25*$AG46^7+WeightSDS!Q$25*$AG46^6+WeightSDS!R$25*$AG46^5+WeightSDS!S$25*$AG46^4+WeightSDS!T$25*$AG46^3+WeightSDS!U$25*$AG46^2+WeightSDS!V$25*$AG46+WeightSDS!W$25,WeightSDS!M$27+WeightSDS!N$27/(1+EXP(WeightSDS!O$27+WeightSDS!P$27*$AG46)))),IF($AG46&lt;43.8,WeightSDS!M$29*$AG46^10+WeightSDS!N$29*$AG46^9+WeightSDS!O$29*$AG46^8+WeightSDS!P$29*$AG46^7+WeightSDS!Q$29*$AG46^6+WeightSDS!R$29*$AG46^5+WeightSDS!S$29*$AG46^4+WeightSDS!T$29*$AG46^3+WeightSDS!U$29*$AG46^2+WeightSDS!V$29*$AG46+WeightSDS!W$29-0.010431*(1-$AG46/210),IF($AG46&lt;123,WeightSDS!M$30*$AG46^10+WeightSDS!N$30*$AG46^9+WeightSDS!O$30*$AG46^8+WeightSDS!P$30*$AG46^7+WeightSDS!Q$30*$AG46^6+WeightSDS!R$30*$AG46^5+WeightSDS!S$30*$AG46^4+WeightSDS!T$30*$AG46^3+WeightSDS!U$30*$AG46^2+WeightSDS!V$30*$AG46+WeightSDS!W$30-0.010431*(1-1/$AG46),WeightSDS!M$32+WeightSDS!N$32/(1+EXP(WeightSDS!O$32+WeightSDS!P$32*$AG46))-0.010431*(1-$AG46/210))))</f>
        <v>2.9500001032655536</v>
      </c>
      <c r="AK46" s="24">
        <f>IF(D46="M",IF($AG46&lt;162,WeightSDS!P$12*$AG46^7+WeightSDS!Q$12*$AG46^6+WeightSDS!R$12*$AG46^5+WeightSDS!S$12*$AG46^4+WeightSDS!T$12*$AG46^3+WeightSDS!U$12*$AG46^2+WeightSDS!V$12*$AG46+WeightSDS!W$12,WeightSDS!P$14*$AG46^7+WeightSDS!Q$14*$AG46^6+WeightSDS!R$14*$AG46^5+WeightSDS!S$14*$AG46^4+WeightSDS!T$14*$AG46^3+WeightSDS!U$14*$AG46^2+WeightSDS!V$14*$AG46+WeightSDS!W$14),IF($AG46&lt;156,WeightSDS!O$17*$AG46^8+WeightSDS!P$17*$AG46^7+WeightSDS!Q$17*$AG46^6+WeightSDS!R$17*$AG46^5+WeightSDS!S$17*$AG46^4+WeightSDS!T$17*$AG46^3+WeightSDS!U$17*$AG46^2+WeightSDS!V$17*$AG46+WeightSDS!W$17,IF($AG46&lt;186,WeightSDS!$U$18+(WeightSDS!$V$18-WeightSDS!$U$18)/24*($AG46-186)+WeightSDS!$W$18*(-$AG46+186)^2-0.005,WeightSDS!$U$18+(WeightSDS!$V$18-WeightSDS!$U$18)/24*($AG46-186)-0.005)))</f>
        <v>0.14604529399999999</v>
      </c>
    </row>
    <row r="47" spans="1:37">
      <c r="A47" s="4"/>
      <c r="B47" s="21"/>
      <c r="C47" s="21"/>
      <c r="D47" s="21"/>
      <c r="E47" s="22"/>
      <c r="F47" s="22"/>
      <c r="G47" s="23"/>
      <c r="H47" s="23"/>
      <c r="I47" s="8" t="str">
        <f t="shared" si="0"/>
        <v/>
      </c>
      <c r="J47" s="2" t="str">
        <f t="shared" si="4"/>
        <v/>
      </c>
      <c r="K47" s="2" t="str">
        <f t="shared" si="1"/>
        <v/>
      </c>
      <c r="L47" s="2" t="str">
        <f t="shared" si="5"/>
        <v/>
      </c>
      <c r="M47" s="2" t="str">
        <f t="shared" si="15"/>
        <v/>
      </c>
      <c r="N47" s="2" t="str">
        <f t="shared" si="7"/>
        <v/>
      </c>
      <c r="O47" s="8" t="str">
        <f t="shared" si="8"/>
        <v/>
      </c>
      <c r="P47" s="8" t="str">
        <f t="shared" si="9"/>
        <v/>
      </c>
      <c r="Q47" s="40" t="str">
        <f t="shared" si="10"/>
        <v/>
      </c>
      <c r="R47" s="48" t="str">
        <f t="shared" si="11"/>
        <v/>
      </c>
      <c r="S47" s="8"/>
      <c r="U47" s="35">
        <f t="shared" si="12"/>
        <v>0</v>
      </c>
      <c r="V47" s="24">
        <f t="shared" si="13"/>
        <v>0</v>
      </c>
      <c r="W47" s="41">
        <f t="shared" si="17"/>
        <v>0</v>
      </c>
      <c r="X47" s="31"/>
      <c r="Y47" s="31"/>
      <c r="Z47" s="31"/>
      <c r="AA47" s="25">
        <f t="shared" si="2"/>
        <v>9.0359999999999996</v>
      </c>
      <c r="AB47" s="25">
        <f t="shared" si="3"/>
        <v>-184.49199999999999</v>
      </c>
      <c r="AD47" s="24">
        <f>IF(D47="M",IF(AG47&lt;78,BMILMS!$D$5*AG47^3+BMILMS!$E$5*AG47^2+BMILMS!$F$5*AG47+BMILMS!$G$5,IF(AG47&lt;150,BMILMS!$D$6*AG47^3+BMILMS!$E$6*AG47^2+BMILMS!$F$6*AG47+BMILMS!$G$6,BMILMS!$D$7*AG47^3+BMILMS!$E$7*AG47^2+BMILMS!$F$7*AG47+BMILMS!$G$7)),IF(AG47&lt;69,BMILMS!$D$9*AG47^3+BMILMS!$E$9*AG47^2+BMILMS!$F$9*AG47+BMILMS!$G$9,IF(AG47&lt;150,BMILMS!$D$10*AG47^3+BMILMS!$E$10*AG47^2+BMILMS!$F$10*AG47+BMILMS!$G$10,BMILMS!$D$11*AG47^3+BMILMS!$E$11*AG47^2+BMILMS!$F$11*AG47+BMILMS!$G$11)))</f>
        <v>0.79584630099999998</v>
      </c>
      <c r="AE47" s="24">
        <f>IF(D47="M",(IF(AG47&lt;2.5,BMILMS!$D$21*AG47^3+BMILMS!$E$21*AG47^2+BMILMS!$F$21*AG47+BMILMS!$G$21,IF(AG47&lt;9.5,BMILMS!$D$22*AG47^3+BMILMS!$E$22*AG47^2+BMILMS!$F$22*AG47+BMILMS!$G$22,IF(AG47&lt;26.75,BMILMS!$D$23*AG47^3+BMILMS!$E$23*AG47^2+BMILMS!$F$23*AG47+BMILMS!$G$23,IF(AG47&lt;90,BMILMS!$D$24*AG47^3+BMILMS!$E$24*AG47^2+BMILMS!$F$24*AG47+BMILMS!$G$24,BMILMS!$D$25*AG47^3+BMILMS!$E$25*AG47^2+BMILMS!$F$25*AG47+BMILMS!$G$25))))),(IF(AG47&lt;2.5,BMILMS!$D$27*AG47^3+BMILMS!$E$27*AG47^2+BMILMS!$F$27*AG47+BMILMS!$G$27,IF(AG47&lt;9.5,BMILMS!$D$28*AG47^3+BMILMS!$E$28*AG47^2+BMILMS!$F$28*AG47+BMILMS!$G$28,IF(AG47&lt;26.75,BMILMS!$D$29*AG47^3+BMILMS!$E$29*AG47^2+BMILMS!$F$29*AG47+BMILMS!$G$29,IF(AG47&lt;90,BMILMS!$D$30*AG47^3+BMILMS!$E$30*AG47^2+BMILMS!$F$30*AG47+BMILMS!$G$30,IF(AG47&lt;150,BMILMS!$D$31*AG47^3+BMILMS!$E$31*AG47^2+BMILMS!$F$31*AG47+BMILMS!$G$31,BMILMS!$D$32*AG47^3+BMILMS!$E$32*AG47^2+BMILMS!$F$32*AG47+BMILMS!$G$32)))))))</f>
        <v>12.568967990000001</v>
      </c>
      <c r="AF47" s="24">
        <f>IF(D47="M",(IF(AG47&lt;90,BMILMS!$D$14*AG47^3+BMILMS!$E$14*AG47^2+BMILMS!$F$14*AG47+BMILMS!$G$14,BMILMS!$D$15*AG47^3+BMILMS!$E$15*AG47^2+BMILMS!$F$15*AG47+BMILMS!$G$15)),(IF(AG47&lt;90,BMILMS!$D$17*AG47^3+BMILMS!$E$17*AG47^2+BMILMS!$F$17*AG47+BMILMS!$G$17,BMILMS!$D$18*AG47^3+BMILMS!$E$18*AG47^2+BMILMS!$F$18*AG47+BMILMS!$G$18)))</f>
        <v>8.8969350000000003E-2</v>
      </c>
      <c r="AG47" s="24">
        <f t="shared" si="16"/>
        <v>0</v>
      </c>
      <c r="AI47" s="38">
        <f>IF(D47="M",WeightSDS!P$5*$AG47^7+WeightSDS!Q$5*$AG47^6+WeightSDS!R$5*$AG47^5+WeightSDS!S$5*$AG47^4+WeightSDS!T$5*$AG47^3+WeightSDS!U$5*$AG47^2+WeightSDS!V$5*$AG47+WeightSDS!W$5,IF($AG47&lt;186,WeightSDS!P$8*$AG47^7+WeightSDS!Q$8*$AG47^6+WeightSDS!R$8*$AG47^5+WeightSDS!S$8*$AG47^4+WeightSDS!T$8*$AG47^3+WeightSDS!U$8*$AG47^2+WeightSDS!V$8*$AG47+WeightSDS!W$8,WeightSDS!$U$9-WeightSDS!$V$9*($AG47-WeightSDS!$W$9)))</f>
        <v>0.75407122999999998</v>
      </c>
      <c r="AJ47" s="24">
        <f>IF(D47="M",IF($AG47&lt;45,WeightSDS!M$23*$AG47^10+WeightSDS!N$23*$AG47^9+WeightSDS!O$23*$AG47^8+WeightSDS!P$23*$AG47^7+WeightSDS!Q$23*$AG47^6+WeightSDS!R$23*$AG47^5+WeightSDS!S$23*$AG47^4+WeightSDS!T$23*$AG47^3+WeightSDS!U$23*$AG47^2+WeightSDS!V$23*$AG47+WeightSDS!W$23,IF($AG47&lt;153,WeightSDS!M$25*$AG47^10+WeightSDS!N$25*$AG47^9+WeightSDS!O$25*$AG47^8+WeightSDS!P$25*$AG47^7+WeightSDS!Q$25*$AG47^6+WeightSDS!R$25*$AG47^5+WeightSDS!S$25*$AG47^4+WeightSDS!T$25*$AG47^3+WeightSDS!U$25*$AG47^2+WeightSDS!V$25*$AG47+WeightSDS!W$25,WeightSDS!M$27+WeightSDS!N$27/(1+EXP(WeightSDS!O$27+WeightSDS!P$27*$AG47)))),IF($AG47&lt;43.8,WeightSDS!M$29*$AG47^10+WeightSDS!N$29*$AG47^9+WeightSDS!O$29*$AG47^8+WeightSDS!P$29*$AG47^7+WeightSDS!Q$29*$AG47^6+WeightSDS!R$29*$AG47^5+WeightSDS!S$29*$AG47^4+WeightSDS!T$29*$AG47^3+WeightSDS!U$29*$AG47^2+WeightSDS!V$29*$AG47+WeightSDS!W$29-0.010431*(1-$AG47/210),IF($AG47&lt;123,WeightSDS!M$30*$AG47^10+WeightSDS!N$30*$AG47^9+WeightSDS!O$30*$AG47^8+WeightSDS!P$30*$AG47^7+WeightSDS!Q$30*$AG47^6+WeightSDS!R$30*$AG47^5+WeightSDS!S$30*$AG47^4+WeightSDS!T$30*$AG47^3+WeightSDS!U$30*$AG47^2+WeightSDS!V$30*$AG47+WeightSDS!W$30-0.010431*(1-1/$AG47),WeightSDS!M$32+WeightSDS!N$32/(1+EXP(WeightSDS!O$32+WeightSDS!P$32*$AG47))-0.010431*(1-$AG47/210))))</f>
        <v>2.9500001032655536</v>
      </c>
      <c r="AK47" s="24">
        <f>IF(D47="M",IF($AG47&lt;162,WeightSDS!P$12*$AG47^7+WeightSDS!Q$12*$AG47^6+WeightSDS!R$12*$AG47^5+WeightSDS!S$12*$AG47^4+WeightSDS!T$12*$AG47^3+WeightSDS!U$12*$AG47^2+WeightSDS!V$12*$AG47+WeightSDS!W$12,WeightSDS!P$14*$AG47^7+WeightSDS!Q$14*$AG47^6+WeightSDS!R$14*$AG47^5+WeightSDS!S$14*$AG47^4+WeightSDS!T$14*$AG47^3+WeightSDS!U$14*$AG47^2+WeightSDS!V$14*$AG47+WeightSDS!W$14),IF($AG47&lt;156,WeightSDS!O$17*$AG47^8+WeightSDS!P$17*$AG47^7+WeightSDS!Q$17*$AG47^6+WeightSDS!R$17*$AG47^5+WeightSDS!S$17*$AG47^4+WeightSDS!T$17*$AG47^3+WeightSDS!U$17*$AG47^2+WeightSDS!V$17*$AG47+WeightSDS!W$17,IF($AG47&lt;186,WeightSDS!$U$18+(WeightSDS!$V$18-WeightSDS!$U$18)/24*($AG47-186)+WeightSDS!$W$18*(-$AG47+186)^2-0.005,WeightSDS!$U$18+(WeightSDS!$V$18-WeightSDS!$U$18)/24*($AG47-186)-0.005)))</f>
        <v>0.14604529399999999</v>
      </c>
    </row>
    <row r="48" spans="1:37">
      <c r="A48" s="4"/>
      <c r="B48" s="21"/>
      <c r="C48" s="21"/>
      <c r="D48" s="21"/>
      <c r="E48" s="22"/>
      <c r="F48" s="22"/>
      <c r="G48" s="23"/>
      <c r="H48" s="23"/>
      <c r="I48" s="8" t="str">
        <f t="shared" si="0"/>
        <v/>
      </c>
      <c r="J48" s="2" t="str">
        <f t="shared" si="4"/>
        <v/>
      </c>
      <c r="K48" s="2" t="str">
        <f t="shared" si="1"/>
        <v/>
      </c>
      <c r="L48" s="2" t="str">
        <f t="shared" si="5"/>
        <v/>
      </c>
      <c r="M48" s="2" t="str">
        <f t="shared" si="15"/>
        <v/>
      </c>
      <c r="N48" s="2" t="str">
        <f t="shared" si="7"/>
        <v/>
      </c>
      <c r="O48" s="8" t="str">
        <f t="shared" si="8"/>
        <v/>
      </c>
      <c r="P48" s="8" t="str">
        <f t="shared" si="9"/>
        <v/>
      </c>
      <c r="Q48" s="40" t="str">
        <f t="shared" si="10"/>
        <v/>
      </c>
      <c r="R48" s="48" t="str">
        <f t="shared" si="11"/>
        <v/>
      </c>
      <c r="S48" s="8"/>
      <c r="U48" s="35">
        <f t="shared" si="12"/>
        <v>0</v>
      </c>
      <c r="V48" s="24">
        <f t="shared" si="13"/>
        <v>0</v>
      </c>
      <c r="W48" s="41">
        <f t="shared" si="17"/>
        <v>0</v>
      </c>
      <c r="X48" s="31"/>
      <c r="Y48" s="31"/>
      <c r="Z48" s="31"/>
      <c r="AA48" s="25">
        <f t="shared" si="2"/>
        <v>9.0359999999999996</v>
      </c>
      <c r="AB48" s="25">
        <f t="shared" si="3"/>
        <v>-184.49199999999999</v>
      </c>
      <c r="AD48" s="24">
        <f>IF(D48="M",IF(AG48&lt;78,BMILMS!$D$5*AG48^3+BMILMS!$E$5*AG48^2+BMILMS!$F$5*AG48+BMILMS!$G$5,IF(AG48&lt;150,BMILMS!$D$6*AG48^3+BMILMS!$E$6*AG48^2+BMILMS!$F$6*AG48+BMILMS!$G$6,BMILMS!$D$7*AG48^3+BMILMS!$E$7*AG48^2+BMILMS!$F$7*AG48+BMILMS!$G$7)),IF(AG48&lt;69,BMILMS!$D$9*AG48^3+BMILMS!$E$9*AG48^2+BMILMS!$F$9*AG48+BMILMS!$G$9,IF(AG48&lt;150,BMILMS!$D$10*AG48^3+BMILMS!$E$10*AG48^2+BMILMS!$F$10*AG48+BMILMS!$G$10,BMILMS!$D$11*AG48^3+BMILMS!$E$11*AG48^2+BMILMS!$F$11*AG48+BMILMS!$G$11)))</f>
        <v>0.79584630099999998</v>
      </c>
      <c r="AE48" s="24">
        <f>IF(D48="M",(IF(AG48&lt;2.5,BMILMS!$D$21*AG48^3+BMILMS!$E$21*AG48^2+BMILMS!$F$21*AG48+BMILMS!$G$21,IF(AG48&lt;9.5,BMILMS!$D$22*AG48^3+BMILMS!$E$22*AG48^2+BMILMS!$F$22*AG48+BMILMS!$G$22,IF(AG48&lt;26.75,BMILMS!$D$23*AG48^3+BMILMS!$E$23*AG48^2+BMILMS!$F$23*AG48+BMILMS!$G$23,IF(AG48&lt;90,BMILMS!$D$24*AG48^3+BMILMS!$E$24*AG48^2+BMILMS!$F$24*AG48+BMILMS!$G$24,BMILMS!$D$25*AG48^3+BMILMS!$E$25*AG48^2+BMILMS!$F$25*AG48+BMILMS!$G$25))))),(IF(AG48&lt;2.5,BMILMS!$D$27*AG48^3+BMILMS!$E$27*AG48^2+BMILMS!$F$27*AG48+BMILMS!$G$27,IF(AG48&lt;9.5,BMILMS!$D$28*AG48^3+BMILMS!$E$28*AG48^2+BMILMS!$F$28*AG48+BMILMS!$G$28,IF(AG48&lt;26.75,BMILMS!$D$29*AG48^3+BMILMS!$E$29*AG48^2+BMILMS!$F$29*AG48+BMILMS!$G$29,IF(AG48&lt;90,BMILMS!$D$30*AG48^3+BMILMS!$E$30*AG48^2+BMILMS!$F$30*AG48+BMILMS!$G$30,IF(AG48&lt;150,BMILMS!$D$31*AG48^3+BMILMS!$E$31*AG48^2+BMILMS!$F$31*AG48+BMILMS!$G$31,BMILMS!$D$32*AG48^3+BMILMS!$E$32*AG48^2+BMILMS!$F$32*AG48+BMILMS!$G$32)))))))</f>
        <v>12.568967990000001</v>
      </c>
      <c r="AF48" s="24">
        <f>IF(D48="M",(IF(AG48&lt;90,BMILMS!$D$14*AG48^3+BMILMS!$E$14*AG48^2+BMILMS!$F$14*AG48+BMILMS!$G$14,BMILMS!$D$15*AG48^3+BMILMS!$E$15*AG48^2+BMILMS!$F$15*AG48+BMILMS!$G$15)),(IF(AG48&lt;90,BMILMS!$D$17*AG48^3+BMILMS!$E$17*AG48^2+BMILMS!$F$17*AG48+BMILMS!$G$17,BMILMS!$D$18*AG48^3+BMILMS!$E$18*AG48^2+BMILMS!$F$18*AG48+BMILMS!$G$18)))</f>
        <v>8.8969350000000003E-2</v>
      </c>
      <c r="AG48" s="24">
        <f t="shared" si="16"/>
        <v>0</v>
      </c>
      <c r="AI48" s="38">
        <f>IF(D48="M",WeightSDS!P$5*$AG48^7+WeightSDS!Q$5*$AG48^6+WeightSDS!R$5*$AG48^5+WeightSDS!S$5*$AG48^4+WeightSDS!T$5*$AG48^3+WeightSDS!U$5*$AG48^2+WeightSDS!V$5*$AG48+WeightSDS!W$5,IF($AG48&lt;186,WeightSDS!P$8*$AG48^7+WeightSDS!Q$8*$AG48^6+WeightSDS!R$8*$AG48^5+WeightSDS!S$8*$AG48^4+WeightSDS!T$8*$AG48^3+WeightSDS!U$8*$AG48^2+WeightSDS!V$8*$AG48+WeightSDS!W$8,WeightSDS!$U$9-WeightSDS!$V$9*($AG48-WeightSDS!$W$9)))</f>
        <v>0.75407122999999998</v>
      </c>
      <c r="AJ48" s="24">
        <f>IF(D48="M",IF($AG48&lt;45,WeightSDS!M$23*$AG48^10+WeightSDS!N$23*$AG48^9+WeightSDS!O$23*$AG48^8+WeightSDS!P$23*$AG48^7+WeightSDS!Q$23*$AG48^6+WeightSDS!R$23*$AG48^5+WeightSDS!S$23*$AG48^4+WeightSDS!T$23*$AG48^3+WeightSDS!U$23*$AG48^2+WeightSDS!V$23*$AG48+WeightSDS!W$23,IF($AG48&lt;153,WeightSDS!M$25*$AG48^10+WeightSDS!N$25*$AG48^9+WeightSDS!O$25*$AG48^8+WeightSDS!P$25*$AG48^7+WeightSDS!Q$25*$AG48^6+WeightSDS!R$25*$AG48^5+WeightSDS!S$25*$AG48^4+WeightSDS!T$25*$AG48^3+WeightSDS!U$25*$AG48^2+WeightSDS!V$25*$AG48+WeightSDS!W$25,WeightSDS!M$27+WeightSDS!N$27/(1+EXP(WeightSDS!O$27+WeightSDS!P$27*$AG48)))),IF($AG48&lt;43.8,WeightSDS!M$29*$AG48^10+WeightSDS!N$29*$AG48^9+WeightSDS!O$29*$AG48^8+WeightSDS!P$29*$AG48^7+WeightSDS!Q$29*$AG48^6+WeightSDS!R$29*$AG48^5+WeightSDS!S$29*$AG48^4+WeightSDS!T$29*$AG48^3+WeightSDS!U$29*$AG48^2+WeightSDS!V$29*$AG48+WeightSDS!W$29-0.010431*(1-$AG48/210),IF($AG48&lt;123,WeightSDS!M$30*$AG48^10+WeightSDS!N$30*$AG48^9+WeightSDS!O$30*$AG48^8+WeightSDS!P$30*$AG48^7+WeightSDS!Q$30*$AG48^6+WeightSDS!R$30*$AG48^5+WeightSDS!S$30*$AG48^4+WeightSDS!T$30*$AG48^3+WeightSDS!U$30*$AG48^2+WeightSDS!V$30*$AG48+WeightSDS!W$30-0.010431*(1-1/$AG48),WeightSDS!M$32+WeightSDS!N$32/(1+EXP(WeightSDS!O$32+WeightSDS!P$32*$AG48))-0.010431*(1-$AG48/210))))</f>
        <v>2.9500001032655536</v>
      </c>
      <c r="AK48" s="24">
        <f>IF(D48="M",IF($AG48&lt;162,WeightSDS!P$12*$AG48^7+WeightSDS!Q$12*$AG48^6+WeightSDS!R$12*$AG48^5+WeightSDS!S$12*$AG48^4+WeightSDS!T$12*$AG48^3+WeightSDS!U$12*$AG48^2+WeightSDS!V$12*$AG48+WeightSDS!W$12,WeightSDS!P$14*$AG48^7+WeightSDS!Q$14*$AG48^6+WeightSDS!R$14*$AG48^5+WeightSDS!S$14*$AG48^4+WeightSDS!T$14*$AG48^3+WeightSDS!U$14*$AG48^2+WeightSDS!V$14*$AG48+WeightSDS!W$14),IF($AG48&lt;156,WeightSDS!O$17*$AG48^8+WeightSDS!P$17*$AG48^7+WeightSDS!Q$17*$AG48^6+WeightSDS!R$17*$AG48^5+WeightSDS!S$17*$AG48^4+WeightSDS!T$17*$AG48^3+WeightSDS!U$17*$AG48^2+WeightSDS!V$17*$AG48+WeightSDS!W$17,IF($AG48&lt;186,WeightSDS!$U$18+(WeightSDS!$V$18-WeightSDS!$U$18)/24*($AG48-186)+WeightSDS!$W$18*(-$AG48+186)^2-0.005,WeightSDS!$U$18+(WeightSDS!$V$18-WeightSDS!$U$18)/24*($AG48-186)-0.005)))</f>
        <v>0.14604529399999999</v>
      </c>
    </row>
    <row r="49" spans="1:37">
      <c r="A49" s="4"/>
      <c r="B49" s="21"/>
      <c r="C49" s="21"/>
      <c r="D49" s="21"/>
      <c r="E49" s="22"/>
      <c r="F49" s="22"/>
      <c r="G49" s="23"/>
      <c r="H49" s="23"/>
      <c r="I49" s="8" t="str">
        <f t="shared" si="0"/>
        <v/>
      </c>
      <c r="J49" s="2" t="str">
        <f t="shared" si="4"/>
        <v/>
      </c>
      <c r="K49" s="2" t="str">
        <f t="shared" si="1"/>
        <v/>
      </c>
      <c r="L49" s="2" t="str">
        <f t="shared" si="5"/>
        <v/>
      </c>
      <c r="M49" s="2" t="str">
        <f t="shared" si="15"/>
        <v/>
      </c>
      <c r="N49" s="2" t="str">
        <f t="shared" si="7"/>
        <v/>
      </c>
      <c r="O49" s="8" t="str">
        <f t="shared" si="8"/>
        <v/>
      </c>
      <c r="P49" s="8" t="str">
        <f t="shared" si="9"/>
        <v/>
      </c>
      <c r="Q49" s="40" t="str">
        <f t="shared" si="10"/>
        <v/>
      </c>
      <c r="R49" s="48" t="str">
        <f t="shared" si="11"/>
        <v/>
      </c>
      <c r="S49" s="8"/>
      <c r="U49" s="35">
        <f t="shared" si="12"/>
        <v>0</v>
      </c>
      <c r="V49" s="24">
        <f t="shared" si="13"/>
        <v>0</v>
      </c>
      <c r="W49" s="41">
        <f t="shared" si="17"/>
        <v>0</v>
      </c>
      <c r="X49" s="31"/>
      <c r="Y49" s="31"/>
      <c r="Z49" s="31"/>
      <c r="AA49" s="25">
        <f t="shared" si="2"/>
        <v>9.0359999999999996</v>
      </c>
      <c r="AB49" s="25">
        <f t="shared" si="3"/>
        <v>-184.49199999999999</v>
      </c>
      <c r="AD49" s="24">
        <f>IF(D49="M",IF(AG49&lt;78,BMILMS!$D$5*AG49^3+BMILMS!$E$5*AG49^2+BMILMS!$F$5*AG49+BMILMS!$G$5,IF(AG49&lt;150,BMILMS!$D$6*AG49^3+BMILMS!$E$6*AG49^2+BMILMS!$F$6*AG49+BMILMS!$G$6,BMILMS!$D$7*AG49^3+BMILMS!$E$7*AG49^2+BMILMS!$F$7*AG49+BMILMS!$G$7)),IF(AG49&lt;69,BMILMS!$D$9*AG49^3+BMILMS!$E$9*AG49^2+BMILMS!$F$9*AG49+BMILMS!$G$9,IF(AG49&lt;150,BMILMS!$D$10*AG49^3+BMILMS!$E$10*AG49^2+BMILMS!$F$10*AG49+BMILMS!$G$10,BMILMS!$D$11*AG49^3+BMILMS!$E$11*AG49^2+BMILMS!$F$11*AG49+BMILMS!$G$11)))</f>
        <v>0.79584630099999998</v>
      </c>
      <c r="AE49" s="24">
        <f>IF(D49="M",(IF(AG49&lt;2.5,BMILMS!$D$21*AG49^3+BMILMS!$E$21*AG49^2+BMILMS!$F$21*AG49+BMILMS!$G$21,IF(AG49&lt;9.5,BMILMS!$D$22*AG49^3+BMILMS!$E$22*AG49^2+BMILMS!$F$22*AG49+BMILMS!$G$22,IF(AG49&lt;26.75,BMILMS!$D$23*AG49^3+BMILMS!$E$23*AG49^2+BMILMS!$F$23*AG49+BMILMS!$G$23,IF(AG49&lt;90,BMILMS!$D$24*AG49^3+BMILMS!$E$24*AG49^2+BMILMS!$F$24*AG49+BMILMS!$G$24,BMILMS!$D$25*AG49^3+BMILMS!$E$25*AG49^2+BMILMS!$F$25*AG49+BMILMS!$G$25))))),(IF(AG49&lt;2.5,BMILMS!$D$27*AG49^3+BMILMS!$E$27*AG49^2+BMILMS!$F$27*AG49+BMILMS!$G$27,IF(AG49&lt;9.5,BMILMS!$D$28*AG49^3+BMILMS!$E$28*AG49^2+BMILMS!$F$28*AG49+BMILMS!$G$28,IF(AG49&lt;26.75,BMILMS!$D$29*AG49^3+BMILMS!$E$29*AG49^2+BMILMS!$F$29*AG49+BMILMS!$G$29,IF(AG49&lt;90,BMILMS!$D$30*AG49^3+BMILMS!$E$30*AG49^2+BMILMS!$F$30*AG49+BMILMS!$G$30,IF(AG49&lt;150,BMILMS!$D$31*AG49^3+BMILMS!$E$31*AG49^2+BMILMS!$F$31*AG49+BMILMS!$G$31,BMILMS!$D$32*AG49^3+BMILMS!$E$32*AG49^2+BMILMS!$F$32*AG49+BMILMS!$G$32)))))))</f>
        <v>12.568967990000001</v>
      </c>
      <c r="AF49" s="24">
        <f>IF(D49="M",(IF(AG49&lt;90,BMILMS!$D$14*AG49^3+BMILMS!$E$14*AG49^2+BMILMS!$F$14*AG49+BMILMS!$G$14,BMILMS!$D$15*AG49^3+BMILMS!$E$15*AG49^2+BMILMS!$F$15*AG49+BMILMS!$G$15)),(IF(AG49&lt;90,BMILMS!$D$17*AG49^3+BMILMS!$E$17*AG49^2+BMILMS!$F$17*AG49+BMILMS!$G$17,BMILMS!$D$18*AG49^3+BMILMS!$E$18*AG49^2+BMILMS!$F$18*AG49+BMILMS!$G$18)))</f>
        <v>8.8969350000000003E-2</v>
      </c>
      <c r="AG49" s="24">
        <f t="shared" si="16"/>
        <v>0</v>
      </c>
      <c r="AI49" s="38">
        <f>IF(D49="M",WeightSDS!P$5*$AG49^7+WeightSDS!Q$5*$AG49^6+WeightSDS!R$5*$AG49^5+WeightSDS!S$5*$AG49^4+WeightSDS!T$5*$AG49^3+WeightSDS!U$5*$AG49^2+WeightSDS!V$5*$AG49+WeightSDS!W$5,IF($AG49&lt;186,WeightSDS!P$8*$AG49^7+WeightSDS!Q$8*$AG49^6+WeightSDS!R$8*$AG49^5+WeightSDS!S$8*$AG49^4+WeightSDS!T$8*$AG49^3+WeightSDS!U$8*$AG49^2+WeightSDS!V$8*$AG49+WeightSDS!W$8,WeightSDS!$U$9-WeightSDS!$V$9*($AG49-WeightSDS!$W$9)))</f>
        <v>0.75407122999999998</v>
      </c>
      <c r="AJ49" s="24">
        <f>IF(D49="M",IF($AG49&lt;45,WeightSDS!M$23*$AG49^10+WeightSDS!N$23*$AG49^9+WeightSDS!O$23*$AG49^8+WeightSDS!P$23*$AG49^7+WeightSDS!Q$23*$AG49^6+WeightSDS!R$23*$AG49^5+WeightSDS!S$23*$AG49^4+WeightSDS!T$23*$AG49^3+WeightSDS!U$23*$AG49^2+WeightSDS!V$23*$AG49+WeightSDS!W$23,IF($AG49&lt;153,WeightSDS!M$25*$AG49^10+WeightSDS!N$25*$AG49^9+WeightSDS!O$25*$AG49^8+WeightSDS!P$25*$AG49^7+WeightSDS!Q$25*$AG49^6+WeightSDS!R$25*$AG49^5+WeightSDS!S$25*$AG49^4+WeightSDS!T$25*$AG49^3+WeightSDS!U$25*$AG49^2+WeightSDS!V$25*$AG49+WeightSDS!W$25,WeightSDS!M$27+WeightSDS!N$27/(1+EXP(WeightSDS!O$27+WeightSDS!P$27*$AG49)))),IF($AG49&lt;43.8,WeightSDS!M$29*$AG49^10+WeightSDS!N$29*$AG49^9+WeightSDS!O$29*$AG49^8+WeightSDS!P$29*$AG49^7+WeightSDS!Q$29*$AG49^6+WeightSDS!R$29*$AG49^5+WeightSDS!S$29*$AG49^4+WeightSDS!T$29*$AG49^3+WeightSDS!U$29*$AG49^2+WeightSDS!V$29*$AG49+WeightSDS!W$29-0.010431*(1-$AG49/210),IF($AG49&lt;123,WeightSDS!M$30*$AG49^10+WeightSDS!N$30*$AG49^9+WeightSDS!O$30*$AG49^8+WeightSDS!P$30*$AG49^7+WeightSDS!Q$30*$AG49^6+WeightSDS!R$30*$AG49^5+WeightSDS!S$30*$AG49^4+WeightSDS!T$30*$AG49^3+WeightSDS!U$30*$AG49^2+WeightSDS!V$30*$AG49+WeightSDS!W$30-0.010431*(1-1/$AG49),WeightSDS!M$32+WeightSDS!N$32/(1+EXP(WeightSDS!O$32+WeightSDS!P$32*$AG49))-0.010431*(1-$AG49/210))))</f>
        <v>2.9500001032655536</v>
      </c>
      <c r="AK49" s="24">
        <f>IF(D49="M",IF($AG49&lt;162,WeightSDS!P$12*$AG49^7+WeightSDS!Q$12*$AG49^6+WeightSDS!R$12*$AG49^5+WeightSDS!S$12*$AG49^4+WeightSDS!T$12*$AG49^3+WeightSDS!U$12*$AG49^2+WeightSDS!V$12*$AG49+WeightSDS!W$12,WeightSDS!P$14*$AG49^7+WeightSDS!Q$14*$AG49^6+WeightSDS!R$14*$AG49^5+WeightSDS!S$14*$AG49^4+WeightSDS!T$14*$AG49^3+WeightSDS!U$14*$AG49^2+WeightSDS!V$14*$AG49+WeightSDS!W$14),IF($AG49&lt;156,WeightSDS!O$17*$AG49^8+WeightSDS!P$17*$AG49^7+WeightSDS!Q$17*$AG49^6+WeightSDS!R$17*$AG49^5+WeightSDS!S$17*$AG49^4+WeightSDS!T$17*$AG49^3+WeightSDS!U$17*$AG49^2+WeightSDS!V$17*$AG49+WeightSDS!W$17,IF($AG49&lt;186,WeightSDS!$U$18+(WeightSDS!$V$18-WeightSDS!$U$18)/24*($AG49-186)+WeightSDS!$W$18*(-$AG49+186)^2-0.005,WeightSDS!$U$18+(WeightSDS!$V$18-WeightSDS!$U$18)/24*($AG49-186)-0.005)))</f>
        <v>0.14604529399999999</v>
      </c>
    </row>
    <row r="50" spans="1:37">
      <c r="A50" s="4"/>
      <c r="B50" s="21"/>
      <c r="C50" s="21"/>
      <c r="D50" s="21"/>
      <c r="E50" s="22"/>
      <c r="F50" s="22"/>
      <c r="G50" s="23"/>
      <c r="H50" s="23"/>
      <c r="I50" s="8" t="str">
        <f t="shared" si="0"/>
        <v/>
      </c>
      <c r="J50" s="2" t="str">
        <f t="shared" si="4"/>
        <v/>
      </c>
      <c r="K50" s="2" t="str">
        <f t="shared" si="1"/>
        <v/>
      </c>
      <c r="L50" s="2" t="str">
        <f t="shared" si="5"/>
        <v/>
      </c>
      <c r="M50" s="2" t="str">
        <f t="shared" si="15"/>
        <v/>
      </c>
      <c r="N50" s="2" t="str">
        <f t="shared" si="7"/>
        <v/>
      </c>
      <c r="O50" s="8" t="str">
        <f t="shared" si="8"/>
        <v/>
      </c>
      <c r="P50" s="8" t="str">
        <f t="shared" si="9"/>
        <v/>
      </c>
      <c r="Q50" s="40" t="str">
        <f t="shared" si="10"/>
        <v/>
      </c>
      <c r="R50" s="48" t="str">
        <f t="shared" si="11"/>
        <v/>
      </c>
      <c r="S50" s="8"/>
      <c r="U50" s="35">
        <f t="shared" si="12"/>
        <v>0</v>
      </c>
      <c r="V50" s="24">
        <f t="shared" si="13"/>
        <v>0</v>
      </c>
      <c r="W50" s="41">
        <f t="shared" si="17"/>
        <v>0</v>
      </c>
      <c r="X50" s="31"/>
      <c r="Y50" s="31"/>
      <c r="Z50" s="31"/>
      <c r="AA50" s="25">
        <f t="shared" si="2"/>
        <v>9.0359999999999996</v>
      </c>
      <c r="AB50" s="25">
        <f t="shared" si="3"/>
        <v>-184.49199999999999</v>
      </c>
      <c r="AD50" s="24">
        <f>IF(D50="M",IF(AG50&lt;78,BMILMS!$D$5*AG50^3+BMILMS!$E$5*AG50^2+BMILMS!$F$5*AG50+BMILMS!$G$5,IF(AG50&lt;150,BMILMS!$D$6*AG50^3+BMILMS!$E$6*AG50^2+BMILMS!$F$6*AG50+BMILMS!$G$6,BMILMS!$D$7*AG50^3+BMILMS!$E$7*AG50^2+BMILMS!$F$7*AG50+BMILMS!$G$7)),IF(AG50&lt;69,BMILMS!$D$9*AG50^3+BMILMS!$E$9*AG50^2+BMILMS!$F$9*AG50+BMILMS!$G$9,IF(AG50&lt;150,BMILMS!$D$10*AG50^3+BMILMS!$E$10*AG50^2+BMILMS!$F$10*AG50+BMILMS!$G$10,BMILMS!$D$11*AG50^3+BMILMS!$E$11*AG50^2+BMILMS!$F$11*AG50+BMILMS!$G$11)))</f>
        <v>0.79584630099999998</v>
      </c>
      <c r="AE50" s="24">
        <f>IF(D50="M",(IF(AG50&lt;2.5,BMILMS!$D$21*AG50^3+BMILMS!$E$21*AG50^2+BMILMS!$F$21*AG50+BMILMS!$G$21,IF(AG50&lt;9.5,BMILMS!$D$22*AG50^3+BMILMS!$E$22*AG50^2+BMILMS!$F$22*AG50+BMILMS!$G$22,IF(AG50&lt;26.75,BMILMS!$D$23*AG50^3+BMILMS!$E$23*AG50^2+BMILMS!$F$23*AG50+BMILMS!$G$23,IF(AG50&lt;90,BMILMS!$D$24*AG50^3+BMILMS!$E$24*AG50^2+BMILMS!$F$24*AG50+BMILMS!$G$24,BMILMS!$D$25*AG50^3+BMILMS!$E$25*AG50^2+BMILMS!$F$25*AG50+BMILMS!$G$25))))),(IF(AG50&lt;2.5,BMILMS!$D$27*AG50^3+BMILMS!$E$27*AG50^2+BMILMS!$F$27*AG50+BMILMS!$G$27,IF(AG50&lt;9.5,BMILMS!$D$28*AG50^3+BMILMS!$E$28*AG50^2+BMILMS!$F$28*AG50+BMILMS!$G$28,IF(AG50&lt;26.75,BMILMS!$D$29*AG50^3+BMILMS!$E$29*AG50^2+BMILMS!$F$29*AG50+BMILMS!$G$29,IF(AG50&lt;90,BMILMS!$D$30*AG50^3+BMILMS!$E$30*AG50^2+BMILMS!$F$30*AG50+BMILMS!$G$30,IF(AG50&lt;150,BMILMS!$D$31*AG50^3+BMILMS!$E$31*AG50^2+BMILMS!$F$31*AG50+BMILMS!$G$31,BMILMS!$D$32*AG50^3+BMILMS!$E$32*AG50^2+BMILMS!$F$32*AG50+BMILMS!$G$32)))))))</f>
        <v>12.568967990000001</v>
      </c>
      <c r="AF50" s="24">
        <f>IF(D50="M",(IF(AG50&lt;90,BMILMS!$D$14*AG50^3+BMILMS!$E$14*AG50^2+BMILMS!$F$14*AG50+BMILMS!$G$14,BMILMS!$D$15*AG50^3+BMILMS!$E$15*AG50^2+BMILMS!$F$15*AG50+BMILMS!$G$15)),(IF(AG50&lt;90,BMILMS!$D$17*AG50^3+BMILMS!$E$17*AG50^2+BMILMS!$F$17*AG50+BMILMS!$G$17,BMILMS!$D$18*AG50^3+BMILMS!$E$18*AG50^2+BMILMS!$F$18*AG50+BMILMS!$G$18)))</f>
        <v>8.8969350000000003E-2</v>
      </c>
      <c r="AG50" s="24">
        <f t="shared" si="16"/>
        <v>0</v>
      </c>
      <c r="AI50" s="38">
        <f>IF(D50="M",WeightSDS!P$5*$AG50^7+WeightSDS!Q$5*$AG50^6+WeightSDS!R$5*$AG50^5+WeightSDS!S$5*$AG50^4+WeightSDS!T$5*$AG50^3+WeightSDS!U$5*$AG50^2+WeightSDS!V$5*$AG50+WeightSDS!W$5,IF($AG50&lt;186,WeightSDS!P$8*$AG50^7+WeightSDS!Q$8*$AG50^6+WeightSDS!R$8*$AG50^5+WeightSDS!S$8*$AG50^4+WeightSDS!T$8*$AG50^3+WeightSDS!U$8*$AG50^2+WeightSDS!V$8*$AG50+WeightSDS!W$8,WeightSDS!$U$9-WeightSDS!$V$9*($AG50-WeightSDS!$W$9)))</f>
        <v>0.75407122999999998</v>
      </c>
      <c r="AJ50" s="24">
        <f>IF(D50="M",IF($AG50&lt;45,WeightSDS!M$23*$AG50^10+WeightSDS!N$23*$AG50^9+WeightSDS!O$23*$AG50^8+WeightSDS!P$23*$AG50^7+WeightSDS!Q$23*$AG50^6+WeightSDS!R$23*$AG50^5+WeightSDS!S$23*$AG50^4+WeightSDS!T$23*$AG50^3+WeightSDS!U$23*$AG50^2+WeightSDS!V$23*$AG50+WeightSDS!W$23,IF($AG50&lt;153,WeightSDS!M$25*$AG50^10+WeightSDS!N$25*$AG50^9+WeightSDS!O$25*$AG50^8+WeightSDS!P$25*$AG50^7+WeightSDS!Q$25*$AG50^6+WeightSDS!R$25*$AG50^5+WeightSDS!S$25*$AG50^4+WeightSDS!T$25*$AG50^3+WeightSDS!U$25*$AG50^2+WeightSDS!V$25*$AG50+WeightSDS!W$25,WeightSDS!M$27+WeightSDS!N$27/(1+EXP(WeightSDS!O$27+WeightSDS!P$27*$AG50)))),IF($AG50&lt;43.8,WeightSDS!M$29*$AG50^10+WeightSDS!N$29*$AG50^9+WeightSDS!O$29*$AG50^8+WeightSDS!P$29*$AG50^7+WeightSDS!Q$29*$AG50^6+WeightSDS!R$29*$AG50^5+WeightSDS!S$29*$AG50^4+WeightSDS!T$29*$AG50^3+WeightSDS!U$29*$AG50^2+WeightSDS!V$29*$AG50+WeightSDS!W$29-0.010431*(1-$AG50/210),IF($AG50&lt;123,WeightSDS!M$30*$AG50^10+WeightSDS!N$30*$AG50^9+WeightSDS!O$30*$AG50^8+WeightSDS!P$30*$AG50^7+WeightSDS!Q$30*$AG50^6+WeightSDS!R$30*$AG50^5+WeightSDS!S$30*$AG50^4+WeightSDS!T$30*$AG50^3+WeightSDS!U$30*$AG50^2+WeightSDS!V$30*$AG50+WeightSDS!W$30-0.010431*(1-1/$AG50),WeightSDS!M$32+WeightSDS!N$32/(1+EXP(WeightSDS!O$32+WeightSDS!P$32*$AG50))-0.010431*(1-$AG50/210))))</f>
        <v>2.9500001032655536</v>
      </c>
      <c r="AK50" s="24">
        <f>IF(D50="M",IF($AG50&lt;162,WeightSDS!P$12*$AG50^7+WeightSDS!Q$12*$AG50^6+WeightSDS!R$12*$AG50^5+WeightSDS!S$12*$AG50^4+WeightSDS!T$12*$AG50^3+WeightSDS!U$12*$AG50^2+WeightSDS!V$12*$AG50+WeightSDS!W$12,WeightSDS!P$14*$AG50^7+WeightSDS!Q$14*$AG50^6+WeightSDS!R$14*$AG50^5+WeightSDS!S$14*$AG50^4+WeightSDS!T$14*$AG50^3+WeightSDS!U$14*$AG50^2+WeightSDS!V$14*$AG50+WeightSDS!W$14),IF($AG50&lt;156,WeightSDS!O$17*$AG50^8+WeightSDS!P$17*$AG50^7+WeightSDS!Q$17*$AG50^6+WeightSDS!R$17*$AG50^5+WeightSDS!S$17*$AG50^4+WeightSDS!T$17*$AG50^3+WeightSDS!U$17*$AG50^2+WeightSDS!V$17*$AG50+WeightSDS!W$17,IF($AG50&lt;186,WeightSDS!$U$18+(WeightSDS!$V$18-WeightSDS!$U$18)/24*($AG50-186)+WeightSDS!$W$18*(-$AG50+186)^2-0.005,WeightSDS!$U$18+(WeightSDS!$V$18-WeightSDS!$U$18)/24*($AG50-186)-0.005)))</f>
        <v>0.14604529399999999</v>
      </c>
    </row>
    <row r="51" spans="1:37">
      <c r="A51" s="4"/>
      <c r="B51" s="21"/>
      <c r="C51" s="21"/>
      <c r="D51" s="21"/>
      <c r="E51" s="22"/>
      <c r="F51" s="22"/>
      <c r="G51" s="23"/>
      <c r="H51" s="23"/>
      <c r="I51" s="8" t="str">
        <f t="shared" si="0"/>
        <v/>
      </c>
      <c r="J51" s="2" t="str">
        <f t="shared" si="4"/>
        <v/>
      </c>
      <c r="K51" s="2" t="str">
        <f t="shared" si="1"/>
        <v/>
      </c>
      <c r="L51" s="2" t="str">
        <f t="shared" si="5"/>
        <v/>
      </c>
      <c r="M51" s="2" t="str">
        <f t="shared" si="15"/>
        <v/>
      </c>
      <c r="N51" s="2" t="str">
        <f t="shared" si="7"/>
        <v/>
      </c>
      <c r="O51" s="8" t="str">
        <f t="shared" si="8"/>
        <v/>
      </c>
      <c r="P51" s="8" t="str">
        <f t="shared" si="9"/>
        <v/>
      </c>
      <c r="Q51" s="40" t="str">
        <f t="shared" si="10"/>
        <v/>
      </c>
      <c r="R51" s="48" t="str">
        <f t="shared" si="11"/>
        <v/>
      </c>
      <c r="S51" s="8"/>
      <c r="U51" s="35">
        <f t="shared" si="12"/>
        <v>0</v>
      </c>
      <c r="V51" s="24">
        <f t="shared" si="13"/>
        <v>0</v>
      </c>
      <c r="W51" s="41">
        <f t="shared" si="17"/>
        <v>0</v>
      </c>
      <c r="X51" s="31"/>
      <c r="Y51" s="31"/>
      <c r="Z51" s="31"/>
      <c r="AA51" s="25">
        <f t="shared" si="2"/>
        <v>9.0359999999999996</v>
      </c>
      <c r="AB51" s="25">
        <f t="shared" si="3"/>
        <v>-184.49199999999999</v>
      </c>
      <c r="AD51" s="24">
        <f>IF(D51="M",IF(AG51&lt;78,BMILMS!$D$5*AG51^3+BMILMS!$E$5*AG51^2+BMILMS!$F$5*AG51+BMILMS!$G$5,IF(AG51&lt;150,BMILMS!$D$6*AG51^3+BMILMS!$E$6*AG51^2+BMILMS!$F$6*AG51+BMILMS!$G$6,BMILMS!$D$7*AG51^3+BMILMS!$E$7*AG51^2+BMILMS!$F$7*AG51+BMILMS!$G$7)),IF(AG51&lt;69,BMILMS!$D$9*AG51^3+BMILMS!$E$9*AG51^2+BMILMS!$F$9*AG51+BMILMS!$G$9,IF(AG51&lt;150,BMILMS!$D$10*AG51^3+BMILMS!$E$10*AG51^2+BMILMS!$F$10*AG51+BMILMS!$G$10,BMILMS!$D$11*AG51^3+BMILMS!$E$11*AG51^2+BMILMS!$F$11*AG51+BMILMS!$G$11)))</f>
        <v>0.79584630099999998</v>
      </c>
      <c r="AE51" s="24">
        <f>IF(D51="M",(IF(AG51&lt;2.5,BMILMS!$D$21*AG51^3+BMILMS!$E$21*AG51^2+BMILMS!$F$21*AG51+BMILMS!$G$21,IF(AG51&lt;9.5,BMILMS!$D$22*AG51^3+BMILMS!$E$22*AG51^2+BMILMS!$F$22*AG51+BMILMS!$G$22,IF(AG51&lt;26.75,BMILMS!$D$23*AG51^3+BMILMS!$E$23*AG51^2+BMILMS!$F$23*AG51+BMILMS!$G$23,IF(AG51&lt;90,BMILMS!$D$24*AG51^3+BMILMS!$E$24*AG51^2+BMILMS!$F$24*AG51+BMILMS!$G$24,BMILMS!$D$25*AG51^3+BMILMS!$E$25*AG51^2+BMILMS!$F$25*AG51+BMILMS!$G$25))))),(IF(AG51&lt;2.5,BMILMS!$D$27*AG51^3+BMILMS!$E$27*AG51^2+BMILMS!$F$27*AG51+BMILMS!$G$27,IF(AG51&lt;9.5,BMILMS!$D$28*AG51^3+BMILMS!$E$28*AG51^2+BMILMS!$F$28*AG51+BMILMS!$G$28,IF(AG51&lt;26.75,BMILMS!$D$29*AG51^3+BMILMS!$E$29*AG51^2+BMILMS!$F$29*AG51+BMILMS!$G$29,IF(AG51&lt;90,BMILMS!$D$30*AG51^3+BMILMS!$E$30*AG51^2+BMILMS!$F$30*AG51+BMILMS!$G$30,IF(AG51&lt;150,BMILMS!$D$31*AG51^3+BMILMS!$E$31*AG51^2+BMILMS!$F$31*AG51+BMILMS!$G$31,BMILMS!$D$32*AG51^3+BMILMS!$E$32*AG51^2+BMILMS!$F$32*AG51+BMILMS!$G$32)))))))</f>
        <v>12.568967990000001</v>
      </c>
      <c r="AF51" s="24">
        <f>IF(D51="M",(IF(AG51&lt;90,BMILMS!$D$14*AG51^3+BMILMS!$E$14*AG51^2+BMILMS!$F$14*AG51+BMILMS!$G$14,BMILMS!$D$15*AG51^3+BMILMS!$E$15*AG51^2+BMILMS!$F$15*AG51+BMILMS!$G$15)),(IF(AG51&lt;90,BMILMS!$D$17*AG51^3+BMILMS!$E$17*AG51^2+BMILMS!$F$17*AG51+BMILMS!$G$17,BMILMS!$D$18*AG51^3+BMILMS!$E$18*AG51^2+BMILMS!$F$18*AG51+BMILMS!$G$18)))</f>
        <v>8.8969350000000003E-2</v>
      </c>
      <c r="AG51" s="24">
        <f t="shared" si="16"/>
        <v>0</v>
      </c>
      <c r="AI51" s="38">
        <f>IF(D51="M",WeightSDS!P$5*$AG51^7+WeightSDS!Q$5*$AG51^6+WeightSDS!R$5*$AG51^5+WeightSDS!S$5*$AG51^4+WeightSDS!T$5*$AG51^3+WeightSDS!U$5*$AG51^2+WeightSDS!V$5*$AG51+WeightSDS!W$5,IF($AG51&lt;186,WeightSDS!P$8*$AG51^7+WeightSDS!Q$8*$AG51^6+WeightSDS!R$8*$AG51^5+WeightSDS!S$8*$AG51^4+WeightSDS!T$8*$AG51^3+WeightSDS!U$8*$AG51^2+WeightSDS!V$8*$AG51+WeightSDS!W$8,WeightSDS!$U$9-WeightSDS!$V$9*($AG51-WeightSDS!$W$9)))</f>
        <v>0.75407122999999998</v>
      </c>
      <c r="AJ51" s="24">
        <f>IF(D51="M",IF($AG51&lt;45,WeightSDS!M$23*$AG51^10+WeightSDS!N$23*$AG51^9+WeightSDS!O$23*$AG51^8+WeightSDS!P$23*$AG51^7+WeightSDS!Q$23*$AG51^6+WeightSDS!R$23*$AG51^5+WeightSDS!S$23*$AG51^4+WeightSDS!T$23*$AG51^3+WeightSDS!U$23*$AG51^2+WeightSDS!V$23*$AG51+WeightSDS!W$23,IF($AG51&lt;153,WeightSDS!M$25*$AG51^10+WeightSDS!N$25*$AG51^9+WeightSDS!O$25*$AG51^8+WeightSDS!P$25*$AG51^7+WeightSDS!Q$25*$AG51^6+WeightSDS!R$25*$AG51^5+WeightSDS!S$25*$AG51^4+WeightSDS!T$25*$AG51^3+WeightSDS!U$25*$AG51^2+WeightSDS!V$25*$AG51+WeightSDS!W$25,WeightSDS!M$27+WeightSDS!N$27/(1+EXP(WeightSDS!O$27+WeightSDS!P$27*$AG51)))),IF($AG51&lt;43.8,WeightSDS!M$29*$AG51^10+WeightSDS!N$29*$AG51^9+WeightSDS!O$29*$AG51^8+WeightSDS!P$29*$AG51^7+WeightSDS!Q$29*$AG51^6+WeightSDS!R$29*$AG51^5+WeightSDS!S$29*$AG51^4+WeightSDS!T$29*$AG51^3+WeightSDS!U$29*$AG51^2+WeightSDS!V$29*$AG51+WeightSDS!W$29-0.010431*(1-$AG51/210),IF($AG51&lt;123,WeightSDS!M$30*$AG51^10+WeightSDS!N$30*$AG51^9+WeightSDS!O$30*$AG51^8+WeightSDS!P$30*$AG51^7+WeightSDS!Q$30*$AG51^6+WeightSDS!R$30*$AG51^5+WeightSDS!S$30*$AG51^4+WeightSDS!T$30*$AG51^3+WeightSDS!U$30*$AG51^2+WeightSDS!V$30*$AG51+WeightSDS!W$30-0.010431*(1-1/$AG51),WeightSDS!M$32+WeightSDS!N$32/(1+EXP(WeightSDS!O$32+WeightSDS!P$32*$AG51))-0.010431*(1-$AG51/210))))</f>
        <v>2.9500001032655536</v>
      </c>
      <c r="AK51" s="24">
        <f>IF(D51="M",IF($AG51&lt;162,WeightSDS!P$12*$AG51^7+WeightSDS!Q$12*$AG51^6+WeightSDS!R$12*$AG51^5+WeightSDS!S$12*$AG51^4+WeightSDS!T$12*$AG51^3+WeightSDS!U$12*$AG51^2+WeightSDS!V$12*$AG51+WeightSDS!W$12,WeightSDS!P$14*$AG51^7+WeightSDS!Q$14*$AG51^6+WeightSDS!R$14*$AG51^5+WeightSDS!S$14*$AG51^4+WeightSDS!T$14*$AG51^3+WeightSDS!U$14*$AG51^2+WeightSDS!V$14*$AG51+WeightSDS!W$14),IF($AG51&lt;156,WeightSDS!O$17*$AG51^8+WeightSDS!P$17*$AG51^7+WeightSDS!Q$17*$AG51^6+WeightSDS!R$17*$AG51^5+WeightSDS!S$17*$AG51^4+WeightSDS!T$17*$AG51^3+WeightSDS!U$17*$AG51^2+WeightSDS!V$17*$AG51+WeightSDS!W$17,IF($AG51&lt;186,WeightSDS!$U$18+(WeightSDS!$V$18-WeightSDS!$U$18)/24*($AG51-186)+WeightSDS!$W$18*(-$AG51+186)^2-0.005,WeightSDS!$U$18+(WeightSDS!$V$18-WeightSDS!$U$18)/24*($AG51-186)-0.005)))</f>
        <v>0.14604529399999999</v>
      </c>
    </row>
    <row r="52" spans="1:37">
      <c r="A52" s="4"/>
      <c r="B52" s="21"/>
      <c r="C52" s="21"/>
      <c r="D52" s="21"/>
      <c r="E52" s="22"/>
      <c r="F52" s="22"/>
      <c r="G52" s="23"/>
      <c r="H52" s="23"/>
      <c r="I52" s="8" t="str">
        <f t="shared" si="0"/>
        <v/>
      </c>
      <c r="J52" s="2" t="str">
        <f t="shared" si="4"/>
        <v/>
      </c>
      <c r="K52" s="2" t="str">
        <f t="shared" si="1"/>
        <v/>
      </c>
      <c r="L52" s="2" t="str">
        <f t="shared" si="5"/>
        <v/>
      </c>
      <c r="M52" s="2" t="str">
        <f t="shared" si="15"/>
        <v/>
      </c>
      <c r="N52" s="2" t="str">
        <f t="shared" si="7"/>
        <v/>
      </c>
      <c r="O52" s="8" t="str">
        <f t="shared" si="8"/>
        <v/>
      </c>
      <c r="P52" s="8" t="str">
        <f t="shared" si="9"/>
        <v/>
      </c>
      <c r="Q52" s="40" t="str">
        <f t="shared" si="10"/>
        <v/>
      </c>
      <c r="R52" s="48" t="str">
        <f t="shared" si="11"/>
        <v/>
      </c>
      <c r="S52" s="8"/>
      <c r="U52" s="35">
        <f t="shared" si="12"/>
        <v>0</v>
      </c>
      <c r="V52" s="24">
        <f t="shared" si="13"/>
        <v>0</v>
      </c>
      <c r="W52" s="41">
        <f t="shared" si="17"/>
        <v>0</v>
      </c>
      <c r="X52" s="31"/>
      <c r="Y52" s="31"/>
      <c r="Z52" s="31"/>
      <c r="AA52" s="25">
        <f t="shared" si="2"/>
        <v>9.0359999999999996</v>
      </c>
      <c r="AB52" s="25">
        <f t="shared" si="3"/>
        <v>-184.49199999999999</v>
      </c>
      <c r="AD52" s="24">
        <f>IF(D52="M",IF(AG52&lt;78,BMILMS!$D$5*AG52^3+BMILMS!$E$5*AG52^2+BMILMS!$F$5*AG52+BMILMS!$G$5,IF(AG52&lt;150,BMILMS!$D$6*AG52^3+BMILMS!$E$6*AG52^2+BMILMS!$F$6*AG52+BMILMS!$G$6,BMILMS!$D$7*AG52^3+BMILMS!$E$7*AG52^2+BMILMS!$F$7*AG52+BMILMS!$G$7)),IF(AG52&lt;69,BMILMS!$D$9*AG52^3+BMILMS!$E$9*AG52^2+BMILMS!$F$9*AG52+BMILMS!$G$9,IF(AG52&lt;150,BMILMS!$D$10*AG52^3+BMILMS!$E$10*AG52^2+BMILMS!$F$10*AG52+BMILMS!$G$10,BMILMS!$D$11*AG52^3+BMILMS!$E$11*AG52^2+BMILMS!$F$11*AG52+BMILMS!$G$11)))</f>
        <v>0.79584630099999998</v>
      </c>
      <c r="AE52" s="24">
        <f>IF(D52="M",(IF(AG52&lt;2.5,BMILMS!$D$21*AG52^3+BMILMS!$E$21*AG52^2+BMILMS!$F$21*AG52+BMILMS!$G$21,IF(AG52&lt;9.5,BMILMS!$D$22*AG52^3+BMILMS!$E$22*AG52^2+BMILMS!$F$22*AG52+BMILMS!$G$22,IF(AG52&lt;26.75,BMILMS!$D$23*AG52^3+BMILMS!$E$23*AG52^2+BMILMS!$F$23*AG52+BMILMS!$G$23,IF(AG52&lt;90,BMILMS!$D$24*AG52^3+BMILMS!$E$24*AG52^2+BMILMS!$F$24*AG52+BMILMS!$G$24,BMILMS!$D$25*AG52^3+BMILMS!$E$25*AG52^2+BMILMS!$F$25*AG52+BMILMS!$G$25))))),(IF(AG52&lt;2.5,BMILMS!$D$27*AG52^3+BMILMS!$E$27*AG52^2+BMILMS!$F$27*AG52+BMILMS!$G$27,IF(AG52&lt;9.5,BMILMS!$D$28*AG52^3+BMILMS!$E$28*AG52^2+BMILMS!$F$28*AG52+BMILMS!$G$28,IF(AG52&lt;26.75,BMILMS!$D$29*AG52^3+BMILMS!$E$29*AG52^2+BMILMS!$F$29*AG52+BMILMS!$G$29,IF(AG52&lt;90,BMILMS!$D$30*AG52^3+BMILMS!$E$30*AG52^2+BMILMS!$F$30*AG52+BMILMS!$G$30,IF(AG52&lt;150,BMILMS!$D$31*AG52^3+BMILMS!$E$31*AG52^2+BMILMS!$F$31*AG52+BMILMS!$G$31,BMILMS!$D$32*AG52^3+BMILMS!$E$32*AG52^2+BMILMS!$F$32*AG52+BMILMS!$G$32)))))))</f>
        <v>12.568967990000001</v>
      </c>
      <c r="AF52" s="24">
        <f>IF(D52="M",(IF(AG52&lt;90,BMILMS!$D$14*AG52^3+BMILMS!$E$14*AG52^2+BMILMS!$F$14*AG52+BMILMS!$G$14,BMILMS!$D$15*AG52^3+BMILMS!$E$15*AG52^2+BMILMS!$F$15*AG52+BMILMS!$G$15)),(IF(AG52&lt;90,BMILMS!$D$17*AG52^3+BMILMS!$E$17*AG52^2+BMILMS!$F$17*AG52+BMILMS!$G$17,BMILMS!$D$18*AG52^3+BMILMS!$E$18*AG52^2+BMILMS!$F$18*AG52+BMILMS!$G$18)))</f>
        <v>8.8969350000000003E-2</v>
      </c>
      <c r="AG52" s="24">
        <f t="shared" si="16"/>
        <v>0</v>
      </c>
      <c r="AI52" s="38">
        <f>IF(D52="M",WeightSDS!P$5*$AG52^7+WeightSDS!Q$5*$AG52^6+WeightSDS!R$5*$AG52^5+WeightSDS!S$5*$AG52^4+WeightSDS!T$5*$AG52^3+WeightSDS!U$5*$AG52^2+WeightSDS!V$5*$AG52+WeightSDS!W$5,IF($AG52&lt;186,WeightSDS!P$8*$AG52^7+WeightSDS!Q$8*$AG52^6+WeightSDS!R$8*$AG52^5+WeightSDS!S$8*$AG52^4+WeightSDS!T$8*$AG52^3+WeightSDS!U$8*$AG52^2+WeightSDS!V$8*$AG52+WeightSDS!W$8,WeightSDS!$U$9-WeightSDS!$V$9*($AG52-WeightSDS!$W$9)))</f>
        <v>0.75407122999999998</v>
      </c>
      <c r="AJ52" s="24">
        <f>IF(D52="M",IF($AG52&lt;45,WeightSDS!M$23*$AG52^10+WeightSDS!N$23*$AG52^9+WeightSDS!O$23*$AG52^8+WeightSDS!P$23*$AG52^7+WeightSDS!Q$23*$AG52^6+WeightSDS!R$23*$AG52^5+WeightSDS!S$23*$AG52^4+WeightSDS!T$23*$AG52^3+WeightSDS!U$23*$AG52^2+WeightSDS!V$23*$AG52+WeightSDS!W$23,IF($AG52&lt;153,WeightSDS!M$25*$AG52^10+WeightSDS!N$25*$AG52^9+WeightSDS!O$25*$AG52^8+WeightSDS!P$25*$AG52^7+WeightSDS!Q$25*$AG52^6+WeightSDS!R$25*$AG52^5+WeightSDS!S$25*$AG52^4+WeightSDS!T$25*$AG52^3+WeightSDS!U$25*$AG52^2+WeightSDS!V$25*$AG52+WeightSDS!W$25,WeightSDS!M$27+WeightSDS!N$27/(1+EXP(WeightSDS!O$27+WeightSDS!P$27*$AG52)))),IF($AG52&lt;43.8,WeightSDS!M$29*$AG52^10+WeightSDS!N$29*$AG52^9+WeightSDS!O$29*$AG52^8+WeightSDS!P$29*$AG52^7+WeightSDS!Q$29*$AG52^6+WeightSDS!R$29*$AG52^5+WeightSDS!S$29*$AG52^4+WeightSDS!T$29*$AG52^3+WeightSDS!U$29*$AG52^2+WeightSDS!V$29*$AG52+WeightSDS!W$29-0.010431*(1-$AG52/210),IF($AG52&lt;123,WeightSDS!M$30*$AG52^10+WeightSDS!N$30*$AG52^9+WeightSDS!O$30*$AG52^8+WeightSDS!P$30*$AG52^7+WeightSDS!Q$30*$AG52^6+WeightSDS!R$30*$AG52^5+WeightSDS!S$30*$AG52^4+WeightSDS!T$30*$AG52^3+WeightSDS!U$30*$AG52^2+WeightSDS!V$30*$AG52+WeightSDS!W$30-0.010431*(1-1/$AG52),WeightSDS!M$32+WeightSDS!N$32/(1+EXP(WeightSDS!O$32+WeightSDS!P$32*$AG52))-0.010431*(1-$AG52/210))))</f>
        <v>2.9500001032655536</v>
      </c>
      <c r="AK52" s="24">
        <f>IF(D52="M",IF($AG52&lt;162,WeightSDS!P$12*$AG52^7+WeightSDS!Q$12*$AG52^6+WeightSDS!R$12*$AG52^5+WeightSDS!S$12*$AG52^4+WeightSDS!T$12*$AG52^3+WeightSDS!U$12*$AG52^2+WeightSDS!V$12*$AG52+WeightSDS!W$12,WeightSDS!P$14*$AG52^7+WeightSDS!Q$14*$AG52^6+WeightSDS!R$14*$AG52^5+WeightSDS!S$14*$AG52^4+WeightSDS!T$14*$AG52^3+WeightSDS!U$14*$AG52^2+WeightSDS!V$14*$AG52+WeightSDS!W$14),IF($AG52&lt;156,WeightSDS!O$17*$AG52^8+WeightSDS!P$17*$AG52^7+WeightSDS!Q$17*$AG52^6+WeightSDS!R$17*$AG52^5+WeightSDS!S$17*$AG52^4+WeightSDS!T$17*$AG52^3+WeightSDS!U$17*$AG52^2+WeightSDS!V$17*$AG52+WeightSDS!W$17,IF($AG52&lt;186,WeightSDS!$U$18+(WeightSDS!$V$18-WeightSDS!$U$18)/24*($AG52-186)+WeightSDS!$W$18*(-$AG52+186)^2-0.005,WeightSDS!$U$18+(WeightSDS!$V$18-WeightSDS!$U$18)/24*($AG52-186)-0.005)))</f>
        <v>0.14604529399999999</v>
      </c>
    </row>
    <row r="53" spans="1:37">
      <c r="A53" s="4"/>
      <c r="B53" s="21"/>
      <c r="C53" s="21"/>
      <c r="D53" s="21"/>
      <c r="E53" s="22"/>
      <c r="F53" s="22"/>
      <c r="G53" s="23"/>
      <c r="H53" s="23"/>
      <c r="I53" s="8" t="str">
        <f t="shared" si="0"/>
        <v/>
      </c>
      <c r="J53" s="2" t="str">
        <f t="shared" si="4"/>
        <v/>
      </c>
      <c r="K53" s="2" t="str">
        <f t="shared" si="1"/>
        <v/>
      </c>
      <c r="L53" s="2" t="str">
        <f t="shared" si="5"/>
        <v/>
      </c>
      <c r="M53" s="2" t="str">
        <f t="shared" si="15"/>
        <v/>
      </c>
      <c r="N53" s="2" t="str">
        <f t="shared" si="7"/>
        <v/>
      </c>
      <c r="O53" s="8" t="str">
        <f t="shared" si="8"/>
        <v/>
      </c>
      <c r="P53" s="8" t="str">
        <f t="shared" si="9"/>
        <v/>
      </c>
      <c r="Q53" s="40" t="str">
        <f t="shared" si="10"/>
        <v/>
      </c>
      <c r="R53" s="48" t="str">
        <f t="shared" si="11"/>
        <v/>
      </c>
      <c r="S53" s="8"/>
      <c r="U53" s="35">
        <f t="shared" si="12"/>
        <v>0</v>
      </c>
      <c r="V53" s="24">
        <f t="shared" si="13"/>
        <v>0</v>
      </c>
      <c r="W53" s="41">
        <f t="shared" si="17"/>
        <v>0</v>
      </c>
      <c r="X53" s="31"/>
      <c r="Y53" s="31"/>
      <c r="Z53" s="31"/>
      <c r="AA53" s="25">
        <f t="shared" si="2"/>
        <v>9.0359999999999996</v>
      </c>
      <c r="AB53" s="25">
        <f t="shared" si="3"/>
        <v>-184.49199999999999</v>
      </c>
      <c r="AD53" s="24">
        <f>IF(D53="M",IF(AG53&lt;78,BMILMS!$D$5*AG53^3+BMILMS!$E$5*AG53^2+BMILMS!$F$5*AG53+BMILMS!$G$5,IF(AG53&lt;150,BMILMS!$D$6*AG53^3+BMILMS!$E$6*AG53^2+BMILMS!$F$6*AG53+BMILMS!$G$6,BMILMS!$D$7*AG53^3+BMILMS!$E$7*AG53^2+BMILMS!$F$7*AG53+BMILMS!$G$7)),IF(AG53&lt;69,BMILMS!$D$9*AG53^3+BMILMS!$E$9*AG53^2+BMILMS!$F$9*AG53+BMILMS!$G$9,IF(AG53&lt;150,BMILMS!$D$10*AG53^3+BMILMS!$E$10*AG53^2+BMILMS!$F$10*AG53+BMILMS!$G$10,BMILMS!$D$11*AG53^3+BMILMS!$E$11*AG53^2+BMILMS!$F$11*AG53+BMILMS!$G$11)))</f>
        <v>0.79584630099999998</v>
      </c>
      <c r="AE53" s="24">
        <f>IF(D53="M",(IF(AG53&lt;2.5,BMILMS!$D$21*AG53^3+BMILMS!$E$21*AG53^2+BMILMS!$F$21*AG53+BMILMS!$G$21,IF(AG53&lt;9.5,BMILMS!$D$22*AG53^3+BMILMS!$E$22*AG53^2+BMILMS!$F$22*AG53+BMILMS!$G$22,IF(AG53&lt;26.75,BMILMS!$D$23*AG53^3+BMILMS!$E$23*AG53^2+BMILMS!$F$23*AG53+BMILMS!$G$23,IF(AG53&lt;90,BMILMS!$D$24*AG53^3+BMILMS!$E$24*AG53^2+BMILMS!$F$24*AG53+BMILMS!$G$24,BMILMS!$D$25*AG53^3+BMILMS!$E$25*AG53^2+BMILMS!$F$25*AG53+BMILMS!$G$25))))),(IF(AG53&lt;2.5,BMILMS!$D$27*AG53^3+BMILMS!$E$27*AG53^2+BMILMS!$F$27*AG53+BMILMS!$G$27,IF(AG53&lt;9.5,BMILMS!$D$28*AG53^3+BMILMS!$E$28*AG53^2+BMILMS!$F$28*AG53+BMILMS!$G$28,IF(AG53&lt;26.75,BMILMS!$D$29*AG53^3+BMILMS!$E$29*AG53^2+BMILMS!$F$29*AG53+BMILMS!$G$29,IF(AG53&lt;90,BMILMS!$D$30*AG53^3+BMILMS!$E$30*AG53^2+BMILMS!$F$30*AG53+BMILMS!$G$30,IF(AG53&lt;150,BMILMS!$D$31*AG53^3+BMILMS!$E$31*AG53^2+BMILMS!$F$31*AG53+BMILMS!$G$31,BMILMS!$D$32*AG53^3+BMILMS!$E$32*AG53^2+BMILMS!$F$32*AG53+BMILMS!$G$32)))))))</f>
        <v>12.568967990000001</v>
      </c>
      <c r="AF53" s="24">
        <f>IF(D53="M",(IF(AG53&lt;90,BMILMS!$D$14*AG53^3+BMILMS!$E$14*AG53^2+BMILMS!$F$14*AG53+BMILMS!$G$14,BMILMS!$D$15*AG53^3+BMILMS!$E$15*AG53^2+BMILMS!$F$15*AG53+BMILMS!$G$15)),(IF(AG53&lt;90,BMILMS!$D$17*AG53^3+BMILMS!$E$17*AG53^2+BMILMS!$F$17*AG53+BMILMS!$G$17,BMILMS!$D$18*AG53^3+BMILMS!$E$18*AG53^2+BMILMS!$F$18*AG53+BMILMS!$G$18)))</f>
        <v>8.8969350000000003E-2</v>
      </c>
      <c r="AG53" s="24">
        <f t="shared" si="16"/>
        <v>0</v>
      </c>
      <c r="AI53" s="38">
        <f>IF(D53="M",WeightSDS!P$5*$AG53^7+WeightSDS!Q$5*$AG53^6+WeightSDS!R$5*$AG53^5+WeightSDS!S$5*$AG53^4+WeightSDS!T$5*$AG53^3+WeightSDS!U$5*$AG53^2+WeightSDS!V$5*$AG53+WeightSDS!W$5,IF($AG53&lt;186,WeightSDS!P$8*$AG53^7+WeightSDS!Q$8*$AG53^6+WeightSDS!R$8*$AG53^5+WeightSDS!S$8*$AG53^4+WeightSDS!T$8*$AG53^3+WeightSDS!U$8*$AG53^2+WeightSDS!V$8*$AG53+WeightSDS!W$8,WeightSDS!$U$9-WeightSDS!$V$9*($AG53-WeightSDS!$W$9)))</f>
        <v>0.75407122999999998</v>
      </c>
      <c r="AJ53" s="24">
        <f>IF(D53="M",IF($AG53&lt;45,WeightSDS!M$23*$AG53^10+WeightSDS!N$23*$AG53^9+WeightSDS!O$23*$AG53^8+WeightSDS!P$23*$AG53^7+WeightSDS!Q$23*$AG53^6+WeightSDS!R$23*$AG53^5+WeightSDS!S$23*$AG53^4+WeightSDS!T$23*$AG53^3+WeightSDS!U$23*$AG53^2+WeightSDS!V$23*$AG53+WeightSDS!W$23,IF($AG53&lt;153,WeightSDS!M$25*$AG53^10+WeightSDS!N$25*$AG53^9+WeightSDS!O$25*$AG53^8+WeightSDS!P$25*$AG53^7+WeightSDS!Q$25*$AG53^6+WeightSDS!R$25*$AG53^5+WeightSDS!S$25*$AG53^4+WeightSDS!T$25*$AG53^3+WeightSDS!U$25*$AG53^2+WeightSDS!V$25*$AG53+WeightSDS!W$25,WeightSDS!M$27+WeightSDS!N$27/(1+EXP(WeightSDS!O$27+WeightSDS!P$27*$AG53)))),IF($AG53&lt;43.8,WeightSDS!M$29*$AG53^10+WeightSDS!N$29*$AG53^9+WeightSDS!O$29*$AG53^8+WeightSDS!P$29*$AG53^7+WeightSDS!Q$29*$AG53^6+WeightSDS!R$29*$AG53^5+WeightSDS!S$29*$AG53^4+WeightSDS!T$29*$AG53^3+WeightSDS!U$29*$AG53^2+WeightSDS!V$29*$AG53+WeightSDS!W$29-0.010431*(1-$AG53/210),IF($AG53&lt;123,WeightSDS!M$30*$AG53^10+WeightSDS!N$30*$AG53^9+WeightSDS!O$30*$AG53^8+WeightSDS!P$30*$AG53^7+WeightSDS!Q$30*$AG53^6+WeightSDS!R$30*$AG53^5+WeightSDS!S$30*$AG53^4+WeightSDS!T$30*$AG53^3+WeightSDS!U$30*$AG53^2+WeightSDS!V$30*$AG53+WeightSDS!W$30-0.010431*(1-1/$AG53),WeightSDS!M$32+WeightSDS!N$32/(1+EXP(WeightSDS!O$32+WeightSDS!P$32*$AG53))-0.010431*(1-$AG53/210))))</f>
        <v>2.9500001032655536</v>
      </c>
      <c r="AK53" s="24">
        <f>IF(D53="M",IF($AG53&lt;162,WeightSDS!P$12*$AG53^7+WeightSDS!Q$12*$AG53^6+WeightSDS!R$12*$AG53^5+WeightSDS!S$12*$AG53^4+WeightSDS!T$12*$AG53^3+WeightSDS!U$12*$AG53^2+WeightSDS!V$12*$AG53+WeightSDS!W$12,WeightSDS!P$14*$AG53^7+WeightSDS!Q$14*$AG53^6+WeightSDS!R$14*$AG53^5+WeightSDS!S$14*$AG53^4+WeightSDS!T$14*$AG53^3+WeightSDS!U$14*$AG53^2+WeightSDS!V$14*$AG53+WeightSDS!W$14),IF($AG53&lt;156,WeightSDS!O$17*$AG53^8+WeightSDS!P$17*$AG53^7+WeightSDS!Q$17*$AG53^6+WeightSDS!R$17*$AG53^5+WeightSDS!S$17*$AG53^4+WeightSDS!T$17*$AG53^3+WeightSDS!U$17*$AG53^2+WeightSDS!V$17*$AG53+WeightSDS!W$17,IF($AG53&lt;186,WeightSDS!$U$18+(WeightSDS!$V$18-WeightSDS!$U$18)/24*($AG53-186)+WeightSDS!$W$18*(-$AG53+186)^2-0.005,WeightSDS!$U$18+(WeightSDS!$V$18-WeightSDS!$U$18)/24*($AG53-186)-0.005)))</f>
        <v>0.14604529399999999</v>
      </c>
    </row>
    <row r="54" spans="1:37">
      <c r="A54" s="4"/>
      <c r="B54" s="21"/>
      <c r="C54" s="21"/>
      <c r="D54" s="21"/>
      <c r="E54" s="22"/>
      <c r="F54" s="22"/>
      <c r="G54" s="23"/>
      <c r="H54" s="23"/>
      <c r="I54" s="8" t="str">
        <f t="shared" si="0"/>
        <v/>
      </c>
      <c r="J54" s="2" t="str">
        <f t="shared" si="4"/>
        <v/>
      </c>
      <c r="K54" s="2" t="str">
        <f t="shared" si="1"/>
        <v/>
      </c>
      <c r="L54" s="2" t="str">
        <f t="shared" si="5"/>
        <v/>
      </c>
      <c r="M54" s="2" t="str">
        <f t="shared" si="15"/>
        <v/>
      </c>
      <c r="N54" s="2" t="str">
        <f t="shared" si="7"/>
        <v/>
      </c>
      <c r="O54" s="8" t="str">
        <f t="shared" si="8"/>
        <v/>
      </c>
      <c r="P54" s="8" t="str">
        <f t="shared" si="9"/>
        <v/>
      </c>
      <c r="Q54" s="40" t="str">
        <f t="shared" si="10"/>
        <v/>
      </c>
      <c r="R54" s="48" t="str">
        <f t="shared" si="11"/>
        <v/>
      </c>
      <c r="S54" s="8"/>
      <c r="U54" s="35">
        <f t="shared" si="12"/>
        <v>0</v>
      </c>
      <c r="V54" s="24">
        <f t="shared" si="13"/>
        <v>0</v>
      </c>
      <c r="W54" s="41">
        <f t="shared" si="17"/>
        <v>0</v>
      </c>
      <c r="X54" s="31"/>
      <c r="Y54" s="31"/>
      <c r="Z54" s="31"/>
      <c r="AA54" s="25">
        <f t="shared" si="2"/>
        <v>9.0359999999999996</v>
      </c>
      <c r="AB54" s="25">
        <f t="shared" si="3"/>
        <v>-184.49199999999999</v>
      </c>
      <c r="AD54" s="24">
        <f>IF(D54="M",IF(AG54&lt;78,BMILMS!$D$5*AG54^3+BMILMS!$E$5*AG54^2+BMILMS!$F$5*AG54+BMILMS!$G$5,IF(AG54&lt;150,BMILMS!$D$6*AG54^3+BMILMS!$E$6*AG54^2+BMILMS!$F$6*AG54+BMILMS!$G$6,BMILMS!$D$7*AG54^3+BMILMS!$E$7*AG54^2+BMILMS!$F$7*AG54+BMILMS!$G$7)),IF(AG54&lt;69,BMILMS!$D$9*AG54^3+BMILMS!$E$9*AG54^2+BMILMS!$F$9*AG54+BMILMS!$G$9,IF(AG54&lt;150,BMILMS!$D$10*AG54^3+BMILMS!$E$10*AG54^2+BMILMS!$F$10*AG54+BMILMS!$G$10,BMILMS!$D$11*AG54^3+BMILMS!$E$11*AG54^2+BMILMS!$F$11*AG54+BMILMS!$G$11)))</f>
        <v>0.79584630099999998</v>
      </c>
      <c r="AE54" s="24">
        <f>IF(D54="M",(IF(AG54&lt;2.5,BMILMS!$D$21*AG54^3+BMILMS!$E$21*AG54^2+BMILMS!$F$21*AG54+BMILMS!$G$21,IF(AG54&lt;9.5,BMILMS!$D$22*AG54^3+BMILMS!$E$22*AG54^2+BMILMS!$F$22*AG54+BMILMS!$G$22,IF(AG54&lt;26.75,BMILMS!$D$23*AG54^3+BMILMS!$E$23*AG54^2+BMILMS!$F$23*AG54+BMILMS!$G$23,IF(AG54&lt;90,BMILMS!$D$24*AG54^3+BMILMS!$E$24*AG54^2+BMILMS!$F$24*AG54+BMILMS!$G$24,BMILMS!$D$25*AG54^3+BMILMS!$E$25*AG54^2+BMILMS!$F$25*AG54+BMILMS!$G$25))))),(IF(AG54&lt;2.5,BMILMS!$D$27*AG54^3+BMILMS!$E$27*AG54^2+BMILMS!$F$27*AG54+BMILMS!$G$27,IF(AG54&lt;9.5,BMILMS!$D$28*AG54^3+BMILMS!$E$28*AG54^2+BMILMS!$F$28*AG54+BMILMS!$G$28,IF(AG54&lt;26.75,BMILMS!$D$29*AG54^3+BMILMS!$E$29*AG54^2+BMILMS!$F$29*AG54+BMILMS!$G$29,IF(AG54&lt;90,BMILMS!$D$30*AG54^3+BMILMS!$E$30*AG54^2+BMILMS!$F$30*AG54+BMILMS!$G$30,IF(AG54&lt;150,BMILMS!$D$31*AG54^3+BMILMS!$E$31*AG54^2+BMILMS!$F$31*AG54+BMILMS!$G$31,BMILMS!$D$32*AG54^3+BMILMS!$E$32*AG54^2+BMILMS!$F$32*AG54+BMILMS!$G$32)))))))</f>
        <v>12.568967990000001</v>
      </c>
      <c r="AF54" s="24">
        <f>IF(D54="M",(IF(AG54&lt;90,BMILMS!$D$14*AG54^3+BMILMS!$E$14*AG54^2+BMILMS!$F$14*AG54+BMILMS!$G$14,BMILMS!$D$15*AG54^3+BMILMS!$E$15*AG54^2+BMILMS!$F$15*AG54+BMILMS!$G$15)),(IF(AG54&lt;90,BMILMS!$D$17*AG54^3+BMILMS!$E$17*AG54^2+BMILMS!$F$17*AG54+BMILMS!$G$17,BMILMS!$D$18*AG54^3+BMILMS!$E$18*AG54^2+BMILMS!$F$18*AG54+BMILMS!$G$18)))</f>
        <v>8.8969350000000003E-2</v>
      </c>
      <c r="AG54" s="24">
        <f t="shared" si="16"/>
        <v>0</v>
      </c>
      <c r="AI54" s="38">
        <f>IF(D54="M",WeightSDS!P$5*$AG54^7+WeightSDS!Q$5*$AG54^6+WeightSDS!R$5*$AG54^5+WeightSDS!S$5*$AG54^4+WeightSDS!T$5*$AG54^3+WeightSDS!U$5*$AG54^2+WeightSDS!V$5*$AG54+WeightSDS!W$5,IF($AG54&lt;186,WeightSDS!P$8*$AG54^7+WeightSDS!Q$8*$AG54^6+WeightSDS!R$8*$AG54^5+WeightSDS!S$8*$AG54^4+WeightSDS!T$8*$AG54^3+WeightSDS!U$8*$AG54^2+WeightSDS!V$8*$AG54+WeightSDS!W$8,WeightSDS!$U$9-WeightSDS!$V$9*($AG54-WeightSDS!$W$9)))</f>
        <v>0.75407122999999998</v>
      </c>
      <c r="AJ54" s="24">
        <f>IF(D54="M",IF($AG54&lt;45,WeightSDS!M$23*$AG54^10+WeightSDS!N$23*$AG54^9+WeightSDS!O$23*$AG54^8+WeightSDS!P$23*$AG54^7+WeightSDS!Q$23*$AG54^6+WeightSDS!R$23*$AG54^5+WeightSDS!S$23*$AG54^4+WeightSDS!T$23*$AG54^3+WeightSDS!U$23*$AG54^2+WeightSDS!V$23*$AG54+WeightSDS!W$23,IF($AG54&lt;153,WeightSDS!M$25*$AG54^10+WeightSDS!N$25*$AG54^9+WeightSDS!O$25*$AG54^8+WeightSDS!P$25*$AG54^7+WeightSDS!Q$25*$AG54^6+WeightSDS!R$25*$AG54^5+WeightSDS!S$25*$AG54^4+WeightSDS!T$25*$AG54^3+WeightSDS!U$25*$AG54^2+WeightSDS!V$25*$AG54+WeightSDS!W$25,WeightSDS!M$27+WeightSDS!N$27/(1+EXP(WeightSDS!O$27+WeightSDS!P$27*$AG54)))),IF($AG54&lt;43.8,WeightSDS!M$29*$AG54^10+WeightSDS!N$29*$AG54^9+WeightSDS!O$29*$AG54^8+WeightSDS!P$29*$AG54^7+WeightSDS!Q$29*$AG54^6+WeightSDS!R$29*$AG54^5+WeightSDS!S$29*$AG54^4+WeightSDS!T$29*$AG54^3+WeightSDS!U$29*$AG54^2+WeightSDS!V$29*$AG54+WeightSDS!W$29-0.010431*(1-$AG54/210),IF($AG54&lt;123,WeightSDS!M$30*$AG54^10+WeightSDS!N$30*$AG54^9+WeightSDS!O$30*$AG54^8+WeightSDS!P$30*$AG54^7+WeightSDS!Q$30*$AG54^6+WeightSDS!R$30*$AG54^5+WeightSDS!S$30*$AG54^4+WeightSDS!T$30*$AG54^3+WeightSDS!U$30*$AG54^2+WeightSDS!V$30*$AG54+WeightSDS!W$30-0.010431*(1-1/$AG54),WeightSDS!M$32+WeightSDS!N$32/(1+EXP(WeightSDS!O$32+WeightSDS!P$32*$AG54))-0.010431*(1-$AG54/210))))</f>
        <v>2.9500001032655536</v>
      </c>
      <c r="AK54" s="24">
        <f>IF(D54="M",IF($AG54&lt;162,WeightSDS!P$12*$AG54^7+WeightSDS!Q$12*$AG54^6+WeightSDS!R$12*$AG54^5+WeightSDS!S$12*$AG54^4+WeightSDS!T$12*$AG54^3+WeightSDS!U$12*$AG54^2+WeightSDS!V$12*$AG54+WeightSDS!W$12,WeightSDS!P$14*$AG54^7+WeightSDS!Q$14*$AG54^6+WeightSDS!R$14*$AG54^5+WeightSDS!S$14*$AG54^4+WeightSDS!T$14*$AG54^3+WeightSDS!U$14*$AG54^2+WeightSDS!V$14*$AG54+WeightSDS!W$14),IF($AG54&lt;156,WeightSDS!O$17*$AG54^8+WeightSDS!P$17*$AG54^7+WeightSDS!Q$17*$AG54^6+WeightSDS!R$17*$AG54^5+WeightSDS!S$17*$AG54^4+WeightSDS!T$17*$AG54^3+WeightSDS!U$17*$AG54^2+WeightSDS!V$17*$AG54+WeightSDS!W$17,IF($AG54&lt;186,WeightSDS!$U$18+(WeightSDS!$V$18-WeightSDS!$U$18)/24*($AG54-186)+WeightSDS!$W$18*(-$AG54+186)^2-0.005,WeightSDS!$U$18+(WeightSDS!$V$18-WeightSDS!$U$18)/24*($AG54-186)-0.005)))</f>
        <v>0.14604529399999999</v>
      </c>
    </row>
    <row r="55" spans="1:37">
      <c r="A55" s="4"/>
      <c r="B55" s="21"/>
      <c r="C55" s="21"/>
      <c r="D55" s="21"/>
      <c r="E55" s="22"/>
      <c r="F55" s="22"/>
      <c r="G55" s="23"/>
      <c r="H55" s="23"/>
      <c r="I55" s="8" t="str">
        <f t="shared" si="0"/>
        <v/>
      </c>
      <c r="J55" s="2" t="str">
        <f t="shared" si="4"/>
        <v/>
      </c>
      <c r="K55" s="2" t="str">
        <f t="shared" si="1"/>
        <v/>
      </c>
      <c r="L55" s="2" t="str">
        <f t="shared" si="5"/>
        <v/>
      </c>
      <c r="M55" s="2" t="str">
        <f t="shared" si="15"/>
        <v/>
      </c>
      <c r="N55" s="2" t="str">
        <f t="shared" si="7"/>
        <v/>
      </c>
      <c r="O55" s="8" t="str">
        <f t="shared" si="8"/>
        <v/>
      </c>
      <c r="P55" s="8" t="str">
        <f t="shared" si="9"/>
        <v/>
      </c>
      <c r="Q55" s="40" t="str">
        <f t="shared" si="10"/>
        <v/>
      </c>
      <c r="R55" s="48" t="str">
        <f t="shared" si="11"/>
        <v/>
      </c>
      <c r="S55" s="8"/>
      <c r="U55" s="35">
        <f t="shared" si="12"/>
        <v>0</v>
      </c>
      <c r="V55" s="24">
        <f t="shared" si="13"/>
        <v>0</v>
      </c>
      <c r="W55" s="41">
        <f t="shared" si="17"/>
        <v>0</v>
      </c>
      <c r="X55" s="31"/>
      <c r="Y55" s="31"/>
      <c r="Z55" s="31"/>
      <c r="AA55" s="25">
        <f t="shared" si="2"/>
        <v>9.0359999999999996</v>
      </c>
      <c r="AB55" s="25">
        <f t="shared" si="3"/>
        <v>-184.49199999999999</v>
      </c>
      <c r="AD55" s="24">
        <f>IF(D55="M",IF(AG55&lt;78,BMILMS!$D$5*AG55^3+BMILMS!$E$5*AG55^2+BMILMS!$F$5*AG55+BMILMS!$G$5,IF(AG55&lt;150,BMILMS!$D$6*AG55^3+BMILMS!$E$6*AG55^2+BMILMS!$F$6*AG55+BMILMS!$G$6,BMILMS!$D$7*AG55^3+BMILMS!$E$7*AG55^2+BMILMS!$F$7*AG55+BMILMS!$G$7)),IF(AG55&lt;69,BMILMS!$D$9*AG55^3+BMILMS!$E$9*AG55^2+BMILMS!$F$9*AG55+BMILMS!$G$9,IF(AG55&lt;150,BMILMS!$D$10*AG55^3+BMILMS!$E$10*AG55^2+BMILMS!$F$10*AG55+BMILMS!$G$10,BMILMS!$D$11*AG55^3+BMILMS!$E$11*AG55^2+BMILMS!$F$11*AG55+BMILMS!$G$11)))</f>
        <v>0.79584630099999998</v>
      </c>
      <c r="AE55" s="24">
        <f>IF(D55="M",(IF(AG55&lt;2.5,BMILMS!$D$21*AG55^3+BMILMS!$E$21*AG55^2+BMILMS!$F$21*AG55+BMILMS!$G$21,IF(AG55&lt;9.5,BMILMS!$D$22*AG55^3+BMILMS!$E$22*AG55^2+BMILMS!$F$22*AG55+BMILMS!$G$22,IF(AG55&lt;26.75,BMILMS!$D$23*AG55^3+BMILMS!$E$23*AG55^2+BMILMS!$F$23*AG55+BMILMS!$G$23,IF(AG55&lt;90,BMILMS!$D$24*AG55^3+BMILMS!$E$24*AG55^2+BMILMS!$F$24*AG55+BMILMS!$G$24,BMILMS!$D$25*AG55^3+BMILMS!$E$25*AG55^2+BMILMS!$F$25*AG55+BMILMS!$G$25))))),(IF(AG55&lt;2.5,BMILMS!$D$27*AG55^3+BMILMS!$E$27*AG55^2+BMILMS!$F$27*AG55+BMILMS!$G$27,IF(AG55&lt;9.5,BMILMS!$D$28*AG55^3+BMILMS!$E$28*AG55^2+BMILMS!$F$28*AG55+BMILMS!$G$28,IF(AG55&lt;26.75,BMILMS!$D$29*AG55^3+BMILMS!$E$29*AG55^2+BMILMS!$F$29*AG55+BMILMS!$G$29,IF(AG55&lt;90,BMILMS!$D$30*AG55^3+BMILMS!$E$30*AG55^2+BMILMS!$F$30*AG55+BMILMS!$G$30,IF(AG55&lt;150,BMILMS!$D$31*AG55^3+BMILMS!$E$31*AG55^2+BMILMS!$F$31*AG55+BMILMS!$G$31,BMILMS!$D$32*AG55^3+BMILMS!$E$32*AG55^2+BMILMS!$F$32*AG55+BMILMS!$G$32)))))))</f>
        <v>12.568967990000001</v>
      </c>
      <c r="AF55" s="24">
        <f>IF(D55="M",(IF(AG55&lt;90,BMILMS!$D$14*AG55^3+BMILMS!$E$14*AG55^2+BMILMS!$F$14*AG55+BMILMS!$G$14,BMILMS!$D$15*AG55^3+BMILMS!$E$15*AG55^2+BMILMS!$F$15*AG55+BMILMS!$G$15)),(IF(AG55&lt;90,BMILMS!$D$17*AG55^3+BMILMS!$E$17*AG55^2+BMILMS!$F$17*AG55+BMILMS!$G$17,BMILMS!$D$18*AG55^3+BMILMS!$E$18*AG55^2+BMILMS!$F$18*AG55+BMILMS!$G$18)))</f>
        <v>8.8969350000000003E-2</v>
      </c>
      <c r="AG55" s="24">
        <f t="shared" si="16"/>
        <v>0</v>
      </c>
      <c r="AI55" s="38">
        <f>IF(D55="M",WeightSDS!P$5*$AG55^7+WeightSDS!Q$5*$AG55^6+WeightSDS!R$5*$AG55^5+WeightSDS!S$5*$AG55^4+WeightSDS!T$5*$AG55^3+WeightSDS!U$5*$AG55^2+WeightSDS!V$5*$AG55+WeightSDS!W$5,IF($AG55&lt;186,WeightSDS!P$8*$AG55^7+WeightSDS!Q$8*$AG55^6+WeightSDS!R$8*$AG55^5+WeightSDS!S$8*$AG55^4+WeightSDS!T$8*$AG55^3+WeightSDS!U$8*$AG55^2+WeightSDS!V$8*$AG55+WeightSDS!W$8,WeightSDS!$U$9-WeightSDS!$V$9*($AG55-WeightSDS!$W$9)))</f>
        <v>0.75407122999999998</v>
      </c>
      <c r="AJ55" s="24">
        <f>IF(D55="M",IF($AG55&lt;45,WeightSDS!M$23*$AG55^10+WeightSDS!N$23*$AG55^9+WeightSDS!O$23*$AG55^8+WeightSDS!P$23*$AG55^7+WeightSDS!Q$23*$AG55^6+WeightSDS!R$23*$AG55^5+WeightSDS!S$23*$AG55^4+WeightSDS!T$23*$AG55^3+WeightSDS!U$23*$AG55^2+WeightSDS!V$23*$AG55+WeightSDS!W$23,IF($AG55&lt;153,WeightSDS!M$25*$AG55^10+WeightSDS!N$25*$AG55^9+WeightSDS!O$25*$AG55^8+WeightSDS!P$25*$AG55^7+WeightSDS!Q$25*$AG55^6+WeightSDS!R$25*$AG55^5+WeightSDS!S$25*$AG55^4+WeightSDS!T$25*$AG55^3+WeightSDS!U$25*$AG55^2+WeightSDS!V$25*$AG55+WeightSDS!W$25,WeightSDS!M$27+WeightSDS!N$27/(1+EXP(WeightSDS!O$27+WeightSDS!P$27*$AG55)))),IF($AG55&lt;43.8,WeightSDS!M$29*$AG55^10+WeightSDS!N$29*$AG55^9+WeightSDS!O$29*$AG55^8+WeightSDS!P$29*$AG55^7+WeightSDS!Q$29*$AG55^6+WeightSDS!R$29*$AG55^5+WeightSDS!S$29*$AG55^4+WeightSDS!T$29*$AG55^3+WeightSDS!U$29*$AG55^2+WeightSDS!V$29*$AG55+WeightSDS!W$29-0.010431*(1-$AG55/210),IF($AG55&lt;123,WeightSDS!M$30*$AG55^10+WeightSDS!N$30*$AG55^9+WeightSDS!O$30*$AG55^8+WeightSDS!P$30*$AG55^7+WeightSDS!Q$30*$AG55^6+WeightSDS!R$30*$AG55^5+WeightSDS!S$30*$AG55^4+WeightSDS!T$30*$AG55^3+WeightSDS!U$30*$AG55^2+WeightSDS!V$30*$AG55+WeightSDS!W$30-0.010431*(1-1/$AG55),WeightSDS!M$32+WeightSDS!N$32/(1+EXP(WeightSDS!O$32+WeightSDS!P$32*$AG55))-0.010431*(1-$AG55/210))))</f>
        <v>2.9500001032655536</v>
      </c>
      <c r="AK55" s="24">
        <f>IF(D55="M",IF($AG55&lt;162,WeightSDS!P$12*$AG55^7+WeightSDS!Q$12*$AG55^6+WeightSDS!R$12*$AG55^5+WeightSDS!S$12*$AG55^4+WeightSDS!T$12*$AG55^3+WeightSDS!U$12*$AG55^2+WeightSDS!V$12*$AG55+WeightSDS!W$12,WeightSDS!P$14*$AG55^7+WeightSDS!Q$14*$AG55^6+WeightSDS!R$14*$AG55^5+WeightSDS!S$14*$AG55^4+WeightSDS!T$14*$AG55^3+WeightSDS!U$14*$AG55^2+WeightSDS!V$14*$AG55+WeightSDS!W$14),IF($AG55&lt;156,WeightSDS!O$17*$AG55^8+WeightSDS!P$17*$AG55^7+WeightSDS!Q$17*$AG55^6+WeightSDS!R$17*$AG55^5+WeightSDS!S$17*$AG55^4+WeightSDS!T$17*$AG55^3+WeightSDS!U$17*$AG55^2+WeightSDS!V$17*$AG55+WeightSDS!W$17,IF($AG55&lt;186,WeightSDS!$U$18+(WeightSDS!$V$18-WeightSDS!$U$18)/24*($AG55-186)+WeightSDS!$W$18*(-$AG55+186)^2-0.005,WeightSDS!$U$18+(WeightSDS!$V$18-WeightSDS!$U$18)/24*($AG55-186)-0.005)))</f>
        <v>0.14604529399999999</v>
      </c>
    </row>
    <row r="56" spans="1:37">
      <c r="A56" s="4"/>
      <c r="B56" s="21"/>
      <c r="C56" s="21"/>
      <c r="D56" s="21"/>
      <c r="E56" s="22"/>
      <c r="F56" s="22"/>
      <c r="G56" s="23"/>
      <c r="H56" s="23"/>
      <c r="I56" s="8" t="str">
        <f t="shared" si="0"/>
        <v/>
      </c>
      <c r="J56" s="2" t="str">
        <f t="shared" si="4"/>
        <v/>
      </c>
      <c r="K56" s="2" t="str">
        <f t="shared" si="1"/>
        <v/>
      </c>
      <c r="L56" s="2" t="str">
        <f t="shared" si="5"/>
        <v/>
      </c>
      <c r="M56" s="2" t="str">
        <f t="shared" si="15"/>
        <v/>
      </c>
      <c r="N56" s="2" t="str">
        <f t="shared" si="7"/>
        <v/>
      </c>
      <c r="O56" s="8" t="str">
        <f t="shared" si="8"/>
        <v/>
      </c>
      <c r="P56" s="8" t="str">
        <f t="shared" si="9"/>
        <v/>
      </c>
      <c r="Q56" s="40" t="str">
        <f t="shared" si="10"/>
        <v/>
      </c>
      <c r="R56" s="48" t="str">
        <f t="shared" si="11"/>
        <v/>
      </c>
      <c r="S56" s="8"/>
      <c r="U56" s="35">
        <f t="shared" si="12"/>
        <v>0</v>
      </c>
      <c r="V56" s="24">
        <f t="shared" si="13"/>
        <v>0</v>
      </c>
      <c r="W56" s="41">
        <f t="shared" si="17"/>
        <v>0</v>
      </c>
      <c r="X56" s="31"/>
      <c r="Y56" s="31"/>
      <c r="Z56" s="31"/>
      <c r="AA56" s="25">
        <f t="shared" si="2"/>
        <v>9.0359999999999996</v>
      </c>
      <c r="AB56" s="25">
        <f t="shared" si="3"/>
        <v>-184.49199999999999</v>
      </c>
      <c r="AD56" s="24">
        <f>IF(D56="M",IF(AG56&lt;78,BMILMS!$D$5*AG56^3+BMILMS!$E$5*AG56^2+BMILMS!$F$5*AG56+BMILMS!$G$5,IF(AG56&lt;150,BMILMS!$D$6*AG56^3+BMILMS!$E$6*AG56^2+BMILMS!$F$6*AG56+BMILMS!$G$6,BMILMS!$D$7*AG56^3+BMILMS!$E$7*AG56^2+BMILMS!$F$7*AG56+BMILMS!$G$7)),IF(AG56&lt;69,BMILMS!$D$9*AG56^3+BMILMS!$E$9*AG56^2+BMILMS!$F$9*AG56+BMILMS!$G$9,IF(AG56&lt;150,BMILMS!$D$10*AG56^3+BMILMS!$E$10*AG56^2+BMILMS!$F$10*AG56+BMILMS!$G$10,BMILMS!$D$11*AG56^3+BMILMS!$E$11*AG56^2+BMILMS!$F$11*AG56+BMILMS!$G$11)))</f>
        <v>0.79584630099999998</v>
      </c>
      <c r="AE56" s="24">
        <f>IF(D56="M",(IF(AG56&lt;2.5,BMILMS!$D$21*AG56^3+BMILMS!$E$21*AG56^2+BMILMS!$F$21*AG56+BMILMS!$G$21,IF(AG56&lt;9.5,BMILMS!$D$22*AG56^3+BMILMS!$E$22*AG56^2+BMILMS!$F$22*AG56+BMILMS!$G$22,IF(AG56&lt;26.75,BMILMS!$D$23*AG56^3+BMILMS!$E$23*AG56^2+BMILMS!$F$23*AG56+BMILMS!$G$23,IF(AG56&lt;90,BMILMS!$D$24*AG56^3+BMILMS!$E$24*AG56^2+BMILMS!$F$24*AG56+BMILMS!$G$24,BMILMS!$D$25*AG56^3+BMILMS!$E$25*AG56^2+BMILMS!$F$25*AG56+BMILMS!$G$25))))),(IF(AG56&lt;2.5,BMILMS!$D$27*AG56^3+BMILMS!$E$27*AG56^2+BMILMS!$F$27*AG56+BMILMS!$G$27,IF(AG56&lt;9.5,BMILMS!$D$28*AG56^3+BMILMS!$E$28*AG56^2+BMILMS!$F$28*AG56+BMILMS!$G$28,IF(AG56&lt;26.75,BMILMS!$D$29*AG56^3+BMILMS!$E$29*AG56^2+BMILMS!$F$29*AG56+BMILMS!$G$29,IF(AG56&lt;90,BMILMS!$D$30*AG56^3+BMILMS!$E$30*AG56^2+BMILMS!$F$30*AG56+BMILMS!$G$30,IF(AG56&lt;150,BMILMS!$D$31*AG56^3+BMILMS!$E$31*AG56^2+BMILMS!$F$31*AG56+BMILMS!$G$31,BMILMS!$D$32*AG56^3+BMILMS!$E$32*AG56^2+BMILMS!$F$32*AG56+BMILMS!$G$32)))))))</f>
        <v>12.568967990000001</v>
      </c>
      <c r="AF56" s="24">
        <f>IF(D56="M",(IF(AG56&lt;90,BMILMS!$D$14*AG56^3+BMILMS!$E$14*AG56^2+BMILMS!$F$14*AG56+BMILMS!$G$14,BMILMS!$D$15*AG56^3+BMILMS!$E$15*AG56^2+BMILMS!$F$15*AG56+BMILMS!$G$15)),(IF(AG56&lt;90,BMILMS!$D$17*AG56^3+BMILMS!$E$17*AG56^2+BMILMS!$F$17*AG56+BMILMS!$G$17,BMILMS!$D$18*AG56^3+BMILMS!$E$18*AG56^2+BMILMS!$F$18*AG56+BMILMS!$G$18)))</f>
        <v>8.8969350000000003E-2</v>
      </c>
      <c r="AG56" s="24">
        <f t="shared" si="16"/>
        <v>0</v>
      </c>
      <c r="AI56" s="38">
        <f>IF(D56="M",WeightSDS!P$5*$AG56^7+WeightSDS!Q$5*$AG56^6+WeightSDS!R$5*$AG56^5+WeightSDS!S$5*$AG56^4+WeightSDS!T$5*$AG56^3+WeightSDS!U$5*$AG56^2+WeightSDS!V$5*$AG56+WeightSDS!W$5,IF($AG56&lt;186,WeightSDS!P$8*$AG56^7+WeightSDS!Q$8*$AG56^6+WeightSDS!R$8*$AG56^5+WeightSDS!S$8*$AG56^4+WeightSDS!T$8*$AG56^3+WeightSDS!U$8*$AG56^2+WeightSDS!V$8*$AG56+WeightSDS!W$8,WeightSDS!$U$9-WeightSDS!$V$9*($AG56-WeightSDS!$W$9)))</f>
        <v>0.75407122999999998</v>
      </c>
      <c r="AJ56" s="24">
        <f>IF(D56="M",IF($AG56&lt;45,WeightSDS!M$23*$AG56^10+WeightSDS!N$23*$AG56^9+WeightSDS!O$23*$AG56^8+WeightSDS!P$23*$AG56^7+WeightSDS!Q$23*$AG56^6+WeightSDS!R$23*$AG56^5+WeightSDS!S$23*$AG56^4+WeightSDS!T$23*$AG56^3+WeightSDS!U$23*$AG56^2+WeightSDS!V$23*$AG56+WeightSDS!W$23,IF($AG56&lt;153,WeightSDS!M$25*$AG56^10+WeightSDS!N$25*$AG56^9+WeightSDS!O$25*$AG56^8+WeightSDS!P$25*$AG56^7+WeightSDS!Q$25*$AG56^6+WeightSDS!R$25*$AG56^5+WeightSDS!S$25*$AG56^4+WeightSDS!T$25*$AG56^3+WeightSDS!U$25*$AG56^2+WeightSDS!V$25*$AG56+WeightSDS!W$25,WeightSDS!M$27+WeightSDS!N$27/(1+EXP(WeightSDS!O$27+WeightSDS!P$27*$AG56)))),IF($AG56&lt;43.8,WeightSDS!M$29*$AG56^10+WeightSDS!N$29*$AG56^9+WeightSDS!O$29*$AG56^8+WeightSDS!P$29*$AG56^7+WeightSDS!Q$29*$AG56^6+WeightSDS!R$29*$AG56^5+WeightSDS!S$29*$AG56^4+WeightSDS!T$29*$AG56^3+WeightSDS!U$29*$AG56^2+WeightSDS!V$29*$AG56+WeightSDS!W$29-0.010431*(1-$AG56/210),IF($AG56&lt;123,WeightSDS!M$30*$AG56^10+WeightSDS!N$30*$AG56^9+WeightSDS!O$30*$AG56^8+WeightSDS!P$30*$AG56^7+WeightSDS!Q$30*$AG56^6+WeightSDS!R$30*$AG56^5+WeightSDS!S$30*$AG56^4+WeightSDS!T$30*$AG56^3+WeightSDS!U$30*$AG56^2+WeightSDS!V$30*$AG56+WeightSDS!W$30-0.010431*(1-1/$AG56),WeightSDS!M$32+WeightSDS!N$32/(1+EXP(WeightSDS!O$32+WeightSDS!P$32*$AG56))-0.010431*(1-$AG56/210))))</f>
        <v>2.9500001032655536</v>
      </c>
      <c r="AK56" s="24">
        <f>IF(D56="M",IF($AG56&lt;162,WeightSDS!P$12*$AG56^7+WeightSDS!Q$12*$AG56^6+WeightSDS!R$12*$AG56^5+WeightSDS!S$12*$AG56^4+WeightSDS!T$12*$AG56^3+WeightSDS!U$12*$AG56^2+WeightSDS!V$12*$AG56+WeightSDS!W$12,WeightSDS!P$14*$AG56^7+WeightSDS!Q$14*$AG56^6+WeightSDS!R$14*$AG56^5+WeightSDS!S$14*$AG56^4+WeightSDS!T$14*$AG56^3+WeightSDS!U$14*$AG56^2+WeightSDS!V$14*$AG56+WeightSDS!W$14),IF($AG56&lt;156,WeightSDS!O$17*$AG56^8+WeightSDS!P$17*$AG56^7+WeightSDS!Q$17*$AG56^6+WeightSDS!R$17*$AG56^5+WeightSDS!S$17*$AG56^4+WeightSDS!T$17*$AG56^3+WeightSDS!U$17*$AG56^2+WeightSDS!V$17*$AG56+WeightSDS!W$17,IF($AG56&lt;186,WeightSDS!$U$18+(WeightSDS!$V$18-WeightSDS!$U$18)/24*($AG56-186)+WeightSDS!$W$18*(-$AG56+186)^2-0.005,WeightSDS!$U$18+(WeightSDS!$V$18-WeightSDS!$U$18)/24*($AG56-186)-0.005)))</f>
        <v>0.14604529399999999</v>
      </c>
    </row>
    <row r="57" spans="1:37">
      <c r="A57" s="4"/>
      <c r="B57" s="21"/>
      <c r="C57" s="21"/>
      <c r="D57" s="21"/>
      <c r="E57" s="22"/>
      <c r="F57" s="22"/>
      <c r="G57" s="23"/>
      <c r="H57" s="23"/>
      <c r="I57" s="8" t="str">
        <f t="shared" si="0"/>
        <v/>
      </c>
      <c r="J57" s="2" t="str">
        <f t="shared" si="4"/>
        <v/>
      </c>
      <c r="K57" s="2" t="str">
        <f t="shared" si="1"/>
        <v/>
      </c>
      <c r="L57" s="2" t="str">
        <f t="shared" si="5"/>
        <v/>
      </c>
      <c r="M57" s="2" t="str">
        <f t="shared" si="15"/>
        <v/>
      </c>
      <c r="N57" s="2" t="str">
        <f t="shared" si="7"/>
        <v/>
      </c>
      <c r="O57" s="8" t="str">
        <f t="shared" si="8"/>
        <v/>
      </c>
      <c r="P57" s="8" t="str">
        <f t="shared" si="9"/>
        <v/>
      </c>
      <c r="Q57" s="40" t="str">
        <f t="shared" si="10"/>
        <v/>
      </c>
      <c r="R57" s="48" t="str">
        <f t="shared" si="11"/>
        <v/>
      </c>
      <c r="S57" s="8"/>
      <c r="U57" s="35">
        <f t="shared" si="12"/>
        <v>0</v>
      </c>
      <c r="V57" s="24">
        <f t="shared" si="13"/>
        <v>0</v>
      </c>
      <c r="W57" s="41">
        <f t="shared" si="17"/>
        <v>0</v>
      </c>
      <c r="X57" s="31"/>
      <c r="Y57" s="31"/>
      <c r="Z57" s="31"/>
      <c r="AA57" s="25">
        <f t="shared" si="2"/>
        <v>9.0359999999999996</v>
      </c>
      <c r="AB57" s="25">
        <f t="shared" si="3"/>
        <v>-184.49199999999999</v>
      </c>
      <c r="AD57" s="24">
        <f>IF(D57="M",IF(AG57&lt;78,BMILMS!$D$5*AG57^3+BMILMS!$E$5*AG57^2+BMILMS!$F$5*AG57+BMILMS!$G$5,IF(AG57&lt;150,BMILMS!$D$6*AG57^3+BMILMS!$E$6*AG57^2+BMILMS!$F$6*AG57+BMILMS!$G$6,BMILMS!$D$7*AG57^3+BMILMS!$E$7*AG57^2+BMILMS!$F$7*AG57+BMILMS!$G$7)),IF(AG57&lt;69,BMILMS!$D$9*AG57^3+BMILMS!$E$9*AG57^2+BMILMS!$F$9*AG57+BMILMS!$G$9,IF(AG57&lt;150,BMILMS!$D$10*AG57^3+BMILMS!$E$10*AG57^2+BMILMS!$F$10*AG57+BMILMS!$G$10,BMILMS!$D$11*AG57^3+BMILMS!$E$11*AG57^2+BMILMS!$F$11*AG57+BMILMS!$G$11)))</f>
        <v>0.79584630099999998</v>
      </c>
      <c r="AE57" s="24">
        <f>IF(D57="M",(IF(AG57&lt;2.5,BMILMS!$D$21*AG57^3+BMILMS!$E$21*AG57^2+BMILMS!$F$21*AG57+BMILMS!$G$21,IF(AG57&lt;9.5,BMILMS!$D$22*AG57^3+BMILMS!$E$22*AG57^2+BMILMS!$F$22*AG57+BMILMS!$G$22,IF(AG57&lt;26.75,BMILMS!$D$23*AG57^3+BMILMS!$E$23*AG57^2+BMILMS!$F$23*AG57+BMILMS!$G$23,IF(AG57&lt;90,BMILMS!$D$24*AG57^3+BMILMS!$E$24*AG57^2+BMILMS!$F$24*AG57+BMILMS!$G$24,BMILMS!$D$25*AG57^3+BMILMS!$E$25*AG57^2+BMILMS!$F$25*AG57+BMILMS!$G$25))))),(IF(AG57&lt;2.5,BMILMS!$D$27*AG57^3+BMILMS!$E$27*AG57^2+BMILMS!$F$27*AG57+BMILMS!$G$27,IF(AG57&lt;9.5,BMILMS!$D$28*AG57^3+BMILMS!$E$28*AG57^2+BMILMS!$F$28*AG57+BMILMS!$G$28,IF(AG57&lt;26.75,BMILMS!$D$29*AG57^3+BMILMS!$E$29*AG57^2+BMILMS!$F$29*AG57+BMILMS!$G$29,IF(AG57&lt;90,BMILMS!$D$30*AG57^3+BMILMS!$E$30*AG57^2+BMILMS!$F$30*AG57+BMILMS!$G$30,IF(AG57&lt;150,BMILMS!$D$31*AG57^3+BMILMS!$E$31*AG57^2+BMILMS!$F$31*AG57+BMILMS!$G$31,BMILMS!$D$32*AG57^3+BMILMS!$E$32*AG57^2+BMILMS!$F$32*AG57+BMILMS!$G$32)))))))</f>
        <v>12.568967990000001</v>
      </c>
      <c r="AF57" s="24">
        <f>IF(D57="M",(IF(AG57&lt;90,BMILMS!$D$14*AG57^3+BMILMS!$E$14*AG57^2+BMILMS!$F$14*AG57+BMILMS!$G$14,BMILMS!$D$15*AG57^3+BMILMS!$E$15*AG57^2+BMILMS!$F$15*AG57+BMILMS!$G$15)),(IF(AG57&lt;90,BMILMS!$D$17*AG57^3+BMILMS!$E$17*AG57^2+BMILMS!$F$17*AG57+BMILMS!$G$17,BMILMS!$D$18*AG57^3+BMILMS!$E$18*AG57^2+BMILMS!$F$18*AG57+BMILMS!$G$18)))</f>
        <v>8.8969350000000003E-2</v>
      </c>
      <c r="AG57" s="24">
        <f t="shared" si="16"/>
        <v>0</v>
      </c>
      <c r="AI57" s="38">
        <f>IF(D57="M",WeightSDS!P$5*$AG57^7+WeightSDS!Q$5*$AG57^6+WeightSDS!R$5*$AG57^5+WeightSDS!S$5*$AG57^4+WeightSDS!T$5*$AG57^3+WeightSDS!U$5*$AG57^2+WeightSDS!V$5*$AG57+WeightSDS!W$5,IF($AG57&lt;186,WeightSDS!P$8*$AG57^7+WeightSDS!Q$8*$AG57^6+WeightSDS!R$8*$AG57^5+WeightSDS!S$8*$AG57^4+WeightSDS!T$8*$AG57^3+WeightSDS!U$8*$AG57^2+WeightSDS!V$8*$AG57+WeightSDS!W$8,WeightSDS!$U$9-WeightSDS!$V$9*($AG57-WeightSDS!$W$9)))</f>
        <v>0.75407122999999998</v>
      </c>
      <c r="AJ57" s="24">
        <f>IF(D57="M",IF($AG57&lt;45,WeightSDS!M$23*$AG57^10+WeightSDS!N$23*$AG57^9+WeightSDS!O$23*$AG57^8+WeightSDS!P$23*$AG57^7+WeightSDS!Q$23*$AG57^6+WeightSDS!R$23*$AG57^5+WeightSDS!S$23*$AG57^4+WeightSDS!T$23*$AG57^3+WeightSDS!U$23*$AG57^2+WeightSDS!V$23*$AG57+WeightSDS!W$23,IF($AG57&lt;153,WeightSDS!M$25*$AG57^10+WeightSDS!N$25*$AG57^9+WeightSDS!O$25*$AG57^8+WeightSDS!P$25*$AG57^7+WeightSDS!Q$25*$AG57^6+WeightSDS!R$25*$AG57^5+WeightSDS!S$25*$AG57^4+WeightSDS!T$25*$AG57^3+WeightSDS!U$25*$AG57^2+WeightSDS!V$25*$AG57+WeightSDS!W$25,WeightSDS!M$27+WeightSDS!N$27/(1+EXP(WeightSDS!O$27+WeightSDS!P$27*$AG57)))),IF($AG57&lt;43.8,WeightSDS!M$29*$AG57^10+WeightSDS!N$29*$AG57^9+WeightSDS!O$29*$AG57^8+WeightSDS!P$29*$AG57^7+WeightSDS!Q$29*$AG57^6+WeightSDS!R$29*$AG57^5+WeightSDS!S$29*$AG57^4+WeightSDS!T$29*$AG57^3+WeightSDS!U$29*$AG57^2+WeightSDS!V$29*$AG57+WeightSDS!W$29-0.010431*(1-$AG57/210),IF($AG57&lt;123,WeightSDS!M$30*$AG57^10+WeightSDS!N$30*$AG57^9+WeightSDS!O$30*$AG57^8+WeightSDS!P$30*$AG57^7+WeightSDS!Q$30*$AG57^6+WeightSDS!R$30*$AG57^5+WeightSDS!S$30*$AG57^4+WeightSDS!T$30*$AG57^3+WeightSDS!U$30*$AG57^2+WeightSDS!V$30*$AG57+WeightSDS!W$30-0.010431*(1-1/$AG57),WeightSDS!M$32+WeightSDS!N$32/(1+EXP(WeightSDS!O$32+WeightSDS!P$32*$AG57))-0.010431*(1-$AG57/210))))</f>
        <v>2.9500001032655536</v>
      </c>
      <c r="AK57" s="24">
        <f>IF(D57="M",IF($AG57&lt;162,WeightSDS!P$12*$AG57^7+WeightSDS!Q$12*$AG57^6+WeightSDS!R$12*$AG57^5+WeightSDS!S$12*$AG57^4+WeightSDS!T$12*$AG57^3+WeightSDS!U$12*$AG57^2+WeightSDS!V$12*$AG57+WeightSDS!W$12,WeightSDS!P$14*$AG57^7+WeightSDS!Q$14*$AG57^6+WeightSDS!R$14*$AG57^5+WeightSDS!S$14*$AG57^4+WeightSDS!T$14*$AG57^3+WeightSDS!U$14*$AG57^2+WeightSDS!V$14*$AG57+WeightSDS!W$14),IF($AG57&lt;156,WeightSDS!O$17*$AG57^8+WeightSDS!P$17*$AG57^7+WeightSDS!Q$17*$AG57^6+WeightSDS!R$17*$AG57^5+WeightSDS!S$17*$AG57^4+WeightSDS!T$17*$AG57^3+WeightSDS!U$17*$AG57^2+WeightSDS!V$17*$AG57+WeightSDS!W$17,IF($AG57&lt;186,WeightSDS!$U$18+(WeightSDS!$V$18-WeightSDS!$U$18)/24*($AG57-186)+WeightSDS!$W$18*(-$AG57+186)^2-0.005,WeightSDS!$U$18+(WeightSDS!$V$18-WeightSDS!$U$18)/24*($AG57-186)-0.005)))</f>
        <v>0.14604529399999999</v>
      </c>
    </row>
    <row r="58" spans="1:37">
      <c r="A58" s="4"/>
      <c r="B58" s="21"/>
      <c r="C58" s="21"/>
      <c r="D58" s="21"/>
      <c r="E58" s="22"/>
      <c r="F58" s="22"/>
      <c r="G58" s="23"/>
      <c r="H58" s="23"/>
      <c r="I58" s="8" t="str">
        <f t="shared" si="0"/>
        <v/>
      </c>
      <c r="J58" s="2" t="str">
        <f t="shared" si="4"/>
        <v/>
      </c>
      <c r="K58" s="2" t="str">
        <f t="shared" si="1"/>
        <v/>
      </c>
      <c r="L58" s="2" t="str">
        <f t="shared" si="5"/>
        <v/>
      </c>
      <c r="M58" s="2" t="str">
        <f t="shared" si="15"/>
        <v/>
      </c>
      <c r="N58" s="2" t="str">
        <f t="shared" si="7"/>
        <v/>
      </c>
      <c r="O58" s="8" t="str">
        <f t="shared" si="8"/>
        <v/>
      </c>
      <c r="P58" s="8" t="str">
        <f t="shared" si="9"/>
        <v/>
      </c>
      <c r="Q58" s="40" t="str">
        <f t="shared" si="10"/>
        <v/>
      </c>
      <c r="R58" s="48" t="str">
        <f t="shared" si="11"/>
        <v/>
      </c>
      <c r="S58" s="8"/>
      <c r="U58" s="35">
        <f t="shared" si="12"/>
        <v>0</v>
      </c>
      <c r="V58" s="24">
        <f t="shared" si="13"/>
        <v>0</v>
      </c>
      <c r="W58" s="41">
        <f t="shared" si="17"/>
        <v>0</v>
      </c>
      <c r="X58" s="31"/>
      <c r="Y58" s="31"/>
      <c r="Z58" s="31"/>
      <c r="AA58" s="25">
        <f t="shared" si="2"/>
        <v>9.0359999999999996</v>
      </c>
      <c r="AB58" s="25">
        <f t="shared" si="3"/>
        <v>-184.49199999999999</v>
      </c>
      <c r="AD58" s="24">
        <f>IF(D58="M",IF(AG58&lt;78,BMILMS!$D$5*AG58^3+BMILMS!$E$5*AG58^2+BMILMS!$F$5*AG58+BMILMS!$G$5,IF(AG58&lt;150,BMILMS!$D$6*AG58^3+BMILMS!$E$6*AG58^2+BMILMS!$F$6*AG58+BMILMS!$G$6,BMILMS!$D$7*AG58^3+BMILMS!$E$7*AG58^2+BMILMS!$F$7*AG58+BMILMS!$G$7)),IF(AG58&lt;69,BMILMS!$D$9*AG58^3+BMILMS!$E$9*AG58^2+BMILMS!$F$9*AG58+BMILMS!$G$9,IF(AG58&lt;150,BMILMS!$D$10*AG58^3+BMILMS!$E$10*AG58^2+BMILMS!$F$10*AG58+BMILMS!$G$10,BMILMS!$D$11*AG58^3+BMILMS!$E$11*AG58^2+BMILMS!$F$11*AG58+BMILMS!$G$11)))</f>
        <v>0.79584630099999998</v>
      </c>
      <c r="AE58" s="24">
        <f>IF(D58="M",(IF(AG58&lt;2.5,BMILMS!$D$21*AG58^3+BMILMS!$E$21*AG58^2+BMILMS!$F$21*AG58+BMILMS!$G$21,IF(AG58&lt;9.5,BMILMS!$D$22*AG58^3+BMILMS!$E$22*AG58^2+BMILMS!$F$22*AG58+BMILMS!$G$22,IF(AG58&lt;26.75,BMILMS!$D$23*AG58^3+BMILMS!$E$23*AG58^2+BMILMS!$F$23*AG58+BMILMS!$G$23,IF(AG58&lt;90,BMILMS!$D$24*AG58^3+BMILMS!$E$24*AG58^2+BMILMS!$F$24*AG58+BMILMS!$G$24,BMILMS!$D$25*AG58^3+BMILMS!$E$25*AG58^2+BMILMS!$F$25*AG58+BMILMS!$G$25))))),(IF(AG58&lt;2.5,BMILMS!$D$27*AG58^3+BMILMS!$E$27*AG58^2+BMILMS!$F$27*AG58+BMILMS!$G$27,IF(AG58&lt;9.5,BMILMS!$D$28*AG58^3+BMILMS!$E$28*AG58^2+BMILMS!$F$28*AG58+BMILMS!$G$28,IF(AG58&lt;26.75,BMILMS!$D$29*AG58^3+BMILMS!$E$29*AG58^2+BMILMS!$F$29*AG58+BMILMS!$G$29,IF(AG58&lt;90,BMILMS!$D$30*AG58^3+BMILMS!$E$30*AG58^2+BMILMS!$F$30*AG58+BMILMS!$G$30,IF(AG58&lt;150,BMILMS!$D$31*AG58^3+BMILMS!$E$31*AG58^2+BMILMS!$F$31*AG58+BMILMS!$G$31,BMILMS!$D$32*AG58^3+BMILMS!$E$32*AG58^2+BMILMS!$F$32*AG58+BMILMS!$G$32)))))))</f>
        <v>12.568967990000001</v>
      </c>
      <c r="AF58" s="24">
        <f>IF(D58="M",(IF(AG58&lt;90,BMILMS!$D$14*AG58^3+BMILMS!$E$14*AG58^2+BMILMS!$F$14*AG58+BMILMS!$G$14,BMILMS!$D$15*AG58^3+BMILMS!$E$15*AG58^2+BMILMS!$F$15*AG58+BMILMS!$G$15)),(IF(AG58&lt;90,BMILMS!$D$17*AG58^3+BMILMS!$E$17*AG58^2+BMILMS!$F$17*AG58+BMILMS!$G$17,BMILMS!$D$18*AG58^3+BMILMS!$E$18*AG58^2+BMILMS!$F$18*AG58+BMILMS!$G$18)))</f>
        <v>8.8969350000000003E-2</v>
      </c>
      <c r="AG58" s="24">
        <f t="shared" si="16"/>
        <v>0</v>
      </c>
      <c r="AI58" s="38">
        <f>IF(D58="M",WeightSDS!P$5*$AG58^7+WeightSDS!Q$5*$AG58^6+WeightSDS!R$5*$AG58^5+WeightSDS!S$5*$AG58^4+WeightSDS!T$5*$AG58^3+WeightSDS!U$5*$AG58^2+WeightSDS!V$5*$AG58+WeightSDS!W$5,IF($AG58&lt;186,WeightSDS!P$8*$AG58^7+WeightSDS!Q$8*$AG58^6+WeightSDS!R$8*$AG58^5+WeightSDS!S$8*$AG58^4+WeightSDS!T$8*$AG58^3+WeightSDS!U$8*$AG58^2+WeightSDS!V$8*$AG58+WeightSDS!W$8,WeightSDS!$U$9-WeightSDS!$V$9*($AG58-WeightSDS!$W$9)))</f>
        <v>0.75407122999999998</v>
      </c>
      <c r="AJ58" s="24">
        <f>IF(D58="M",IF($AG58&lt;45,WeightSDS!M$23*$AG58^10+WeightSDS!N$23*$AG58^9+WeightSDS!O$23*$AG58^8+WeightSDS!P$23*$AG58^7+WeightSDS!Q$23*$AG58^6+WeightSDS!R$23*$AG58^5+WeightSDS!S$23*$AG58^4+WeightSDS!T$23*$AG58^3+WeightSDS!U$23*$AG58^2+WeightSDS!V$23*$AG58+WeightSDS!W$23,IF($AG58&lt;153,WeightSDS!M$25*$AG58^10+WeightSDS!N$25*$AG58^9+WeightSDS!O$25*$AG58^8+WeightSDS!P$25*$AG58^7+WeightSDS!Q$25*$AG58^6+WeightSDS!R$25*$AG58^5+WeightSDS!S$25*$AG58^4+WeightSDS!T$25*$AG58^3+WeightSDS!U$25*$AG58^2+WeightSDS!V$25*$AG58+WeightSDS!W$25,WeightSDS!M$27+WeightSDS!N$27/(1+EXP(WeightSDS!O$27+WeightSDS!P$27*$AG58)))),IF($AG58&lt;43.8,WeightSDS!M$29*$AG58^10+WeightSDS!N$29*$AG58^9+WeightSDS!O$29*$AG58^8+WeightSDS!P$29*$AG58^7+WeightSDS!Q$29*$AG58^6+WeightSDS!R$29*$AG58^5+WeightSDS!S$29*$AG58^4+WeightSDS!T$29*$AG58^3+WeightSDS!U$29*$AG58^2+WeightSDS!V$29*$AG58+WeightSDS!W$29-0.010431*(1-$AG58/210),IF($AG58&lt;123,WeightSDS!M$30*$AG58^10+WeightSDS!N$30*$AG58^9+WeightSDS!O$30*$AG58^8+WeightSDS!P$30*$AG58^7+WeightSDS!Q$30*$AG58^6+WeightSDS!R$30*$AG58^5+WeightSDS!S$30*$AG58^4+WeightSDS!T$30*$AG58^3+WeightSDS!U$30*$AG58^2+WeightSDS!V$30*$AG58+WeightSDS!W$30-0.010431*(1-1/$AG58),WeightSDS!M$32+WeightSDS!N$32/(1+EXP(WeightSDS!O$32+WeightSDS!P$32*$AG58))-0.010431*(1-$AG58/210))))</f>
        <v>2.9500001032655536</v>
      </c>
      <c r="AK58" s="24">
        <f>IF(D58="M",IF($AG58&lt;162,WeightSDS!P$12*$AG58^7+WeightSDS!Q$12*$AG58^6+WeightSDS!R$12*$AG58^5+WeightSDS!S$12*$AG58^4+WeightSDS!T$12*$AG58^3+WeightSDS!U$12*$AG58^2+WeightSDS!V$12*$AG58+WeightSDS!W$12,WeightSDS!P$14*$AG58^7+WeightSDS!Q$14*$AG58^6+WeightSDS!R$14*$AG58^5+WeightSDS!S$14*$AG58^4+WeightSDS!T$14*$AG58^3+WeightSDS!U$14*$AG58^2+WeightSDS!V$14*$AG58+WeightSDS!W$14),IF($AG58&lt;156,WeightSDS!O$17*$AG58^8+WeightSDS!P$17*$AG58^7+WeightSDS!Q$17*$AG58^6+WeightSDS!R$17*$AG58^5+WeightSDS!S$17*$AG58^4+WeightSDS!T$17*$AG58^3+WeightSDS!U$17*$AG58^2+WeightSDS!V$17*$AG58+WeightSDS!W$17,IF($AG58&lt;186,WeightSDS!$U$18+(WeightSDS!$V$18-WeightSDS!$U$18)/24*($AG58-186)+WeightSDS!$W$18*(-$AG58+186)^2-0.005,WeightSDS!$U$18+(WeightSDS!$V$18-WeightSDS!$U$18)/24*($AG58-186)-0.005)))</f>
        <v>0.14604529399999999</v>
      </c>
    </row>
    <row r="59" spans="1:37">
      <c r="A59" s="4"/>
      <c r="B59" s="21"/>
      <c r="C59" s="21"/>
      <c r="D59" s="21"/>
      <c r="E59" s="22"/>
      <c r="F59" s="22"/>
      <c r="G59" s="23"/>
      <c r="H59" s="23"/>
      <c r="I59" s="8" t="str">
        <f t="shared" si="0"/>
        <v/>
      </c>
      <c r="J59" s="2" t="str">
        <f t="shared" si="4"/>
        <v/>
      </c>
      <c r="K59" s="2" t="str">
        <f t="shared" si="1"/>
        <v/>
      </c>
      <c r="L59" s="2" t="str">
        <f t="shared" si="5"/>
        <v/>
      </c>
      <c r="M59" s="2" t="str">
        <f t="shared" si="15"/>
        <v/>
      </c>
      <c r="N59" s="2" t="str">
        <f t="shared" si="7"/>
        <v/>
      </c>
      <c r="O59" s="8" t="str">
        <f t="shared" si="8"/>
        <v/>
      </c>
      <c r="P59" s="8" t="str">
        <f t="shared" si="9"/>
        <v/>
      </c>
      <c r="Q59" s="40" t="str">
        <f t="shared" si="10"/>
        <v/>
      </c>
      <c r="R59" s="48" t="str">
        <f t="shared" si="11"/>
        <v/>
      </c>
      <c r="S59" s="8"/>
      <c r="U59" s="35">
        <f t="shared" si="12"/>
        <v>0</v>
      </c>
      <c r="V59" s="24">
        <f t="shared" si="13"/>
        <v>0</v>
      </c>
      <c r="W59" s="41">
        <f t="shared" si="17"/>
        <v>0</v>
      </c>
      <c r="X59" s="31"/>
      <c r="Y59" s="31"/>
      <c r="Z59" s="31"/>
      <c r="AA59" s="25">
        <f t="shared" si="2"/>
        <v>9.0359999999999996</v>
      </c>
      <c r="AB59" s="25">
        <f t="shared" si="3"/>
        <v>-184.49199999999999</v>
      </c>
      <c r="AD59" s="24">
        <f>IF(D59="M",IF(AG59&lt;78,BMILMS!$D$5*AG59^3+BMILMS!$E$5*AG59^2+BMILMS!$F$5*AG59+BMILMS!$G$5,IF(AG59&lt;150,BMILMS!$D$6*AG59^3+BMILMS!$E$6*AG59^2+BMILMS!$F$6*AG59+BMILMS!$G$6,BMILMS!$D$7*AG59^3+BMILMS!$E$7*AG59^2+BMILMS!$F$7*AG59+BMILMS!$G$7)),IF(AG59&lt;69,BMILMS!$D$9*AG59^3+BMILMS!$E$9*AG59^2+BMILMS!$F$9*AG59+BMILMS!$G$9,IF(AG59&lt;150,BMILMS!$D$10*AG59^3+BMILMS!$E$10*AG59^2+BMILMS!$F$10*AG59+BMILMS!$G$10,BMILMS!$D$11*AG59^3+BMILMS!$E$11*AG59^2+BMILMS!$F$11*AG59+BMILMS!$G$11)))</f>
        <v>0.79584630099999998</v>
      </c>
      <c r="AE59" s="24">
        <f>IF(D59="M",(IF(AG59&lt;2.5,BMILMS!$D$21*AG59^3+BMILMS!$E$21*AG59^2+BMILMS!$F$21*AG59+BMILMS!$G$21,IF(AG59&lt;9.5,BMILMS!$D$22*AG59^3+BMILMS!$E$22*AG59^2+BMILMS!$F$22*AG59+BMILMS!$G$22,IF(AG59&lt;26.75,BMILMS!$D$23*AG59^3+BMILMS!$E$23*AG59^2+BMILMS!$F$23*AG59+BMILMS!$G$23,IF(AG59&lt;90,BMILMS!$D$24*AG59^3+BMILMS!$E$24*AG59^2+BMILMS!$F$24*AG59+BMILMS!$G$24,BMILMS!$D$25*AG59^3+BMILMS!$E$25*AG59^2+BMILMS!$F$25*AG59+BMILMS!$G$25))))),(IF(AG59&lt;2.5,BMILMS!$D$27*AG59^3+BMILMS!$E$27*AG59^2+BMILMS!$F$27*AG59+BMILMS!$G$27,IF(AG59&lt;9.5,BMILMS!$D$28*AG59^3+BMILMS!$E$28*AG59^2+BMILMS!$F$28*AG59+BMILMS!$G$28,IF(AG59&lt;26.75,BMILMS!$D$29*AG59^3+BMILMS!$E$29*AG59^2+BMILMS!$F$29*AG59+BMILMS!$G$29,IF(AG59&lt;90,BMILMS!$D$30*AG59^3+BMILMS!$E$30*AG59^2+BMILMS!$F$30*AG59+BMILMS!$G$30,IF(AG59&lt;150,BMILMS!$D$31*AG59^3+BMILMS!$E$31*AG59^2+BMILMS!$F$31*AG59+BMILMS!$G$31,BMILMS!$D$32*AG59^3+BMILMS!$E$32*AG59^2+BMILMS!$F$32*AG59+BMILMS!$G$32)))))))</f>
        <v>12.568967990000001</v>
      </c>
      <c r="AF59" s="24">
        <f>IF(D59="M",(IF(AG59&lt;90,BMILMS!$D$14*AG59^3+BMILMS!$E$14*AG59^2+BMILMS!$F$14*AG59+BMILMS!$G$14,BMILMS!$D$15*AG59^3+BMILMS!$E$15*AG59^2+BMILMS!$F$15*AG59+BMILMS!$G$15)),(IF(AG59&lt;90,BMILMS!$D$17*AG59^3+BMILMS!$E$17*AG59^2+BMILMS!$F$17*AG59+BMILMS!$G$17,BMILMS!$D$18*AG59^3+BMILMS!$E$18*AG59^2+BMILMS!$F$18*AG59+BMILMS!$G$18)))</f>
        <v>8.8969350000000003E-2</v>
      </c>
      <c r="AG59" s="24">
        <f t="shared" si="16"/>
        <v>0</v>
      </c>
      <c r="AI59" s="38">
        <f>IF(D59="M",WeightSDS!P$5*$AG59^7+WeightSDS!Q$5*$AG59^6+WeightSDS!R$5*$AG59^5+WeightSDS!S$5*$AG59^4+WeightSDS!T$5*$AG59^3+WeightSDS!U$5*$AG59^2+WeightSDS!V$5*$AG59+WeightSDS!W$5,IF($AG59&lt;186,WeightSDS!P$8*$AG59^7+WeightSDS!Q$8*$AG59^6+WeightSDS!R$8*$AG59^5+WeightSDS!S$8*$AG59^4+WeightSDS!T$8*$AG59^3+WeightSDS!U$8*$AG59^2+WeightSDS!V$8*$AG59+WeightSDS!W$8,WeightSDS!$U$9-WeightSDS!$V$9*($AG59-WeightSDS!$W$9)))</f>
        <v>0.75407122999999998</v>
      </c>
      <c r="AJ59" s="24">
        <f>IF(D59="M",IF($AG59&lt;45,WeightSDS!M$23*$AG59^10+WeightSDS!N$23*$AG59^9+WeightSDS!O$23*$AG59^8+WeightSDS!P$23*$AG59^7+WeightSDS!Q$23*$AG59^6+WeightSDS!R$23*$AG59^5+WeightSDS!S$23*$AG59^4+WeightSDS!T$23*$AG59^3+WeightSDS!U$23*$AG59^2+WeightSDS!V$23*$AG59+WeightSDS!W$23,IF($AG59&lt;153,WeightSDS!M$25*$AG59^10+WeightSDS!N$25*$AG59^9+WeightSDS!O$25*$AG59^8+WeightSDS!P$25*$AG59^7+WeightSDS!Q$25*$AG59^6+WeightSDS!R$25*$AG59^5+WeightSDS!S$25*$AG59^4+WeightSDS!T$25*$AG59^3+WeightSDS!U$25*$AG59^2+WeightSDS!V$25*$AG59+WeightSDS!W$25,WeightSDS!M$27+WeightSDS!N$27/(1+EXP(WeightSDS!O$27+WeightSDS!P$27*$AG59)))),IF($AG59&lt;43.8,WeightSDS!M$29*$AG59^10+WeightSDS!N$29*$AG59^9+WeightSDS!O$29*$AG59^8+WeightSDS!P$29*$AG59^7+WeightSDS!Q$29*$AG59^6+WeightSDS!R$29*$AG59^5+WeightSDS!S$29*$AG59^4+WeightSDS!T$29*$AG59^3+WeightSDS!U$29*$AG59^2+WeightSDS!V$29*$AG59+WeightSDS!W$29-0.010431*(1-$AG59/210),IF($AG59&lt;123,WeightSDS!M$30*$AG59^10+WeightSDS!N$30*$AG59^9+WeightSDS!O$30*$AG59^8+WeightSDS!P$30*$AG59^7+WeightSDS!Q$30*$AG59^6+WeightSDS!R$30*$AG59^5+WeightSDS!S$30*$AG59^4+WeightSDS!T$30*$AG59^3+WeightSDS!U$30*$AG59^2+WeightSDS!V$30*$AG59+WeightSDS!W$30-0.010431*(1-1/$AG59),WeightSDS!M$32+WeightSDS!N$32/(1+EXP(WeightSDS!O$32+WeightSDS!P$32*$AG59))-0.010431*(1-$AG59/210))))</f>
        <v>2.9500001032655536</v>
      </c>
      <c r="AK59" s="24">
        <f>IF(D59="M",IF($AG59&lt;162,WeightSDS!P$12*$AG59^7+WeightSDS!Q$12*$AG59^6+WeightSDS!R$12*$AG59^5+WeightSDS!S$12*$AG59^4+WeightSDS!T$12*$AG59^3+WeightSDS!U$12*$AG59^2+WeightSDS!V$12*$AG59+WeightSDS!W$12,WeightSDS!P$14*$AG59^7+WeightSDS!Q$14*$AG59^6+WeightSDS!R$14*$AG59^5+WeightSDS!S$14*$AG59^4+WeightSDS!T$14*$AG59^3+WeightSDS!U$14*$AG59^2+WeightSDS!V$14*$AG59+WeightSDS!W$14),IF($AG59&lt;156,WeightSDS!O$17*$AG59^8+WeightSDS!P$17*$AG59^7+WeightSDS!Q$17*$AG59^6+WeightSDS!R$17*$AG59^5+WeightSDS!S$17*$AG59^4+WeightSDS!T$17*$AG59^3+WeightSDS!U$17*$AG59^2+WeightSDS!V$17*$AG59+WeightSDS!W$17,IF($AG59&lt;186,WeightSDS!$U$18+(WeightSDS!$V$18-WeightSDS!$U$18)/24*($AG59-186)+WeightSDS!$W$18*(-$AG59+186)^2-0.005,WeightSDS!$U$18+(WeightSDS!$V$18-WeightSDS!$U$18)/24*($AG59-186)-0.005)))</f>
        <v>0.14604529399999999</v>
      </c>
    </row>
    <row r="60" spans="1:37">
      <c r="A60" s="4"/>
      <c r="B60" s="21"/>
      <c r="C60" s="21"/>
      <c r="D60" s="21"/>
      <c r="E60" s="22"/>
      <c r="F60" s="22"/>
      <c r="G60" s="23"/>
      <c r="H60" s="23"/>
      <c r="I60" s="8" t="str">
        <f t="shared" si="0"/>
        <v/>
      </c>
      <c r="J60" s="2" t="str">
        <f t="shared" si="4"/>
        <v/>
      </c>
      <c r="K60" s="2" t="str">
        <f t="shared" si="1"/>
        <v/>
      </c>
      <c r="L60" s="2" t="str">
        <f t="shared" si="5"/>
        <v/>
      </c>
      <c r="M60" s="2" t="str">
        <f t="shared" si="15"/>
        <v/>
      </c>
      <c r="N60" s="2" t="str">
        <f t="shared" si="7"/>
        <v/>
      </c>
      <c r="O60" s="8" t="str">
        <f t="shared" si="8"/>
        <v/>
      </c>
      <c r="P60" s="8" t="str">
        <f t="shared" si="9"/>
        <v/>
      </c>
      <c r="Q60" s="40" t="str">
        <f t="shared" si="10"/>
        <v/>
      </c>
      <c r="R60" s="48" t="str">
        <f t="shared" si="11"/>
        <v/>
      </c>
      <c r="S60" s="8"/>
      <c r="U60" s="35">
        <f t="shared" si="12"/>
        <v>0</v>
      </c>
      <c r="V60" s="24">
        <f t="shared" si="13"/>
        <v>0</v>
      </c>
      <c r="W60" s="41">
        <f t="shared" si="17"/>
        <v>0</v>
      </c>
      <c r="X60" s="31"/>
      <c r="Y60" s="31"/>
      <c r="Z60" s="31"/>
      <c r="AA60" s="25">
        <f t="shared" si="2"/>
        <v>9.0359999999999996</v>
      </c>
      <c r="AB60" s="25">
        <f t="shared" si="3"/>
        <v>-184.49199999999999</v>
      </c>
      <c r="AD60" s="24">
        <f>IF(D60="M",IF(AG60&lt;78,BMILMS!$D$5*AG60^3+BMILMS!$E$5*AG60^2+BMILMS!$F$5*AG60+BMILMS!$G$5,IF(AG60&lt;150,BMILMS!$D$6*AG60^3+BMILMS!$E$6*AG60^2+BMILMS!$F$6*AG60+BMILMS!$G$6,BMILMS!$D$7*AG60^3+BMILMS!$E$7*AG60^2+BMILMS!$F$7*AG60+BMILMS!$G$7)),IF(AG60&lt;69,BMILMS!$D$9*AG60^3+BMILMS!$E$9*AG60^2+BMILMS!$F$9*AG60+BMILMS!$G$9,IF(AG60&lt;150,BMILMS!$D$10*AG60^3+BMILMS!$E$10*AG60^2+BMILMS!$F$10*AG60+BMILMS!$G$10,BMILMS!$D$11*AG60^3+BMILMS!$E$11*AG60^2+BMILMS!$F$11*AG60+BMILMS!$G$11)))</f>
        <v>0.79584630099999998</v>
      </c>
      <c r="AE60" s="24">
        <f>IF(D60="M",(IF(AG60&lt;2.5,BMILMS!$D$21*AG60^3+BMILMS!$E$21*AG60^2+BMILMS!$F$21*AG60+BMILMS!$G$21,IF(AG60&lt;9.5,BMILMS!$D$22*AG60^3+BMILMS!$E$22*AG60^2+BMILMS!$F$22*AG60+BMILMS!$G$22,IF(AG60&lt;26.75,BMILMS!$D$23*AG60^3+BMILMS!$E$23*AG60^2+BMILMS!$F$23*AG60+BMILMS!$G$23,IF(AG60&lt;90,BMILMS!$D$24*AG60^3+BMILMS!$E$24*AG60^2+BMILMS!$F$24*AG60+BMILMS!$G$24,BMILMS!$D$25*AG60^3+BMILMS!$E$25*AG60^2+BMILMS!$F$25*AG60+BMILMS!$G$25))))),(IF(AG60&lt;2.5,BMILMS!$D$27*AG60^3+BMILMS!$E$27*AG60^2+BMILMS!$F$27*AG60+BMILMS!$G$27,IF(AG60&lt;9.5,BMILMS!$D$28*AG60^3+BMILMS!$E$28*AG60^2+BMILMS!$F$28*AG60+BMILMS!$G$28,IF(AG60&lt;26.75,BMILMS!$D$29*AG60^3+BMILMS!$E$29*AG60^2+BMILMS!$F$29*AG60+BMILMS!$G$29,IF(AG60&lt;90,BMILMS!$D$30*AG60^3+BMILMS!$E$30*AG60^2+BMILMS!$F$30*AG60+BMILMS!$G$30,IF(AG60&lt;150,BMILMS!$D$31*AG60^3+BMILMS!$E$31*AG60^2+BMILMS!$F$31*AG60+BMILMS!$G$31,BMILMS!$D$32*AG60^3+BMILMS!$E$32*AG60^2+BMILMS!$F$32*AG60+BMILMS!$G$32)))))))</f>
        <v>12.568967990000001</v>
      </c>
      <c r="AF60" s="24">
        <f>IF(D60="M",(IF(AG60&lt;90,BMILMS!$D$14*AG60^3+BMILMS!$E$14*AG60^2+BMILMS!$F$14*AG60+BMILMS!$G$14,BMILMS!$D$15*AG60^3+BMILMS!$E$15*AG60^2+BMILMS!$F$15*AG60+BMILMS!$G$15)),(IF(AG60&lt;90,BMILMS!$D$17*AG60^3+BMILMS!$E$17*AG60^2+BMILMS!$F$17*AG60+BMILMS!$G$17,BMILMS!$D$18*AG60^3+BMILMS!$E$18*AG60^2+BMILMS!$F$18*AG60+BMILMS!$G$18)))</f>
        <v>8.8969350000000003E-2</v>
      </c>
      <c r="AG60" s="24">
        <f t="shared" si="16"/>
        <v>0</v>
      </c>
      <c r="AI60" s="38">
        <f>IF(D60="M",WeightSDS!P$5*$AG60^7+WeightSDS!Q$5*$AG60^6+WeightSDS!R$5*$AG60^5+WeightSDS!S$5*$AG60^4+WeightSDS!T$5*$AG60^3+WeightSDS!U$5*$AG60^2+WeightSDS!V$5*$AG60+WeightSDS!W$5,IF($AG60&lt;186,WeightSDS!P$8*$AG60^7+WeightSDS!Q$8*$AG60^6+WeightSDS!R$8*$AG60^5+WeightSDS!S$8*$AG60^4+WeightSDS!T$8*$AG60^3+WeightSDS!U$8*$AG60^2+WeightSDS!V$8*$AG60+WeightSDS!W$8,WeightSDS!$U$9-WeightSDS!$V$9*($AG60-WeightSDS!$W$9)))</f>
        <v>0.75407122999999998</v>
      </c>
      <c r="AJ60" s="24">
        <f>IF(D60="M",IF($AG60&lt;45,WeightSDS!M$23*$AG60^10+WeightSDS!N$23*$AG60^9+WeightSDS!O$23*$AG60^8+WeightSDS!P$23*$AG60^7+WeightSDS!Q$23*$AG60^6+WeightSDS!R$23*$AG60^5+WeightSDS!S$23*$AG60^4+WeightSDS!T$23*$AG60^3+WeightSDS!U$23*$AG60^2+WeightSDS!V$23*$AG60+WeightSDS!W$23,IF($AG60&lt;153,WeightSDS!M$25*$AG60^10+WeightSDS!N$25*$AG60^9+WeightSDS!O$25*$AG60^8+WeightSDS!P$25*$AG60^7+WeightSDS!Q$25*$AG60^6+WeightSDS!R$25*$AG60^5+WeightSDS!S$25*$AG60^4+WeightSDS!T$25*$AG60^3+WeightSDS!U$25*$AG60^2+WeightSDS!V$25*$AG60+WeightSDS!W$25,WeightSDS!M$27+WeightSDS!N$27/(1+EXP(WeightSDS!O$27+WeightSDS!P$27*$AG60)))),IF($AG60&lt;43.8,WeightSDS!M$29*$AG60^10+WeightSDS!N$29*$AG60^9+WeightSDS!O$29*$AG60^8+WeightSDS!P$29*$AG60^7+WeightSDS!Q$29*$AG60^6+WeightSDS!R$29*$AG60^5+WeightSDS!S$29*$AG60^4+WeightSDS!T$29*$AG60^3+WeightSDS!U$29*$AG60^2+WeightSDS!V$29*$AG60+WeightSDS!W$29-0.010431*(1-$AG60/210),IF($AG60&lt;123,WeightSDS!M$30*$AG60^10+WeightSDS!N$30*$AG60^9+WeightSDS!O$30*$AG60^8+WeightSDS!P$30*$AG60^7+WeightSDS!Q$30*$AG60^6+WeightSDS!R$30*$AG60^5+WeightSDS!S$30*$AG60^4+WeightSDS!T$30*$AG60^3+WeightSDS!U$30*$AG60^2+WeightSDS!V$30*$AG60+WeightSDS!W$30-0.010431*(1-1/$AG60),WeightSDS!M$32+WeightSDS!N$32/(1+EXP(WeightSDS!O$32+WeightSDS!P$32*$AG60))-0.010431*(1-$AG60/210))))</f>
        <v>2.9500001032655536</v>
      </c>
      <c r="AK60" s="24">
        <f>IF(D60="M",IF($AG60&lt;162,WeightSDS!P$12*$AG60^7+WeightSDS!Q$12*$AG60^6+WeightSDS!R$12*$AG60^5+WeightSDS!S$12*$AG60^4+WeightSDS!T$12*$AG60^3+WeightSDS!U$12*$AG60^2+WeightSDS!V$12*$AG60+WeightSDS!W$12,WeightSDS!P$14*$AG60^7+WeightSDS!Q$14*$AG60^6+WeightSDS!R$14*$AG60^5+WeightSDS!S$14*$AG60^4+WeightSDS!T$14*$AG60^3+WeightSDS!U$14*$AG60^2+WeightSDS!V$14*$AG60+WeightSDS!W$14),IF($AG60&lt;156,WeightSDS!O$17*$AG60^8+WeightSDS!P$17*$AG60^7+WeightSDS!Q$17*$AG60^6+WeightSDS!R$17*$AG60^5+WeightSDS!S$17*$AG60^4+WeightSDS!T$17*$AG60^3+WeightSDS!U$17*$AG60^2+WeightSDS!V$17*$AG60+WeightSDS!W$17,IF($AG60&lt;186,WeightSDS!$U$18+(WeightSDS!$V$18-WeightSDS!$U$18)/24*($AG60-186)+WeightSDS!$W$18*(-$AG60+186)^2-0.005,WeightSDS!$U$18+(WeightSDS!$V$18-WeightSDS!$U$18)/24*($AG60-186)-0.005)))</f>
        <v>0.14604529399999999</v>
      </c>
    </row>
    <row r="61" spans="1:37">
      <c r="A61" s="4"/>
      <c r="B61" s="21"/>
      <c r="C61" s="21"/>
      <c r="D61" s="21"/>
      <c r="E61" s="22"/>
      <c r="F61" s="22"/>
      <c r="G61" s="23"/>
      <c r="H61" s="23"/>
      <c r="I61" s="8" t="str">
        <f t="shared" si="0"/>
        <v/>
      </c>
      <c r="J61" s="2" t="str">
        <f t="shared" si="4"/>
        <v/>
      </c>
      <c r="K61" s="2" t="str">
        <f t="shared" si="1"/>
        <v/>
      </c>
      <c r="L61" s="2" t="str">
        <f t="shared" si="5"/>
        <v/>
      </c>
      <c r="M61" s="2" t="str">
        <f t="shared" si="15"/>
        <v/>
      </c>
      <c r="N61" s="2" t="str">
        <f t="shared" si="7"/>
        <v/>
      </c>
      <c r="O61" s="8" t="str">
        <f t="shared" si="8"/>
        <v/>
      </c>
      <c r="P61" s="8" t="str">
        <f t="shared" si="9"/>
        <v/>
      </c>
      <c r="Q61" s="40" t="str">
        <f t="shared" si="10"/>
        <v/>
      </c>
      <c r="R61" s="48" t="str">
        <f t="shared" si="11"/>
        <v/>
      </c>
      <c r="S61" s="8"/>
      <c r="U61" s="35">
        <f t="shared" si="12"/>
        <v>0</v>
      </c>
      <c r="V61" s="24">
        <f t="shared" si="13"/>
        <v>0</v>
      </c>
      <c r="W61" s="41">
        <f t="shared" si="17"/>
        <v>0</v>
      </c>
      <c r="X61" s="31"/>
      <c r="Y61" s="31"/>
      <c r="Z61" s="31"/>
      <c r="AA61" s="25">
        <f t="shared" si="2"/>
        <v>9.0359999999999996</v>
      </c>
      <c r="AB61" s="25">
        <f t="shared" si="3"/>
        <v>-184.49199999999999</v>
      </c>
      <c r="AD61" s="24">
        <f>IF(D61="M",IF(AG61&lt;78,BMILMS!$D$5*AG61^3+BMILMS!$E$5*AG61^2+BMILMS!$F$5*AG61+BMILMS!$G$5,IF(AG61&lt;150,BMILMS!$D$6*AG61^3+BMILMS!$E$6*AG61^2+BMILMS!$F$6*AG61+BMILMS!$G$6,BMILMS!$D$7*AG61^3+BMILMS!$E$7*AG61^2+BMILMS!$F$7*AG61+BMILMS!$G$7)),IF(AG61&lt;69,BMILMS!$D$9*AG61^3+BMILMS!$E$9*AG61^2+BMILMS!$F$9*AG61+BMILMS!$G$9,IF(AG61&lt;150,BMILMS!$D$10*AG61^3+BMILMS!$E$10*AG61^2+BMILMS!$F$10*AG61+BMILMS!$G$10,BMILMS!$D$11*AG61^3+BMILMS!$E$11*AG61^2+BMILMS!$F$11*AG61+BMILMS!$G$11)))</f>
        <v>0.79584630099999998</v>
      </c>
      <c r="AE61" s="24">
        <f>IF(D61="M",(IF(AG61&lt;2.5,BMILMS!$D$21*AG61^3+BMILMS!$E$21*AG61^2+BMILMS!$F$21*AG61+BMILMS!$G$21,IF(AG61&lt;9.5,BMILMS!$D$22*AG61^3+BMILMS!$E$22*AG61^2+BMILMS!$F$22*AG61+BMILMS!$G$22,IF(AG61&lt;26.75,BMILMS!$D$23*AG61^3+BMILMS!$E$23*AG61^2+BMILMS!$F$23*AG61+BMILMS!$G$23,IF(AG61&lt;90,BMILMS!$D$24*AG61^3+BMILMS!$E$24*AG61^2+BMILMS!$F$24*AG61+BMILMS!$G$24,BMILMS!$D$25*AG61^3+BMILMS!$E$25*AG61^2+BMILMS!$F$25*AG61+BMILMS!$G$25))))),(IF(AG61&lt;2.5,BMILMS!$D$27*AG61^3+BMILMS!$E$27*AG61^2+BMILMS!$F$27*AG61+BMILMS!$G$27,IF(AG61&lt;9.5,BMILMS!$D$28*AG61^3+BMILMS!$E$28*AG61^2+BMILMS!$F$28*AG61+BMILMS!$G$28,IF(AG61&lt;26.75,BMILMS!$D$29*AG61^3+BMILMS!$E$29*AG61^2+BMILMS!$F$29*AG61+BMILMS!$G$29,IF(AG61&lt;90,BMILMS!$D$30*AG61^3+BMILMS!$E$30*AG61^2+BMILMS!$F$30*AG61+BMILMS!$G$30,IF(AG61&lt;150,BMILMS!$D$31*AG61^3+BMILMS!$E$31*AG61^2+BMILMS!$F$31*AG61+BMILMS!$G$31,BMILMS!$D$32*AG61^3+BMILMS!$E$32*AG61^2+BMILMS!$F$32*AG61+BMILMS!$G$32)))))))</f>
        <v>12.568967990000001</v>
      </c>
      <c r="AF61" s="24">
        <f>IF(D61="M",(IF(AG61&lt;90,BMILMS!$D$14*AG61^3+BMILMS!$E$14*AG61^2+BMILMS!$F$14*AG61+BMILMS!$G$14,BMILMS!$D$15*AG61^3+BMILMS!$E$15*AG61^2+BMILMS!$F$15*AG61+BMILMS!$G$15)),(IF(AG61&lt;90,BMILMS!$D$17*AG61^3+BMILMS!$E$17*AG61^2+BMILMS!$F$17*AG61+BMILMS!$G$17,BMILMS!$D$18*AG61^3+BMILMS!$E$18*AG61^2+BMILMS!$F$18*AG61+BMILMS!$G$18)))</f>
        <v>8.8969350000000003E-2</v>
      </c>
      <c r="AG61" s="24">
        <f t="shared" si="16"/>
        <v>0</v>
      </c>
      <c r="AI61" s="38">
        <f>IF(D61="M",WeightSDS!P$5*$AG61^7+WeightSDS!Q$5*$AG61^6+WeightSDS!R$5*$AG61^5+WeightSDS!S$5*$AG61^4+WeightSDS!T$5*$AG61^3+WeightSDS!U$5*$AG61^2+WeightSDS!V$5*$AG61+WeightSDS!W$5,IF($AG61&lt;186,WeightSDS!P$8*$AG61^7+WeightSDS!Q$8*$AG61^6+WeightSDS!R$8*$AG61^5+WeightSDS!S$8*$AG61^4+WeightSDS!T$8*$AG61^3+WeightSDS!U$8*$AG61^2+WeightSDS!V$8*$AG61+WeightSDS!W$8,WeightSDS!$U$9-WeightSDS!$V$9*($AG61-WeightSDS!$W$9)))</f>
        <v>0.75407122999999998</v>
      </c>
      <c r="AJ61" s="24">
        <f>IF(D61="M",IF($AG61&lt;45,WeightSDS!M$23*$AG61^10+WeightSDS!N$23*$AG61^9+WeightSDS!O$23*$AG61^8+WeightSDS!P$23*$AG61^7+WeightSDS!Q$23*$AG61^6+WeightSDS!R$23*$AG61^5+WeightSDS!S$23*$AG61^4+WeightSDS!T$23*$AG61^3+WeightSDS!U$23*$AG61^2+WeightSDS!V$23*$AG61+WeightSDS!W$23,IF($AG61&lt;153,WeightSDS!M$25*$AG61^10+WeightSDS!N$25*$AG61^9+WeightSDS!O$25*$AG61^8+WeightSDS!P$25*$AG61^7+WeightSDS!Q$25*$AG61^6+WeightSDS!R$25*$AG61^5+WeightSDS!S$25*$AG61^4+WeightSDS!T$25*$AG61^3+WeightSDS!U$25*$AG61^2+WeightSDS!V$25*$AG61+WeightSDS!W$25,WeightSDS!M$27+WeightSDS!N$27/(1+EXP(WeightSDS!O$27+WeightSDS!P$27*$AG61)))),IF($AG61&lt;43.8,WeightSDS!M$29*$AG61^10+WeightSDS!N$29*$AG61^9+WeightSDS!O$29*$AG61^8+WeightSDS!P$29*$AG61^7+WeightSDS!Q$29*$AG61^6+WeightSDS!R$29*$AG61^5+WeightSDS!S$29*$AG61^4+WeightSDS!T$29*$AG61^3+WeightSDS!U$29*$AG61^2+WeightSDS!V$29*$AG61+WeightSDS!W$29-0.010431*(1-$AG61/210),IF($AG61&lt;123,WeightSDS!M$30*$AG61^10+WeightSDS!N$30*$AG61^9+WeightSDS!O$30*$AG61^8+WeightSDS!P$30*$AG61^7+WeightSDS!Q$30*$AG61^6+WeightSDS!R$30*$AG61^5+WeightSDS!S$30*$AG61^4+WeightSDS!T$30*$AG61^3+WeightSDS!U$30*$AG61^2+WeightSDS!V$30*$AG61+WeightSDS!W$30-0.010431*(1-1/$AG61),WeightSDS!M$32+WeightSDS!N$32/(1+EXP(WeightSDS!O$32+WeightSDS!P$32*$AG61))-0.010431*(1-$AG61/210))))</f>
        <v>2.9500001032655536</v>
      </c>
      <c r="AK61" s="24">
        <f>IF(D61="M",IF($AG61&lt;162,WeightSDS!P$12*$AG61^7+WeightSDS!Q$12*$AG61^6+WeightSDS!R$12*$AG61^5+WeightSDS!S$12*$AG61^4+WeightSDS!T$12*$AG61^3+WeightSDS!U$12*$AG61^2+WeightSDS!V$12*$AG61+WeightSDS!W$12,WeightSDS!P$14*$AG61^7+WeightSDS!Q$14*$AG61^6+WeightSDS!R$14*$AG61^5+WeightSDS!S$14*$AG61^4+WeightSDS!T$14*$AG61^3+WeightSDS!U$14*$AG61^2+WeightSDS!V$14*$AG61+WeightSDS!W$14),IF($AG61&lt;156,WeightSDS!O$17*$AG61^8+WeightSDS!P$17*$AG61^7+WeightSDS!Q$17*$AG61^6+WeightSDS!R$17*$AG61^5+WeightSDS!S$17*$AG61^4+WeightSDS!T$17*$AG61^3+WeightSDS!U$17*$AG61^2+WeightSDS!V$17*$AG61+WeightSDS!W$17,IF($AG61&lt;186,WeightSDS!$U$18+(WeightSDS!$V$18-WeightSDS!$U$18)/24*($AG61-186)+WeightSDS!$W$18*(-$AG61+186)^2-0.005,WeightSDS!$U$18+(WeightSDS!$V$18-WeightSDS!$U$18)/24*($AG61-186)-0.005)))</f>
        <v>0.14604529399999999</v>
      </c>
    </row>
    <row r="62" spans="1:37">
      <c r="A62" s="4"/>
      <c r="B62" s="21"/>
      <c r="C62" s="21"/>
      <c r="D62" s="21"/>
      <c r="E62" s="22"/>
      <c r="F62" s="22"/>
      <c r="G62" s="23"/>
      <c r="H62" s="23"/>
      <c r="I62" s="8" t="str">
        <f t="shared" si="0"/>
        <v/>
      </c>
      <c r="J62" s="2" t="str">
        <f t="shared" si="4"/>
        <v/>
      </c>
      <c r="K62" s="2" t="str">
        <f t="shared" si="1"/>
        <v/>
      </c>
      <c r="L62" s="2" t="str">
        <f t="shared" si="5"/>
        <v/>
      </c>
      <c r="M62" s="2" t="str">
        <f t="shared" si="15"/>
        <v/>
      </c>
      <c r="N62" s="2" t="str">
        <f t="shared" si="7"/>
        <v/>
      </c>
      <c r="O62" s="8" t="str">
        <f t="shared" si="8"/>
        <v/>
      </c>
      <c r="P62" s="8" t="str">
        <f t="shared" si="9"/>
        <v/>
      </c>
      <c r="Q62" s="40" t="str">
        <f t="shared" si="10"/>
        <v/>
      </c>
      <c r="R62" s="48" t="str">
        <f t="shared" si="11"/>
        <v/>
      </c>
      <c r="S62" s="8"/>
      <c r="U62" s="35">
        <f t="shared" si="12"/>
        <v>0</v>
      </c>
      <c r="V62" s="24">
        <f t="shared" si="13"/>
        <v>0</v>
      </c>
      <c r="W62" s="41">
        <f t="shared" si="17"/>
        <v>0</v>
      </c>
      <c r="X62" s="31"/>
      <c r="Y62" s="31"/>
      <c r="Z62" s="31"/>
      <c r="AA62" s="25">
        <f t="shared" si="2"/>
        <v>9.0359999999999996</v>
      </c>
      <c r="AB62" s="25">
        <f t="shared" si="3"/>
        <v>-184.49199999999999</v>
      </c>
      <c r="AD62" s="24">
        <f>IF(D62="M",IF(AG62&lt;78,BMILMS!$D$5*AG62^3+BMILMS!$E$5*AG62^2+BMILMS!$F$5*AG62+BMILMS!$G$5,IF(AG62&lt;150,BMILMS!$D$6*AG62^3+BMILMS!$E$6*AG62^2+BMILMS!$F$6*AG62+BMILMS!$G$6,BMILMS!$D$7*AG62^3+BMILMS!$E$7*AG62^2+BMILMS!$F$7*AG62+BMILMS!$G$7)),IF(AG62&lt;69,BMILMS!$D$9*AG62^3+BMILMS!$E$9*AG62^2+BMILMS!$F$9*AG62+BMILMS!$G$9,IF(AG62&lt;150,BMILMS!$D$10*AG62^3+BMILMS!$E$10*AG62^2+BMILMS!$F$10*AG62+BMILMS!$G$10,BMILMS!$D$11*AG62^3+BMILMS!$E$11*AG62^2+BMILMS!$F$11*AG62+BMILMS!$G$11)))</f>
        <v>0.79584630099999998</v>
      </c>
      <c r="AE62" s="24">
        <f>IF(D62="M",(IF(AG62&lt;2.5,BMILMS!$D$21*AG62^3+BMILMS!$E$21*AG62^2+BMILMS!$F$21*AG62+BMILMS!$G$21,IF(AG62&lt;9.5,BMILMS!$D$22*AG62^3+BMILMS!$E$22*AG62^2+BMILMS!$F$22*AG62+BMILMS!$G$22,IF(AG62&lt;26.75,BMILMS!$D$23*AG62^3+BMILMS!$E$23*AG62^2+BMILMS!$F$23*AG62+BMILMS!$G$23,IF(AG62&lt;90,BMILMS!$D$24*AG62^3+BMILMS!$E$24*AG62^2+BMILMS!$F$24*AG62+BMILMS!$G$24,BMILMS!$D$25*AG62^3+BMILMS!$E$25*AG62^2+BMILMS!$F$25*AG62+BMILMS!$G$25))))),(IF(AG62&lt;2.5,BMILMS!$D$27*AG62^3+BMILMS!$E$27*AG62^2+BMILMS!$F$27*AG62+BMILMS!$G$27,IF(AG62&lt;9.5,BMILMS!$D$28*AG62^3+BMILMS!$E$28*AG62^2+BMILMS!$F$28*AG62+BMILMS!$G$28,IF(AG62&lt;26.75,BMILMS!$D$29*AG62^3+BMILMS!$E$29*AG62^2+BMILMS!$F$29*AG62+BMILMS!$G$29,IF(AG62&lt;90,BMILMS!$D$30*AG62^3+BMILMS!$E$30*AG62^2+BMILMS!$F$30*AG62+BMILMS!$G$30,IF(AG62&lt;150,BMILMS!$D$31*AG62^3+BMILMS!$E$31*AG62^2+BMILMS!$F$31*AG62+BMILMS!$G$31,BMILMS!$D$32*AG62^3+BMILMS!$E$32*AG62^2+BMILMS!$F$32*AG62+BMILMS!$G$32)))))))</f>
        <v>12.568967990000001</v>
      </c>
      <c r="AF62" s="24">
        <f>IF(D62="M",(IF(AG62&lt;90,BMILMS!$D$14*AG62^3+BMILMS!$E$14*AG62^2+BMILMS!$F$14*AG62+BMILMS!$G$14,BMILMS!$D$15*AG62^3+BMILMS!$E$15*AG62^2+BMILMS!$F$15*AG62+BMILMS!$G$15)),(IF(AG62&lt;90,BMILMS!$D$17*AG62^3+BMILMS!$E$17*AG62^2+BMILMS!$F$17*AG62+BMILMS!$G$17,BMILMS!$D$18*AG62^3+BMILMS!$E$18*AG62^2+BMILMS!$F$18*AG62+BMILMS!$G$18)))</f>
        <v>8.8969350000000003E-2</v>
      </c>
      <c r="AG62" s="24">
        <f t="shared" si="16"/>
        <v>0</v>
      </c>
      <c r="AI62" s="38">
        <f>IF(D62="M",WeightSDS!P$5*$AG62^7+WeightSDS!Q$5*$AG62^6+WeightSDS!R$5*$AG62^5+WeightSDS!S$5*$AG62^4+WeightSDS!T$5*$AG62^3+WeightSDS!U$5*$AG62^2+WeightSDS!V$5*$AG62+WeightSDS!W$5,IF($AG62&lt;186,WeightSDS!P$8*$AG62^7+WeightSDS!Q$8*$AG62^6+WeightSDS!R$8*$AG62^5+WeightSDS!S$8*$AG62^4+WeightSDS!T$8*$AG62^3+WeightSDS!U$8*$AG62^2+WeightSDS!V$8*$AG62+WeightSDS!W$8,WeightSDS!$U$9-WeightSDS!$V$9*($AG62-WeightSDS!$W$9)))</f>
        <v>0.75407122999999998</v>
      </c>
      <c r="AJ62" s="24">
        <f>IF(D62="M",IF($AG62&lt;45,WeightSDS!M$23*$AG62^10+WeightSDS!N$23*$AG62^9+WeightSDS!O$23*$AG62^8+WeightSDS!P$23*$AG62^7+WeightSDS!Q$23*$AG62^6+WeightSDS!R$23*$AG62^5+WeightSDS!S$23*$AG62^4+WeightSDS!T$23*$AG62^3+WeightSDS!U$23*$AG62^2+WeightSDS!V$23*$AG62+WeightSDS!W$23,IF($AG62&lt;153,WeightSDS!M$25*$AG62^10+WeightSDS!N$25*$AG62^9+WeightSDS!O$25*$AG62^8+WeightSDS!P$25*$AG62^7+WeightSDS!Q$25*$AG62^6+WeightSDS!R$25*$AG62^5+WeightSDS!S$25*$AG62^4+WeightSDS!T$25*$AG62^3+WeightSDS!U$25*$AG62^2+WeightSDS!V$25*$AG62+WeightSDS!W$25,WeightSDS!M$27+WeightSDS!N$27/(1+EXP(WeightSDS!O$27+WeightSDS!P$27*$AG62)))),IF($AG62&lt;43.8,WeightSDS!M$29*$AG62^10+WeightSDS!N$29*$AG62^9+WeightSDS!O$29*$AG62^8+WeightSDS!P$29*$AG62^7+WeightSDS!Q$29*$AG62^6+WeightSDS!R$29*$AG62^5+WeightSDS!S$29*$AG62^4+WeightSDS!T$29*$AG62^3+WeightSDS!U$29*$AG62^2+WeightSDS!V$29*$AG62+WeightSDS!W$29-0.010431*(1-$AG62/210),IF($AG62&lt;123,WeightSDS!M$30*$AG62^10+WeightSDS!N$30*$AG62^9+WeightSDS!O$30*$AG62^8+WeightSDS!P$30*$AG62^7+WeightSDS!Q$30*$AG62^6+WeightSDS!R$30*$AG62^5+WeightSDS!S$30*$AG62^4+WeightSDS!T$30*$AG62^3+WeightSDS!U$30*$AG62^2+WeightSDS!V$30*$AG62+WeightSDS!W$30-0.010431*(1-1/$AG62),WeightSDS!M$32+WeightSDS!N$32/(1+EXP(WeightSDS!O$32+WeightSDS!P$32*$AG62))-0.010431*(1-$AG62/210))))</f>
        <v>2.9500001032655536</v>
      </c>
      <c r="AK62" s="24">
        <f>IF(D62="M",IF($AG62&lt;162,WeightSDS!P$12*$AG62^7+WeightSDS!Q$12*$AG62^6+WeightSDS!R$12*$AG62^5+WeightSDS!S$12*$AG62^4+WeightSDS!T$12*$AG62^3+WeightSDS!U$12*$AG62^2+WeightSDS!V$12*$AG62+WeightSDS!W$12,WeightSDS!P$14*$AG62^7+WeightSDS!Q$14*$AG62^6+WeightSDS!R$14*$AG62^5+WeightSDS!S$14*$AG62^4+WeightSDS!T$14*$AG62^3+WeightSDS!U$14*$AG62^2+WeightSDS!V$14*$AG62+WeightSDS!W$14),IF($AG62&lt;156,WeightSDS!O$17*$AG62^8+WeightSDS!P$17*$AG62^7+WeightSDS!Q$17*$AG62^6+WeightSDS!R$17*$AG62^5+WeightSDS!S$17*$AG62^4+WeightSDS!T$17*$AG62^3+WeightSDS!U$17*$AG62^2+WeightSDS!V$17*$AG62+WeightSDS!W$17,IF($AG62&lt;186,WeightSDS!$U$18+(WeightSDS!$V$18-WeightSDS!$U$18)/24*($AG62-186)+WeightSDS!$W$18*(-$AG62+186)^2-0.005,WeightSDS!$U$18+(WeightSDS!$V$18-WeightSDS!$U$18)/24*($AG62-186)-0.005)))</f>
        <v>0.14604529399999999</v>
      </c>
    </row>
    <row r="63" spans="1:37">
      <c r="A63" s="4"/>
      <c r="B63" s="21"/>
      <c r="C63" s="21"/>
      <c r="D63" s="21"/>
      <c r="E63" s="22"/>
      <c r="F63" s="22"/>
      <c r="G63" s="23"/>
      <c r="H63" s="23"/>
      <c r="I63" s="8" t="str">
        <f t="shared" si="0"/>
        <v/>
      </c>
      <c r="J63" s="2" t="str">
        <f t="shared" si="4"/>
        <v/>
      </c>
      <c r="K63" s="2" t="str">
        <f t="shared" si="1"/>
        <v/>
      </c>
      <c r="L63" s="2" t="str">
        <f t="shared" si="5"/>
        <v/>
      </c>
      <c r="M63" s="2" t="str">
        <f t="shared" si="15"/>
        <v/>
      </c>
      <c r="N63" s="2" t="str">
        <f t="shared" si="7"/>
        <v/>
      </c>
      <c r="O63" s="8" t="str">
        <f t="shared" si="8"/>
        <v/>
      </c>
      <c r="P63" s="8" t="str">
        <f t="shared" si="9"/>
        <v/>
      </c>
      <c r="Q63" s="40" t="str">
        <f t="shared" si="10"/>
        <v/>
      </c>
      <c r="R63" s="48" t="str">
        <f t="shared" si="11"/>
        <v/>
      </c>
      <c r="S63" s="8"/>
      <c r="U63" s="35">
        <f t="shared" si="12"/>
        <v>0</v>
      </c>
      <c r="V63" s="24">
        <f t="shared" si="13"/>
        <v>0</v>
      </c>
      <c r="W63" s="41">
        <f t="shared" si="17"/>
        <v>0</v>
      </c>
      <c r="X63" s="31"/>
      <c r="Y63" s="31"/>
      <c r="Z63" s="31"/>
      <c r="AA63" s="25">
        <f t="shared" si="2"/>
        <v>9.0359999999999996</v>
      </c>
      <c r="AB63" s="25">
        <f t="shared" si="3"/>
        <v>-184.49199999999999</v>
      </c>
      <c r="AD63" s="24">
        <f>IF(D63="M",IF(AG63&lt;78,BMILMS!$D$5*AG63^3+BMILMS!$E$5*AG63^2+BMILMS!$F$5*AG63+BMILMS!$G$5,IF(AG63&lt;150,BMILMS!$D$6*AG63^3+BMILMS!$E$6*AG63^2+BMILMS!$F$6*AG63+BMILMS!$G$6,BMILMS!$D$7*AG63^3+BMILMS!$E$7*AG63^2+BMILMS!$F$7*AG63+BMILMS!$G$7)),IF(AG63&lt;69,BMILMS!$D$9*AG63^3+BMILMS!$E$9*AG63^2+BMILMS!$F$9*AG63+BMILMS!$G$9,IF(AG63&lt;150,BMILMS!$D$10*AG63^3+BMILMS!$E$10*AG63^2+BMILMS!$F$10*AG63+BMILMS!$G$10,BMILMS!$D$11*AG63^3+BMILMS!$E$11*AG63^2+BMILMS!$F$11*AG63+BMILMS!$G$11)))</f>
        <v>0.79584630099999998</v>
      </c>
      <c r="AE63" s="24">
        <f>IF(D63="M",(IF(AG63&lt;2.5,BMILMS!$D$21*AG63^3+BMILMS!$E$21*AG63^2+BMILMS!$F$21*AG63+BMILMS!$G$21,IF(AG63&lt;9.5,BMILMS!$D$22*AG63^3+BMILMS!$E$22*AG63^2+BMILMS!$F$22*AG63+BMILMS!$G$22,IF(AG63&lt;26.75,BMILMS!$D$23*AG63^3+BMILMS!$E$23*AG63^2+BMILMS!$F$23*AG63+BMILMS!$G$23,IF(AG63&lt;90,BMILMS!$D$24*AG63^3+BMILMS!$E$24*AG63^2+BMILMS!$F$24*AG63+BMILMS!$G$24,BMILMS!$D$25*AG63^3+BMILMS!$E$25*AG63^2+BMILMS!$F$25*AG63+BMILMS!$G$25))))),(IF(AG63&lt;2.5,BMILMS!$D$27*AG63^3+BMILMS!$E$27*AG63^2+BMILMS!$F$27*AG63+BMILMS!$G$27,IF(AG63&lt;9.5,BMILMS!$D$28*AG63^3+BMILMS!$E$28*AG63^2+BMILMS!$F$28*AG63+BMILMS!$G$28,IF(AG63&lt;26.75,BMILMS!$D$29*AG63^3+BMILMS!$E$29*AG63^2+BMILMS!$F$29*AG63+BMILMS!$G$29,IF(AG63&lt;90,BMILMS!$D$30*AG63^3+BMILMS!$E$30*AG63^2+BMILMS!$F$30*AG63+BMILMS!$G$30,IF(AG63&lt;150,BMILMS!$D$31*AG63^3+BMILMS!$E$31*AG63^2+BMILMS!$F$31*AG63+BMILMS!$G$31,BMILMS!$D$32*AG63^3+BMILMS!$E$32*AG63^2+BMILMS!$F$32*AG63+BMILMS!$G$32)))))))</f>
        <v>12.568967990000001</v>
      </c>
      <c r="AF63" s="24">
        <f>IF(D63="M",(IF(AG63&lt;90,BMILMS!$D$14*AG63^3+BMILMS!$E$14*AG63^2+BMILMS!$F$14*AG63+BMILMS!$G$14,BMILMS!$D$15*AG63^3+BMILMS!$E$15*AG63^2+BMILMS!$F$15*AG63+BMILMS!$G$15)),(IF(AG63&lt;90,BMILMS!$D$17*AG63^3+BMILMS!$E$17*AG63^2+BMILMS!$F$17*AG63+BMILMS!$G$17,BMILMS!$D$18*AG63^3+BMILMS!$E$18*AG63^2+BMILMS!$F$18*AG63+BMILMS!$G$18)))</f>
        <v>8.8969350000000003E-2</v>
      </c>
      <c r="AG63" s="24">
        <f t="shared" si="16"/>
        <v>0</v>
      </c>
      <c r="AI63" s="38">
        <f>IF(D63="M",WeightSDS!P$5*$AG63^7+WeightSDS!Q$5*$AG63^6+WeightSDS!R$5*$AG63^5+WeightSDS!S$5*$AG63^4+WeightSDS!T$5*$AG63^3+WeightSDS!U$5*$AG63^2+WeightSDS!V$5*$AG63+WeightSDS!W$5,IF($AG63&lt;186,WeightSDS!P$8*$AG63^7+WeightSDS!Q$8*$AG63^6+WeightSDS!R$8*$AG63^5+WeightSDS!S$8*$AG63^4+WeightSDS!T$8*$AG63^3+WeightSDS!U$8*$AG63^2+WeightSDS!V$8*$AG63+WeightSDS!W$8,WeightSDS!$U$9-WeightSDS!$V$9*($AG63-WeightSDS!$W$9)))</f>
        <v>0.75407122999999998</v>
      </c>
      <c r="AJ63" s="24">
        <f>IF(D63="M",IF($AG63&lt;45,WeightSDS!M$23*$AG63^10+WeightSDS!N$23*$AG63^9+WeightSDS!O$23*$AG63^8+WeightSDS!P$23*$AG63^7+WeightSDS!Q$23*$AG63^6+WeightSDS!R$23*$AG63^5+WeightSDS!S$23*$AG63^4+WeightSDS!T$23*$AG63^3+WeightSDS!U$23*$AG63^2+WeightSDS!V$23*$AG63+WeightSDS!W$23,IF($AG63&lt;153,WeightSDS!M$25*$AG63^10+WeightSDS!N$25*$AG63^9+WeightSDS!O$25*$AG63^8+WeightSDS!P$25*$AG63^7+WeightSDS!Q$25*$AG63^6+WeightSDS!R$25*$AG63^5+WeightSDS!S$25*$AG63^4+WeightSDS!T$25*$AG63^3+WeightSDS!U$25*$AG63^2+WeightSDS!V$25*$AG63+WeightSDS!W$25,WeightSDS!M$27+WeightSDS!N$27/(1+EXP(WeightSDS!O$27+WeightSDS!P$27*$AG63)))),IF($AG63&lt;43.8,WeightSDS!M$29*$AG63^10+WeightSDS!N$29*$AG63^9+WeightSDS!O$29*$AG63^8+WeightSDS!P$29*$AG63^7+WeightSDS!Q$29*$AG63^6+WeightSDS!R$29*$AG63^5+WeightSDS!S$29*$AG63^4+WeightSDS!T$29*$AG63^3+WeightSDS!U$29*$AG63^2+WeightSDS!V$29*$AG63+WeightSDS!W$29-0.010431*(1-$AG63/210),IF($AG63&lt;123,WeightSDS!M$30*$AG63^10+WeightSDS!N$30*$AG63^9+WeightSDS!O$30*$AG63^8+WeightSDS!P$30*$AG63^7+WeightSDS!Q$30*$AG63^6+WeightSDS!R$30*$AG63^5+WeightSDS!S$30*$AG63^4+WeightSDS!T$30*$AG63^3+WeightSDS!U$30*$AG63^2+WeightSDS!V$30*$AG63+WeightSDS!W$30-0.010431*(1-1/$AG63),WeightSDS!M$32+WeightSDS!N$32/(1+EXP(WeightSDS!O$32+WeightSDS!P$32*$AG63))-0.010431*(1-$AG63/210))))</f>
        <v>2.9500001032655536</v>
      </c>
      <c r="AK63" s="24">
        <f>IF(D63="M",IF($AG63&lt;162,WeightSDS!P$12*$AG63^7+WeightSDS!Q$12*$AG63^6+WeightSDS!R$12*$AG63^5+WeightSDS!S$12*$AG63^4+WeightSDS!T$12*$AG63^3+WeightSDS!U$12*$AG63^2+WeightSDS!V$12*$AG63+WeightSDS!W$12,WeightSDS!P$14*$AG63^7+WeightSDS!Q$14*$AG63^6+WeightSDS!R$14*$AG63^5+WeightSDS!S$14*$AG63^4+WeightSDS!T$14*$AG63^3+WeightSDS!U$14*$AG63^2+WeightSDS!V$14*$AG63+WeightSDS!W$14),IF($AG63&lt;156,WeightSDS!O$17*$AG63^8+WeightSDS!P$17*$AG63^7+WeightSDS!Q$17*$AG63^6+WeightSDS!R$17*$AG63^5+WeightSDS!S$17*$AG63^4+WeightSDS!T$17*$AG63^3+WeightSDS!U$17*$AG63^2+WeightSDS!V$17*$AG63+WeightSDS!W$17,IF($AG63&lt;186,WeightSDS!$U$18+(WeightSDS!$V$18-WeightSDS!$U$18)/24*($AG63-186)+WeightSDS!$W$18*(-$AG63+186)^2-0.005,WeightSDS!$U$18+(WeightSDS!$V$18-WeightSDS!$U$18)/24*($AG63-186)-0.005)))</f>
        <v>0.14604529399999999</v>
      </c>
    </row>
    <row r="64" spans="1:37">
      <c r="A64" s="4"/>
      <c r="B64" s="21"/>
      <c r="C64" s="21"/>
      <c r="D64" s="21"/>
      <c r="E64" s="22"/>
      <c r="F64" s="22"/>
      <c r="G64" s="23"/>
      <c r="H64" s="23"/>
      <c r="I64" s="8" t="str">
        <f t="shared" si="0"/>
        <v/>
      </c>
      <c r="J64" s="2" t="str">
        <f t="shared" si="4"/>
        <v/>
      </c>
      <c r="K64" s="2" t="str">
        <f t="shared" si="1"/>
        <v/>
      </c>
      <c r="L64" s="2" t="str">
        <f t="shared" si="5"/>
        <v/>
      </c>
      <c r="M64" s="2" t="str">
        <f t="shared" si="15"/>
        <v/>
      </c>
      <c r="N64" s="2" t="str">
        <f t="shared" si="7"/>
        <v/>
      </c>
      <c r="O64" s="8" t="str">
        <f t="shared" si="8"/>
        <v/>
      </c>
      <c r="P64" s="8" t="str">
        <f t="shared" si="9"/>
        <v/>
      </c>
      <c r="Q64" s="40" t="str">
        <f t="shared" si="10"/>
        <v/>
      </c>
      <c r="R64" s="48" t="str">
        <f t="shared" si="11"/>
        <v/>
      </c>
      <c r="S64" s="8"/>
      <c r="U64" s="35">
        <f t="shared" si="12"/>
        <v>0</v>
      </c>
      <c r="V64" s="24">
        <f t="shared" si="13"/>
        <v>0</v>
      </c>
      <c r="W64" s="41">
        <f t="shared" si="17"/>
        <v>0</v>
      </c>
      <c r="X64" s="31"/>
      <c r="Y64" s="31"/>
      <c r="Z64" s="31"/>
      <c r="AA64" s="25">
        <f t="shared" si="2"/>
        <v>9.0359999999999996</v>
      </c>
      <c r="AB64" s="25">
        <f t="shared" si="3"/>
        <v>-184.49199999999999</v>
      </c>
      <c r="AD64" s="24">
        <f>IF(D64="M",IF(AG64&lt;78,BMILMS!$D$5*AG64^3+BMILMS!$E$5*AG64^2+BMILMS!$F$5*AG64+BMILMS!$G$5,IF(AG64&lt;150,BMILMS!$D$6*AG64^3+BMILMS!$E$6*AG64^2+BMILMS!$F$6*AG64+BMILMS!$G$6,BMILMS!$D$7*AG64^3+BMILMS!$E$7*AG64^2+BMILMS!$F$7*AG64+BMILMS!$G$7)),IF(AG64&lt;69,BMILMS!$D$9*AG64^3+BMILMS!$E$9*AG64^2+BMILMS!$F$9*AG64+BMILMS!$G$9,IF(AG64&lt;150,BMILMS!$D$10*AG64^3+BMILMS!$E$10*AG64^2+BMILMS!$F$10*AG64+BMILMS!$G$10,BMILMS!$D$11*AG64^3+BMILMS!$E$11*AG64^2+BMILMS!$F$11*AG64+BMILMS!$G$11)))</f>
        <v>0.79584630099999998</v>
      </c>
      <c r="AE64" s="24">
        <f>IF(D64="M",(IF(AG64&lt;2.5,BMILMS!$D$21*AG64^3+BMILMS!$E$21*AG64^2+BMILMS!$F$21*AG64+BMILMS!$G$21,IF(AG64&lt;9.5,BMILMS!$D$22*AG64^3+BMILMS!$E$22*AG64^2+BMILMS!$F$22*AG64+BMILMS!$G$22,IF(AG64&lt;26.75,BMILMS!$D$23*AG64^3+BMILMS!$E$23*AG64^2+BMILMS!$F$23*AG64+BMILMS!$G$23,IF(AG64&lt;90,BMILMS!$D$24*AG64^3+BMILMS!$E$24*AG64^2+BMILMS!$F$24*AG64+BMILMS!$G$24,BMILMS!$D$25*AG64^3+BMILMS!$E$25*AG64^2+BMILMS!$F$25*AG64+BMILMS!$G$25))))),(IF(AG64&lt;2.5,BMILMS!$D$27*AG64^3+BMILMS!$E$27*AG64^2+BMILMS!$F$27*AG64+BMILMS!$G$27,IF(AG64&lt;9.5,BMILMS!$D$28*AG64^3+BMILMS!$E$28*AG64^2+BMILMS!$F$28*AG64+BMILMS!$G$28,IF(AG64&lt;26.75,BMILMS!$D$29*AG64^3+BMILMS!$E$29*AG64^2+BMILMS!$F$29*AG64+BMILMS!$G$29,IF(AG64&lt;90,BMILMS!$D$30*AG64^3+BMILMS!$E$30*AG64^2+BMILMS!$F$30*AG64+BMILMS!$G$30,IF(AG64&lt;150,BMILMS!$D$31*AG64^3+BMILMS!$E$31*AG64^2+BMILMS!$F$31*AG64+BMILMS!$G$31,BMILMS!$D$32*AG64^3+BMILMS!$E$32*AG64^2+BMILMS!$F$32*AG64+BMILMS!$G$32)))))))</f>
        <v>12.568967990000001</v>
      </c>
      <c r="AF64" s="24">
        <f>IF(D64="M",(IF(AG64&lt;90,BMILMS!$D$14*AG64^3+BMILMS!$E$14*AG64^2+BMILMS!$F$14*AG64+BMILMS!$G$14,BMILMS!$D$15*AG64^3+BMILMS!$E$15*AG64^2+BMILMS!$F$15*AG64+BMILMS!$G$15)),(IF(AG64&lt;90,BMILMS!$D$17*AG64^3+BMILMS!$E$17*AG64^2+BMILMS!$F$17*AG64+BMILMS!$G$17,BMILMS!$D$18*AG64^3+BMILMS!$E$18*AG64^2+BMILMS!$F$18*AG64+BMILMS!$G$18)))</f>
        <v>8.8969350000000003E-2</v>
      </c>
      <c r="AG64" s="24">
        <f t="shared" si="16"/>
        <v>0</v>
      </c>
      <c r="AI64" s="38">
        <f>IF(D64="M",WeightSDS!P$5*$AG64^7+WeightSDS!Q$5*$AG64^6+WeightSDS!R$5*$AG64^5+WeightSDS!S$5*$AG64^4+WeightSDS!T$5*$AG64^3+WeightSDS!U$5*$AG64^2+WeightSDS!V$5*$AG64+WeightSDS!W$5,IF($AG64&lt;186,WeightSDS!P$8*$AG64^7+WeightSDS!Q$8*$AG64^6+WeightSDS!R$8*$AG64^5+WeightSDS!S$8*$AG64^4+WeightSDS!T$8*$AG64^3+WeightSDS!U$8*$AG64^2+WeightSDS!V$8*$AG64+WeightSDS!W$8,WeightSDS!$U$9-WeightSDS!$V$9*($AG64-WeightSDS!$W$9)))</f>
        <v>0.75407122999999998</v>
      </c>
      <c r="AJ64" s="24">
        <f>IF(D64="M",IF($AG64&lt;45,WeightSDS!M$23*$AG64^10+WeightSDS!N$23*$AG64^9+WeightSDS!O$23*$AG64^8+WeightSDS!P$23*$AG64^7+WeightSDS!Q$23*$AG64^6+WeightSDS!R$23*$AG64^5+WeightSDS!S$23*$AG64^4+WeightSDS!T$23*$AG64^3+WeightSDS!U$23*$AG64^2+WeightSDS!V$23*$AG64+WeightSDS!W$23,IF($AG64&lt;153,WeightSDS!M$25*$AG64^10+WeightSDS!N$25*$AG64^9+WeightSDS!O$25*$AG64^8+WeightSDS!P$25*$AG64^7+WeightSDS!Q$25*$AG64^6+WeightSDS!R$25*$AG64^5+WeightSDS!S$25*$AG64^4+WeightSDS!T$25*$AG64^3+WeightSDS!U$25*$AG64^2+WeightSDS!V$25*$AG64+WeightSDS!W$25,WeightSDS!M$27+WeightSDS!N$27/(1+EXP(WeightSDS!O$27+WeightSDS!P$27*$AG64)))),IF($AG64&lt;43.8,WeightSDS!M$29*$AG64^10+WeightSDS!N$29*$AG64^9+WeightSDS!O$29*$AG64^8+WeightSDS!P$29*$AG64^7+WeightSDS!Q$29*$AG64^6+WeightSDS!R$29*$AG64^5+WeightSDS!S$29*$AG64^4+WeightSDS!T$29*$AG64^3+WeightSDS!U$29*$AG64^2+WeightSDS!V$29*$AG64+WeightSDS!W$29-0.010431*(1-$AG64/210),IF($AG64&lt;123,WeightSDS!M$30*$AG64^10+WeightSDS!N$30*$AG64^9+WeightSDS!O$30*$AG64^8+WeightSDS!P$30*$AG64^7+WeightSDS!Q$30*$AG64^6+WeightSDS!R$30*$AG64^5+WeightSDS!S$30*$AG64^4+WeightSDS!T$30*$AG64^3+WeightSDS!U$30*$AG64^2+WeightSDS!V$30*$AG64+WeightSDS!W$30-0.010431*(1-1/$AG64),WeightSDS!M$32+WeightSDS!N$32/(1+EXP(WeightSDS!O$32+WeightSDS!P$32*$AG64))-0.010431*(1-$AG64/210))))</f>
        <v>2.9500001032655536</v>
      </c>
      <c r="AK64" s="24">
        <f>IF(D64="M",IF($AG64&lt;162,WeightSDS!P$12*$AG64^7+WeightSDS!Q$12*$AG64^6+WeightSDS!R$12*$AG64^5+WeightSDS!S$12*$AG64^4+WeightSDS!T$12*$AG64^3+WeightSDS!U$12*$AG64^2+WeightSDS!V$12*$AG64+WeightSDS!W$12,WeightSDS!P$14*$AG64^7+WeightSDS!Q$14*$AG64^6+WeightSDS!R$14*$AG64^5+WeightSDS!S$14*$AG64^4+WeightSDS!T$14*$AG64^3+WeightSDS!U$14*$AG64^2+WeightSDS!V$14*$AG64+WeightSDS!W$14),IF($AG64&lt;156,WeightSDS!O$17*$AG64^8+WeightSDS!P$17*$AG64^7+WeightSDS!Q$17*$AG64^6+WeightSDS!R$17*$AG64^5+WeightSDS!S$17*$AG64^4+WeightSDS!T$17*$AG64^3+WeightSDS!U$17*$AG64^2+WeightSDS!V$17*$AG64+WeightSDS!W$17,IF($AG64&lt;186,WeightSDS!$U$18+(WeightSDS!$V$18-WeightSDS!$U$18)/24*($AG64-186)+WeightSDS!$W$18*(-$AG64+186)^2-0.005,WeightSDS!$U$18+(WeightSDS!$V$18-WeightSDS!$U$18)/24*($AG64-186)-0.005)))</f>
        <v>0.14604529399999999</v>
      </c>
    </row>
    <row r="65" spans="1:37">
      <c r="A65" s="4"/>
      <c r="B65" s="21"/>
      <c r="C65" s="21"/>
      <c r="D65" s="21"/>
      <c r="E65" s="22"/>
      <c r="F65" s="22"/>
      <c r="G65" s="23"/>
      <c r="H65" s="23"/>
      <c r="I65" s="8" t="str">
        <f t="shared" si="0"/>
        <v/>
      </c>
      <c r="J65" s="2" t="str">
        <f t="shared" si="4"/>
        <v/>
      </c>
      <c r="K65" s="2" t="str">
        <f t="shared" si="1"/>
        <v/>
      </c>
      <c r="L65" s="2" t="str">
        <f t="shared" si="5"/>
        <v/>
      </c>
      <c r="M65" s="2" t="str">
        <f t="shared" si="15"/>
        <v/>
      </c>
      <c r="N65" s="2" t="str">
        <f t="shared" si="7"/>
        <v/>
      </c>
      <c r="O65" s="8" t="str">
        <f t="shared" si="8"/>
        <v/>
      </c>
      <c r="P65" s="8" t="str">
        <f t="shared" si="9"/>
        <v/>
      </c>
      <c r="Q65" s="40" t="str">
        <f t="shared" si="10"/>
        <v/>
      </c>
      <c r="R65" s="48" t="str">
        <f t="shared" si="11"/>
        <v/>
      </c>
      <c r="S65" s="8"/>
      <c r="U65" s="35">
        <f t="shared" si="12"/>
        <v>0</v>
      </c>
      <c r="V65" s="24">
        <f t="shared" si="13"/>
        <v>0</v>
      </c>
      <c r="W65" s="41">
        <f t="shared" si="17"/>
        <v>0</v>
      </c>
      <c r="X65" s="31"/>
      <c r="Y65" s="31"/>
      <c r="Z65" s="31"/>
      <c r="AA65" s="25">
        <f t="shared" si="2"/>
        <v>9.0359999999999996</v>
      </c>
      <c r="AB65" s="25">
        <f t="shared" si="3"/>
        <v>-184.49199999999999</v>
      </c>
      <c r="AD65" s="24">
        <f>IF(D65="M",IF(AG65&lt;78,BMILMS!$D$5*AG65^3+BMILMS!$E$5*AG65^2+BMILMS!$F$5*AG65+BMILMS!$G$5,IF(AG65&lt;150,BMILMS!$D$6*AG65^3+BMILMS!$E$6*AG65^2+BMILMS!$F$6*AG65+BMILMS!$G$6,BMILMS!$D$7*AG65^3+BMILMS!$E$7*AG65^2+BMILMS!$F$7*AG65+BMILMS!$G$7)),IF(AG65&lt;69,BMILMS!$D$9*AG65^3+BMILMS!$E$9*AG65^2+BMILMS!$F$9*AG65+BMILMS!$G$9,IF(AG65&lt;150,BMILMS!$D$10*AG65^3+BMILMS!$E$10*AG65^2+BMILMS!$F$10*AG65+BMILMS!$G$10,BMILMS!$D$11*AG65^3+BMILMS!$E$11*AG65^2+BMILMS!$F$11*AG65+BMILMS!$G$11)))</f>
        <v>0.79584630099999998</v>
      </c>
      <c r="AE65" s="24">
        <f>IF(D65="M",(IF(AG65&lt;2.5,BMILMS!$D$21*AG65^3+BMILMS!$E$21*AG65^2+BMILMS!$F$21*AG65+BMILMS!$G$21,IF(AG65&lt;9.5,BMILMS!$D$22*AG65^3+BMILMS!$E$22*AG65^2+BMILMS!$F$22*AG65+BMILMS!$G$22,IF(AG65&lt;26.75,BMILMS!$D$23*AG65^3+BMILMS!$E$23*AG65^2+BMILMS!$F$23*AG65+BMILMS!$G$23,IF(AG65&lt;90,BMILMS!$D$24*AG65^3+BMILMS!$E$24*AG65^2+BMILMS!$F$24*AG65+BMILMS!$G$24,BMILMS!$D$25*AG65^3+BMILMS!$E$25*AG65^2+BMILMS!$F$25*AG65+BMILMS!$G$25))))),(IF(AG65&lt;2.5,BMILMS!$D$27*AG65^3+BMILMS!$E$27*AG65^2+BMILMS!$F$27*AG65+BMILMS!$G$27,IF(AG65&lt;9.5,BMILMS!$D$28*AG65^3+BMILMS!$E$28*AG65^2+BMILMS!$F$28*AG65+BMILMS!$G$28,IF(AG65&lt;26.75,BMILMS!$D$29*AG65^3+BMILMS!$E$29*AG65^2+BMILMS!$F$29*AG65+BMILMS!$G$29,IF(AG65&lt;90,BMILMS!$D$30*AG65^3+BMILMS!$E$30*AG65^2+BMILMS!$F$30*AG65+BMILMS!$G$30,IF(AG65&lt;150,BMILMS!$D$31*AG65^3+BMILMS!$E$31*AG65^2+BMILMS!$F$31*AG65+BMILMS!$G$31,BMILMS!$D$32*AG65^3+BMILMS!$E$32*AG65^2+BMILMS!$F$32*AG65+BMILMS!$G$32)))))))</f>
        <v>12.568967990000001</v>
      </c>
      <c r="AF65" s="24">
        <f>IF(D65="M",(IF(AG65&lt;90,BMILMS!$D$14*AG65^3+BMILMS!$E$14*AG65^2+BMILMS!$F$14*AG65+BMILMS!$G$14,BMILMS!$D$15*AG65^3+BMILMS!$E$15*AG65^2+BMILMS!$F$15*AG65+BMILMS!$G$15)),(IF(AG65&lt;90,BMILMS!$D$17*AG65^3+BMILMS!$E$17*AG65^2+BMILMS!$F$17*AG65+BMILMS!$G$17,BMILMS!$D$18*AG65^3+BMILMS!$E$18*AG65^2+BMILMS!$F$18*AG65+BMILMS!$G$18)))</f>
        <v>8.8969350000000003E-2</v>
      </c>
      <c r="AG65" s="24">
        <f t="shared" si="16"/>
        <v>0</v>
      </c>
      <c r="AI65" s="38">
        <f>IF(D65="M",WeightSDS!P$5*$AG65^7+WeightSDS!Q$5*$AG65^6+WeightSDS!R$5*$AG65^5+WeightSDS!S$5*$AG65^4+WeightSDS!T$5*$AG65^3+WeightSDS!U$5*$AG65^2+WeightSDS!V$5*$AG65+WeightSDS!W$5,IF($AG65&lt;186,WeightSDS!P$8*$AG65^7+WeightSDS!Q$8*$AG65^6+WeightSDS!R$8*$AG65^5+WeightSDS!S$8*$AG65^4+WeightSDS!T$8*$AG65^3+WeightSDS!U$8*$AG65^2+WeightSDS!V$8*$AG65+WeightSDS!W$8,WeightSDS!$U$9-WeightSDS!$V$9*($AG65-WeightSDS!$W$9)))</f>
        <v>0.75407122999999998</v>
      </c>
      <c r="AJ65" s="24">
        <f>IF(D65="M",IF($AG65&lt;45,WeightSDS!M$23*$AG65^10+WeightSDS!N$23*$AG65^9+WeightSDS!O$23*$AG65^8+WeightSDS!P$23*$AG65^7+WeightSDS!Q$23*$AG65^6+WeightSDS!R$23*$AG65^5+WeightSDS!S$23*$AG65^4+WeightSDS!T$23*$AG65^3+WeightSDS!U$23*$AG65^2+WeightSDS!V$23*$AG65+WeightSDS!W$23,IF($AG65&lt;153,WeightSDS!M$25*$AG65^10+WeightSDS!N$25*$AG65^9+WeightSDS!O$25*$AG65^8+WeightSDS!P$25*$AG65^7+WeightSDS!Q$25*$AG65^6+WeightSDS!R$25*$AG65^5+WeightSDS!S$25*$AG65^4+WeightSDS!T$25*$AG65^3+WeightSDS!U$25*$AG65^2+WeightSDS!V$25*$AG65+WeightSDS!W$25,WeightSDS!M$27+WeightSDS!N$27/(1+EXP(WeightSDS!O$27+WeightSDS!P$27*$AG65)))),IF($AG65&lt;43.8,WeightSDS!M$29*$AG65^10+WeightSDS!N$29*$AG65^9+WeightSDS!O$29*$AG65^8+WeightSDS!P$29*$AG65^7+WeightSDS!Q$29*$AG65^6+WeightSDS!R$29*$AG65^5+WeightSDS!S$29*$AG65^4+WeightSDS!T$29*$AG65^3+WeightSDS!U$29*$AG65^2+WeightSDS!V$29*$AG65+WeightSDS!W$29-0.010431*(1-$AG65/210),IF($AG65&lt;123,WeightSDS!M$30*$AG65^10+WeightSDS!N$30*$AG65^9+WeightSDS!O$30*$AG65^8+WeightSDS!P$30*$AG65^7+WeightSDS!Q$30*$AG65^6+WeightSDS!R$30*$AG65^5+WeightSDS!S$30*$AG65^4+WeightSDS!T$30*$AG65^3+WeightSDS!U$30*$AG65^2+WeightSDS!V$30*$AG65+WeightSDS!W$30-0.010431*(1-1/$AG65),WeightSDS!M$32+WeightSDS!N$32/(1+EXP(WeightSDS!O$32+WeightSDS!P$32*$AG65))-0.010431*(1-$AG65/210))))</f>
        <v>2.9500001032655536</v>
      </c>
      <c r="AK65" s="24">
        <f>IF(D65="M",IF($AG65&lt;162,WeightSDS!P$12*$AG65^7+WeightSDS!Q$12*$AG65^6+WeightSDS!R$12*$AG65^5+WeightSDS!S$12*$AG65^4+WeightSDS!T$12*$AG65^3+WeightSDS!U$12*$AG65^2+WeightSDS!V$12*$AG65+WeightSDS!W$12,WeightSDS!P$14*$AG65^7+WeightSDS!Q$14*$AG65^6+WeightSDS!R$14*$AG65^5+WeightSDS!S$14*$AG65^4+WeightSDS!T$14*$AG65^3+WeightSDS!U$14*$AG65^2+WeightSDS!V$14*$AG65+WeightSDS!W$14),IF($AG65&lt;156,WeightSDS!O$17*$AG65^8+WeightSDS!P$17*$AG65^7+WeightSDS!Q$17*$AG65^6+WeightSDS!R$17*$AG65^5+WeightSDS!S$17*$AG65^4+WeightSDS!T$17*$AG65^3+WeightSDS!U$17*$AG65^2+WeightSDS!V$17*$AG65+WeightSDS!W$17,IF($AG65&lt;186,WeightSDS!$U$18+(WeightSDS!$V$18-WeightSDS!$U$18)/24*($AG65-186)+WeightSDS!$W$18*(-$AG65+186)^2-0.005,WeightSDS!$U$18+(WeightSDS!$V$18-WeightSDS!$U$18)/24*($AG65-186)-0.005)))</f>
        <v>0.14604529399999999</v>
      </c>
    </row>
    <row r="66" spans="1:37">
      <c r="A66" s="4"/>
      <c r="B66" s="21"/>
      <c r="C66" s="21"/>
      <c r="D66" s="21"/>
      <c r="E66" s="22"/>
      <c r="F66" s="22"/>
      <c r="G66" s="23"/>
      <c r="H66" s="23"/>
      <c r="I66" s="8" t="str">
        <f t="shared" si="0"/>
        <v/>
      </c>
      <c r="J66" s="2" t="str">
        <f t="shared" si="4"/>
        <v/>
      </c>
      <c r="K66" s="2" t="str">
        <f t="shared" si="1"/>
        <v/>
      </c>
      <c r="L66" s="2" t="str">
        <f t="shared" si="5"/>
        <v/>
      </c>
      <c r="M66" s="2" t="str">
        <f t="shared" si="15"/>
        <v/>
      </c>
      <c r="N66" s="2" t="str">
        <f t="shared" si="7"/>
        <v/>
      </c>
      <c r="O66" s="8" t="str">
        <f t="shared" si="8"/>
        <v/>
      </c>
      <c r="P66" s="8" t="str">
        <f t="shared" si="9"/>
        <v/>
      </c>
      <c r="Q66" s="40" t="str">
        <f t="shared" si="10"/>
        <v/>
      </c>
      <c r="R66" s="48" t="str">
        <f t="shared" si="11"/>
        <v/>
      </c>
      <c r="S66" s="8"/>
      <c r="U66" s="35">
        <f t="shared" si="12"/>
        <v>0</v>
      </c>
      <c r="V66" s="24">
        <f t="shared" si="13"/>
        <v>0</v>
      </c>
      <c r="W66" s="41">
        <f t="shared" si="17"/>
        <v>0</v>
      </c>
      <c r="X66" s="31"/>
      <c r="Y66" s="31"/>
      <c r="Z66" s="31"/>
      <c r="AA66" s="25">
        <f t="shared" si="2"/>
        <v>9.0359999999999996</v>
      </c>
      <c r="AB66" s="25">
        <f t="shared" si="3"/>
        <v>-184.49199999999999</v>
      </c>
      <c r="AD66" s="24">
        <f>IF(D66="M",IF(AG66&lt;78,BMILMS!$D$5*AG66^3+BMILMS!$E$5*AG66^2+BMILMS!$F$5*AG66+BMILMS!$G$5,IF(AG66&lt;150,BMILMS!$D$6*AG66^3+BMILMS!$E$6*AG66^2+BMILMS!$F$6*AG66+BMILMS!$G$6,BMILMS!$D$7*AG66^3+BMILMS!$E$7*AG66^2+BMILMS!$F$7*AG66+BMILMS!$G$7)),IF(AG66&lt;69,BMILMS!$D$9*AG66^3+BMILMS!$E$9*AG66^2+BMILMS!$F$9*AG66+BMILMS!$G$9,IF(AG66&lt;150,BMILMS!$D$10*AG66^3+BMILMS!$E$10*AG66^2+BMILMS!$F$10*AG66+BMILMS!$G$10,BMILMS!$D$11*AG66^3+BMILMS!$E$11*AG66^2+BMILMS!$F$11*AG66+BMILMS!$G$11)))</f>
        <v>0.79584630099999998</v>
      </c>
      <c r="AE66" s="24">
        <f>IF(D66="M",(IF(AG66&lt;2.5,BMILMS!$D$21*AG66^3+BMILMS!$E$21*AG66^2+BMILMS!$F$21*AG66+BMILMS!$G$21,IF(AG66&lt;9.5,BMILMS!$D$22*AG66^3+BMILMS!$E$22*AG66^2+BMILMS!$F$22*AG66+BMILMS!$G$22,IF(AG66&lt;26.75,BMILMS!$D$23*AG66^3+BMILMS!$E$23*AG66^2+BMILMS!$F$23*AG66+BMILMS!$G$23,IF(AG66&lt;90,BMILMS!$D$24*AG66^3+BMILMS!$E$24*AG66^2+BMILMS!$F$24*AG66+BMILMS!$G$24,BMILMS!$D$25*AG66^3+BMILMS!$E$25*AG66^2+BMILMS!$F$25*AG66+BMILMS!$G$25))))),(IF(AG66&lt;2.5,BMILMS!$D$27*AG66^3+BMILMS!$E$27*AG66^2+BMILMS!$F$27*AG66+BMILMS!$G$27,IF(AG66&lt;9.5,BMILMS!$D$28*AG66^3+BMILMS!$E$28*AG66^2+BMILMS!$F$28*AG66+BMILMS!$G$28,IF(AG66&lt;26.75,BMILMS!$D$29*AG66^3+BMILMS!$E$29*AG66^2+BMILMS!$F$29*AG66+BMILMS!$G$29,IF(AG66&lt;90,BMILMS!$D$30*AG66^3+BMILMS!$E$30*AG66^2+BMILMS!$F$30*AG66+BMILMS!$G$30,IF(AG66&lt;150,BMILMS!$D$31*AG66^3+BMILMS!$E$31*AG66^2+BMILMS!$F$31*AG66+BMILMS!$G$31,BMILMS!$D$32*AG66^3+BMILMS!$E$32*AG66^2+BMILMS!$F$32*AG66+BMILMS!$G$32)))))))</f>
        <v>12.568967990000001</v>
      </c>
      <c r="AF66" s="24">
        <f>IF(D66="M",(IF(AG66&lt;90,BMILMS!$D$14*AG66^3+BMILMS!$E$14*AG66^2+BMILMS!$F$14*AG66+BMILMS!$G$14,BMILMS!$D$15*AG66^3+BMILMS!$E$15*AG66^2+BMILMS!$F$15*AG66+BMILMS!$G$15)),(IF(AG66&lt;90,BMILMS!$D$17*AG66^3+BMILMS!$E$17*AG66^2+BMILMS!$F$17*AG66+BMILMS!$G$17,BMILMS!$D$18*AG66^3+BMILMS!$E$18*AG66^2+BMILMS!$F$18*AG66+BMILMS!$G$18)))</f>
        <v>8.8969350000000003E-2</v>
      </c>
      <c r="AG66" s="24">
        <f t="shared" si="16"/>
        <v>0</v>
      </c>
      <c r="AI66" s="38">
        <f>IF(D66="M",WeightSDS!P$5*$AG66^7+WeightSDS!Q$5*$AG66^6+WeightSDS!R$5*$AG66^5+WeightSDS!S$5*$AG66^4+WeightSDS!T$5*$AG66^3+WeightSDS!U$5*$AG66^2+WeightSDS!V$5*$AG66+WeightSDS!W$5,IF($AG66&lt;186,WeightSDS!P$8*$AG66^7+WeightSDS!Q$8*$AG66^6+WeightSDS!R$8*$AG66^5+WeightSDS!S$8*$AG66^4+WeightSDS!T$8*$AG66^3+WeightSDS!U$8*$AG66^2+WeightSDS!V$8*$AG66+WeightSDS!W$8,WeightSDS!$U$9-WeightSDS!$V$9*($AG66-WeightSDS!$W$9)))</f>
        <v>0.75407122999999998</v>
      </c>
      <c r="AJ66" s="24">
        <f>IF(D66="M",IF($AG66&lt;45,WeightSDS!M$23*$AG66^10+WeightSDS!N$23*$AG66^9+WeightSDS!O$23*$AG66^8+WeightSDS!P$23*$AG66^7+WeightSDS!Q$23*$AG66^6+WeightSDS!R$23*$AG66^5+WeightSDS!S$23*$AG66^4+WeightSDS!T$23*$AG66^3+WeightSDS!U$23*$AG66^2+WeightSDS!V$23*$AG66+WeightSDS!W$23,IF($AG66&lt;153,WeightSDS!M$25*$AG66^10+WeightSDS!N$25*$AG66^9+WeightSDS!O$25*$AG66^8+WeightSDS!P$25*$AG66^7+WeightSDS!Q$25*$AG66^6+WeightSDS!R$25*$AG66^5+WeightSDS!S$25*$AG66^4+WeightSDS!T$25*$AG66^3+WeightSDS!U$25*$AG66^2+WeightSDS!V$25*$AG66+WeightSDS!W$25,WeightSDS!M$27+WeightSDS!N$27/(1+EXP(WeightSDS!O$27+WeightSDS!P$27*$AG66)))),IF($AG66&lt;43.8,WeightSDS!M$29*$AG66^10+WeightSDS!N$29*$AG66^9+WeightSDS!O$29*$AG66^8+WeightSDS!P$29*$AG66^7+WeightSDS!Q$29*$AG66^6+WeightSDS!R$29*$AG66^5+WeightSDS!S$29*$AG66^4+WeightSDS!T$29*$AG66^3+WeightSDS!U$29*$AG66^2+WeightSDS!V$29*$AG66+WeightSDS!W$29-0.010431*(1-$AG66/210),IF($AG66&lt;123,WeightSDS!M$30*$AG66^10+WeightSDS!N$30*$AG66^9+WeightSDS!O$30*$AG66^8+WeightSDS!P$30*$AG66^7+WeightSDS!Q$30*$AG66^6+WeightSDS!R$30*$AG66^5+WeightSDS!S$30*$AG66^4+WeightSDS!T$30*$AG66^3+WeightSDS!U$30*$AG66^2+WeightSDS!V$30*$AG66+WeightSDS!W$30-0.010431*(1-1/$AG66),WeightSDS!M$32+WeightSDS!N$32/(1+EXP(WeightSDS!O$32+WeightSDS!P$32*$AG66))-0.010431*(1-$AG66/210))))</f>
        <v>2.9500001032655536</v>
      </c>
      <c r="AK66" s="24">
        <f>IF(D66="M",IF($AG66&lt;162,WeightSDS!P$12*$AG66^7+WeightSDS!Q$12*$AG66^6+WeightSDS!R$12*$AG66^5+WeightSDS!S$12*$AG66^4+WeightSDS!T$12*$AG66^3+WeightSDS!U$12*$AG66^2+WeightSDS!V$12*$AG66+WeightSDS!W$12,WeightSDS!P$14*$AG66^7+WeightSDS!Q$14*$AG66^6+WeightSDS!R$14*$AG66^5+WeightSDS!S$14*$AG66^4+WeightSDS!T$14*$AG66^3+WeightSDS!U$14*$AG66^2+WeightSDS!V$14*$AG66+WeightSDS!W$14),IF($AG66&lt;156,WeightSDS!O$17*$AG66^8+WeightSDS!P$17*$AG66^7+WeightSDS!Q$17*$AG66^6+WeightSDS!R$17*$AG66^5+WeightSDS!S$17*$AG66^4+WeightSDS!T$17*$AG66^3+WeightSDS!U$17*$AG66^2+WeightSDS!V$17*$AG66+WeightSDS!W$17,IF($AG66&lt;186,WeightSDS!$U$18+(WeightSDS!$V$18-WeightSDS!$U$18)/24*($AG66-186)+WeightSDS!$W$18*(-$AG66+186)^2-0.005,WeightSDS!$U$18+(WeightSDS!$V$18-WeightSDS!$U$18)/24*($AG66-186)-0.005)))</f>
        <v>0.14604529399999999</v>
      </c>
    </row>
    <row r="67" spans="1:37">
      <c r="A67" s="4"/>
      <c r="B67" s="21"/>
      <c r="C67" s="21"/>
      <c r="D67" s="21"/>
      <c r="E67" s="22"/>
      <c r="F67" s="22"/>
      <c r="G67" s="23"/>
      <c r="H67" s="23"/>
      <c r="I67" s="8" t="str">
        <f t="shared" ref="I67:I130" si="18">IF(COUNTA(D67,E67,F67,G67,H67)=5,IF(Q67&gt;17.583,"       *",(G67-(INDEX(IF(D67="F",Hfemalemean,Hmalemean),V67+1,U67+1)))/(INDEX(IF(D67="F",Hfemalesd,Hmalesd),V67+1,U67+1))),"")</f>
        <v/>
      </c>
      <c r="J67" s="2" t="str">
        <f t="shared" si="4"/>
        <v/>
      </c>
      <c r="K67" s="2" t="str">
        <f t="shared" ref="K67:K130" si="19">IF(COUNTA(D67,E67,F67,G67,H67)&lt;5,"",IF(Q67&lt;6,"       *",IF(Q67&gt;=17.583,"       *",(H67-G67*INDEX(IF(D67="F",muratafemale,muratamale),U67-4,1)-INDEX(IF(D67="F",muratafemale,muratamale),U67-4,2))/(G67*INDEX(IF(D67="F",muratafemale,muratamale),U67-4,1)+INDEX(IF(D67="F",muratafemale,muratamale),U67-4,2))*100)))</f>
        <v/>
      </c>
      <c r="L67" s="2" t="str">
        <f t="shared" si="5"/>
        <v/>
      </c>
      <c r="M67" s="2" t="str">
        <f t="shared" si="15"/>
        <v/>
      </c>
      <c r="N67" s="2" t="str">
        <f t="shared" si="7"/>
        <v/>
      </c>
      <c r="O67" s="8" t="str">
        <f t="shared" si="8"/>
        <v/>
      </c>
      <c r="P67" s="8" t="str">
        <f t="shared" si="9"/>
        <v/>
      </c>
      <c r="Q67" s="40" t="str">
        <f t="shared" ref="Q67:Q130" si="20">IF(COUNTA(D67,E67,F67,G67,H67)=5,W67,"")</f>
        <v/>
      </c>
      <c r="R67" s="48" t="str">
        <f t="shared" si="11"/>
        <v/>
      </c>
      <c r="S67" s="8"/>
      <c r="U67" s="35">
        <f t="shared" ref="U67:U130" si="21">DATEDIF(E67,F67,"Y")</f>
        <v>0</v>
      </c>
      <c r="V67" s="24">
        <f t="shared" ref="V67:V130" si="22">DATEDIF(E67,F67,"YM")</f>
        <v>0</v>
      </c>
      <c r="W67" s="41">
        <f t="shared" si="17"/>
        <v>0</v>
      </c>
      <c r="X67" s="31"/>
      <c r="Y67" s="31"/>
      <c r="Z67" s="31"/>
      <c r="AA67" s="25">
        <f t="shared" ref="AA67:AA130" si="23">IF(D67="M",2.06*10^-3*G67^2-0.1166*G67+6.5273,2.49*10^-3*G67^2-0.1858*G67+9.036)</f>
        <v>9.0359999999999996</v>
      </c>
      <c r="AB67" s="25">
        <f t="shared" ref="AB67:AB130" si="24">((G67/100)^3*INDEX(itoOI,IF(D67="M",0,3)+IF(G67&lt;140,1,IF(G67&lt;=149,2,3)),1)+(G67/100)^2*INDEX(itoOI,IF(D67="M",0,3)+IF(G67&lt;140,1,IF(G67&lt;=149,2,3)),2)+(G67/100)*INDEX(itoOI,IF(D67="M",0,3)+IF(G67&lt;140,1,IF(G67&lt;=149,2,3)),3)+INDEX(itoOI,IF(D67="M",0,3)+IF(G67&lt;140,1,IF(G67&lt;=149,2,3)),4))</f>
        <v>-184.49199999999999</v>
      </c>
      <c r="AD67" s="24">
        <f>IF(D67="M",IF(AG67&lt;78,BMILMS!$D$5*AG67^3+BMILMS!$E$5*AG67^2+BMILMS!$F$5*AG67+BMILMS!$G$5,IF(AG67&lt;150,BMILMS!$D$6*AG67^3+BMILMS!$E$6*AG67^2+BMILMS!$F$6*AG67+BMILMS!$G$6,BMILMS!$D$7*AG67^3+BMILMS!$E$7*AG67^2+BMILMS!$F$7*AG67+BMILMS!$G$7)),IF(AG67&lt;69,BMILMS!$D$9*AG67^3+BMILMS!$E$9*AG67^2+BMILMS!$F$9*AG67+BMILMS!$G$9,IF(AG67&lt;150,BMILMS!$D$10*AG67^3+BMILMS!$E$10*AG67^2+BMILMS!$F$10*AG67+BMILMS!$G$10,BMILMS!$D$11*AG67^3+BMILMS!$E$11*AG67^2+BMILMS!$F$11*AG67+BMILMS!$G$11)))</f>
        <v>0.79584630099999998</v>
      </c>
      <c r="AE67" s="24">
        <f>IF(D67="M",(IF(AG67&lt;2.5,BMILMS!$D$21*AG67^3+BMILMS!$E$21*AG67^2+BMILMS!$F$21*AG67+BMILMS!$G$21,IF(AG67&lt;9.5,BMILMS!$D$22*AG67^3+BMILMS!$E$22*AG67^2+BMILMS!$F$22*AG67+BMILMS!$G$22,IF(AG67&lt;26.75,BMILMS!$D$23*AG67^3+BMILMS!$E$23*AG67^2+BMILMS!$F$23*AG67+BMILMS!$G$23,IF(AG67&lt;90,BMILMS!$D$24*AG67^3+BMILMS!$E$24*AG67^2+BMILMS!$F$24*AG67+BMILMS!$G$24,BMILMS!$D$25*AG67^3+BMILMS!$E$25*AG67^2+BMILMS!$F$25*AG67+BMILMS!$G$25))))),(IF(AG67&lt;2.5,BMILMS!$D$27*AG67^3+BMILMS!$E$27*AG67^2+BMILMS!$F$27*AG67+BMILMS!$G$27,IF(AG67&lt;9.5,BMILMS!$D$28*AG67^3+BMILMS!$E$28*AG67^2+BMILMS!$F$28*AG67+BMILMS!$G$28,IF(AG67&lt;26.75,BMILMS!$D$29*AG67^3+BMILMS!$E$29*AG67^2+BMILMS!$F$29*AG67+BMILMS!$G$29,IF(AG67&lt;90,BMILMS!$D$30*AG67^3+BMILMS!$E$30*AG67^2+BMILMS!$F$30*AG67+BMILMS!$G$30,IF(AG67&lt;150,BMILMS!$D$31*AG67^3+BMILMS!$E$31*AG67^2+BMILMS!$F$31*AG67+BMILMS!$G$31,BMILMS!$D$32*AG67^3+BMILMS!$E$32*AG67^2+BMILMS!$F$32*AG67+BMILMS!$G$32)))))))</f>
        <v>12.568967990000001</v>
      </c>
      <c r="AF67" s="24">
        <f>IF(D67="M",(IF(AG67&lt;90,BMILMS!$D$14*AG67^3+BMILMS!$E$14*AG67^2+BMILMS!$F$14*AG67+BMILMS!$G$14,BMILMS!$D$15*AG67^3+BMILMS!$E$15*AG67^2+BMILMS!$F$15*AG67+BMILMS!$G$15)),(IF(AG67&lt;90,BMILMS!$D$17*AG67^3+BMILMS!$E$17*AG67^2+BMILMS!$F$17*AG67+BMILMS!$G$17,BMILMS!$D$18*AG67^3+BMILMS!$E$18*AG67^2+BMILMS!$F$18*AG67+BMILMS!$G$18)))</f>
        <v>8.8969350000000003E-2</v>
      </c>
      <c r="AG67" s="24">
        <f t="shared" si="16"/>
        <v>0</v>
      </c>
      <c r="AI67" s="38">
        <f>IF(D67="M",WeightSDS!P$5*$AG67^7+WeightSDS!Q$5*$AG67^6+WeightSDS!R$5*$AG67^5+WeightSDS!S$5*$AG67^4+WeightSDS!T$5*$AG67^3+WeightSDS!U$5*$AG67^2+WeightSDS!V$5*$AG67+WeightSDS!W$5,IF($AG67&lt;186,WeightSDS!P$8*$AG67^7+WeightSDS!Q$8*$AG67^6+WeightSDS!R$8*$AG67^5+WeightSDS!S$8*$AG67^4+WeightSDS!T$8*$AG67^3+WeightSDS!U$8*$AG67^2+WeightSDS!V$8*$AG67+WeightSDS!W$8,WeightSDS!$U$9-WeightSDS!$V$9*($AG67-WeightSDS!$W$9)))</f>
        <v>0.75407122999999998</v>
      </c>
      <c r="AJ67" s="24">
        <f>IF(D67="M",IF($AG67&lt;45,WeightSDS!M$23*$AG67^10+WeightSDS!N$23*$AG67^9+WeightSDS!O$23*$AG67^8+WeightSDS!P$23*$AG67^7+WeightSDS!Q$23*$AG67^6+WeightSDS!R$23*$AG67^5+WeightSDS!S$23*$AG67^4+WeightSDS!T$23*$AG67^3+WeightSDS!U$23*$AG67^2+WeightSDS!V$23*$AG67+WeightSDS!W$23,IF($AG67&lt;153,WeightSDS!M$25*$AG67^10+WeightSDS!N$25*$AG67^9+WeightSDS!O$25*$AG67^8+WeightSDS!P$25*$AG67^7+WeightSDS!Q$25*$AG67^6+WeightSDS!R$25*$AG67^5+WeightSDS!S$25*$AG67^4+WeightSDS!T$25*$AG67^3+WeightSDS!U$25*$AG67^2+WeightSDS!V$25*$AG67+WeightSDS!W$25,WeightSDS!M$27+WeightSDS!N$27/(1+EXP(WeightSDS!O$27+WeightSDS!P$27*$AG67)))),IF($AG67&lt;43.8,WeightSDS!M$29*$AG67^10+WeightSDS!N$29*$AG67^9+WeightSDS!O$29*$AG67^8+WeightSDS!P$29*$AG67^7+WeightSDS!Q$29*$AG67^6+WeightSDS!R$29*$AG67^5+WeightSDS!S$29*$AG67^4+WeightSDS!T$29*$AG67^3+WeightSDS!U$29*$AG67^2+WeightSDS!V$29*$AG67+WeightSDS!W$29-0.010431*(1-$AG67/210),IF($AG67&lt;123,WeightSDS!M$30*$AG67^10+WeightSDS!N$30*$AG67^9+WeightSDS!O$30*$AG67^8+WeightSDS!P$30*$AG67^7+WeightSDS!Q$30*$AG67^6+WeightSDS!R$30*$AG67^5+WeightSDS!S$30*$AG67^4+WeightSDS!T$30*$AG67^3+WeightSDS!U$30*$AG67^2+WeightSDS!V$30*$AG67+WeightSDS!W$30-0.010431*(1-1/$AG67),WeightSDS!M$32+WeightSDS!N$32/(1+EXP(WeightSDS!O$32+WeightSDS!P$32*$AG67))-0.010431*(1-$AG67/210))))</f>
        <v>2.9500001032655536</v>
      </c>
      <c r="AK67" s="24">
        <f>IF(D67="M",IF($AG67&lt;162,WeightSDS!P$12*$AG67^7+WeightSDS!Q$12*$AG67^6+WeightSDS!R$12*$AG67^5+WeightSDS!S$12*$AG67^4+WeightSDS!T$12*$AG67^3+WeightSDS!U$12*$AG67^2+WeightSDS!V$12*$AG67+WeightSDS!W$12,WeightSDS!P$14*$AG67^7+WeightSDS!Q$14*$AG67^6+WeightSDS!R$14*$AG67^5+WeightSDS!S$14*$AG67^4+WeightSDS!T$14*$AG67^3+WeightSDS!U$14*$AG67^2+WeightSDS!V$14*$AG67+WeightSDS!W$14),IF($AG67&lt;156,WeightSDS!O$17*$AG67^8+WeightSDS!P$17*$AG67^7+WeightSDS!Q$17*$AG67^6+WeightSDS!R$17*$AG67^5+WeightSDS!S$17*$AG67^4+WeightSDS!T$17*$AG67^3+WeightSDS!U$17*$AG67^2+WeightSDS!V$17*$AG67+WeightSDS!W$17,IF($AG67&lt;186,WeightSDS!$U$18+(WeightSDS!$V$18-WeightSDS!$U$18)/24*($AG67-186)+WeightSDS!$W$18*(-$AG67+186)^2-0.005,WeightSDS!$U$18+(WeightSDS!$V$18-WeightSDS!$U$18)/24*($AG67-186)-0.005)))</f>
        <v>0.14604529399999999</v>
      </c>
    </row>
    <row r="68" spans="1:37">
      <c r="A68" s="4"/>
      <c r="B68" s="21"/>
      <c r="C68" s="21"/>
      <c r="D68" s="21"/>
      <c r="E68" s="22"/>
      <c r="F68" s="22"/>
      <c r="G68" s="23"/>
      <c r="H68" s="23"/>
      <c r="I68" s="8" t="str">
        <f t="shared" si="18"/>
        <v/>
      </c>
      <c r="J68" s="2" t="str">
        <f t="shared" ref="J68:J131" si="25">IF(COUNTA(D68,E68,F68,G68,H68)=5,IF(Q68&lt;1,"       *",IF(Q68&gt;=6,"       *",IF(G68&gt;=120,"       *",IF(G68&lt;70,"       *",(H68-AA68)/AA68*100)))),"")</f>
        <v/>
      </c>
      <c r="K68" s="2" t="str">
        <f t="shared" si="19"/>
        <v/>
      </c>
      <c r="L68" s="2" t="str">
        <f t="shared" ref="L68:L131" si="26">IF(COUNTA(D68,E68,F68,G68,H68)=5,IF(G68&gt;=IF(D68="M",181,174),"*",IF(G68&lt;101,"       *",IF(Q68&lt;6,"       *",IF(Q68&gt;=17.583,"*",(H68-AB68)/AB68*100)))),"")</f>
        <v/>
      </c>
      <c r="M68" s="2" t="str">
        <f t="shared" si="15"/>
        <v/>
      </c>
      <c r="N68" s="2" t="str">
        <f t="shared" ref="N68:N131" si="27">IF(COUNTA(D68,E68,F68,G68,H68)=5,IF(Q68&gt;17.583,"   *",NORMSDIST(((M68/AE68)^(AD68)-1)/AD68/AF68)*100),"")</f>
        <v/>
      </c>
      <c r="O68" s="8" t="str">
        <f t="shared" ref="O68:O131" si="28">IF(COUNTA(D68,E68,F68,G68,H68)=5,IF(Q68&gt;17.583,"   *",((M68/AE68)^(AD68)-1)/AD68/AF68),"")</f>
        <v/>
      </c>
      <c r="P68" s="8" t="str">
        <f t="shared" ref="P68:P131" si="29">IF(COUNTA(D68,E68,F68,G68,H68)=5,IF(Q68&gt;17.583,"   *",((H68/AJ68)^(AI68)-1)/AI68/AK68),"")</f>
        <v/>
      </c>
      <c r="Q68" s="40" t="str">
        <f t="shared" si="20"/>
        <v/>
      </c>
      <c r="R68" s="48" t="str">
        <f t="shared" ref="R68:R131" si="30">IF(COUNTA(D68,E68,F68,G68,H68)=5,U68&amp;"歳"&amp;V68&amp;"か月","")</f>
        <v/>
      </c>
      <c r="S68" s="8"/>
      <c r="U68" s="35">
        <f t="shared" si="21"/>
        <v>0</v>
      </c>
      <c r="V68" s="24">
        <f t="shared" si="22"/>
        <v>0</v>
      </c>
      <c r="W68" s="41">
        <f t="shared" si="17"/>
        <v>0</v>
      </c>
      <c r="X68" s="31"/>
      <c r="Y68" s="31"/>
      <c r="Z68" s="31"/>
      <c r="AA68" s="25">
        <f t="shared" si="23"/>
        <v>9.0359999999999996</v>
      </c>
      <c r="AB68" s="25">
        <f t="shared" si="24"/>
        <v>-184.49199999999999</v>
      </c>
      <c r="AD68" s="24">
        <f>IF(D68="M",IF(AG68&lt;78,BMILMS!$D$5*AG68^3+BMILMS!$E$5*AG68^2+BMILMS!$F$5*AG68+BMILMS!$G$5,IF(AG68&lt;150,BMILMS!$D$6*AG68^3+BMILMS!$E$6*AG68^2+BMILMS!$F$6*AG68+BMILMS!$G$6,BMILMS!$D$7*AG68^3+BMILMS!$E$7*AG68^2+BMILMS!$F$7*AG68+BMILMS!$G$7)),IF(AG68&lt;69,BMILMS!$D$9*AG68^3+BMILMS!$E$9*AG68^2+BMILMS!$F$9*AG68+BMILMS!$G$9,IF(AG68&lt;150,BMILMS!$D$10*AG68^3+BMILMS!$E$10*AG68^2+BMILMS!$F$10*AG68+BMILMS!$G$10,BMILMS!$D$11*AG68^3+BMILMS!$E$11*AG68^2+BMILMS!$F$11*AG68+BMILMS!$G$11)))</f>
        <v>0.79584630099999998</v>
      </c>
      <c r="AE68" s="24">
        <f>IF(D68="M",(IF(AG68&lt;2.5,BMILMS!$D$21*AG68^3+BMILMS!$E$21*AG68^2+BMILMS!$F$21*AG68+BMILMS!$G$21,IF(AG68&lt;9.5,BMILMS!$D$22*AG68^3+BMILMS!$E$22*AG68^2+BMILMS!$F$22*AG68+BMILMS!$G$22,IF(AG68&lt;26.75,BMILMS!$D$23*AG68^3+BMILMS!$E$23*AG68^2+BMILMS!$F$23*AG68+BMILMS!$G$23,IF(AG68&lt;90,BMILMS!$D$24*AG68^3+BMILMS!$E$24*AG68^2+BMILMS!$F$24*AG68+BMILMS!$G$24,BMILMS!$D$25*AG68^3+BMILMS!$E$25*AG68^2+BMILMS!$F$25*AG68+BMILMS!$G$25))))),(IF(AG68&lt;2.5,BMILMS!$D$27*AG68^3+BMILMS!$E$27*AG68^2+BMILMS!$F$27*AG68+BMILMS!$G$27,IF(AG68&lt;9.5,BMILMS!$D$28*AG68^3+BMILMS!$E$28*AG68^2+BMILMS!$F$28*AG68+BMILMS!$G$28,IF(AG68&lt;26.75,BMILMS!$D$29*AG68^3+BMILMS!$E$29*AG68^2+BMILMS!$F$29*AG68+BMILMS!$G$29,IF(AG68&lt;90,BMILMS!$D$30*AG68^3+BMILMS!$E$30*AG68^2+BMILMS!$F$30*AG68+BMILMS!$G$30,IF(AG68&lt;150,BMILMS!$D$31*AG68^3+BMILMS!$E$31*AG68^2+BMILMS!$F$31*AG68+BMILMS!$G$31,BMILMS!$D$32*AG68^3+BMILMS!$E$32*AG68^2+BMILMS!$F$32*AG68+BMILMS!$G$32)))))))</f>
        <v>12.568967990000001</v>
      </c>
      <c r="AF68" s="24">
        <f>IF(D68="M",(IF(AG68&lt;90,BMILMS!$D$14*AG68^3+BMILMS!$E$14*AG68^2+BMILMS!$F$14*AG68+BMILMS!$G$14,BMILMS!$D$15*AG68^3+BMILMS!$E$15*AG68^2+BMILMS!$F$15*AG68+BMILMS!$G$15)),(IF(AG68&lt;90,BMILMS!$D$17*AG68^3+BMILMS!$E$17*AG68^2+BMILMS!$F$17*AG68+BMILMS!$G$17,BMILMS!$D$18*AG68^3+BMILMS!$E$18*AG68^2+BMILMS!$F$18*AG68+BMILMS!$G$18)))</f>
        <v>8.8969350000000003E-2</v>
      </c>
      <c r="AG68" s="24">
        <f t="shared" si="16"/>
        <v>0</v>
      </c>
      <c r="AI68" s="38">
        <f>IF(D68="M",WeightSDS!P$5*$AG68^7+WeightSDS!Q$5*$AG68^6+WeightSDS!R$5*$AG68^5+WeightSDS!S$5*$AG68^4+WeightSDS!T$5*$AG68^3+WeightSDS!U$5*$AG68^2+WeightSDS!V$5*$AG68+WeightSDS!W$5,IF($AG68&lt;186,WeightSDS!P$8*$AG68^7+WeightSDS!Q$8*$AG68^6+WeightSDS!R$8*$AG68^5+WeightSDS!S$8*$AG68^4+WeightSDS!T$8*$AG68^3+WeightSDS!U$8*$AG68^2+WeightSDS!V$8*$AG68+WeightSDS!W$8,WeightSDS!$U$9-WeightSDS!$V$9*($AG68-WeightSDS!$W$9)))</f>
        <v>0.75407122999999998</v>
      </c>
      <c r="AJ68" s="24">
        <f>IF(D68="M",IF($AG68&lt;45,WeightSDS!M$23*$AG68^10+WeightSDS!N$23*$AG68^9+WeightSDS!O$23*$AG68^8+WeightSDS!P$23*$AG68^7+WeightSDS!Q$23*$AG68^6+WeightSDS!R$23*$AG68^5+WeightSDS!S$23*$AG68^4+WeightSDS!T$23*$AG68^3+WeightSDS!U$23*$AG68^2+WeightSDS!V$23*$AG68+WeightSDS!W$23,IF($AG68&lt;153,WeightSDS!M$25*$AG68^10+WeightSDS!N$25*$AG68^9+WeightSDS!O$25*$AG68^8+WeightSDS!P$25*$AG68^7+WeightSDS!Q$25*$AG68^6+WeightSDS!R$25*$AG68^5+WeightSDS!S$25*$AG68^4+WeightSDS!T$25*$AG68^3+WeightSDS!U$25*$AG68^2+WeightSDS!V$25*$AG68+WeightSDS!W$25,WeightSDS!M$27+WeightSDS!N$27/(1+EXP(WeightSDS!O$27+WeightSDS!P$27*$AG68)))),IF($AG68&lt;43.8,WeightSDS!M$29*$AG68^10+WeightSDS!N$29*$AG68^9+WeightSDS!O$29*$AG68^8+WeightSDS!P$29*$AG68^7+WeightSDS!Q$29*$AG68^6+WeightSDS!R$29*$AG68^5+WeightSDS!S$29*$AG68^4+WeightSDS!T$29*$AG68^3+WeightSDS!U$29*$AG68^2+WeightSDS!V$29*$AG68+WeightSDS!W$29-0.010431*(1-$AG68/210),IF($AG68&lt;123,WeightSDS!M$30*$AG68^10+WeightSDS!N$30*$AG68^9+WeightSDS!O$30*$AG68^8+WeightSDS!P$30*$AG68^7+WeightSDS!Q$30*$AG68^6+WeightSDS!R$30*$AG68^5+WeightSDS!S$30*$AG68^4+WeightSDS!T$30*$AG68^3+WeightSDS!U$30*$AG68^2+WeightSDS!V$30*$AG68+WeightSDS!W$30-0.010431*(1-1/$AG68),WeightSDS!M$32+WeightSDS!N$32/(1+EXP(WeightSDS!O$32+WeightSDS!P$32*$AG68))-0.010431*(1-$AG68/210))))</f>
        <v>2.9500001032655536</v>
      </c>
      <c r="AK68" s="24">
        <f>IF(D68="M",IF($AG68&lt;162,WeightSDS!P$12*$AG68^7+WeightSDS!Q$12*$AG68^6+WeightSDS!R$12*$AG68^5+WeightSDS!S$12*$AG68^4+WeightSDS!T$12*$AG68^3+WeightSDS!U$12*$AG68^2+WeightSDS!V$12*$AG68+WeightSDS!W$12,WeightSDS!P$14*$AG68^7+WeightSDS!Q$14*$AG68^6+WeightSDS!R$14*$AG68^5+WeightSDS!S$14*$AG68^4+WeightSDS!T$14*$AG68^3+WeightSDS!U$14*$AG68^2+WeightSDS!V$14*$AG68+WeightSDS!W$14),IF($AG68&lt;156,WeightSDS!O$17*$AG68^8+WeightSDS!P$17*$AG68^7+WeightSDS!Q$17*$AG68^6+WeightSDS!R$17*$AG68^5+WeightSDS!S$17*$AG68^4+WeightSDS!T$17*$AG68^3+WeightSDS!U$17*$AG68^2+WeightSDS!V$17*$AG68+WeightSDS!W$17,IF($AG68&lt;186,WeightSDS!$U$18+(WeightSDS!$V$18-WeightSDS!$U$18)/24*($AG68-186)+WeightSDS!$W$18*(-$AG68+186)^2-0.005,WeightSDS!$U$18+(WeightSDS!$V$18-WeightSDS!$U$18)/24*($AG68-186)-0.005)))</f>
        <v>0.14604529399999999</v>
      </c>
    </row>
    <row r="69" spans="1:37">
      <c r="A69" s="4"/>
      <c r="B69" s="21"/>
      <c r="C69" s="21"/>
      <c r="D69" s="21"/>
      <c r="E69" s="22"/>
      <c r="F69" s="22"/>
      <c r="G69" s="23"/>
      <c r="H69" s="23"/>
      <c r="I69" s="8" t="str">
        <f t="shared" si="18"/>
        <v/>
      </c>
      <c r="J69" s="2" t="str">
        <f t="shared" si="25"/>
        <v/>
      </c>
      <c r="K69" s="2" t="str">
        <f t="shared" si="19"/>
        <v/>
      </c>
      <c r="L69" s="2" t="str">
        <f t="shared" si="26"/>
        <v/>
      </c>
      <c r="M69" s="2" t="str">
        <f t="shared" si="15"/>
        <v/>
      </c>
      <c r="N69" s="2" t="str">
        <f t="shared" si="27"/>
        <v/>
      </c>
      <c r="O69" s="8" t="str">
        <f t="shared" si="28"/>
        <v/>
      </c>
      <c r="P69" s="8" t="str">
        <f t="shared" si="29"/>
        <v/>
      </c>
      <c r="Q69" s="40" t="str">
        <f t="shared" si="20"/>
        <v/>
      </c>
      <c r="R69" s="48" t="str">
        <f t="shared" si="30"/>
        <v/>
      </c>
      <c r="S69" s="8"/>
      <c r="U69" s="35">
        <f t="shared" si="21"/>
        <v>0</v>
      </c>
      <c r="V69" s="24">
        <f t="shared" si="22"/>
        <v>0</v>
      </c>
      <c r="W69" s="41">
        <f t="shared" si="17"/>
        <v>0</v>
      </c>
      <c r="X69" s="31"/>
      <c r="Y69" s="31"/>
      <c r="Z69" s="31"/>
      <c r="AA69" s="25">
        <f t="shared" si="23"/>
        <v>9.0359999999999996</v>
      </c>
      <c r="AB69" s="25">
        <f t="shared" si="24"/>
        <v>-184.49199999999999</v>
      </c>
      <c r="AD69" s="24">
        <f>IF(D69="M",IF(AG69&lt;78,BMILMS!$D$5*AG69^3+BMILMS!$E$5*AG69^2+BMILMS!$F$5*AG69+BMILMS!$G$5,IF(AG69&lt;150,BMILMS!$D$6*AG69^3+BMILMS!$E$6*AG69^2+BMILMS!$F$6*AG69+BMILMS!$G$6,BMILMS!$D$7*AG69^3+BMILMS!$E$7*AG69^2+BMILMS!$F$7*AG69+BMILMS!$G$7)),IF(AG69&lt;69,BMILMS!$D$9*AG69^3+BMILMS!$E$9*AG69^2+BMILMS!$F$9*AG69+BMILMS!$G$9,IF(AG69&lt;150,BMILMS!$D$10*AG69^3+BMILMS!$E$10*AG69^2+BMILMS!$F$10*AG69+BMILMS!$G$10,BMILMS!$D$11*AG69^3+BMILMS!$E$11*AG69^2+BMILMS!$F$11*AG69+BMILMS!$G$11)))</f>
        <v>0.79584630099999998</v>
      </c>
      <c r="AE69" s="24">
        <f>IF(D69="M",(IF(AG69&lt;2.5,BMILMS!$D$21*AG69^3+BMILMS!$E$21*AG69^2+BMILMS!$F$21*AG69+BMILMS!$G$21,IF(AG69&lt;9.5,BMILMS!$D$22*AG69^3+BMILMS!$E$22*AG69^2+BMILMS!$F$22*AG69+BMILMS!$G$22,IF(AG69&lt;26.75,BMILMS!$D$23*AG69^3+BMILMS!$E$23*AG69^2+BMILMS!$F$23*AG69+BMILMS!$G$23,IF(AG69&lt;90,BMILMS!$D$24*AG69^3+BMILMS!$E$24*AG69^2+BMILMS!$F$24*AG69+BMILMS!$G$24,BMILMS!$D$25*AG69^3+BMILMS!$E$25*AG69^2+BMILMS!$F$25*AG69+BMILMS!$G$25))))),(IF(AG69&lt;2.5,BMILMS!$D$27*AG69^3+BMILMS!$E$27*AG69^2+BMILMS!$F$27*AG69+BMILMS!$G$27,IF(AG69&lt;9.5,BMILMS!$D$28*AG69^3+BMILMS!$E$28*AG69^2+BMILMS!$F$28*AG69+BMILMS!$G$28,IF(AG69&lt;26.75,BMILMS!$D$29*AG69^3+BMILMS!$E$29*AG69^2+BMILMS!$F$29*AG69+BMILMS!$G$29,IF(AG69&lt;90,BMILMS!$D$30*AG69^3+BMILMS!$E$30*AG69^2+BMILMS!$F$30*AG69+BMILMS!$G$30,IF(AG69&lt;150,BMILMS!$D$31*AG69^3+BMILMS!$E$31*AG69^2+BMILMS!$F$31*AG69+BMILMS!$G$31,BMILMS!$D$32*AG69^3+BMILMS!$E$32*AG69^2+BMILMS!$F$32*AG69+BMILMS!$G$32)))))))</f>
        <v>12.568967990000001</v>
      </c>
      <c r="AF69" s="24">
        <f>IF(D69="M",(IF(AG69&lt;90,BMILMS!$D$14*AG69^3+BMILMS!$E$14*AG69^2+BMILMS!$F$14*AG69+BMILMS!$G$14,BMILMS!$D$15*AG69^3+BMILMS!$E$15*AG69^2+BMILMS!$F$15*AG69+BMILMS!$G$15)),(IF(AG69&lt;90,BMILMS!$D$17*AG69^3+BMILMS!$E$17*AG69^2+BMILMS!$F$17*AG69+BMILMS!$G$17,BMILMS!$D$18*AG69^3+BMILMS!$E$18*AG69^2+BMILMS!$F$18*AG69+BMILMS!$G$18)))</f>
        <v>8.8969350000000003E-2</v>
      </c>
      <c r="AG69" s="24">
        <f t="shared" si="16"/>
        <v>0</v>
      </c>
      <c r="AI69" s="38">
        <f>IF(D69="M",WeightSDS!P$5*$AG69^7+WeightSDS!Q$5*$AG69^6+WeightSDS!R$5*$AG69^5+WeightSDS!S$5*$AG69^4+WeightSDS!T$5*$AG69^3+WeightSDS!U$5*$AG69^2+WeightSDS!V$5*$AG69+WeightSDS!W$5,IF($AG69&lt;186,WeightSDS!P$8*$AG69^7+WeightSDS!Q$8*$AG69^6+WeightSDS!R$8*$AG69^5+WeightSDS!S$8*$AG69^4+WeightSDS!T$8*$AG69^3+WeightSDS!U$8*$AG69^2+WeightSDS!V$8*$AG69+WeightSDS!W$8,WeightSDS!$U$9-WeightSDS!$V$9*($AG69-WeightSDS!$W$9)))</f>
        <v>0.75407122999999998</v>
      </c>
      <c r="AJ69" s="24">
        <f>IF(D69="M",IF($AG69&lt;45,WeightSDS!M$23*$AG69^10+WeightSDS!N$23*$AG69^9+WeightSDS!O$23*$AG69^8+WeightSDS!P$23*$AG69^7+WeightSDS!Q$23*$AG69^6+WeightSDS!R$23*$AG69^5+WeightSDS!S$23*$AG69^4+WeightSDS!T$23*$AG69^3+WeightSDS!U$23*$AG69^2+WeightSDS!V$23*$AG69+WeightSDS!W$23,IF($AG69&lt;153,WeightSDS!M$25*$AG69^10+WeightSDS!N$25*$AG69^9+WeightSDS!O$25*$AG69^8+WeightSDS!P$25*$AG69^7+WeightSDS!Q$25*$AG69^6+WeightSDS!R$25*$AG69^5+WeightSDS!S$25*$AG69^4+WeightSDS!T$25*$AG69^3+WeightSDS!U$25*$AG69^2+WeightSDS!V$25*$AG69+WeightSDS!W$25,WeightSDS!M$27+WeightSDS!N$27/(1+EXP(WeightSDS!O$27+WeightSDS!P$27*$AG69)))),IF($AG69&lt;43.8,WeightSDS!M$29*$AG69^10+WeightSDS!N$29*$AG69^9+WeightSDS!O$29*$AG69^8+WeightSDS!P$29*$AG69^7+WeightSDS!Q$29*$AG69^6+WeightSDS!R$29*$AG69^5+WeightSDS!S$29*$AG69^4+WeightSDS!T$29*$AG69^3+WeightSDS!U$29*$AG69^2+WeightSDS!V$29*$AG69+WeightSDS!W$29-0.010431*(1-$AG69/210),IF($AG69&lt;123,WeightSDS!M$30*$AG69^10+WeightSDS!N$30*$AG69^9+WeightSDS!O$30*$AG69^8+WeightSDS!P$30*$AG69^7+WeightSDS!Q$30*$AG69^6+WeightSDS!R$30*$AG69^5+WeightSDS!S$30*$AG69^4+WeightSDS!T$30*$AG69^3+WeightSDS!U$30*$AG69^2+WeightSDS!V$30*$AG69+WeightSDS!W$30-0.010431*(1-1/$AG69),WeightSDS!M$32+WeightSDS!N$32/(1+EXP(WeightSDS!O$32+WeightSDS!P$32*$AG69))-0.010431*(1-$AG69/210))))</f>
        <v>2.9500001032655536</v>
      </c>
      <c r="AK69" s="24">
        <f>IF(D69="M",IF($AG69&lt;162,WeightSDS!P$12*$AG69^7+WeightSDS!Q$12*$AG69^6+WeightSDS!R$12*$AG69^5+WeightSDS!S$12*$AG69^4+WeightSDS!T$12*$AG69^3+WeightSDS!U$12*$AG69^2+WeightSDS!V$12*$AG69+WeightSDS!W$12,WeightSDS!P$14*$AG69^7+WeightSDS!Q$14*$AG69^6+WeightSDS!R$14*$AG69^5+WeightSDS!S$14*$AG69^4+WeightSDS!T$14*$AG69^3+WeightSDS!U$14*$AG69^2+WeightSDS!V$14*$AG69+WeightSDS!W$14),IF($AG69&lt;156,WeightSDS!O$17*$AG69^8+WeightSDS!P$17*$AG69^7+WeightSDS!Q$17*$AG69^6+WeightSDS!R$17*$AG69^5+WeightSDS!S$17*$AG69^4+WeightSDS!T$17*$AG69^3+WeightSDS!U$17*$AG69^2+WeightSDS!V$17*$AG69+WeightSDS!W$17,IF($AG69&lt;186,WeightSDS!$U$18+(WeightSDS!$V$18-WeightSDS!$U$18)/24*($AG69-186)+WeightSDS!$W$18*(-$AG69+186)^2-0.005,WeightSDS!$U$18+(WeightSDS!$V$18-WeightSDS!$U$18)/24*($AG69-186)-0.005)))</f>
        <v>0.14604529399999999</v>
      </c>
    </row>
    <row r="70" spans="1:37">
      <c r="A70" s="4"/>
      <c r="B70" s="21"/>
      <c r="C70" s="21"/>
      <c r="D70" s="21"/>
      <c r="E70" s="22"/>
      <c r="F70" s="22"/>
      <c r="G70" s="23"/>
      <c r="H70" s="23"/>
      <c r="I70" s="8" t="str">
        <f t="shared" si="18"/>
        <v/>
      </c>
      <c r="J70" s="2" t="str">
        <f t="shared" si="25"/>
        <v/>
      </c>
      <c r="K70" s="2" t="str">
        <f t="shared" si="19"/>
        <v/>
      </c>
      <c r="L70" s="2" t="str">
        <f t="shared" si="26"/>
        <v/>
      </c>
      <c r="M70" s="2" t="str">
        <f t="shared" si="15"/>
        <v/>
      </c>
      <c r="N70" s="2" t="str">
        <f t="shared" si="27"/>
        <v/>
      </c>
      <c r="O70" s="8" t="str">
        <f t="shared" si="28"/>
        <v/>
      </c>
      <c r="P70" s="8" t="str">
        <f t="shared" si="29"/>
        <v/>
      </c>
      <c r="Q70" s="40" t="str">
        <f t="shared" si="20"/>
        <v/>
      </c>
      <c r="R70" s="48" t="str">
        <f t="shared" si="30"/>
        <v/>
      </c>
      <c r="S70" s="8"/>
      <c r="U70" s="35">
        <f t="shared" si="21"/>
        <v>0</v>
      </c>
      <c r="V70" s="24">
        <f t="shared" si="22"/>
        <v>0</v>
      </c>
      <c r="W70" s="41">
        <f t="shared" si="17"/>
        <v>0</v>
      </c>
      <c r="X70" s="31"/>
      <c r="Y70" s="31"/>
      <c r="Z70" s="31"/>
      <c r="AA70" s="25">
        <f t="shared" si="23"/>
        <v>9.0359999999999996</v>
      </c>
      <c r="AB70" s="25">
        <f t="shared" si="24"/>
        <v>-184.49199999999999</v>
      </c>
      <c r="AD70" s="24">
        <f>IF(D70="M",IF(AG70&lt;78,BMILMS!$D$5*AG70^3+BMILMS!$E$5*AG70^2+BMILMS!$F$5*AG70+BMILMS!$G$5,IF(AG70&lt;150,BMILMS!$D$6*AG70^3+BMILMS!$E$6*AG70^2+BMILMS!$F$6*AG70+BMILMS!$G$6,BMILMS!$D$7*AG70^3+BMILMS!$E$7*AG70^2+BMILMS!$F$7*AG70+BMILMS!$G$7)),IF(AG70&lt;69,BMILMS!$D$9*AG70^3+BMILMS!$E$9*AG70^2+BMILMS!$F$9*AG70+BMILMS!$G$9,IF(AG70&lt;150,BMILMS!$D$10*AG70^3+BMILMS!$E$10*AG70^2+BMILMS!$F$10*AG70+BMILMS!$G$10,BMILMS!$D$11*AG70^3+BMILMS!$E$11*AG70^2+BMILMS!$F$11*AG70+BMILMS!$G$11)))</f>
        <v>0.79584630099999998</v>
      </c>
      <c r="AE70" s="24">
        <f>IF(D70="M",(IF(AG70&lt;2.5,BMILMS!$D$21*AG70^3+BMILMS!$E$21*AG70^2+BMILMS!$F$21*AG70+BMILMS!$G$21,IF(AG70&lt;9.5,BMILMS!$D$22*AG70^3+BMILMS!$E$22*AG70^2+BMILMS!$F$22*AG70+BMILMS!$G$22,IF(AG70&lt;26.75,BMILMS!$D$23*AG70^3+BMILMS!$E$23*AG70^2+BMILMS!$F$23*AG70+BMILMS!$G$23,IF(AG70&lt;90,BMILMS!$D$24*AG70^3+BMILMS!$E$24*AG70^2+BMILMS!$F$24*AG70+BMILMS!$G$24,BMILMS!$D$25*AG70^3+BMILMS!$E$25*AG70^2+BMILMS!$F$25*AG70+BMILMS!$G$25))))),(IF(AG70&lt;2.5,BMILMS!$D$27*AG70^3+BMILMS!$E$27*AG70^2+BMILMS!$F$27*AG70+BMILMS!$G$27,IF(AG70&lt;9.5,BMILMS!$D$28*AG70^3+BMILMS!$E$28*AG70^2+BMILMS!$F$28*AG70+BMILMS!$G$28,IF(AG70&lt;26.75,BMILMS!$D$29*AG70^3+BMILMS!$E$29*AG70^2+BMILMS!$F$29*AG70+BMILMS!$G$29,IF(AG70&lt;90,BMILMS!$D$30*AG70^3+BMILMS!$E$30*AG70^2+BMILMS!$F$30*AG70+BMILMS!$G$30,IF(AG70&lt;150,BMILMS!$D$31*AG70^3+BMILMS!$E$31*AG70^2+BMILMS!$F$31*AG70+BMILMS!$G$31,BMILMS!$D$32*AG70^3+BMILMS!$E$32*AG70^2+BMILMS!$F$32*AG70+BMILMS!$G$32)))))))</f>
        <v>12.568967990000001</v>
      </c>
      <c r="AF70" s="24">
        <f>IF(D70="M",(IF(AG70&lt;90,BMILMS!$D$14*AG70^3+BMILMS!$E$14*AG70^2+BMILMS!$F$14*AG70+BMILMS!$G$14,BMILMS!$D$15*AG70^3+BMILMS!$E$15*AG70^2+BMILMS!$F$15*AG70+BMILMS!$G$15)),(IF(AG70&lt;90,BMILMS!$D$17*AG70^3+BMILMS!$E$17*AG70^2+BMILMS!$F$17*AG70+BMILMS!$G$17,BMILMS!$D$18*AG70^3+BMILMS!$E$18*AG70^2+BMILMS!$F$18*AG70+BMILMS!$G$18)))</f>
        <v>8.8969350000000003E-2</v>
      </c>
      <c r="AG70" s="24">
        <f t="shared" si="16"/>
        <v>0</v>
      </c>
      <c r="AI70" s="38">
        <f>IF(D70="M",WeightSDS!P$5*$AG70^7+WeightSDS!Q$5*$AG70^6+WeightSDS!R$5*$AG70^5+WeightSDS!S$5*$AG70^4+WeightSDS!T$5*$AG70^3+WeightSDS!U$5*$AG70^2+WeightSDS!V$5*$AG70+WeightSDS!W$5,IF($AG70&lt;186,WeightSDS!P$8*$AG70^7+WeightSDS!Q$8*$AG70^6+WeightSDS!R$8*$AG70^5+WeightSDS!S$8*$AG70^4+WeightSDS!T$8*$AG70^3+WeightSDS!U$8*$AG70^2+WeightSDS!V$8*$AG70+WeightSDS!W$8,WeightSDS!$U$9-WeightSDS!$V$9*($AG70-WeightSDS!$W$9)))</f>
        <v>0.75407122999999998</v>
      </c>
      <c r="AJ70" s="24">
        <f>IF(D70="M",IF($AG70&lt;45,WeightSDS!M$23*$AG70^10+WeightSDS!N$23*$AG70^9+WeightSDS!O$23*$AG70^8+WeightSDS!P$23*$AG70^7+WeightSDS!Q$23*$AG70^6+WeightSDS!R$23*$AG70^5+WeightSDS!S$23*$AG70^4+WeightSDS!T$23*$AG70^3+WeightSDS!U$23*$AG70^2+WeightSDS!V$23*$AG70+WeightSDS!W$23,IF($AG70&lt;153,WeightSDS!M$25*$AG70^10+WeightSDS!N$25*$AG70^9+WeightSDS!O$25*$AG70^8+WeightSDS!P$25*$AG70^7+WeightSDS!Q$25*$AG70^6+WeightSDS!R$25*$AG70^5+WeightSDS!S$25*$AG70^4+WeightSDS!T$25*$AG70^3+WeightSDS!U$25*$AG70^2+WeightSDS!V$25*$AG70+WeightSDS!W$25,WeightSDS!M$27+WeightSDS!N$27/(1+EXP(WeightSDS!O$27+WeightSDS!P$27*$AG70)))),IF($AG70&lt;43.8,WeightSDS!M$29*$AG70^10+WeightSDS!N$29*$AG70^9+WeightSDS!O$29*$AG70^8+WeightSDS!P$29*$AG70^7+WeightSDS!Q$29*$AG70^6+WeightSDS!R$29*$AG70^5+WeightSDS!S$29*$AG70^4+WeightSDS!T$29*$AG70^3+WeightSDS!U$29*$AG70^2+WeightSDS!V$29*$AG70+WeightSDS!W$29-0.010431*(1-$AG70/210),IF($AG70&lt;123,WeightSDS!M$30*$AG70^10+WeightSDS!N$30*$AG70^9+WeightSDS!O$30*$AG70^8+WeightSDS!P$30*$AG70^7+WeightSDS!Q$30*$AG70^6+WeightSDS!R$30*$AG70^5+WeightSDS!S$30*$AG70^4+WeightSDS!T$30*$AG70^3+WeightSDS!U$30*$AG70^2+WeightSDS!V$30*$AG70+WeightSDS!W$30-0.010431*(1-1/$AG70),WeightSDS!M$32+WeightSDS!N$32/(1+EXP(WeightSDS!O$32+WeightSDS!P$32*$AG70))-0.010431*(1-$AG70/210))))</f>
        <v>2.9500001032655536</v>
      </c>
      <c r="AK70" s="24">
        <f>IF(D70="M",IF($AG70&lt;162,WeightSDS!P$12*$AG70^7+WeightSDS!Q$12*$AG70^6+WeightSDS!R$12*$AG70^5+WeightSDS!S$12*$AG70^4+WeightSDS!T$12*$AG70^3+WeightSDS!U$12*$AG70^2+WeightSDS!V$12*$AG70+WeightSDS!W$12,WeightSDS!P$14*$AG70^7+WeightSDS!Q$14*$AG70^6+WeightSDS!R$14*$AG70^5+WeightSDS!S$14*$AG70^4+WeightSDS!T$14*$AG70^3+WeightSDS!U$14*$AG70^2+WeightSDS!V$14*$AG70+WeightSDS!W$14),IF($AG70&lt;156,WeightSDS!O$17*$AG70^8+WeightSDS!P$17*$AG70^7+WeightSDS!Q$17*$AG70^6+WeightSDS!R$17*$AG70^5+WeightSDS!S$17*$AG70^4+WeightSDS!T$17*$AG70^3+WeightSDS!U$17*$AG70^2+WeightSDS!V$17*$AG70+WeightSDS!W$17,IF($AG70&lt;186,WeightSDS!$U$18+(WeightSDS!$V$18-WeightSDS!$U$18)/24*($AG70-186)+WeightSDS!$W$18*(-$AG70+186)^2-0.005,WeightSDS!$U$18+(WeightSDS!$V$18-WeightSDS!$U$18)/24*($AG70-186)-0.005)))</f>
        <v>0.14604529399999999</v>
      </c>
    </row>
    <row r="71" spans="1:37">
      <c r="A71" s="4"/>
      <c r="B71" s="21"/>
      <c r="C71" s="21"/>
      <c r="D71" s="21"/>
      <c r="E71" s="22"/>
      <c r="F71" s="22"/>
      <c r="G71" s="23"/>
      <c r="H71" s="23"/>
      <c r="I71" s="8" t="str">
        <f t="shared" si="18"/>
        <v/>
      </c>
      <c r="J71" s="2" t="str">
        <f t="shared" si="25"/>
        <v/>
      </c>
      <c r="K71" s="2" t="str">
        <f t="shared" si="19"/>
        <v/>
      </c>
      <c r="L71" s="2" t="str">
        <f t="shared" si="26"/>
        <v/>
      </c>
      <c r="M71" s="2" t="str">
        <f t="shared" si="15"/>
        <v/>
      </c>
      <c r="N71" s="2" t="str">
        <f t="shared" si="27"/>
        <v/>
      </c>
      <c r="O71" s="8" t="str">
        <f t="shared" si="28"/>
        <v/>
      </c>
      <c r="P71" s="8" t="str">
        <f t="shared" si="29"/>
        <v/>
      </c>
      <c r="Q71" s="40" t="str">
        <f t="shared" si="20"/>
        <v/>
      </c>
      <c r="R71" s="48" t="str">
        <f t="shared" si="30"/>
        <v/>
      </c>
      <c r="S71" s="8"/>
      <c r="U71" s="35">
        <f t="shared" si="21"/>
        <v>0</v>
      </c>
      <c r="V71" s="24">
        <f t="shared" si="22"/>
        <v>0</v>
      </c>
      <c r="W71" s="41">
        <f t="shared" si="17"/>
        <v>0</v>
      </c>
      <c r="X71" s="31"/>
      <c r="Y71" s="31"/>
      <c r="Z71" s="31"/>
      <c r="AA71" s="25">
        <f t="shared" si="23"/>
        <v>9.0359999999999996</v>
      </c>
      <c r="AB71" s="25">
        <f t="shared" si="24"/>
        <v>-184.49199999999999</v>
      </c>
      <c r="AD71" s="24">
        <f>IF(D71="M",IF(AG71&lt;78,BMILMS!$D$5*AG71^3+BMILMS!$E$5*AG71^2+BMILMS!$F$5*AG71+BMILMS!$G$5,IF(AG71&lt;150,BMILMS!$D$6*AG71^3+BMILMS!$E$6*AG71^2+BMILMS!$F$6*AG71+BMILMS!$G$6,BMILMS!$D$7*AG71^3+BMILMS!$E$7*AG71^2+BMILMS!$F$7*AG71+BMILMS!$G$7)),IF(AG71&lt;69,BMILMS!$D$9*AG71^3+BMILMS!$E$9*AG71^2+BMILMS!$F$9*AG71+BMILMS!$G$9,IF(AG71&lt;150,BMILMS!$D$10*AG71^3+BMILMS!$E$10*AG71^2+BMILMS!$F$10*AG71+BMILMS!$G$10,BMILMS!$D$11*AG71^3+BMILMS!$E$11*AG71^2+BMILMS!$F$11*AG71+BMILMS!$G$11)))</f>
        <v>0.79584630099999998</v>
      </c>
      <c r="AE71" s="24">
        <f>IF(D71="M",(IF(AG71&lt;2.5,BMILMS!$D$21*AG71^3+BMILMS!$E$21*AG71^2+BMILMS!$F$21*AG71+BMILMS!$G$21,IF(AG71&lt;9.5,BMILMS!$D$22*AG71^3+BMILMS!$E$22*AG71^2+BMILMS!$F$22*AG71+BMILMS!$G$22,IF(AG71&lt;26.75,BMILMS!$D$23*AG71^3+BMILMS!$E$23*AG71^2+BMILMS!$F$23*AG71+BMILMS!$G$23,IF(AG71&lt;90,BMILMS!$D$24*AG71^3+BMILMS!$E$24*AG71^2+BMILMS!$F$24*AG71+BMILMS!$G$24,BMILMS!$D$25*AG71^3+BMILMS!$E$25*AG71^2+BMILMS!$F$25*AG71+BMILMS!$G$25))))),(IF(AG71&lt;2.5,BMILMS!$D$27*AG71^3+BMILMS!$E$27*AG71^2+BMILMS!$F$27*AG71+BMILMS!$G$27,IF(AG71&lt;9.5,BMILMS!$D$28*AG71^3+BMILMS!$E$28*AG71^2+BMILMS!$F$28*AG71+BMILMS!$G$28,IF(AG71&lt;26.75,BMILMS!$D$29*AG71^3+BMILMS!$E$29*AG71^2+BMILMS!$F$29*AG71+BMILMS!$G$29,IF(AG71&lt;90,BMILMS!$D$30*AG71^3+BMILMS!$E$30*AG71^2+BMILMS!$F$30*AG71+BMILMS!$G$30,IF(AG71&lt;150,BMILMS!$D$31*AG71^3+BMILMS!$E$31*AG71^2+BMILMS!$F$31*AG71+BMILMS!$G$31,BMILMS!$D$32*AG71^3+BMILMS!$E$32*AG71^2+BMILMS!$F$32*AG71+BMILMS!$G$32)))))))</f>
        <v>12.568967990000001</v>
      </c>
      <c r="AF71" s="24">
        <f>IF(D71="M",(IF(AG71&lt;90,BMILMS!$D$14*AG71^3+BMILMS!$E$14*AG71^2+BMILMS!$F$14*AG71+BMILMS!$G$14,BMILMS!$D$15*AG71^3+BMILMS!$E$15*AG71^2+BMILMS!$F$15*AG71+BMILMS!$G$15)),(IF(AG71&lt;90,BMILMS!$D$17*AG71^3+BMILMS!$E$17*AG71^2+BMILMS!$F$17*AG71+BMILMS!$G$17,BMILMS!$D$18*AG71^3+BMILMS!$E$18*AG71^2+BMILMS!$F$18*AG71+BMILMS!$G$18)))</f>
        <v>8.8969350000000003E-2</v>
      </c>
      <c r="AG71" s="24">
        <f t="shared" si="16"/>
        <v>0</v>
      </c>
      <c r="AI71" s="38">
        <f>IF(D71="M",WeightSDS!P$5*$AG71^7+WeightSDS!Q$5*$AG71^6+WeightSDS!R$5*$AG71^5+WeightSDS!S$5*$AG71^4+WeightSDS!T$5*$AG71^3+WeightSDS!U$5*$AG71^2+WeightSDS!V$5*$AG71+WeightSDS!W$5,IF($AG71&lt;186,WeightSDS!P$8*$AG71^7+WeightSDS!Q$8*$AG71^6+WeightSDS!R$8*$AG71^5+WeightSDS!S$8*$AG71^4+WeightSDS!T$8*$AG71^3+WeightSDS!U$8*$AG71^2+WeightSDS!V$8*$AG71+WeightSDS!W$8,WeightSDS!$U$9-WeightSDS!$V$9*($AG71-WeightSDS!$W$9)))</f>
        <v>0.75407122999999998</v>
      </c>
      <c r="AJ71" s="24">
        <f>IF(D71="M",IF($AG71&lt;45,WeightSDS!M$23*$AG71^10+WeightSDS!N$23*$AG71^9+WeightSDS!O$23*$AG71^8+WeightSDS!P$23*$AG71^7+WeightSDS!Q$23*$AG71^6+WeightSDS!R$23*$AG71^5+WeightSDS!S$23*$AG71^4+WeightSDS!T$23*$AG71^3+WeightSDS!U$23*$AG71^2+WeightSDS!V$23*$AG71+WeightSDS!W$23,IF($AG71&lt;153,WeightSDS!M$25*$AG71^10+WeightSDS!N$25*$AG71^9+WeightSDS!O$25*$AG71^8+WeightSDS!P$25*$AG71^7+WeightSDS!Q$25*$AG71^6+WeightSDS!R$25*$AG71^5+WeightSDS!S$25*$AG71^4+WeightSDS!T$25*$AG71^3+WeightSDS!U$25*$AG71^2+WeightSDS!V$25*$AG71+WeightSDS!W$25,WeightSDS!M$27+WeightSDS!N$27/(1+EXP(WeightSDS!O$27+WeightSDS!P$27*$AG71)))),IF($AG71&lt;43.8,WeightSDS!M$29*$AG71^10+WeightSDS!N$29*$AG71^9+WeightSDS!O$29*$AG71^8+WeightSDS!P$29*$AG71^7+WeightSDS!Q$29*$AG71^6+WeightSDS!R$29*$AG71^5+WeightSDS!S$29*$AG71^4+WeightSDS!T$29*$AG71^3+WeightSDS!U$29*$AG71^2+WeightSDS!V$29*$AG71+WeightSDS!W$29-0.010431*(1-$AG71/210),IF($AG71&lt;123,WeightSDS!M$30*$AG71^10+WeightSDS!N$30*$AG71^9+WeightSDS!O$30*$AG71^8+WeightSDS!P$30*$AG71^7+WeightSDS!Q$30*$AG71^6+WeightSDS!R$30*$AG71^5+WeightSDS!S$30*$AG71^4+WeightSDS!T$30*$AG71^3+WeightSDS!U$30*$AG71^2+WeightSDS!V$30*$AG71+WeightSDS!W$30-0.010431*(1-1/$AG71),WeightSDS!M$32+WeightSDS!N$32/(1+EXP(WeightSDS!O$32+WeightSDS!P$32*$AG71))-0.010431*(1-$AG71/210))))</f>
        <v>2.9500001032655536</v>
      </c>
      <c r="AK71" s="24">
        <f>IF(D71="M",IF($AG71&lt;162,WeightSDS!P$12*$AG71^7+WeightSDS!Q$12*$AG71^6+WeightSDS!R$12*$AG71^5+WeightSDS!S$12*$AG71^4+WeightSDS!T$12*$AG71^3+WeightSDS!U$12*$AG71^2+WeightSDS!V$12*$AG71+WeightSDS!W$12,WeightSDS!P$14*$AG71^7+WeightSDS!Q$14*$AG71^6+WeightSDS!R$14*$AG71^5+WeightSDS!S$14*$AG71^4+WeightSDS!T$14*$AG71^3+WeightSDS!U$14*$AG71^2+WeightSDS!V$14*$AG71+WeightSDS!W$14),IF($AG71&lt;156,WeightSDS!O$17*$AG71^8+WeightSDS!P$17*$AG71^7+WeightSDS!Q$17*$AG71^6+WeightSDS!R$17*$AG71^5+WeightSDS!S$17*$AG71^4+WeightSDS!T$17*$AG71^3+WeightSDS!U$17*$AG71^2+WeightSDS!V$17*$AG71+WeightSDS!W$17,IF($AG71&lt;186,WeightSDS!$U$18+(WeightSDS!$V$18-WeightSDS!$U$18)/24*($AG71-186)+WeightSDS!$W$18*(-$AG71+186)^2-0.005,WeightSDS!$U$18+(WeightSDS!$V$18-WeightSDS!$U$18)/24*($AG71-186)-0.005)))</f>
        <v>0.14604529399999999</v>
      </c>
    </row>
    <row r="72" spans="1:37">
      <c r="A72" s="4"/>
      <c r="B72" s="21"/>
      <c r="C72" s="21"/>
      <c r="D72" s="21"/>
      <c r="E72" s="22"/>
      <c r="F72" s="22"/>
      <c r="G72" s="23"/>
      <c r="H72" s="23"/>
      <c r="I72" s="8" t="str">
        <f t="shared" si="18"/>
        <v/>
      </c>
      <c r="J72" s="2" t="str">
        <f t="shared" si="25"/>
        <v/>
      </c>
      <c r="K72" s="2" t="str">
        <f t="shared" si="19"/>
        <v/>
      </c>
      <c r="L72" s="2" t="str">
        <f t="shared" si="26"/>
        <v/>
      </c>
      <c r="M72" s="2" t="str">
        <f t="shared" ref="M72:M135" si="31">IF(COUNTA(D72,E72,F72,G72,H72)=5,H72/G72^2*10000,"")</f>
        <v/>
      </c>
      <c r="N72" s="2" t="str">
        <f t="shared" si="27"/>
        <v/>
      </c>
      <c r="O72" s="8" t="str">
        <f t="shared" si="28"/>
        <v/>
      </c>
      <c r="P72" s="8" t="str">
        <f t="shared" si="29"/>
        <v/>
      </c>
      <c r="Q72" s="40" t="str">
        <f t="shared" si="20"/>
        <v/>
      </c>
      <c r="R72" s="48" t="str">
        <f t="shared" si="30"/>
        <v/>
      </c>
      <c r="S72" s="8"/>
      <c r="U72" s="35">
        <f t="shared" si="21"/>
        <v>0</v>
      </c>
      <c r="V72" s="24">
        <f t="shared" si="22"/>
        <v>0</v>
      </c>
      <c r="W72" s="41">
        <f t="shared" si="17"/>
        <v>0</v>
      </c>
      <c r="X72" s="31"/>
      <c r="Y72" s="31"/>
      <c r="Z72" s="31"/>
      <c r="AA72" s="25">
        <f t="shared" si="23"/>
        <v>9.0359999999999996</v>
      </c>
      <c r="AB72" s="25">
        <f t="shared" si="24"/>
        <v>-184.49199999999999</v>
      </c>
      <c r="AD72" s="24">
        <f>IF(D72="M",IF(AG72&lt;78,BMILMS!$D$5*AG72^3+BMILMS!$E$5*AG72^2+BMILMS!$F$5*AG72+BMILMS!$G$5,IF(AG72&lt;150,BMILMS!$D$6*AG72^3+BMILMS!$E$6*AG72^2+BMILMS!$F$6*AG72+BMILMS!$G$6,BMILMS!$D$7*AG72^3+BMILMS!$E$7*AG72^2+BMILMS!$F$7*AG72+BMILMS!$G$7)),IF(AG72&lt;69,BMILMS!$D$9*AG72^3+BMILMS!$E$9*AG72^2+BMILMS!$F$9*AG72+BMILMS!$G$9,IF(AG72&lt;150,BMILMS!$D$10*AG72^3+BMILMS!$E$10*AG72^2+BMILMS!$F$10*AG72+BMILMS!$G$10,BMILMS!$D$11*AG72^3+BMILMS!$E$11*AG72^2+BMILMS!$F$11*AG72+BMILMS!$G$11)))</f>
        <v>0.79584630099999998</v>
      </c>
      <c r="AE72" s="24">
        <f>IF(D72="M",(IF(AG72&lt;2.5,BMILMS!$D$21*AG72^3+BMILMS!$E$21*AG72^2+BMILMS!$F$21*AG72+BMILMS!$G$21,IF(AG72&lt;9.5,BMILMS!$D$22*AG72^3+BMILMS!$E$22*AG72^2+BMILMS!$F$22*AG72+BMILMS!$G$22,IF(AG72&lt;26.75,BMILMS!$D$23*AG72^3+BMILMS!$E$23*AG72^2+BMILMS!$F$23*AG72+BMILMS!$G$23,IF(AG72&lt;90,BMILMS!$D$24*AG72^3+BMILMS!$E$24*AG72^2+BMILMS!$F$24*AG72+BMILMS!$G$24,BMILMS!$D$25*AG72^3+BMILMS!$E$25*AG72^2+BMILMS!$F$25*AG72+BMILMS!$G$25))))),(IF(AG72&lt;2.5,BMILMS!$D$27*AG72^3+BMILMS!$E$27*AG72^2+BMILMS!$F$27*AG72+BMILMS!$G$27,IF(AG72&lt;9.5,BMILMS!$D$28*AG72^3+BMILMS!$E$28*AG72^2+BMILMS!$F$28*AG72+BMILMS!$G$28,IF(AG72&lt;26.75,BMILMS!$D$29*AG72^3+BMILMS!$E$29*AG72^2+BMILMS!$F$29*AG72+BMILMS!$G$29,IF(AG72&lt;90,BMILMS!$D$30*AG72^3+BMILMS!$E$30*AG72^2+BMILMS!$F$30*AG72+BMILMS!$G$30,IF(AG72&lt;150,BMILMS!$D$31*AG72^3+BMILMS!$E$31*AG72^2+BMILMS!$F$31*AG72+BMILMS!$G$31,BMILMS!$D$32*AG72^3+BMILMS!$E$32*AG72^2+BMILMS!$F$32*AG72+BMILMS!$G$32)))))))</f>
        <v>12.568967990000001</v>
      </c>
      <c r="AF72" s="24">
        <f>IF(D72="M",(IF(AG72&lt;90,BMILMS!$D$14*AG72^3+BMILMS!$E$14*AG72^2+BMILMS!$F$14*AG72+BMILMS!$G$14,BMILMS!$D$15*AG72^3+BMILMS!$E$15*AG72^2+BMILMS!$F$15*AG72+BMILMS!$G$15)),(IF(AG72&lt;90,BMILMS!$D$17*AG72^3+BMILMS!$E$17*AG72^2+BMILMS!$F$17*AG72+BMILMS!$G$17,BMILMS!$D$18*AG72^3+BMILMS!$E$18*AG72^2+BMILMS!$F$18*AG72+BMILMS!$G$18)))</f>
        <v>8.8969350000000003E-2</v>
      </c>
      <c r="AG72" s="24">
        <f t="shared" ref="AG72:AG135" si="32">U72*12+V72</f>
        <v>0</v>
      </c>
      <c r="AI72" s="38">
        <f>IF(D72="M",WeightSDS!P$5*$AG72^7+WeightSDS!Q$5*$AG72^6+WeightSDS!R$5*$AG72^5+WeightSDS!S$5*$AG72^4+WeightSDS!T$5*$AG72^3+WeightSDS!U$5*$AG72^2+WeightSDS!V$5*$AG72+WeightSDS!W$5,IF($AG72&lt;186,WeightSDS!P$8*$AG72^7+WeightSDS!Q$8*$AG72^6+WeightSDS!R$8*$AG72^5+WeightSDS!S$8*$AG72^4+WeightSDS!T$8*$AG72^3+WeightSDS!U$8*$AG72^2+WeightSDS!V$8*$AG72+WeightSDS!W$8,WeightSDS!$U$9-WeightSDS!$V$9*($AG72-WeightSDS!$W$9)))</f>
        <v>0.75407122999999998</v>
      </c>
      <c r="AJ72" s="24">
        <f>IF(D72="M",IF($AG72&lt;45,WeightSDS!M$23*$AG72^10+WeightSDS!N$23*$AG72^9+WeightSDS!O$23*$AG72^8+WeightSDS!P$23*$AG72^7+WeightSDS!Q$23*$AG72^6+WeightSDS!R$23*$AG72^5+WeightSDS!S$23*$AG72^4+WeightSDS!T$23*$AG72^3+WeightSDS!U$23*$AG72^2+WeightSDS!V$23*$AG72+WeightSDS!W$23,IF($AG72&lt;153,WeightSDS!M$25*$AG72^10+WeightSDS!N$25*$AG72^9+WeightSDS!O$25*$AG72^8+WeightSDS!P$25*$AG72^7+WeightSDS!Q$25*$AG72^6+WeightSDS!R$25*$AG72^5+WeightSDS!S$25*$AG72^4+WeightSDS!T$25*$AG72^3+WeightSDS!U$25*$AG72^2+WeightSDS!V$25*$AG72+WeightSDS!W$25,WeightSDS!M$27+WeightSDS!N$27/(1+EXP(WeightSDS!O$27+WeightSDS!P$27*$AG72)))),IF($AG72&lt;43.8,WeightSDS!M$29*$AG72^10+WeightSDS!N$29*$AG72^9+WeightSDS!O$29*$AG72^8+WeightSDS!P$29*$AG72^7+WeightSDS!Q$29*$AG72^6+WeightSDS!R$29*$AG72^5+WeightSDS!S$29*$AG72^4+WeightSDS!T$29*$AG72^3+WeightSDS!U$29*$AG72^2+WeightSDS!V$29*$AG72+WeightSDS!W$29-0.010431*(1-$AG72/210),IF($AG72&lt;123,WeightSDS!M$30*$AG72^10+WeightSDS!N$30*$AG72^9+WeightSDS!O$30*$AG72^8+WeightSDS!P$30*$AG72^7+WeightSDS!Q$30*$AG72^6+WeightSDS!R$30*$AG72^5+WeightSDS!S$30*$AG72^4+WeightSDS!T$30*$AG72^3+WeightSDS!U$30*$AG72^2+WeightSDS!V$30*$AG72+WeightSDS!W$30-0.010431*(1-1/$AG72),WeightSDS!M$32+WeightSDS!N$32/(1+EXP(WeightSDS!O$32+WeightSDS!P$32*$AG72))-0.010431*(1-$AG72/210))))</f>
        <v>2.9500001032655536</v>
      </c>
      <c r="AK72" s="24">
        <f>IF(D72="M",IF($AG72&lt;162,WeightSDS!P$12*$AG72^7+WeightSDS!Q$12*$AG72^6+WeightSDS!R$12*$AG72^5+WeightSDS!S$12*$AG72^4+WeightSDS!T$12*$AG72^3+WeightSDS!U$12*$AG72^2+WeightSDS!V$12*$AG72+WeightSDS!W$12,WeightSDS!P$14*$AG72^7+WeightSDS!Q$14*$AG72^6+WeightSDS!R$14*$AG72^5+WeightSDS!S$14*$AG72^4+WeightSDS!T$14*$AG72^3+WeightSDS!U$14*$AG72^2+WeightSDS!V$14*$AG72+WeightSDS!W$14),IF($AG72&lt;156,WeightSDS!O$17*$AG72^8+WeightSDS!P$17*$AG72^7+WeightSDS!Q$17*$AG72^6+WeightSDS!R$17*$AG72^5+WeightSDS!S$17*$AG72^4+WeightSDS!T$17*$AG72^3+WeightSDS!U$17*$AG72^2+WeightSDS!V$17*$AG72+WeightSDS!W$17,IF($AG72&lt;186,WeightSDS!$U$18+(WeightSDS!$V$18-WeightSDS!$U$18)/24*($AG72-186)+WeightSDS!$W$18*(-$AG72+186)^2-0.005,WeightSDS!$U$18+(WeightSDS!$V$18-WeightSDS!$U$18)/24*($AG72-186)-0.005)))</f>
        <v>0.14604529399999999</v>
      </c>
    </row>
    <row r="73" spans="1:37">
      <c r="A73" s="4"/>
      <c r="B73" s="21"/>
      <c r="C73" s="21"/>
      <c r="D73" s="21"/>
      <c r="E73" s="22"/>
      <c r="F73" s="22"/>
      <c r="G73" s="23"/>
      <c r="H73" s="23"/>
      <c r="I73" s="8" t="str">
        <f t="shared" si="18"/>
        <v/>
      </c>
      <c r="J73" s="2" t="str">
        <f t="shared" si="25"/>
        <v/>
      </c>
      <c r="K73" s="2" t="str">
        <f t="shared" si="19"/>
        <v/>
      </c>
      <c r="L73" s="2" t="str">
        <f t="shared" si="26"/>
        <v/>
      </c>
      <c r="M73" s="2" t="str">
        <f t="shared" si="31"/>
        <v/>
      </c>
      <c r="N73" s="2" t="str">
        <f t="shared" si="27"/>
        <v/>
      </c>
      <c r="O73" s="8" t="str">
        <f t="shared" si="28"/>
        <v/>
      </c>
      <c r="P73" s="8" t="str">
        <f t="shared" si="29"/>
        <v/>
      </c>
      <c r="Q73" s="40" t="str">
        <f t="shared" si="20"/>
        <v/>
      </c>
      <c r="R73" s="48" t="str">
        <f t="shared" si="30"/>
        <v/>
      </c>
      <c r="S73" s="8"/>
      <c r="U73" s="35">
        <f t="shared" si="21"/>
        <v>0</v>
      </c>
      <c r="V73" s="24">
        <f t="shared" si="22"/>
        <v>0</v>
      </c>
      <c r="W73" s="41">
        <f t="shared" si="17"/>
        <v>0</v>
      </c>
      <c r="X73" s="31"/>
      <c r="Y73" s="31"/>
      <c r="Z73" s="31"/>
      <c r="AA73" s="25">
        <f t="shared" si="23"/>
        <v>9.0359999999999996</v>
      </c>
      <c r="AB73" s="25">
        <f t="shared" si="24"/>
        <v>-184.49199999999999</v>
      </c>
      <c r="AD73" s="24">
        <f>IF(D73="M",IF(AG73&lt;78,BMILMS!$D$5*AG73^3+BMILMS!$E$5*AG73^2+BMILMS!$F$5*AG73+BMILMS!$G$5,IF(AG73&lt;150,BMILMS!$D$6*AG73^3+BMILMS!$E$6*AG73^2+BMILMS!$F$6*AG73+BMILMS!$G$6,BMILMS!$D$7*AG73^3+BMILMS!$E$7*AG73^2+BMILMS!$F$7*AG73+BMILMS!$G$7)),IF(AG73&lt;69,BMILMS!$D$9*AG73^3+BMILMS!$E$9*AG73^2+BMILMS!$F$9*AG73+BMILMS!$G$9,IF(AG73&lt;150,BMILMS!$D$10*AG73^3+BMILMS!$E$10*AG73^2+BMILMS!$F$10*AG73+BMILMS!$G$10,BMILMS!$D$11*AG73^3+BMILMS!$E$11*AG73^2+BMILMS!$F$11*AG73+BMILMS!$G$11)))</f>
        <v>0.79584630099999998</v>
      </c>
      <c r="AE73" s="24">
        <f>IF(D73="M",(IF(AG73&lt;2.5,BMILMS!$D$21*AG73^3+BMILMS!$E$21*AG73^2+BMILMS!$F$21*AG73+BMILMS!$G$21,IF(AG73&lt;9.5,BMILMS!$D$22*AG73^3+BMILMS!$E$22*AG73^2+BMILMS!$F$22*AG73+BMILMS!$G$22,IF(AG73&lt;26.75,BMILMS!$D$23*AG73^3+BMILMS!$E$23*AG73^2+BMILMS!$F$23*AG73+BMILMS!$G$23,IF(AG73&lt;90,BMILMS!$D$24*AG73^3+BMILMS!$E$24*AG73^2+BMILMS!$F$24*AG73+BMILMS!$G$24,BMILMS!$D$25*AG73^3+BMILMS!$E$25*AG73^2+BMILMS!$F$25*AG73+BMILMS!$G$25))))),(IF(AG73&lt;2.5,BMILMS!$D$27*AG73^3+BMILMS!$E$27*AG73^2+BMILMS!$F$27*AG73+BMILMS!$G$27,IF(AG73&lt;9.5,BMILMS!$D$28*AG73^3+BMILMS!$E$28*AG73^2+BMILMS!$F$28*AG73+BMILMS!$G$28,IF(AG73&lt;26.75,BMILMS!$D$29*AG73^3+BMILMS!$E$29*AG73^2+BMILMS!$F$29*AG73+BMILMS!$G$29,IF(AG73&lt;90,BMILMS!$D$30*AG73^3+BMILMS!$E$30*AG73^2+BMILMS!$F$30*AG73+BMILMS!$G$30,IF(AG73&lt;150,BMILMS!$D$31*AG73^3+BMILMS!$E$31*AG73^2+BMILMS!$F$31*AG73+BMILMS!$G$31,BMILMS!$D$32*AG73^3+BMILMS!$E$32*AG73^2+BMILMS!$F$32*AG73+BMILMS!$G$32)))))))</f>
        <v>12.568967990000001</v>
      </c>
      <c r="AF73" s="24">
        <f>IF(D73="M",(IF(AG73&lt;90,BMILMS!$D$14*AG73^3+BMILMS!$E$14*AG73^2+BMILMS!$F$14*AG73+BMILMS!$G$14,BMILMS!$D$15*AG73^3+BMILMS!$E$15*AG73^2+BMILMS!$F$15*AG73+BMILMS!$G$15)),(IF(AG73&lt;90,BMILMS!$D$17*AG73^3+BMILMS!$E$17*AG73^2+BMILMS!$F$17*AG73+BMILMS!$G$17,BMILMS!$D$18*AG73^3+BMILMS!$E$18*AG73^2+BMILMS!$F$18*AG73+BMILMS!$G$18)))</f>
        <v>8.8969350000000003E-2</v>
      </c>
      <c r="AG73" s="24">
        <f t="shared" si="32"/>
        <v>0</v>
      </c>
      <c r="AI73" s="38">
        <f>IF(D73="M",WeightSDS!P$5*$AG73^7+WeightSDS!Q$5*$AG73^6+WeightSDS!R$5*$AG73^5+WeightSDS!S$5*$AG73^4+WeightSDS!T$5*$AG73^3+WeightSDS!U$5*$AG73^2+WeightSDS!V$5*$AG73+WeightSDS!W$5,IF($AG73&lt;186,WeightSDS!P$8*$AG73^7+WeightSDS!Q$8*$AG73^6+WeightSDS!R$8*$AG73^5+WeightSDS!S$8*$AG73^4+WeightSDS!T$8*$AG73^3+WeightSDS!U$8*$AG73^2+WeightSDS!V$8*$AG73+WeightSDS!W$8,WeightSDS!$U$9-WeightSDS!$V$9*($AG73-WeightSDS!$W$9)))</f>
        <v>0.75407122999999998</v>
      </c>
      <c r="AJ73" s="24">
        <f>IF(D73="M",IF($AG73&lt;45,WeightSDS!M$23*$AG73^10+WeightSDS!N$23*$AG73^9+WeightSDS!O$23*$AG73^8+WeightSDS!P$23*$AG73^7+WeightSDS!Q$23*$AG73^6+WeightSDS!R$23*$AG73^5+WeightSDS!S$23*$AG73^4+WeightSDS!T$23*$AG73^3+WeightSDS!U$23*$AG73^2+WeightSDS!V$23*$AG73+WeightSDS!W$23,IF($AG73&lt;153,WeightSDS!M$25*$AG73^10+WeightSDS!N$25*$AG73^9+WeightSDS!O$25*$AG73^8+WeightSDS!P$25*$AG73^7+WeightSDS!Q$25*$AG73^6+WeightSDS!R$25*$AG73^5+WeightSDS!S$25*$AG73^4+WeightSDS!T$25*$AG73^3+WeightSDS!U$25*$AG73^2+WeightSDS!V$25*$AG73+WeightSDS!W$25,WeightSDS!M$27+WeightSDS!N$27/(1+EXP(WeightSDS!O$27+WeightSDS!P$27*$AG73)))),IF($AG73&lt;43.8,WeightSDS!M$29*$AG73^10+WeightSDS!N$29*$AG73^9+WeightSDS!O$29*$AG73^8+WeightSDS!P$29*$AG73^7+WeightSDS!Q$29*$AG73^6+WeightSDS!R$29*$AG73^5+WeightSDS!S$29*$AG73^4+WeightSDS!T$29*$AG73^3+WeightSDS!U$29*$AG73^2+WeightSDS!V$29*$AG73+WeightSDS!W$29-0.010431*(1-$AG73/210),IF($AG73&lt;123,WeightSDS!M$30*$AG73^10+WeightSDS!N$30*$AG73^9+WeightSDS!O$30*$AG73^8+WeightSDS!P$30*$AG73^7+WeightSDS!Q$30*$AG73^6+WeightSDS!R$30*$AG73^5+WeightSDS!S$30*$AG73^4+WeightSDS!T$30*$AG73^3+WeightSDS!U$30*$AG73^2+WeightSDS!V$30*$AG73+WeightSDS!W$30-0.010431*(1-1/$AG73),WeightSDS!M$32+WeightSDS!N$32/(1+EXP(WeightSDS!O$32+WeightSDS!P$32*$AG73))-0.010431*(1-$AG73/210))))</f>
        <v>2.9500001032655536</v>
      </c>
      <c r="AK73" s="24">
        <f>IF(D73="M",IF($AG73&lt;162,WeightSDS!P$12*$AG73^7+WeightSDS!Q$12*$AG73^6+WeightSDS!R$12*$AG73^5+WeightSDS!S$12*$AG73^4+WeightSDS!T$12*$AG73^3+WeightSDS!U$12*$AG73^2+WeightSDS!V$12*$AG73+WeightSDS!W$12,WeightSDS!P$14*$AG73^7+WeightSDS!Q$14*$AG73^6+WeightSDS!R$14*$AG73^5+WeightSDS!S$14*$AG73^4+WeightSDS!T$14*$AG73^3+WeightSDS!U$14*$AG73^2+WeightSDS!V$14*$AG73+WeightSDS!W$14),IF($AG73&lt;156,WeightSDS!O$17*$AG73^8+WeightSDS!P$17*$AG73^7+WeightSDS!Q$17*$AG73^6+WeightSDS!R$17*$AG73^5+WeightSDS!S$17*$AG73^4+WeightSDS!T$17*$AG73^3+WeightSDS!U$17*$AG73^2+WeightSDS!V$17*$AG73+WeightSDS!W$17,IF($AG73&lt;186,WeightSDS!$U$18+(WeightSDS!$V$18-WeightSDS!$U$18)/24*($AG73-186)+WeightSDS!$W$18*(-$AG73+186)^2-0.005,WeightSDS!$U$18+(WeightSDS!$V$18-WeightSDS!$U$18)/24*($AG73-186)-0.005)))</f>
        <v>0.14604529399999999</v>
      </c>
    </row>
    <row r="74" spans="1:37">
      <c r="A74" s="4"/>
      <c r="B74" s="21"/>
      <c r="C74" s="21"/>
      <c r="D74" s="21"/>
      <c r="E74" s="22"/>
      <c r="F74" s="22"/>
      <c r="G74" s="23"/>
      <c r="H74" s="23"/>
      <c r="I74" s="8" t="str">
        <f t="shared" si="18"/>
        <v/>
      </c>
      <c r="J74" s="2" t="str">
        <f t="shared" si="25"/>
        <v/>
      </c>
      <c r="K74" s="2" t="str">
        <f t="shared" si="19"/>
        <v/>
      </c>
      <c r="L74" s="2" t="str">
        <f t="shared" si="26"/>
        <v/>
      </c>
      <c r="M74" s="2" t="str">
        <f t="shared" si="31"/>
        <v/>
      </c>
      <c r="N74" s="2" t="str">
        <f t="shared" si="27"/>
        <v/>
      </c>
      <c r="O74" s="8" t="str">
        <f t="shared" si="28"/>
        <v/>
      </c>
      <c r="P74" s="8" t="str">
        <f t="shared" si="29"/>
        <v/>
      </c>
      <c r="Q74" s="40" t="str">
        <f t="shared" si="20"/>
        <v/>
      </c>
      <c r="R74" s="48" t="str">
        <f t="shared" si="30"/>
        <v/>
      </c>
      <c r="S74" s="8"/>
      <c r="U74" s="35">
        <f t="shared" si="21"/>
        <v>0</v>
      </c>
      <c r="V74" s="24">
        <f t="shared" si="22"/>
        <v>0</v>
      </c>
      <c r="W74" s="41">
        <f t="shared" si="17"/>
        <v>0</v>
      </c>
      <c r="X74" s="31"/>
      <c r="Y74" s="31"/>
      <c r="Z74" s="31"/>
      <c r="AA74" s="25">
        <f t="shared" si="23"/>
        <v>9.0359999999999996</v>
      </c>
      <c r="AB74" s="25">
        <f t="shared" si="24"/>
        <v>-184.49199999999999</v>
      </c>
      <c r="AD74" s="24">
        <f>IF(D74="M",IF(AG74&lt;78,BMILMS!$D$5*AG74^3+BMILMS!$E$5*AG74^2+BMILMS!$F$5*AG74+BMILMS!$G$5,IF(AG74&lt;150,BMILMS!$D$6*AG74^3+BMILMS!$E$6*AG74^2+BMILMS!$F$6*AG74+BMILMS!$G$6,BMILMS!$D$7*AG74^3+BMILMS!$E$7*AG74^2+BMILMS!$F$7*AG74+BMILMS!$G$7)),IF(AG74&lt;69,BMILMS!$D$9*AG74^3+BMILMS!$E$9*AG74^2+BMILMS!$F$9*AG74+BMILMS!$G$9,IF(AG74&lt;150,BMILMS!$D$10*AG74^3+BMILMS!$E$10*AG74^2+BMILMS!$F$10*AG74+BMILMS!$G$10,BMILMS!$D$11*AG74^3+BMILMS!$E$11*AG74^2+BMILMS!$F$11*AG74+BMILMS!$G$11)))</f>
        <v>0.79584630099999998</v>
      </c>
      <c r="AE74" s="24">
        <f>IF(D74="M",(IF(AG74&lt;2.5,BMILMS!$D$21*AG74^3+BMILMS!$E$21*AG74^2+BMILMS!$F$21*AG74+BMILMS!$G$21,IF(AG74&lt;9.5,BMILMS!$D$22*AG74^3+BMILMS!$E$22*AG74^2+BMILMS!$F$22*AG74+BMILMS!$G$22,IF(AG74&lt;26.75,BMILMS!$D$23*AG74^3+BMILMS!$E$23*AG74^2+BMILMS!$F$23*AG74+BMILMS!$G$23,IF(AG74&lt;90,BMILMS!$D$24*AG74^3+BMILMS!$E$24*AG74^2+BMILMS!$F$24*AG74+BMILMS!$G$24,BMILMS!$D$25*AG74^3+BMILMS!$E$25*AG74^2+BMILMS!$F$25*AG74+BMILMS!$G$25))))),(IF(AG74&lt;2.5,BMILMS!$D$27*AG74^3+BMILMS!$E$27*AG74^2+BMILMS!$F$27*AG74+BMILMS!$G$27,IF(AG74&lt;9.5,BMILMS!$D$28*AG74^3+BMILMS!$E$28*AG74^2+BMILMS!$F$28*AG74+BMILMS!$G$28,IF(AG74&lt;26.75,BMILMS!$D$29*AG74^3+BMILMS!$E$29*AG74^2+BMILMS!$F$29*AG74+BMILMS!$G$29,IF(AG74&lt;90,BMILMS!$D$30*AG74^3+BMILMS!$E$30*AG74^2+BMILMS!$F$30*AG74+BMILMS!$G$30,IF(AG74&lt;150,BMILMS!$D$31*AG74^3+BMILMS!$E$31*AG74^2+BMILMS!$F$31*AG74+BMILMS!$G$31,BMILMS!$D$32*AG74^3+BMILMS!$E$32*AG74^2+BMILMS!$F$32*AG74+BMILMS!$G$32)))))))</f>
        <v>12.568967990000001</v>
      </c>
      <c r="AF74" s="24">
        <f>IF(D74="M",(IF(AG74&lt;90,BMILMS!$D$14*AG74^3+BMILMS!$E$14*AG74^2+BMILMS!$F$14*AG74+BMILMS!$G$14,BMILMS!$D$15*AG74^3+BMILMS!$E$15*AG74^2+BMILMS!$F$15*AG74+BMILMS!$G$15)),(IF(AG74&lt;90,BMILMS!$D$17*AG74^3+BMILMS!$E$17*AG74^2+BMILMS!$F$17*AG74+BMILMS!$G$17,BMILMS!$D$18*AG74^3+BMILMS!$E$18*AG74^2+BMILMS!$F$18*AG74+BMILMS!$G$18)))</f>
        <v>8.8969350000000003E-2</v>
      </c>
      <c r="AG74" s="24">
        <f t="shared" si="32"/>
        <v>0</v>
      </c>
      <c r="AI74" s="38">
        <f>IF(D74="M",WeightSDS!P$5*$AG74^7+WeightSDS!Q$5*$AG74^6+WeightSDS!R$5*$AG74^5+WeightSDS!S$5*$AG74^4+WeightSDS!T$5*$AG74^3+WeightSDS!U$5*$AG74^2+WeightSDS!V$5*$AG74+WeightSDS!W$5,IF($AG74&lt;186,WeightSDS!P$8*$AG74^7+WeightSDS!Q$8*$AG74^6+WeightSDS!R$8*$AG74^5+WeightSDS!S$8*$AG74^4+WeightSDS!T$8*$AG74^3+WeightSDS!U$8*$AG74^2+WeightSDS!V$8*$AG74+WeightSDS!W$8,WeightSDS!$U$9-WeightSDS!$V$9*($AG74-WeightSDS!$W$9)))</f>
        <v>0.75407122999999998</v>
      </c>
      <c r="AJ74" s="24">
        <f>IF(D74="M",IF($AG74&lt;45,WeightSDS!M$23*$AG74^10+WeightSDS!N$23*$AG74^9+WeightSDS!O$23*$AG74^8+WeightSDS!P$23*$AG74^7+WeightSDS!Q$23*$AG74^6+WeightSDS!R$23*$AG74^5+WeightSDS!S$23*$AG74^4+WeightSDS!T$23*$AG74^3+WeightSDS!U$23*$AG74^2+WeightSDS!V$23*$AG74+WeightSDS!W$23,IF($AG74&lt;153,WeightSDS!M$25*$AG74^10+WeightSDS!N$25*$AG74^9+WeightSDS!O$25*$AG74^8+WeightSDS!P$25*$AG74^7+WeightSDS!Q$25*$AG74^6+WeightSDS!R$25*$AG74^5+WeightSDS!S$25*$AG74^4+WeightSDS!T$25*$AG74^3+WeightSDS!U$25*$AG74^2+WeightSDS!V$25*$AG74+WeightSDS!W$25,WeightSDS!M$27+WeightSDS!N$27/(1+EXP(WeightSDS!O$27+WeightSDS!P$27*$AG74)))),IF($AG74&lt;43.8,WeightSDS!M$29*$AG74^10+WeightSDS!N$29*$AG74^9+WeightSDS!O$29*$AG74^8+WeightSDS!P$29*$AG74^7+WeightSDS!Q$29*$AG74^6+WeightSDS!R$29*$AG74^5+WeightSDS!S$29*$AG74^4+WeightSDS!T$29*$AG74^3+WeightSDS!U$29*$AG74^2+WeightSDS!V$29*$AG74+WeightSDS!W$29-0.010431*(1-$AG74/210),IF($AG74&lt;123,WeightSDS!M$30*$AG74^10+WeightSDS!N$30*$AG74^9+WeightSDS!O$30*$AG74^8+WeightSDS!P$30*$AG74^7+WeightSDS!Q$30*$AG74^6+WeightSDS!R$30*$AG74^5+WeightSDS!S$30*$AG74^4+WeightSDS!T$30*$AG74^3+WeightSDS!U$30*$AG74^2+WeightSDS!V$30*$AG74+WeightSDS!W$30-0.010431*(1-1/$AG74),WeightSDS!M$32+WeightSDS!N$32/(1+EXP(WeightSDS!O$32+WeightSDS!P$32*$AG74))-0.010431*(1-$AG74/210))))</f>
        <v>2.9500001032655536</v>
      </c>
      <c r="AK74" s="24">
        <f>IF(D74="M",IF($AG74&lt;162,WeightSDS!P$12*$AG74^7+WeightSDS!Q$12*$AG74^6+WeightSDS!R$12*$AG74^5+WeightSDS!S$12*$AG74^4+WeightSDS!T$12*$AG74^3+WeightSDS!U$12*$AG74^2+WeightSDS!V$12*$AG74+WeightSDS!W$12,WeightSDS!P$14*$AG74^7+WeightSDS!Q$14*$AG74^6+WeightSDS!R$14*$AG74^5+WeightSDS!S$14*$AG74^4+WeightSDS!T$14*$AG74^3+WeightSDS!U$14*$AG74^2+WeightSDS!V$14*$AG74+WeightSDS!W$14),IF($AG74&lt;156,WeightSDS!O$17*$AG74^8+WeightSDS!P$17*$AG74^7+WeightSDS!Q$17*$AG74^6+WeightSDS!R$17*$AG74^5+WeightSDS!S$17*$AG74^4+WeightSDS!T$17*$AG74^3+WeightSDS!U$17*$AG74^2+WeightSDS!V$17*$AG74+WeightSDS!W$17,IF($AG74&lt;186,WeightSDS!$U$18+(WeightSDS!$V$18-WeightSDS!$U$18)/24*($AG74-186)+WeightSDS!$W$18*(-$AG74+186)^2-0.005,WeightSDS!$U$18+(WeightSDS!$V$18-WeightSDS!$U$18)/24*($AG74-186)-0.005)))</f>
        <v>0.14604529399999999</v>
      </c>
    </row>
    <row r="75" spans="1:37">
      <c r="A75" s="4"/>
      <c r="B75" s="21"/>
      <c r="C75" s="21"/>
      <c r="D75" s="21"/>
      <c r="E75" s="22"/>
      <c r="F75" s="22"/>
      <c r="G75" s="23"/>
      <c r="H75" s="23"/>
      <c r="I75" s="8" t="str">
        <f t="shared" si="18"/>
        <v/>
      </c>
      <c r="J75" s="2" t="str">
        <f t="shared" si="25"/>
        <v/>
      </c>
      <c r="K75" s="2" t="str">
        <f t="shared" si="19"/>
        <v/>
      </c>
      <c r="L75" s="2" t="str">
        <f t="shared" si="26"/>
        <v/>
      </c>
      <c r="M75" s="2" t="str">
        <f t="shared" si="31"/>
        <v/>
      </c>
      <c r="N75" s="2" t="str">
        <f t="shared" si="27"/>
        <v/>
      </c>
      <c r="O75" s="8" t="str">
        <f t="shared" si="28"/>
        <v/>
      </c>
      <c r="P75" s="8" t="str">
        <f t="shared" si="29"/>
        <v/>
      </c>
      <c r="Q75" s="40" t="str">
        <f t="shared" si="20"/>
        <v/>
      </c>
      <c r="R75" s="48" t="str">
        <f t="shared" si="30"/>
        <v/>
      </c>
      <c r="S75" s="8"/>
      <c r="U75" s="35">
        <f t="shared" si="21"/>
        <v>0</v>
      </c>
      <c r="V75" s="24">
        <f t="shared" si="22"/>
        <v>0</v>
      </c>
      <c r="W75" s="41">
        <f t="shared" si="17"/>
        <v>0</v>
      </c>
      <c r="X75" s="31"/>
      <c r="Y75" s="31"/>
      <c r="Z75" s="31"/>
      <c r="AA75" s="25">
        <f t="shared" si="23"/>
        <v>9.0359999999999996</v>
      </c>
      <c r="AB75" s="25">
        <f t="shared" si="24"/>
        <v>-184.49199999999999</v>
      </c>
      <c r="AD75" s="24">
        <f>IF(D75="M",IF(AG75&lt;78,BMILMS!$D$5*AG75^3+BMILMS!$E$5*AG75^2+BMILMS!$F$5*AG75+BMILMS!$G$5,IF(AG75&lt;150,BMILMS!$D$6*AG75^3+BMILMS!$E$6*AG75^2+BMILMS!$F$6*AG75+BMILMS!$G$6,BMILMS!$D$7*AG75^3+BMILMS!$E$7*AG75^2+BMILMS!$F$7*AG75+BMILMS!$G$7)),IF(AG75&lt;69,BMILMS!$D$9*AG75^3+BMILMS!$E$9*AG75^2+BMILMS!$F$9*AG75+BMILMS!$G$9,IF(AG75&lt;150,BMILMS!$D$10*AG75^3+BMILMS!$E$10*AG75^2+BMILMS!$F$10*AG75+BMILMS!$G$10,BMILMS!$D$11*AG75^3+BMILMS!$E$11*AG75^2+BMILMS!$F$11*AG75+BMILMS!$G$11)))</f>
        <v>0.79584630099999998</v>
      </c>
      <c r="AE75" s="24">
        <f>IF(D75="M",(IF(AG75&lt;2.5,BMILMS!$D$21*AG75^3+BMILMS!$E$21*AG75^2+BMILMS!$F$21*AG75+BMILMS!$G$21,IF(AG75&lt;9.5,BMILMS!$D$22*AG75^3+BMILMS!$E$22*AG75^2+BMILMS!$F$22*AG75+BMILMS!$G$22,IF(AG75&lt;26.75,BMILMS!$D$23*AG75^3+BMILMS!$E$23*AG75^2+BMILMS!$F$23*AG75+BMILMS!$G$23,IF(AG75&lt;90,BMILMS!$D$24*AG75^3+BMILMS!$E$24*AG75^2+BMILMS!$F$24*AG75+BMILMS!$G$24,BMILMS!$D$25*AG75^3+BMILMS!$E$25*AG75^2+BMILMS!$F$25*AG75+BMILMS!$G$25))))),(IF(AG75&lt;2.5,BMILMS!$D$27*AG75^3+BMILMS!$E$27*AG75^2+BMILMS!$F$27*AG75+BMILMS!$G$27,IF(AG75&lt;9.5,BMILMS!$D$28*AG75^3+BMILMS!$E$28*AG75^2+BMILMS!$F$28*AG75+BMILMS!$G$28,IF(AG75&lt;26.75,BMILMS!$D$29*AG75^3+BMILMS!$E$29*AG75^2+BMILMS!$F$29*AG75+BMILMS!$G$29,IF(AG75&lt;90,BMILMS!$D$30*AG75^3+BMILMS!$E$30*AG75^2+BMILMS!$F$30*AG75+BMILMS!$G$30,IF(AG75&lt;150,BMILMS!$D$31*AG75^3+BMILMS!$E$31*AG75^2+BMILMS!$F$31*AG75+BMILMS!$G$31,BMILMS!$D$32*AG75^3+BMILMS!$E$32*AG75^2+BMILMS!$F$32*AG75+BMILMS!$G$32)))))))</f>
        <v>12.568967990000001</v>
      </c>
      <c r="AF75" s="24">
        <f>IF(D75="M",(IF(AG75&lt;90,BMILMS!$D$14*AG75^3+BMILMS!$E$14*AG75^2+BMILMS!$F$14*AG75+BMILMS!$G$14,BMILMS!$D$15*AG75^3+BMILMS!$E$15*AG75^2+BMILMS!$F$15*AG75+BMILMS!$G$15)),(IF(AG75&lt;90,BMILMS!$D$17*AG75^3+BMILMS!$E$17*AG75^2+BMILMS!$F$17*AG75+BMILMS!$G$17,BMILMS!$D$18*AG75^3+BMILMS!$E$18*AG75^2+BMILMS!$F$18*AG75+BMILMS!$G$18)))</f>
        <v>8.8969350000000003E-2</v>
      </c>
      <c r="AG75" s="24">
        <f t="shared" si="32"/>
        <v>0</v>
      </c>
      <c r="AI75" s="38">
        <f>IF(D75="M",WeightSDS!P$5*$AG75^7+WeightSDS!Q$5*$AG75^6+WeightSDS!R$5*$AG75^5+WeightSDS!S$5*$AG75^4+WeightSDS!T$5*$AG75^3+WeightSDS!U$5*$AG75^2+WeightSDS!V$5*$AG75+WeightSDS!W$5,IF($AG75&lt;186,WeightSDS!P$8*$AG75^7+WeightSDS!Q$8*$AG75^6+WeightSDS!R$8*$AG75^5+WeightSDS!S$8*$AG75^4+WeightSDS!T$8*$AG75^3+WeightSDS!U$8*$AG75^2+WeightSDS!V$8*$AG75+WeightSDS!W$8,WeightSDS!$U$9-WeightSDS!$V$9*($AG75-WeightSDS!$W$9)))</f>
        <v>0.75407122999999998</v>
      </c>
      <c r="AJ75" s="24">
        <f>IF(D75="M",IF($AG75&lt;45,WeightSDS!M$23*$AG75^10+WeightSDS!N$23*$AG75^9+WeightSDS!O$23*$AG75^8+WeightSDS!P$23*$AG75^7+WeightSDS!Q$23*$AG75^6+WeightSDS!R$23*$AG75^5+WeightSDS!S$23*$AG75^4+WeightSDS!T$23*$AG75^3+WeightSDS!U$23*$AG75^2+WeightSDS!V$23*$AG75+WeightSDS!W$23,IF($AG75&lt;153,WeightSDS!M$25*$AG75^10+WeightSDS!N$25*$AG75^9+WeightSDS!O$25*$AG75^8+WeightSDS!P$25*$AG75^7+WeightSDS!Q$25*$AG75^6+WeightSDS!R$25*$AG75^5+WeightSDS!S$25*$AG75^4+WeightSDS!T$25*$AG75^3+WeightSDS!U$25*$AG75^2+WeightSDS!V$25*$AG75+WeightSDS!W$25,WeightSDS!M$27+WeightSDS!N$27/(1+EXP(WeightSDS!O$27+WeightSDS!P$27*$AG75)))),IF($AG75&lt;43.8,WeightSDS!M$29*$AG75^10+WeightSDS!N$29*$AG75^9+WeightSDS!O$29*$AG75^8+WeightSDS!P$29*$AG75^7+WeightSDS!Q$29*$AG75^6+WeightSDS!R$29*$AG75^5+WeightSDS!S$29*$AG75^4+WeightSDS!T$29*$AG75^3+WeightSDS!U$29*$AG75^2+WeightSDS!V$29*$AG75+WeightSDS!W$29-0.010431*(1-$AG75/210),IF($AG75&lt;123,WeightSDS!M$30*$AG75^10+WeightSDS!N$30*$AG75^9+WeightSDS!O$30*$AG75^8+WeightSDS!P$30*$AG75^7+WeightSDS!Q$30*$AG75^6+WeightSDS!R$30*$AG75^5+WeightSDS!S$30*$AG75^4+WeightSDS!T$30*$AG75^3+WeightSDS!U$30*$AG75^2+WeightSDS!V$30*$AG75+WeightSDS!W$30-0.010431*(1-1/$AG75),WeightSDS!M$32+WeightSDS!N$32/(1+EXP(WeightSDS!O$32+WeightSDS!P$32*$AG75))-0.010431*(1-$AG75/210))))</f>
        <v>2.9500001032655536</v>
      </c>
      <c r="AK75" s="24">
        <f>IF(D75="M",IF($AG75&lt;162,WeightSDS!P$12*$AG75^7+WeightSDS!Q$12*$AG75^6+WeightSDS!R$12*$AG75^5+WeightSDS!S$12*$AG75^4+WeightSDS!T$12*$AG75^3+WeightSDS!U$12*$AG75^2+WeightSDS!V$12*$AG75+WeightSDS!W$12,WeightSDS!P$14*$AG75^7+WeightSDS!Q$14*$AG75^6+WeightSDS!R$14*$AG75^5+WeightSDS!S$14*$AG75^4+WeightSDS!T$14*$AG75^3+WeightSDS!U$14*$AG75^2+WeightSDS!V$14*$AG75+WeightSDS!W$14),IF($AG75&lt;156,WeightSDS!O$17*$AG75^8+WeightSDS!P$17*$AG75^7+WeightSDS!Q$17*$AG75^6+WeightSDS!R$17*$AG75^5+WeightSDS!S$17*$AG75^4+WeightSDS!T$17*$AG75^3+WeightSDS!U$17*$AG75^2+WeightSDS!V$17*$AG75+WeightSDS!W$17,IF($AG75&lt;186,WeightSDS!$U$18+(WeightSDS!$V$18-WeightSDS!$U$18)/24*($AG75-186)+WeightSDS!$W$18*(-$AG75+186)^2-0.005,WeightSDS!$U$18+(WeightSDS!$V$18-WeightSDS!$U$18)/24*($AG75-186)-0.005)))</f>
        <v>0.14604529399999999</v>
      </c>
    </row>
    <row r="76" spans="1:37">
      <c r="A76" s="4"/>
      <c r="B76" s="21"/>
      <c r="C76" s="21"/>
      <c r="D76" s="21"/>
      <c r="E76" s="22"/>
      <c r="F76" s="22"/>
      <c r="G76" s="23"/>
      <c r="H76" s="23"/>
      <c r="I76" s="8" t="str">
        <f t="shared" si="18"/>
        <v/>
      </c>
      <c r="J76" s="2" t="str">
        <f t="shared" si="25"/>
        <v/>
      </c>
      <c r="K76" s="2" t="str">
        <f t="shared" si="19"/>
        <v/>
      </c>
      <c r="L76" s="2" t="str">
        <f t="shared" si="26"/>
        <v/>
      </c>
      <c r="M76" s="2" t="str">
        <f t="shared" si="31"/>
        <v/>
      </c>
      <c r="N76" s="2" t="str">
        <f t="shared" si="27"/>
        <v/>
      </c>
      <c r="O76" s="8" t="str">
        <f t="shared" si="28"/>
        <v/>
      </c>
      <c r="P76" s="8" t="str">
        <f t="shared" si="29"/>
        <v/>
      </c>
      <c r="Q76" s="40" t="str">
        <f t="shared" si="20"/>
        <v/>
      </c>
      <c r="R76" s="48" t="str">
        <f t="shared" si="30"/>
        <v/>
      </c>
      <c r="S76" s="8"/>
      <c r="U76" s="35">
        <f t="shared" si="21"/>
        <v>0</v>
      </c>
      <c r="V76" s="24">
        <f t="shared" si="22"/>
        <v>0</v>
      </c>
      <c r="W76" s="41">
        <f t="shared" si="17"/>
        <v>0</v>
      </c>
      <c r="X76" s="31"/>
      <c r="Y76" s="31"/>
      <c r="Z76" s="31"/>
      <c r="AA76" s="25">
        <f t="shared" si="23"/>
        <v>9.0359999999999996</v>
      </c>
      <c r="AB76" s="25">
        <f t="shared" si="24"/>
        <v>-184.49199999999999</v>
      </c>
      <c r="AD76" s="24">
        <f>IF(D76="M",IF(AG76&lt;78,BMILMS!$D$5*AG76^3+BMILMS!$E$5*AG76^2+BMILMS!$F$5*AG76+BMILMS!$G$5,IF(AG76&lt;150,BMILMS!$D$6*AG76^3+BMILMS!$E$6*AG76^2+BMILMS!$F$6*AG76+BMILMS!$G$6,BMILMS!$D$7*AG76^3+BMILMS!$E$7*AG76^2+BMILMS!$F$7*AG76+BMILMS!$G$7)),IF(AG76&lt;69,BMILMS!$D$9*AG76^3+BMILMS!$E$9*AG76^2+BMILMS!$F$9*AG76+BMILMS!$G$9,IF(AG76&lt;150,BMILMS!$D$10*AG76^3+BMILMS!$E$10*AG76^2+BMILMS!$F$10*AG76+BMILMS!$G$10,BMILMS!$D$11*AG76^3+BMILMS!$E$11*AG76^2+BMILMS!$F$11*AG76+BMILMS!$G$11)))</f>
        <v>0.79584630099999998</v>
      </c>
      <c r="AE76" s="24">
        <f>IF(D76="M",(IF(AG76&lt;2.5,BMILMS!$D$21*AG76^3+BMILMS!$E$21*AG76^2+BMILMS!$F$21*AG76+BMILMS!$G$21,IF(AG76&lt;9.5,BMILMS!$D$22*AG76^3+BMILMS!$E$22*AG76^2+BMILMS!$F$22*AG76+BMILMS!$G$22,IF(AG76&lt;26.75,BMILMS!$D$23*AG76^3+BMILMS!$E$23*AG76^2+BMILMS!$F$23*AG76+BMILMS!$G$23,IF(AG76&lt;90,BMILMS!$D$24*AG76^3+BMILMS!$E$24*AG76^2+BMILMS!$F$24*AG76+BMILMS!$G$24,BMILMS!$D$25*AG76^3+BMILMS!$E$25*AG76^2+BMILMS!$F$25*AG76+BMILMS!$G$25))))),(IF(AG76&lt;2.5,BMILMS!$D$27*AG76^3+BMILMS!$E$27*AG76^2+BMILMS!$F$27*AG76+BMILMS!$G$27,IF(AG76&lt;9.5,BMILMS!$D$28*AG76^3+BMILMS!$E$28*AG76^2+BMILMS!$F$28*AG76+BMILMS!$G$28,IF(AG76&lt;26.75,BMILMS!$D$29*AG76^3+BMILMS!$E$29*AG76^2+BMILMS!$F$29*AG76+BMILMS!$G$29,IF(AG76&lt;90,BMILMS!$D$30*AG76^3+BMILMS!$E$30*AG76^2+BMILMS!$F$30*AG76+BMILMS!$G$30,IF(AG76&lt;150,BMILMS!$D$31*AG76^3+BMILMS!$E$31*AG76^2+BMILMS!$F$31*AG76+BMILMS!$G$31,BMILMS!$D$32*AG76^3+BMILMS!$E$32*AG76^2+BMILMS!$F$32*AG76+BMILMS!$G$32)))))))</f>
        <v>12.568967990000001</v>
      </c>
      <c r="AF76" s="24">
        <f>IF(D76="M",(IF(AG76&lt;90,BMILMS!$D$14*AG76^3+BMILMS!$E$14*AG76^2+BMILMS!$F$14*AG76+BMILMS!$G$14,BMILMS!$D$15*AG76^3+BMILMS!$E$15*AG76^2+BMILMS!$F$15*AG76+BMILMS!$G$15)),(IF(AG76&lt;90,BMILMS!$D$17*AG76^3+BMILMS!$E$17*AG76^2+BMILMS!$F$17*AG76+BMILMS!$G$17,BMILMS!$D$18*AG76^3+BMILMS!$E$18*AG76^2+BMILMS!$F$18*AG76+BMILMS!$G$18)))</f>
        <v>8.8969350000000003E-2</v>
      </c>
      <c r="AG76" s="24">
        <f t="shared" si="32"/>
        <v>0</v>
      </c>
      <c r="AI76" s="38">
        <f>IF(D76="M",WeightSDS!P$5*$AG76^7+WeightSDS!Q$5*$AG76^6+WeightSDS!R$5*$AG76^5+WeightSDS!S$5*$AG76^4+WeightSDS!T$5*$AG76^3+WeightSDS!U$5*$AG76^2+WeightSDS!V$5*$AG76+WeightSDS!W$5,IF($AG76&lt;186,WeightSDS!P$8*$AG76^7+WeightSDS!Q$8*$AG76^6+WeightSDS!R$8*$AG76^5+WeightSDS!S$8*$AG76^4+WeightSDS!T$8*$AG76^3+WeightSDS!U$8*$AG76^2+WeightSDS!V$8*$AG76+WeightSDS!W$8,WeightSDS!$U$9-WeightSDS!$V$9*($AG76-WeightSDS!$W$9)))</f>
        <v>0.75407122999999998</v>
      </c>
      <c r="AJ76" s="24">
        <f>IF(D76="M",IF($AG76&lt;45,WeightSDS!M$23*$AG76^10+WeightSDS!N$23*$AG76^9+WeightSDS!O$23*$AG76^8+WeightSDS!P$23*$AG76^7+WeightSDS!Q$23*$AG76^6+WeightSDS!R$23*$AG76^5+WeightSDS!S$23*$AG76^4+WeightSDS!T$23*$AG76^3+WeightSDS!U$23*$AG76^2+WeightSDS!V$23*$AG76+WeightSDS!W$23,IF($AG76&lt;153,WeightSDS!M$25*$AG76^10+WeightSDS!N$25*$AG76^9+WeightSDS!O$25*$AG76^8+WeightSDS!P$25*$AG76^7+WeightSDS!Q$25*$AG76^6+WeightSDS!R$25*$AG76^5+WeightSDS!S$25*$AG76^4+WeightSDS!T$25*$AG76^3+WeightSDS!U$25*$AG76^2+WeightSDS!V$25*$AG76+WeightSDS!W$25,WeightSDS!M$27+WeightSDS!N$27/(1+EXP(WeightSDS!O$27+WeightSDS!P$27*$AG76)))),IF($AG76&lt;43.8,WeightSDS!M$29*$AG76^10+WeightSDS!N$29*$AG76^9+WeightSDS!O$29*$AG76^8+WeightSDS!P$29*$AG76^7+WeightSDS!Q$29*$AG76^6+WeightSDS!R$29*$AG76^5+WeightSDS!S$29*$AG76^4+WeightSDS!T$29*$AG76^3+WeightSDS!U$29*$AG76^2+WeightSDS!V$29*$AG76+WeightSDS!W$29-0.010431*(1-$AG76/210),IF($AG76&lt;123,WeightSDS!M$30*$AG76^10+WeightSDS!N$30*$AG76^9+WeightSDS!O$30*$AG76^8+WeightSDS!P$30*$AG76^7+WeightSDS!Q$30*$AG76^6+WeightSDS!R$30*$AG76^5+WeightSDS!S$30*$AG76^4+WeightSDS!T$30*$AG76^3+WeightSDS!U$30*$AG76^2+WeightSDS!V$30*$AG76+WeightSDS!W$30-0.010431*(1-1/$AG76),WeightSDS!M$32+WeightSDS!N$32/(1+EXP(WeightSDS!O$32+WeightSDS!P$32*$AG76))-0.010431*(1-$AG76/210))))</f>
        <v>2.9500001032655536</v>
      </c>
      <c r="AK76" s="24">
        <f>IF(D76="M",IF($AG76&lt;162,WeightSDS!P$12*$AG76^7+WeightSDS!Q$12*$AG76^6+WeightSDS!R$12*$AG76^5+WeightSDS!S$12*$AG76^4+WeightSDS!T$12*$AG76^3+WeightSDS!U$12*$AG76^2+WeightSDS!V$12*$AG76+WeightSDS!W$12,WeightSDS!P$14*$AG76^7+WeightSDS!Q$14*$AG76^6+WeightSDS!R$14*$AG76^5+WeightSDS!S$14*$AG76^4+WeightSDS!T$14*$AG76^3+WeightSDS!U$14*$AG76^2+WeightSDS!V$14*$AG76+WeightSDS!W$14),IF($AG76&lt;156,WeightSDS!O$17*$AG76^8+WeightSDS!P$17*$AG76^7+WeightSDS!Q$17*$AG76^6+WeightSDS!R$17*$AG76^5+WeightSDS!S$17*$AG76^4+WeightSDS!T$17*$AG76^3+WeightSDS!U$17*$AG76^2+WeightSDS!V$17*$AG76+WeightSDS!W$17,IF($AG76&lt;186,WeightSDS!$U$18+(WeightSDS!$V$18-WeightSDS!$U$18)/24*($AG76-186)+WeightSDS!$W$18*(-$AG76+186)^2-0.005,WeightSDS!$U$18+(WeightSDS!$V$18-WeightSDS!$U$18)/24*($AG76-186)-0.005)))</f>
        <v>0.14604529399999999</v>
      </c>
    </row>
    <row r="77" spans="1:37">
      <c r="A77" s="4"/>
      <c r="B77" s="21"/>
      <c r="C77" s="21"/>
      <c r="D77" s="21"/>
      <c r="E77" s="22"/>
      <c r="F77" s="22"/>
      <c r="G77" s="23"/>
      <c r="H77" s="23"/>
      <c r="I77" s="8" t="str">
        <f t="shared" si="18"/>
        <v/>
      </c>
      <c r="J77" s="2" t="str">
        <f t="shared" si="25"/>
        <v/>
      </c>
      <c r="K77" s="2" t="str">
        <f t="shared" si="19"/>
        <v/>
      </c>
      <c r="L77" s="2" t="str">
        <f t="shared" si="26"/>
        <v/>
      </c>
      <c r="M77" s="2" t="str">
        <f t="shared" si="31"/>
        <v/>
      </c>
      <c r="N77" s="2" t="str">
        <f t="shared" si="27"/>
        <v/>
      </c>
      <c r="O77" s="8" t="str">
        <f t="shared" si="28"/>
        <v/>
      </c>
      <c r="P77" s="8" t="str">
        <f t="shared" si="29"/>
        <v/>
      </c>
      <c r="Q77" s="40" t="str">
        <f t="shared" si="20"/>
        <v/>
      </c>
      <c r="R77" s="48" t="str">
        <f t="shared" si="30"/>
        <v/>
      </c>
      <c r="S77" s="8"/>
      <c r="U77" s="35">
        <f t="shared" si="21"/>
        <v>0</v>
      </c>
      <c r="V77" s="24">
        <f t="shared" si="22"/>
        <v>0</v>
      </c>
      <c r="W77" s="41">
        <f t="shared" si="17"/>
        <v>0</v>
      </c>
      <c r="X77" s="31"/>
      <c r="Y77" s="31"/>
      <c r="Z77" s="31"/>
      <c r="AA77" s="25">
        <f t="shared" si="23"/>
        <v>9.0359999999999996</v>
      </c>
      <c r="AB77" s="25">
        <f t="shared" si="24"/>
        <v>-184.49199999999999</v>
      </c>
      <c r="AD77" s="24">
        <f>IF(D77="M",IF(AG77&lt;78,BMILMS!$D$5*AG77^3+BMILMS!$E$5*AG77^2+BMILMS!$F$5*AG77+BMILMS!$G$5,IF(AG77&lt;150,BMILMS!$D$6*AG77^3+BMILMS!$E$6*AG77^2+BMILMS!$F$6*AG77+BMILMS!$G$6,BMILMS!$D$7*AG77^3+BMILMS!$E$7*AG77^2+BMILMS!$F$7*AG77+BMILMS!$G$7)),IF(AG77&lt;69,BMILMS!$D$9*AG77^3+BMILMS!$E$9*AG77^2+BMILMS!$F$9*AG77+BMILMS!$G$9,IF(AG77&lt;150,BMILMS!$D$10*AG77^3+BMILMS!$E$10*AG77^2+BMILMS!$F$10*AG77+BMILMS!$G$10,BMILMS!$D$11*AG77^3+BMILMS!$E$11*AG77^2+BMILMS!$F$11*AG77+BMILMS!$G$11)))</f>
        <v>0.79584630099999998</v>
      </c>
      <c r="AE77" s="24">
        <f>IF(D77="M",(IF(AG77&lt;2.5,BMILMS!$D$21*AG77^3+BMILMS!$E$21*AG77^2+BMILMS!$F$21*AG77+BMILMS!$G$21,IF(AG77&lt;9.5,BMILMS!$D$22*AG77^3+BMILMS!$E$22*AG77^2+BMILMS!$F$22*AG77+BMILMS!$G$22,IF(AG77&lt;26.75,BMILMS!$D$23*AG77^3+BMILMS!$E$23*AG77^2+BMILMS!$F$23*AG77+BMILMS!$G$23,IF(AG77&lt;90,BMILMS!$D$24*AG77^3+BMILMS!$E$24*AG77^2+BMILMS!$F$24*AG77+BMILMS!$G$24,BMILMS!$D$25*AG77^3+BMILMS!$E$25*AG77^2+BMILMS!$F$25*AG77+BMILMS!$G$25))))),(IF(AG77&lt;2.5,BMILMS!$D$27*AG77^3+BMILMS!$E$27*AG77^2+BMILMS!$F$27*AG77+BMILMS!$G$27,IF(AG77&lt;9.5,BMILMS!$D$28*AG77^3+BMILMS!$E$28*AG77^2+BMILMS!$F$28*AG77+BMILMS!$G$28,IF(AG77&lt;26.75,BMILMS!$D$29*AG77^3+BMILMS!$E$29*AG77^2+BMILMS!$F$29*AG77+BMILMS!$G$29,IF(AG77&lt;90,BMILMS!$D$30*AG77^3+BMILMS!$E$30*AG77^2+BMILMS!$F$30*AG77+BMILMS!$G$30,IF(AG77&lt;150,BMILMS!$D$31*AG77^3+BMILMS!$E$31*AG77^2+BMILMS!$F$31*AG77+BMILMS!$G$31,BMILMS!$D$32*AG77^3+BMILMS!$E$32*AG77^2+BMILMS!$F$32*AG77+BMILMS!$G$32)))))))</f>
        <v>12.568967990000001</v>
      </c>
      <c r="AF77" s="24">
        <f>IF(D77="M",(IF(AG77&lt;90,BMILMS!$D$14*AG77^3+BMILMS!$E$14*AG77^2+BMILMS!$F$14*AG77+BMILMS!$G$14,BMILMS!$D$15*AG77^3+BMILMS!$E$15*AG77^2+BMILMS!$F$15*AG77+BMILMS!$G$15)),(IF(AG77&lt;90,BMILMS!$D$17*AG77^3+BMILMS!$E$17*AG77^2+BMILMS!$F$17*AG77+BMILMS!$G$17,BMILMS!$D$18*AG77^3+BMILMS!$E$18*AG77^2+BMILMS!$F$18*AG77+BMILMS!$G$18)))</f>
        <v>8.8969350000000003E-2</v>
      </c>
      <c r="AG77" s="24">
        <f t="shared" si="32"/>
        <v>0</v>
      </c>
      <c r="AI77" s="38">
        <f>IF(D77="M",WeightSDS!P$5*$AG77^7+WeightSDS!Q$5*$AG77^6+WeightSDS!R$5*$AG77^5+WeightSDS!S$5*$AG77^4+WeightSDS!T$5*$AG77^3+WeightSDS!U$5*$AG77^2+WeightSDS!V$5*$AG77+WeightSDS!W$5,IF($AG77&lt;186,WeightSDS!P$8*$AG77^7+WeightSDS!Q$8*$AG77^6+WeightSDS!R$8*$AG77^5+WeightSDS!S$8*$AG77^4+WeightSDS!T$8*$AG77^3+WeightSDS!U$8*$AG77^2+WeightSDS!V$8*$AG77+WeightSDS!W$8,WeightSDS!$U$9-WeightSDS!$V$9*($AG77-WeightSDS!$W$9)))</f>
        <v>0.75407122999999998</v>
      </c>
      <c r="AJ77" s="24">
        <f>IF(D77="M",IF($AG77&lt;45,WeightSDS!M$23*$AG77^10+WeightSDS!N$23*$AG77^9+WeightSDS!O$23*$AG77^8+WeightSDS!P$23*$AG77^7+WeightSDS!Q$23*$AG77^6+WeightSDS!R$23*$AG77^5+WeightSDS!S$23*$AG77^4+WeightSDS!T$23*$AG77^3+WeightSDS!U$23*$AG77^2+WeightSDS!V$23*$AG77+WeightSDS!W$23,IF($AG77&lt;153,WeightSDS!M$25*$AG77^10+WeightSDS!N$25*$AG77^9+WeightSDS!O$25*$AG77^8+WeightSDS!P$25*$AG77^7+WeightSDS!Q$25*$AG77^6+WeightSDS!R$25*$AG77^5+WeightSDS!S$25*$AG77^4+WeightSDS!T$25*$AG77^3+WeightSDS!U$25*$AG77^2+WeightSDS!V$25*$AG77+WeightSDS!W$25,WeightSDS!M$27+WeightSDS!N$27/(1+EXP(WeightSDS!O$27+WeightSDS!P$27*$AG77)))),IF($AG77&lt;43.8,WeightSDS!M$29*$AG77^10+WeightSDS!N$29*$AG77^9+WeightSDS!O$29*$AG77^8+WeightSDS!P$29*$AG77^7+WeightSDS!Q$29*$AG77^6+WeightSDS!R$29*$AG77^5+WeightSDS!S$29*$AG77^4+WeightSDS!T$29*$AG77^3+WeightSDS!U$29*$AG77^2+WeightSDS!V$29*$AG77+WeightSDS!W$29-0.010431*(1-$AG77/210),IF($AG77&lt;123,WeightSDS!M$30*$AG77^10+WeightSDS!N$30*$AG77^9+WeightSDS!O$30*$AG77^8+WeightSDS!P$30*$AG77^7+WeightSDS!Q$30*$AG77^6+WeightSDS!R$30*$AG77^5+WeightSDS!S$30*$AG77^4+WeightSDS!T$30*$AG77^3+WeightSDS!U$30*$AG77^2+WeightSDS!V$30*$AG77+WeightSDS!W$30-0.010431*(1-1/$AG77),WeightSDS!M$32+WeightSDS!N$32/(1+EXP(WeightSDS!O$32+WeightSDS!P$32*$AG77))-0.010431*(1-$AG77/210))))</f>
        <v>2.9500001032655536</v>
      </c>
      <c r="AK77" s="24">
        <f>IF(D77="M",IF($AG77&lt;162,WeightSDS!P$12*$AG77^7+WeightSDS!Q$12*$AG77^6+WeightSDS!R$12*$AG77^5+WeightSDS!S$12*$AG77^4+WeightSDS!T$12*$AG77^3+WeightSDS!U$12*$AG77^2+WeightSDS!V$12*$AG77+WeightSDS!W$12,WeightSDS!P$14*$AG77^7+WeightSDS!Q$14*$AG77^6+WeightSDS!R$14*$AG77^5+WeightSDS!S$14*$AG77^4+WeightSDS!T$14*$AG77^3+WeightSDS!U$14*$AG77^2+WeightSDS!V$14*$AG77+WeightSDS!W$14),IF($AG77&lt;156,WeightSDS!O$17*$AG77^8+WeightSDS!P$17*$AG77^7+WeightSDS!Q$17*$AG77^6+WeightSDS!R$17*$AG77^5+WeightSDS!S$17*$AG77^4+WeightSDS!T$17*$AG77^3+WeightSDS!U$17*$AG77^2+WeightSDS!V$17*$AG77+WeightSDS!W$17,IF($AG77&lt;186,WeightSDS!$U$18+(WeightSDS!$V$18-WeightSDS!$U$18)/24*($AG77-186)+WeightSDS!$W$18*(-$AG77+186)^2-0.005,WeightSDS!$U$18+(WeightSDS!$V$18-WeightSDS!$U$18)/24*($AG77-186)-0.005)))</f>
        <v>0.14604529399999999</v>
      </c>
    </row>
    <row r="78" spans="1:37">
      <c r="A78" s="4"/>
      <c r="B78" s="21"/>
      <c r="C78" s="21"/>
      <c r="D78" s="21"/>
      <c r="E78" s="22"/>
      <c r="F78" s="22"/>
      <c r="G78" s="23"/>
      <c r="H78" s="23"/>
      <c r="I78" s="8" t="str">
        <f t="shared" si="18"/>
        <v/>
      </c>
      <c r="J78" s="2" t="str">
        <f t="shared" si="25"/>
        <v/>
      </c>
      <c r="K78" s="2" t="str">
        <f t="shared" si="19"/>
        <v/>
      </c>
      <c r="L78" s="2" t="str">
        <f t="shared" si="26"/>
        <v/>
      </c>
      <c r="M78" s="2" t="str">
        <f t="shared" si="31"/>
        <v/>
      </c>
      <c r="N78" s="2" t="str">
        <f t="shared" si="27"/>
        <v/>
      </c>
      <c r="O78" s="8" t="str">
        <f t="shared" si="28"/>
        <v/>
      </c>
      <c r="P78" s="8" t="str">
        <f t="shared" si="29"/>
        <v/>
      </c>
      <c r="Q78" s="40" t="str">
        <f t="shared" si="20"/>
        <v/>
      </c>
      <c r="R78" s="48" t="str">
        <f t="shared" si="30"/>
        <v/>
      </c>
      <c r="S78" s="8"/>
      <c r="U78" s="35">
        <f t="shared" si="21"/>
        <v>0</v>
      </c>
      <c r="V78" s="24">
        <f t="shared" si="22"/>
        <v>0</v>
      </c>
      <c r="W78" s="41">
        <f t="shared" si="17"/>
        <v>0</v>
      </c>
      <c r="X78" s="31"/>
      <c r="Y78" s="31"/>
      <c r="Z78" s="31"/>
      <c r="AA78" s="25">
        <f t="shared" si="23"/>
        <v>9.0359999999999996</v>
      </c>
      <c r="AB78" s="25">
        <f t="shared" si="24"/>
        <v>-184.49199999999999</v>
      </c>
      <c r="AD78" s="24">
        <f>IF(D78="M",IF(AG78&lt;78,BMILMS!$D$5*AG78^3+BMILMS!$E$5*AG78^2+BMILMS!$F$5*AG78+BMILMS!$G$5,IF(AG78&lt;150,BMILMS!$D$6*AG78^3+BMILMS!$E$6*AG78^2+BMILMS!$F$6*AG78+BMILMS!$G$6,BMILMS!$D$7*AG78^3+BMILMS!$E$7*AG78^2+BMILMS!$F$7*AG78+BMILMS!$G$7)),IF(AG78&lt;69,BMILMS!$D$9*AG78^3+BMILMS!$E$9*AG78^2+BMILMS!$F$9*AG78+BMILMS!$G$9,IF(AG78&lt;150,BMILMS!$D$10*AG78^3+BMILMS!$E$10*AG78^2+BMILMS!$F$10*AG78+BMILMS!$G$10,BMILMS!$D$11*AG78^3+BMILMS!$E$11*AG78^2+BMILMS!$F$11*AG78+BMILMS!$G$11)))</f>
        <v>0.79584630099999998</v>
      </c>
      <c r="AE78" s="24">
        <f>IF(D78="M",(IF(AG78&lt;2.5,BMILMS!$D$21*AG78^3+BMILMS!$E$21*AG78^2+BMILMS!$F$21*AG78+BMILMS!$G$21,IF(AG78&lt;9.5,BMILMS!$D$22*AG78^3+BMILMS!$E$22*AG78^2+BMILMS!$F$22*AG78+BMILMS!$G$22,IF(AG78&lt;26.75,BMILMS!$D$23*AG78^3+BMILMS!$E$23*AG78^2+BMILMS!$F$23*AG78+BMILMS!$G$23,IF(AG78&lt;90,BMILMS!$D$24*AG78^3+BMILMS!$E$24*AG78^2+BMILMS!$F$24*AG78+BMILMS!$G$24,BMILMS!$D$25*AG78^3+BMILMS!$E$25*AG78^2+BMILMS!$F$25*AG78+BMILMS!$G$25))))),(IF(AG78&lt;2.5,BMILMS!$D$27*AG78^3+BMILMS!$E$27*AG78^2+BMILMS!$F$27*AG78+BMILMS!$G$27,IF(AG78&lt;9.5,BMILMS!$D$28*AG78^3+BMILMS!$E$28*AG78^2+BMILMS!$F$28*AG78+BMILMS!$G$28,IF(AG78&lt;26.75,BMILMS!$D$29*AG78^3+BMILMS!$E$29*AG78^2+BMILMS!$F$29*AG78+BMILMS!$G$29,IF(AG78&lt;90,BMILMS!$D$30*AG78^3+BMILMS!$E$30*AG78^2+BMILMS!$F$30*AG78+BMILMS!$G$30,IF(AG78&lt;150,BMILMS!$D$31*AG78^3+BMILMS!$E$31*AG78^2+BMILMS!$F$31*AG78+BMILMS!$G$31,BMILMS!$D$32*AG78^3+BMILMS!$E$32*AG78^2+BMILMS!$F$32*AG78+BMILMS!$G$32)))))))</f>
        <v>12.568967990000001</v>
      </c>
      <c r="AF78" s="24">
        <f>IF(D78="M",(IF(AG78&lt;90,BMILMS!$D$14*AG78^3+BMILMS!$E$14*AG78^2+BMILMS!$F$14*AG78+BMILMS!$G$14,BMILMS!$D$15*AG78^3+BMILMS!$E$15*AG78^2+BMILMS!$F$15*AG78+BMILMS!$G$15)),(IF(AG78&lt;90,BMILMS!$D$17*AG78^3+BMILMS!$E$17*AG78^2+BMILMS!$F$17*AG78+BMILMS!$G$17,BMILMS!$D$18*AG78^3+BMILMS!$E$18*AG78^2+BMILMS!$F$18*AG78+BMILMS!$G$18)))</f>
        <v>8.8969350000000003E-2</v>
      </c>
      <c r="AG78" s="24">
        <f t="shared" si="32"/>
        <v>0</v>
      </c>
      <c r="AI78" s="38">
        <f>IF(D78="M",WeightSDS!P$5*$AG78^7+WeightSDS!Q$5*$AG78^6+WeightSDS!R$5*$AG78^5+WeightSDS!S$5*$AG78^4+WeightSDS!T$5*$AG78^3+WeightSDS!U$5*$AG78^2+WeightSDS!V$5*$AG78+WeightSDS!W$5,IF($AG78&lt;186,WeightSDS!P$8*$AG78^7+WeightSDS!Q$8*$AG78^6+WeightSDS!R$8*$AG78^5+WeightSDS!S$8*$AG78^4+WeightSDS!T$8*$AG78^3+WeightSDS!U$8*$AG78^2+WeightSDS!V$8*$AG78+WeightSDS!W$8,WeightSDS!$U$9-WeightSDS!$V$9*($AG78-WeightSDS!$W$9)))</f>
        <v>0.75407122999999998</v>
      </c>
      <c r="AJ78" s="24">
        <f>IF(D78="M",IF($AG78&lt;45,WeightSDS!M$23*$AG78^10+WeightSDS!N$23*$AG78^9+WeightSDS!O$23*$AG78^8+WeightSDS!P$23*$AG78^7+WeightSDS!Q$23*$AG78^6+WeightSDS!R$23*$AG78^5+WeightSDS!S$23*$AG78^4+WeightSDS!T$23*$AG78^3+WeightSDS!U$23*$AG78^2+WeightSDS!V$23*$AG78+WeightSDS!W$23,IF($AG78&lt;153,WeightSDS!M$25*$AG78^10+WeightSDS!N$25*$AG78^9+WeightSDS!O$25*$AG78^8+WeightSDS!P$25*$AG78^7+WeightSDS!Q$25*$AG78^6+WeightSDS!R$25*$AG78^5+WeightSDS!S$25*$AG78^4+WeightSDS!T$25*$AG78^3+WeightSDS!U$25*$AG78^2+WeightSDS!V$25*$AG78+WeightSDS!W$25,WeightSDS!M$27+WeightSDS!N$27/(1+EXP(WeightSDS!O$27+WeightSDS!P$27*$AG78)))),IF($AG78&lt;43.8,WeightSDS!M$29*$AG78^10+WeightSDS!N$29*$AG78^9+WeightSDS!O$29*$AG78^8+WeightSDS!P$29*$AG78^7+WeightSDS!Q$29*$AG78^6+WeightSDS!R$29*$AG78^5+WeightSDS!S$29*$AG78^4+WeightSDS!T$29*$AG78^3+WeightSDS!U$29*$AG78^2+WeightSDS!V$29*$AG78+WeightSDS!W$29-0.010431*(1-$AG78/210),IF($AG78&lt;123,WeightSDS!M$30*$AG78^10+WeightSDS!N$30*$AG78^9+WeightSDS!O$30*$AG78^8+WeightSDS!P$30*$AG78^7+WeightSDS!Q$30*$AG78^6+WeightSDS!R$30*$AG78^5+WeightSDS!S$30*$AG78^4+WeightSDS!T$30*$AG78^3+WeightSDS!U$30*$AG78^2+WeightSDS!V$30*$AG78+WeightSDS!W$30-0.010431*(1-1/$AG78),WeightSDS!M$32+WeightSDS!N$32/(1+EXP(WeightSDS!O$32+WeightSDS!P$32*$AG78))-0.010431*(1-$AG78/210))))</f>
        <v>2.9500001032655536</v>
      </c>
      <c r="AK78" s="24">
        <f>IF(D78="M",IF($AG78&lt;162,WeightSDS!P$12*$AG78^7+WeightSDS!Q$12*$AG78^6+WeightSDS!R$12*$AG78^5+WeightSDS!S$12*$AG78^4+WeightSDS!T$12*$AG78^3+WeightSDS!U$12*$AG78^2+WeightSDS!V$12*$AG78+WeightSDS!W$12,WeightSDS!P$14*$AG78^7+WeightSDS!Q$14*$AG78^6+WeightSDS!R$14*$AG78^5+WeightSDS!S$14*$AG78^4+WeightSDS!T$14*$AG78^3+WeightSDS!U$14*$AG78^2+WeightSDS!V$14*$AG78+WeightSDS!W$14),IF($AG78&lt;156,WeightSDS!O$17*$AG78^8+WeightSDS!P$17*$AG78^7+WeightSDS!Q$17*$AG78^6+WeightSDS!R$17*$AG78^5+WeightSDS!S$17*$AG78^4+WeightSDS!T$17*$AG78^3+WeightSDS!U$17*$AG78^2+WeightSDS!V$17*$AG78+WeightSDS!W$17,IF($AG78&lt;186,WeightSDS!$U$18+(WeightSDS!$V$18-WeightSDS!$U$18)/24*($AG78-186)+WeightSDS!$W$18*(-$AG78+186)^2-0.005,WeightSDS!$U$18+(WeightSDS!$V$18-WeightSDS!$U$18)/24*($AG78-186)-0.005)))</f>
        <v>0.14604529399999999</v>
      </c>
    </row>
    <row r="79" spans="1:37">
      <c r="A79" s="4"/>
      <c r="B79" s="21"/>
      <c r="C79" s="21"/>
      <c r="D79" s="21"/>
      <c r="E79" s="22"/>
      <c r="F79" s="22"/>
      <c r="G79" s="23"/>
      <c r="H79" s="23"/>
      <c r="I79" s="8" t="str">
        <f t="shared" si="18"/>
        <v/>
      </c>
      <c r="J79" s="2" t="str">
        <f t="shared" si="25"/>
        <v/>
      </c>
      <c r="K79" s="2" t="str">
        <f t="shared" si="19"/>
        <v/>
      </c>
      <c r="L79" s="2" t="str">
        <f t="shared" si="26"/>
        <v/>
      </c>
      <c r="M79" s="2" t="str">
        <f t="shared" si="31"/>
        <v/>
      </c>
      <c r="N79" s="2" t="str">
        <f t="shared" si="27"/>
        <v/>
      </c>
      <c r="O79" s="8" t="str">
        <f t="shared" si="28"/>
        <v/>
      </c>
      <c r="P79" s="8" t="str">
        <f t="shared" si="29"/>
        <v/>
      </c>
      <c r="Q79" s="40" t="str">
        <f t="shared" si="20"/>
        <v/>
      </c>
      <c r="R79" s="48" t="str">
        <f t="shared" si="30"/>
        <v/>
      </c>
      <c r="S79" s="8"/>
      <c r="U79" s="35">
        <f t="shared" si="21"/>
        <v>0</v>
      </c>
      <c r="V79" s="24">
        <f t="shared" si="22"/>
        <v>0</v>
      </c>
      <c r="W79" s="41">
        <f t="shared" si="17"/>
        <v>0</v>
      </c>
      <c r="X79" s="31"/>
      <c r="Y79" s="31"/>
      <c r="Z79" s="31"/>
      <c r="AA79" s="25">
        <f t="shared" si="23"/>
        <v>9.0359999999999996</v>
      </c>
      <c r="AB79" s="25">
        <f t="shared" si="24"/>
        <v>-184.49199999999999</v>
      </c>
      <c r="AD79" s="24">
        <f>IF(D79="M",IF(AG79&lt;78,BMILMS!$D$5*AG79^3+BMILMS!$E$5*AG79^2+BMILMS!$F$5*AG79+BMILMS!$G$5,IF(AG79&lt;150,BMILMS!$D$6*AG79^3+BMILMS!$E$6*AG79^2+BMILMS!$F$6*AG79+BMILMS!$G$6,BMILMS!$D$7*AG79^3+BMILMS!$E$7*AG79^2+BMILMS!$F$7*AG79+BMILMS!$G$7)),IF(AG79&lt;69,BMILMS!$D$9*AG79^3+BMILMS!$E$9*AG79^2+BMILMS!$F$9*AG79+BMILMS!$G$9,IF(AG79&lt;150,BMILMS!$D$10*AG79^3+BMILMS!$E$10*AG79^2+BMILMS!$F$10*AG79+BMILMS!$G$10,BMILMS!$D$11*AG79^3+BMILMS!$E$11*AG79^2+BMILMS!$F$11*AG79+BMILMS!$G$11)))</f>
        <v>0.79584630099999998</v>
      </c>
      <c r="AE79" s="24">
        <f>IF(D79="M",(IF(AG79&lt;2.5,BMILMS!$D$21*AG79^3+BMILMS!$E$21*AG79^2+BMILMS!$F$21*AG79+BMILMS!$G$21,IF(AG79&lt;9.5,BMILMS!$D$22*AG79^3+BMILMS!$E$22*AG79^2+BMILMS!$F$22*AG79+BMILMS!$G$22,IF(AG79&lt;26.75,BMILMS!$D$23*AG79^3+BMILMS!$E$23*AG79^2+BMILMS!$F$23*AG79+BMILMS!$G$23,IF(AG79&lt;90,BMILMS!$D$24*AG79^3+BMILMS!$E$24*AG79^2+BMILMS!$F$24*AG79+BMILMS!$G$24,BMILMS!$D$25*AG79^3+BMILMS!$E$25*AG79^2+BMILMS!$F$25*AG79+BMILMS!$G$25))))),(IF(AG79&lt;2.5,BMILMS!$D$27*AG79^3+BMILMS!$E$27*AG79^2+BMILMS!$F$27*AG79+BMILMS!$G$27,IF(AG79&lt;9.5,BMILMS!$D$28*AG79^3+BMILMS!$E$28*AG79^2+BMILMS!$F$28*AG79+BMILMS!$G$28,IF(AG79&lt;26.75,BMILMS!$D$29*AG79^3+BMILMS!$E$29*AG79^2+BMILMS!$F$29*AG79+BMILMS!$G$29,IF(AG79&lt;90,BMILMS!$D$30*AG79^3+BMILMS!$E$30*AG79^2+BMILMS!$F$30*AG79+BMILMS!$G$30,IF(AG79&lt;150,BMILMS!$D$31*AG79^3+BMILMS!$E$31*AG79^2+BMILMS!$F$31*AG79+BMILMS!$G$31,BMILMS!$D$32*AG79^3+BMILMS!$E$32*AG79^2+BMILMS!$F$32*AG79+BMILMS!$G$32)))))))</f>
        <v>12.568967990000001</v>
      </c>
      <c r="AF79" s="24">
        <f>IF(D79="M",(IF(AG79&lt;90,BMILMS!$D$14*AG79^3+BMILMS!$E$14*AG79^2+BMILMS!$F$14*AG79+BMILMS!$G$14,BMILMS!$D$15*AG79^3+BMILMS!$E$15*AG79^2+BMILMS!$F$15*AG79+BMILMS!$G$15)),(IF(AG79&lt;90,BMILMS!$D$17*AG79^3+BMILMS!$E$17*AG79^2+BMILMS!$F$17*AG79+BMILMS!$G$17,BMILMS!$D$18*AG79^3+BMILMS!$E$18*AG79^2+BMILMS!$F$18*AG79+BMILMS!$G$18)))</f>
        <v>8.8969350000000003E-2</v>
      </c>
      <c r="AG79" s="24">
        <f t="shared" si="32"/>
        <v>0</v>
      </c>
      <c r="AI79" s="38">
        <f>IF(D79="M",WeightSDS!P$5*$AG79^7+WeightSDS!Q$5*$AG79^6+WeightSDS!R$5*$AG79^5+WeightSDS!S$5*$AG79^4+WeightSDS!T$5*$AG79^3+WeightSDS!U$5*$AG79^2+WeightSDS!V$5*$AG79+WeightSDS!W$5,IF($AG79&lt;186,WeightSDS!P$8*$AG79^7+WeightSDS!Q$8*$AG79^6+WeightSDS!R$8*$AG79^5+WeightSDS!S$8*$AG79^4+WeightSDS!T$8*$AG79^3+WeightSDS!U$8*$AG79^2+WeightSDS!V$8*$AG79+WeightSDS!W$8,WeightSDS!$U$9-WeightSDS!$V$9*($AG79-WeightSDS!$W$9)))</f>
        <v>0.75407122999999998</v>
      </c>
      <c r="AJ79" s="24">
        <f>IF(D79="M",IF($AG79&lt;45,WeightSDS!M$23*$AG79^10+WeightSDS!N$23*$AG79^9+WeightSDS!O$23*$AG79^8+WeightSDS!P$23*$AG79^7+WeightSDS!Q$23*$AG79^6+WeightSDS!R$23*$AG79^5+WeightSDS!S$23*$AG79^4+WeightSDS!T$23*$AG79^3+WeightSDS!U$23*$AG79^2+WeightSDS!V$23*$AG79+WeightSDS!W$23,IF($AG79&lt;153,WeightSDS!M$25*$AG79^10+WeightSDS!N$25*$AG79^9+WeightSDS!O$25*$AG79^8+WeightSDS!P$25*$AG79^7+WeightSDS!Q$25*$AG79^6+WeightSDS!R$25*$AG79^5+WeightSDS!S$25*$AG79^4+WeightSDS!T$25*$AG79^3+WeightSDS!U$25*$AG79^2+WeightSDS!V$25*$AG79+WeightSDS!W$25,WeightSDS!M$27+WeightSDS!N$27/(1+EXP(WeightSDS!O$27+WeightSDS!P$27*$AG79)))),IF($AG79&lt;43.8,WeightSDS!M$29*$AG79^10+WeightSDS!N$29*$AG79^9+WeightSDS!O$29*$AG79^8+WeightSDS!P$29*$AG79^7+WeightSDS!Q$29*$AG79^6+WeightSDS!R$29*$AG79^5+WeightSDS!S$29*$AG79^4+WeightSDS!T$29*$AG79^3+WeightSDS!U$29*$AG79^2+WeightSDS!V$29*$AG79+WeightSDS!W$29-0.010431*(1-$AG79/210),IF($AG79&lt;123,WeightSDS!M$30*$AG79^10+WeightSDS!N$30*$AG79^9+WeightSDS!O$30*$AG79^8+WeightSDS!P$30*$AG79^7+WeightSDS!Q$30*$AG79^6+WeightSDS!R$30*$AG79^5+WeightSDS!S$30*$AG79^4+WeightSDS!T$30*$AG79^3+WeightSDS!U$30*$AG79^2+WeightSDS!V$30*$AG79+WeightSDS!W$30-0.010431*(1-1/$AG79),WeightSDS!M$32+WeightSDS!N$32/(1+EXP(WeightSDS!O$32+WeightSDS!P$32*$AG79))-0.010431*(1-$AG79/210))))</f>
        <v>2.9500001032655536</v>
      </c>
      <c r="AK79" s="24">
        <f>IF(D79="M",IF($AG79&lt;162,WeightSDS!P$12*$AG79^7+WeightSDS!Q$12*$AG79^6+WeightSDS!R$12*$AG79^5+WeightSDS!S$12*$AG79^4+WeightSDS!T$12*$AG79^3+WeightSDS!U$12*$AG79^2+WeightSDS!V$12*$AG79+WeightSDS!W$12,WeightSDS!P$14*$AG79^7+WeightSDS!Q$14*$AG79^6+WeightSDS!R$14*$AG79^5+WeightSDS!S$14*$AG79^4+WeightSDS!T$14*$AG79^3+WeightSDS!U$14*$AG79^2+WeightSDS!V$14*$AG79+WeightSDS!W$14),IF($AG79&lt;156,WeightSDS!O$17*$AG79^8+WeightSDS!P$17*$AG79^7+WeightSDS!Q$17*$AG79^6+WeightSDS!R$17*$AG79^5+WeightSDS!S$17*$AG79^4+WeightSDS!T$17*$AG79^3+WeightSDS!U$17*$AG79^2+WeightSDS!V$17*$AG79+WeightSDS!W$17,IF($AG79&lt;186,WeightSDS!$U$18+(WeightSDS!$V$18-WeightSDS!$U$18)/24*($AG79-186)+WeightSDS!$W$18*(-$AG79+186)^2-0.005,WeightSDS!$U$18+(WeightSDS!$V$18-WeightSDS!$U$18)/24*($AG79-186)-0.005)))</f>
        <v>0.14604529399999999</v>
      </c>
    </row>
    <row r="80" spans="1:37">
      <c r="A80" s="4"/>
      <c r="B80" s="21"/>
      <c r="C80" s="21"/>
      <c r="D80" s="21"/>
      <c r="E80" s="22"/>
      <c r="F80" s="22"/>
      <c r="G80" s="23"/>
      <c r="H80" s="23"/>
      <c r="I80" s="8" t="str">
        <f t="shared" si="18"/>
        <v/>
      </c>
      <c r="J80" s="2" t="str">
        <f t="shared" si="25"/>
        <v/>
      </c>
      <c r="K80" s="2" t="str">
        <f t="shared" si="19"/>
        <v/>
      </c>
      <c r="L80" s="2" t="str">
        <f t="shared" si="26"/>
        <v/>
      </c>
      <c r="M80" s="2" t="str">
        <f t="shared" si="31"/>
        <v/>
      </c>
      <c r="N80" s="2" t="str">
        <f t="shared" si="27"/>
        <v/>
      </c>
      <c r="O80" s="8" t="str">
        <f t="shared" si="28"/>
        <v/>
      </c>
      <c r="P80" s="8" t="str">
        <f t="shared" si="29"/>
        <v/>
      </c>
      <c r="Q80" s="40" t="str">
        <f t="shared" si="20"/>
        <v/>
      </c>
      <c r="R80" s="48" t="str">
        <f t="shared" si="30"/>
        <v/>
      </c>
      <c r="S80" s="8"/>
      <c r="U80" s="35">
        <f t="shared" si="21"/>
        <v>0</v>
      </c>
      <c r="V80" s="24">
        <f t="shared" si="22"/>
        <v>0</v>
      </c>
      <c r="W80" s="41">
        <f t="shared" si="17"/>
        <v>0</v>
      </c>
      <c r="X80" s="31"/>
      <c r="Y80" s="31"/>
      <c r="Z80" s="31"/>
      <c r="AA80" s="25">
        <f t="shared" si="23"/>
        <v>9.0359999999999996</v>
      </c>
      <c r="AB80" s="25">
        <f t="shared" si="24"/>
        <v>-184.49199999999999</v>
      </c>
      <c r="AD80" s="24">
        <f>IF(D80="M",IF(AG80&lt;78,BMILMS!$D$5*AG80^3+BMILMS!$E$5*AG80^2+BMILMS!$F$5*AG80+BMILMS!$G$5,IF(AG80&lt;150,BMILMS!$D$6*AG80^3+BMILMS!$E$6*AG80^2+BMILMS!$F$6*AG80+BMILMS!$G$6,BMILMS!$D$7*AG80^3+BMILMS!$E$7*AG80^2+BMILMS!$F$7*AG80+BMILMS!$G$7)),IF(AG80&lt;69,BMILMS!$D$9*AG80^3+BMILMS!$E$9*AG80^2+BMILMS!$F$9*AG80+BMILMS!$G$9,IF(AG80&lt;150,BMILMS!$D$10*AG80^3+BMILMS!$E$10*AG80^2+BMILMS!$F$10*AG80+BMILMS!$G$10,BMILMS!$D$11*AG80^3+BMILMS!$E$11*AG80^2+BMILMS!$F$11*AG80+BMILMS!$G$11)))</f>
        <v>0.79584630099999998</v>
      </c>
      <c r="AE80" s="24">
        <f>IF(D80="M",(IF(AG80&lt;2.5,BMILMS!$D$21*AG80^3+BMILMS!$E$21*AG80^2+BMILMS!$F$21*AG80+BMILMS!$G$21,IF(AG80&lt;9.5,BMILMS!$D$22*AG80^3+BMILMS!$E$22*AG80^2+BMILMS!$F$22*AG80+BMILMS!$G$22,IF(AG80&lt;26.75,BMILMS!$D$23*AG80^3+BMILMS!$E$23*AG80^2+BMILMS!$F$23*AG80+BMILMS!$G$23,IF(AG80&lt;90,BMILMS!$D$24*AG80^3+BMILMS!$E$24*AG80^2+BMILMS!$F$24*AG80+BMILMS!$G$24,BMILMS!$D$25*AG80^3+BMILMS!$E$25*AG80^2+BMILMS!$F$25*AG80+BMILMS!$G$25))))),(IF(AG80&lt;2.5,BMILMS!$D$27*AG80^3+BMILMS!$E$27*AG80^2+BMILMS!$F$27*AG80+BMILMS!$G$27,IF(AG80&lt;9.5,BMILMS!$D$28*AG80^3+BMILMS!$E$28*AG80^2+BMILMS!$F$28*AG80+BMILMS!$G$28,IF(AG80&lt;26.75,BMILMS!$D$29*AG80^3+BMILMS!$E$29*AG80^2+BMILMS!$F$29*AG80+BMILMS!$G$29,IF(AG80&lt;90,BMILMS!$D$30*AG80^3+BMILMS!$E$30*AG80^2+BMILMS!$F$30*AG80+BMILMS!$G$30,IF(AG80&lt;150,BMILMS!$D$31*AG80^3+BMILMS!$E$31*AG80^2+BMILMS!$F$31*AG80+BMILMS!$G$31,BMILMS!$D$32*AG80^3+BMILMS!$E$32*AG80^2+BMILMS!$F$32*AG80+BMILMS!$G$32)))))))</f>
        <v>12.568967990000001</v>
      </c>
      <c r="AF80" s="24">
        <f>IF(D80="M",(IF(AG80&lt;90,BMILMS!$D$14*AG80^3+BMILMS!$E$14*AG80^2+BMILMS!$F$14*AG80+BMILMS!$G$14,BMILMS!$D$15*AG80^3+BMILMS!$E$15*AG80^2+BMILMS!$F$15*AG80+BMILMS!$G$15)),(IF(AG80&lt;90,BMILMS!$D$17*AG80^3+BMILMS!$E$17*AG80^2+BMILMS!$F$17*AG80+BMILMS!$G$17,BMILMS!$D$18*AG80^3+BMILMS!$E$18*AG80^2+BMILMS!$F$18*AG80+BMILMS!$G$18)))</f>
        <v>8.8969350000000003E-2</v>
      </c>
      <c r="AG80" s="24">
        <f t="shared" si="32"/>
        <v>0</v>
      </c>
      <c r="AI80" s="38">
        <f>IF(D80="M",WeightSDS!P$5*$AG80^7+WeightSDS!Q$5*$AG80^6+WeightSDS!R$5*$AG80^5+WeightSDS!S$5*$AG80^4+WeightSDS!T$5*$AG80^3+WeightSDS!U$5*$AG80^2+WeightSDS!V$5*$AG80+WeightSDS!W$5,IF($AG80&lt;186,WeightSDS!P$8*$AG80^7+WeightSDS!Q$8*$AG80^6+WeightSDS!R$8*$AG80^5+WeightSDS!S$8*$AG80^4+WeightSDS!T$8*$AG80^3+WeightSDS!U$8*$AG80^2+WeightSDS!V$8*$AG80+WeightSDS!W$8,WeightSDS!$U$9-WeightSDS!$V$9*($AG80-WeightSDS!$W$9)))</f>
        <v>0.75407122999999998</v>
      </c>
      <c r="AJ80" s="24">
        <f>IF(D80="M",IF($AG80&lt;45,WeightSDS!M$23*$AG80^10+WeightSDS!N$23*$AG80^9+WeightSDS!O$23*$AG80^8+WeightSDS!P$23*$AG80^7+WeightSDS!Q$23*$AG80^6+WeightSDS!R$23*$AG80^5+WeightSDS!S$23*$AG80^4+WeightSDS!T$23*$AG80^3+WeightSDS!U$23*$AG80^2+WeightSDS!V$23*$AG80+WeightSDS!W$23,IF($AG80&lt;153,WeightSDS!M$25*$AG80^10+WeightSDS!N$25*$AG80^9+WeightSDS!O$25*$AG80^8+WeightSDS!P$25*$AG80^7+WeightSDS!Q$25*$AG80^6+WeightSDS!R$25*$AG80^5+WeightSDS!S$25*$AG80^4+WeightSDS!T$25*$AG80^3+WeightSDS!U$25*$AG80^2+WeightSDS!V$25*$AG80+WeightSDS!W$25,WeightSDS!M$27+WeightSDS!N$27/(1+EXP(WeightSDS!O$27+WeightSDS!P$27*$AG80)))),IF($AG80&lt;43.8,WeightSDS!M$29*$AG80^10+WeightSDS!N$29*$AG80^9+WeightSDS!O$29*$AG80^8+WeightSDS!P$29*$AG80^7+WeightSDS!Q$29*$AG80^6+WeightSDS!R$29*$AG80^5+WeightSDS!S$29*$AG80^4+WeightSDS!T$29*$AG80^3+WeightSDS!U$29*$AG80^2+WeightSDS!V$29*$AG80+WeightSDS!W$29-0.010431*(1-$AG80/210),IF($AG80&lt;123,WeightSDS!M$30*$AG80^10+WeightSDS!N$30*$AG80^9+WeightSDS!O$30*$AG80^8+WeightSDS!P$30*$AG80^7+WeightSDS!Q$30*$AG80^6+WeightSDS!R$30*$AG80^5+WeightSDS!S$30*$AG80^4+WeightSDS!T$30*$AG80^3+WeightSDS!U$30*$AG80^2+WeightSDS!V$30*$AG80+WeightSDS!W$30-0.010431*(1-1/$AG80),WeightSDS!M$32+WeightSDS!N$32/(1+EXP(WeightSDS!O$32+WeightSDS!P$32*$AG80))-0.010431*(1-$AG80/210))))</f>
        <v>2.9500001032655536</v>
      </c>
      <c r="AK80" s="24">
        <f>IF(D80="M",IF($AG80&lt;162,WeightSDS!P$12*$AG80^7+WeightSDS!Q$12*$AG80^6+WeightSDS!R$12*$AG80^5+WeightSDS!S$12*$AG80^4+WeightSDS!T$12*$AG80^3+WeightSDS!U$12*$AG80^2+WeightSDS!V$12*$AG80+WeightSDS!W$12,WeightSDS!P$14*$AG80^7+WeightSDS!Q$14*$AG80^6+WeightSDS!R$14*$AG80^5+WeightSDS!S$14*$AG80^4+WeightSDS!T$14*$AG80^3+WeightSDS!U$14*$AG80^2+WeightSDS!V$14*$AG80+WeightSDS!W$14),IF($AG80&lt;156,WeightSDS!O$17*$AG80^8+WeightSDS!P$17*$AG80^7+WeightSDS!Q$17*$AG80^6+WeightSDS!R$17*$AG80^5+WeightSDS!S$17*$AG80^4+WeightSDS!T$17*$AG80^3+WeightSDS!U$17*$AG80^2+WeightSDS!V$17*$AG80+WeightSDS!W$17,IF($AG80&lt;186,WeightSDS!$U$18+(WeightSDS!$V$18-WeightSDS!$U$18)/24*($AG80-186)+WeightSDS!$W$18*(-$AG80+186)^2-0.005,WeightSDS!$U$18+(WeightSDS!$V$18-WeightSDS!$U$18)/24*($AG80-186)-0.005)))</f>
        <v>0.14604529399999999</v>
      </c>
    </row>
    <row r="81" spans="1:37">
      <c r="A81" s="4"/>
      <c r="B81" s="21"/>
      <c r="C81" s="21"/>
      <c r="D81" s="21"/>
      <c r="E81" s="22"/>
      <c r="F81" s="22"/>
      <c r="G81" s="23"/>
      <c r="H81" s="23"/>
      <c r="I81" s="8" t="str">
        <f t="shared" si="18"/>
        <v/>
      </c>
      <c r="J81" s="2" t="str">
        <f t="shared" si="25"/>
        <v/>
      </c>
      <c r="K81" s="2" t="str">
        <f t="shared" si="19"/>
        <v/>
      </c>
      <c r="L81" s="2" t="str">
        <f t="shared" si="26"/>
        <v/>
      </c>
      <c r="M81" s="2" t="str">
        <f t="shared" si="31"/>
        <v/>
      </c>
      <c r="N81" s="2" t="str">
        <f t="shared" si="27"/>
        <v/>
      </c>
      <c r="O81" s="8" t="str">
        <f t="shared" si="28"/>
        <v/>
      </c>
      <c r="P81" s="8" t="str">
        <f t="shared" si="29"/>
        <v/>
      </c>
      <c r="Q81" s="40" t="str">
        <f t="shared" si="20"/>
        <v/>
      </c>
      <c r="R81" s="48" t="str">
        <f t="shared" si="30"/>
        <v/>
      </c>
      <c r="S81" s="8"/>
      <c r="U81" s="35">
        <f t="shared" si="21"/>
        <v>0</v>
      </c>
      <c r="V81" s="24">
        <f t="shared" si="22"/>
        <v>0</v>
      </c>
      <c r="W81" s="41">
        <f t="shared" si="17"/>
        <v>0</v>
      </c>
      <c r="X81" s="31"/>
      <c r="Y81" s="31"/>
      <c r="Z81" s="31"/>
      <c r="AA81" s="25">
        <f t="shared" si="23"/>
        <v>9.0359999999999996</v>
      </c>
      <c r="AB81" s="25">
        <f t="shared" si="24"/>
        <v>-184.49199999999999</v>
      </c>
      <c r="AD81" s="24">
        <f>IF(D81="M",IF(AG81&lt;78,BMILMS!$D$5*AG81^3+BMILMS!$E$5*AG81^2+BMILMS!$F$5*AG81+BMILMS!$G$5,IF(AG81&lt;150,BMILMS!$D$6*AG81^3+BMILMS!$E$6*AG81^2+BMILMS!$F$6*AG81+BMILMS!$G$6,BMILMS!$D$7*AG81^3+BMILMS!$E$7*AG81^2+BMILMS!$F$7*AG81+BMILMS!$G$7)),IF(AG81&lt;69,BMILMS!$D$9*AG81^3+BMILMS!$E$9*AG81^2+BMILMS!$F$9*AG81+BMILMS!$G$9,IF(AG81&lt;150,BMILMS!$D$10*AG81^3+BMILMS!$E$10*AG81^2+BMILMS!$F$10*AG81+BMILMS!$G$10,BMILMS!$D$11*AG81^3+BMILMS!$E$11*AG81^2+BMILMS!$F$11*AG81+BMILMS!$G$11)))</f>
        <v>0.79584630099999998</v>
      </c>
      <c r="AE81" s="24">
        <f>IF(D81="M",(IF(AG81&lt;2.5,BMILMS!$D$21*AG81^3+BMILMS!$E$21*AG81^2+BMILMS!$F$21*AG81+BMILMS!$G$21,IF(AG81&lt;9.5,BMILMS!$D$22*AG81^3+BMILMS!$E$22*AG81^2+BMILMS!$F$22*AG81+BMILMS!$G$22,IF(AG81&lt;26.75,BMILMS!$D$23*AG81^3+BMILMS!$E$23*AG81^2+BMILMS!$F$23*AG81+BMILMS!$G$23,IF(AG81&lt;90,BMILMS!$D$24*AG81^3+BMILMS!$E$24*AG81^2+BMILMS!$F$24*AG81+BMILMS!$G$24,BMILMS!$D$25*AG81^3+BMILMS!$E$25*AG81^2+BMILMS!$F$25*AG81+BMILMS!$G$25))))),(IF(AG81&lt;2.5,BMILMS!$D$27*AG81^3+BMILMS!$E$27*AG81^2+BMILMS!$F$27*AG81+BMILMS!$G$27,IF(AG81&lt;9.5,BMILMS!$D$28*AG81^3+BMILMS!$E$28*AG81^2+BMILMS!$F$28*AG81+BMILMS!$G$28,IF(AG81&lt;26.75,BMILMS!$D$29*AG81^3+BMILMS!$E$29*AG81^2+BMILMS!$F$29*AG81+BMILMS!$G$29,IF(AG81&lt;90,BMILMS!$D$30*AG81^3+BMILMS!$E$30*AG81^2+BMILMS!$F$30*AG81+BMILMS!$G$30,IF(AG81&lt;150,BMILMS!$D$31*AG81^3+BMILMS!$E$31*AG81^2+BMILMS!$F$31*AG81+BMILMS!$G$31,BMILMS!$D$32*AG81^3+BMILMS!$E$32*AG81^2+BMILMS!$F$32*AG81+BMILMS!$G$32)))))))</f>
        <v>12.568967990000001</v>
      </c>
      <c r="AF81" s="24">
        <f>IF(D81="M",(IF(AG81&lt;90,BMILMS!$D$14*AG81^3+BMILMS!$E$14*AG81^2+BMILMS!$F$14*AG81+BMILMS!$G$14,BMILMS!$D$15*AG81^3+BMILMS!$E$15*AG81^2+BMILMS!$F$15*AG81+BMILMS!$G$15)),(IF(AG81&lt;90,BMILMS!$D$17*AG81^3+BMILMS!$E$17*AG81^2+BMILMS!$F$17*AG81+BMILMS!$G$17,BMILMS!$D$18*AG81^3+BMILMS!$E$18*AG81^2+BMILMS!$F$18*AG81+BMILMS!$G$18)))</f>
        <v>8.8969350000000003E-2</v>
      </c>
      <c r="AG81" s="24">
        <f t="shared" si="32"/>
        <v>0</v>
      </c>
      <c r="AI81" s="38">
        <f>IF(D81="M",WeightSDS!P$5*$AG81^7+WeightSDS!Q$5*$AG81^6+WeightSDS!R$5*$AG81^5+WeightSDS!S$5*$AG81^4+WeightSDS!T$5*$AG81^3+WeightSDS!U$5*$AG81^2+WeightSDS!V$5*$AG81+WeightSDS!W$5,IF($AG81&lt;186,WeightSDS!P$8*$AG81^7+WeightSDS!Q$8*$AG81^6+WeightSDS!R$8*$AG81^5+WeightSDS!S$8*$AG81^4+WeightSDS!T$8*$AG81^3+WeightSDS!U$8*$AG81^2+WeightSDS!V$8*$AG81+WeightSDS!W$8,WeightSDS!$U$9-WeightSDS!$V$9*($AG81-WeightSDS!$W$9)))</f>
        <v>0.75407122999999998</v>
      </c>
      <c r="AJ81" s="24">
        <f>IF(D81="M",IF($AG81&lt;45,WeightSDS!M$23*$AG81^10+WeightSDS!N$23*$AG81^9+WeightSDS!O$23*$AG81^8+WeightSDS!P$23*$AG81^7+WeightSDS!Q$23*$AG81^6+WeightSDS!R$23*$AG81^5+WeightSDS!S$23*$AG81^4+WeightSDS!T$23*$AG81^3+WeightSDS!U$23*$AG81^2+WeightSDS!V$23*$AG81+WeightSDS!W$23,IF($AG81&lt;153,WeightSDS!M$25*$AG81^10+WeightSDS!N$25*$AG81^9+WeightSDS!O$25*$AG81^8+WeightSDS!P$25*$AG81^7+WeightSDS!Q$25*$AG81^6+WeightSDS!R$25*$AG81^5+WeightSDS!S$25*$AG81^4+WeightSDS!T$25*$AG81^3+WeightSDS!U$25*$AG81^2+WeightSDS!V$25*$AG81+WeightSDS!W$25,WeightSDS!M$27+WeightSDS!N$27/(1+EXP(WeightSDS!O$27+WeightSDS!P$27*$AG81)))),IF($AG81&lt;43.8,WeightSDS!M$29*$AG81^10+WeightSDS!N$29*$AG81^9+WeightSDS!O$29*$AG81^8+WeightSDS!P$29*$AG81^7+WeightSDS!Q$29*$AG81^6+WeightSDS!R$29*$AG81^5+WeightSDS!S$29*$AG81^4+WeightSDS!T$29*$AG81^3+WeightSDS!U$29*$AG81^2+WeightSDS!V$29*$AG81+WeightSDS!W$29-0.010431*(1-$AG81/210),IF($AG81&lt;123,WeightSDS!M$30*$AG81^10+WeightSDS!N$30*$AG81^9+WeightSDS!O$30*$AG81^8+WeightSDS!P$30*$AG81^7+WeightSDS!Q$30*$AG81^6+WeightSDS!R$30*$AG81^5+WeightSDS!S$30*$AG81^4+WeightSDS!T$30*$AG81^3+WeightSDS!U$30*$AG81^2+WeightSDS!V$30*$AG81+WeightSDS!W$30-0.010431*(1-1/$AG81),WeightSDS!M$32+WeightSDS!N$32/(1+EXP(WeightSDS!O$32+WeightSDS!P$32*$AG81))-0.010431*(1-$AG81/210))))</f>
        <v>2.9500001032655536</v>
      </c>
      <c r="AK81" s="24">
        <f>IF(D81="M",IF($AG81&lt;162,WeightSDS!P$12*$AG81^7+WeightSDS!Q$12*$AG81^6+WeightSDS!R$12*$AG81^5+WeightSDS!S$12*$AG81^4+WeightSDS!T$12*$AG81^3+WeightSDS!U$12*$AG81^2+WeightSDS!V$12*$AG81+WeightSDS!W$12,WeightSDS!P$14*$AG81^7+WeightSDS!Q$14*$AG81^6+WeightSDS!R$14*$AG81^5+WeightSDS!S$14*$AG81^4+WeightSDS!T$14*$AG81^3+WeightSDS!U$14*$AG81^2+WeightSDS!V$14*$AG81+WeightSDS!W$14),IF($AG81&lt;156,WeightSDS!O$17*$AG81^8+WeightSDS!P$17*$AG81^7+WeightSDS!Q$17*$AG81^6+WeightSDS!R$17*$AG81^5+WeightSDS!S$17*$AG81^4+WeightSDS!T$17*$AG81^3+WeightSDS!U$17*$AG81^2+WeightSDS!V$17*$AG81+WeightSDS!W$17,IF($AG81&lt;186,WeightSDS!$U$18+(WeightSDS!$V$18-WeightSDS!$U$18)/24*($AG81-186)+WeightSDS!$W$18*(-$AG81+186)^2-0.005,WeightSDS!$U$18+(WeightSDS!$V$18-WeightSDS!$U$18)/24*($AG81-186)-0.005)))</f>
        <v>0.14604529399999999</v>
      </c>
    </row>
    <row r="82" spans="1:37">
      <c r="A82" s="4"/>
      <c r="B82" s="21"/>
      <c r="C82" s="21"/>
      <c r="D82" s="21"/>
      <c r="E82" s="22"/>
      <c r="F82" s="22"/>
      <c r="G82" s="23"/>
      <c r="H82" s="23"/>
      <c r="I82" s="8" t="str">
        <f t="shared" si="18"/>
        <v/>
      </c>
      <c r="J82" s="2" t="str">
        <f t="shared" si="25"/>
        <v/>
      </c>
      <c r="K82" s="2" t="str">
        <f t="shared" si="19"/>
        <v/>
      </c>
      <c r="L82" s="2" t="str">
        <f t="shared" si="26"/>
        <v/>
      </c>
      <c r="M82" s="2" t="str">
        <f t="shared" si="31"/>
        <v/>
      </c>
      <c r="N82" s="2" t="str">
        <f t="shared" si="27"/>
        <v/>
      </c>
      <c r="O82" s="8" t="str">
        <f t="shared" si="28"/>
        <v/>
      </c>
      <c r="P82" s="8" t="str">
        <f t="shared" si="29"/>
        <v/>
      </c>
      <c r="Q82" s="40" t="str">
        <f t="shared" si="20"/>
        <v/>
      </c>
      <c r="R82" s="48" t="str">
        <f t="shared" si="30"/>
        <v/>
      </c>
      <c r="S82" s="8"/>
      <c r="U82" s="35">
        <f t="shared" si="21"/>
        <v>0</v>
      </c>
      <c r="V82" s="24">
        <f t="shared" si="22"/>
        <v>0</v>
      </c>
      <c r="W82" s="41">
        <f t="shared" si="17"/>
        <v>0</v>
      </c>
      <c r="X82" s="31"/>
      <c r="Y82" s="31"/>
      <c r="Z82" s="31"/>
      <c r="AA82" s="25">
        <f t="shared" si="23"/>
        <v>9.0359999999999996</v>
      </c>
      <c r="AB82" s="25">
        <f t="shared" si="24"/>
        <v>-184.49199999999999</v>
      </c>
      <c r="AD82" s="24">
        <f>IF(D82="M",IF(AG82&lt;78,BMILMS!$D$5*AG82^3+BMILMS!$E$5*AG82^2+BMILMS!$F$5*AG82+BMILMS!$G$5,IF(AG82&lt;150,BMILMS!$D$6*AG82^3+BMILMS!$E$6*AG82^2+BMILMS!$F$6*AG82+BMILMS!$G$6,BMILMS!$D$7*AG82^3+BMILMS!$E$7*AG82^2+BMILMS!$F$7*AG82+BMILMS!$G$7)),IF(AG82&lt;69,BMILMS!$D$9*AG82^3+BMILMS!$E$9*AG82^2+BMILMS!$F$9*AG82+BMILMS!$G$9,IF(AG82&lt;150,BMILMS!$D$10*AG82^3+BMILMS!$E$10*AG82^2+BMILMS!$F$10*AG82+BMILMS!$G$10,BMILMS!$D$11*AG82^3+BMILMS!$E$11*AG82^2+BMILMS!$F$11*AG82+BMILMS!$G$11)))</f>
        <v>0.79584630099999998</v>
      </c>
      <c r="AE82" s="24">
        <f>IF(D82="M",(IF(AG82&lt;2.5,BMILMS!$D$21*AG82^3+BMILMS!$E$21*AG82^2+BMILMS!$F$21*AG82+BMILMS!$G$21,IF(AG82&lt;9.5,BMILMS!$D$22*AG82^3+BMILMS!$E$22*AG82^2+BMILMS!$F$22*AG82+BMILMS!$G$22,IF(AG82&lt;26.75,BMILMS!$D$23*AG82^3+BMILMS!$E$23*AG82^2+BMILMS!$F$23*AG82+BMILMS!$G$23,IF(AG82&lt;90,BMILMS!$D$24*AG82^3+BMILMS!$E$24*AG82^2+BMILMS!$F$24*AG82+BMILMS!$G$24,BMILMS!$D$25*AG82^3+BMILMS!$E$25*AG82^2+BMILMS!$F$25*AG82+BMILMS!$G$25))))),(IF(AG82&lt;2.5,BMILMS!$D$27*AG82^3+BMILMS!$E$27*AG82^2+BMILMS!$F$27*AG82+BMILMS!$G$27,IF(AG82&lt;9.5,BMILMS!$D$28*AG82^3+BMILMS!$E$28*AG82^2+BMILMS!$F$28*AG82+BMILMS!$G$28,IF(AG82&lt;26.75,BMILMS!$D$29*AG82^3+BMILMS!$E$29*AG82^2+BMILMS!$F$29*AG82+BMILMS!$G$29,IF(AG82&lt;90,BMILMS!$D$30*AG82^3+BMILMS!$E$30*AG82^2+BMILMS!$F$30*AG82+BMILMS!$G$30,IF(AG82&lt;150,BMILMS!$D$31*AG82^3+BMILMS!$E$31*AG82^2+BMILMS!$F$31*AG82+BMILMS!$G$31,BMILMS!$D$32*AG82^3+BMILMS!$E$32*AG82^2+BMILMS!$F$32*AG82+BMILMS!$G$32)))))))</f>
        <v>12.568967990000001</v>
      </c>
      <c r="AF82" s="24">
        <f>IF(D82="M",(IF(AG82&lt;90,BMILMS!$D$14*AG82^3+BMILMS!$E$14*AG82^2+BMILMS!$F$14*AG82+BMILMS!$G$14,BMILMS!$D$15*AG82^3+BMILMS!$E$15*AG82^2+BMILMS!$F$15*AG82+BMILMS!$G$15)),(IF(AG82&lt;90,BMILMS!$D$17*AG82^3+BMILMS!$E$17*AG82^2+BMILMS!$F$17*AG82+BMILMS!$G$17,BMILMS!$D$18*AG82^3+BMILMS!$E$18*AG82^2+BMILMS!$F$18*AG82+BMILMS!$G$18)))</f>
        <v>8.8969350000000003E-2</v>
      </c>
      <c r="AG82" s="24">
        <f t="shared" si="32"/>
        <v>0</v>
      </c>
      <c r="AI82" s="38">
        <f>IF(D82="M",WeightSDS!P$5*$AG82^7+WeightSDS!Q$5*$AG82^6+WeightSDS!R$5*$AG82^5+WeightSDS!S$5*$AG82^4+WeightSDS!T$5*$AG82^3+WeightSDS!U$5*$AG82^2+WeightSDS!V$5*$AG82+WeightSDS!W$5,IF($AG82&lt;186,WeightSDS!P$8*$AG82^7+WeightSDS!Q$8*$AG82^6+WeightSDS!R$8*$AG82^5+WeightSDS!S$8*$AG82^4+WeightSDS!T$8*$AG82^3+WeightSDS!U$8*$AG82^2+WeightSDS!V$8*$AG82+WeightSDS!W$8,WeightSDS!$U$9-WeightSDS!$V$9*($AG82-WeightSDS!$W$9)))</f>
        <v>0.75407122999999998</v>
      </c>
      <c r="AJ82" s="24">
        <f>IF(D82="M",IF($AG82&lt;45,WeightSDS!M$23*$AG82^10+WeightSDS!N$23*$AG82^9+WeightSDS!O$23*$AG82^8+WeightSDS!P$23*$AG82^7+WeightSDS!Q$23*$AG82^6+WeightSDS!R$23*$AG82^5+WeightSDS!S$23*$AG82^4+WeightSDS!T$23*$AG82^3+WeightSDS!U$23*$AG82^2+WeightSDS!V$23*$AG82+WeightSDS!W$23,IF($AG82&lt;153,WeightSDS!M$25*$AG82^10+WeightSDS!N$25*$AG82^9+WeightSDS!O$25*$AG82^8+WeightSDS!P$25*$AG82^7+WeightSDS!Q$25*$AG82^6+WeightSDS!R$25*$AG82^5+WeightSDS!S$25*$AG82^4+WeightSDS!T$25*$AG82^3+WeightSDS!U$25*$AG82^2+WeightSDS!V$25*$AG82+WeightSDS!W$25,WeightSDS!M$27+WeightSDS!N$27/(1+EXP(WeightSDS!O$27+WeightSDS!P$27*$AG82)))),IF($AG82&lt;43.8,WeightSDS!M$29*$AG82^10+WeightSDS!N$29*$AG82^9+WeightSDS!O$29*$AG82^8+WeightSDS!P$29*$AG82^7+WeightSDS!Q$29*$AG82^6+WeightSDS!R$29*$AG82^5+WeightSDS!S$29*$AG82^4+WeightSDS!T$29*$AG82^3+WeightSDS!U$29*$AG82^2+WeightSDS!V$29*$AG82+WeightSDS!W$29-0.010431*(1-$AG82/210),IF($AG82&lt;123,WeightSDS!M$30*$AG82^10+WeightSDS!N$30*$AG82^9+WeightSDS!O$30*$AG82^8+WeightSDS!P$30*$AG82^7+WeightSDS!Q$30*$AG82^6+WeightSDS!R$30*$AG82^5+WeightSDS!S$30*$AG82^4+WeightSDS!T$30*$AG82^3+WeightSDS!U$30*$AG82^2+WeightSDS!V$30*$AG82+WeightSDS!W$30-0.010431*(1-1/$AG82),WeightSDS!M$32+WeightSDS!N$32/(1+EXP(WeightSDS!O$32+WeightSDS!P$32*$AG82))-0.010431*(1-$AG82/210))))</f>
        <v>2.9500001032655536</v>
      </c>
      <c r="AK82" s="24">
        <f>IF(D82="M",IF($AG82&lt;162,WeightSDS!P$12*$AG82^7+WeightSDS!Q$12*$AG82^6+WeightSDS!R$12*$AG82^5+WeightSDS!S$12*$AG82^4+WeightSDS!T$12*$AG82^3+WeightSDS!U$12*$AG82^2+WeightSDS!V$12*$AG82+WeightSDS!W$12,WeightSDS!P$14*$AG82^7+WeightSDS!Q$14*$AG82^6+WeightSDS!R$14*$AG82^5+WeightSDS!S$14*$AG82^4+WeightSDS!T$14*$AG82^3+WeightSDS!U$14*$AG82^2+WeightSDS!V$14*$AG82+WeightSDS!W$14),IF($AG82&lt;156,WeightSDS!O$17*$AG82^8+WeightSDS!P$17*$AG82^7+WeightSDS!Q$17*$AG82^6+WeightSDS!R$17*$AG82^5+WeightSDS!S$17*$AG82^4+WeightSDS!T$17*$AG82^3+WeightSDS!U$17*$AG82^2+WeightSDS!V$17*$AG82+WeightSDS!W$17,IF($AG82&lt;186,WeightSDS!$U$18+(WeightSDS!$V$18-WeightSDS!$U$18)/24*($AG82-186)+WeightSDS!$W$18*(-$AG82+186)^2-0.005,WeightSDS!$U$18+(WeightSDS!$V$18-WeightSDS!$U$18)/24*($AG82-186)-0.005)))</f>
        <v>0.14604529399999999</v>
      </c>
    </row>
    <row r="83" spans="1:37">
      <c r="A83" s="4"/>
      <c r="B83" s="21"/>
      <c r="C83" s="21"/>
      <c r="D83" s="21"/>
      <c r="E83" s="22"/>
      <c r="F83" s="22"/>
      <c r="G83" s="23"/>
      <c r="H83" s="23"/>
      <c r="I83" s="8" t="str">
        <f t="shared" si="18"/>
        <v/>
      </c>
      <c r="J83" s="2" t="str">
        <f t="shared" si="25"/>
        <v/>
      </c>
      <c r="K83" s="2" t="str">
        <f t="shared" si="19"/>
        <v/>
      </c>
      <c r="L83" s="2" t="str">
        <f t="shared" si="26"/>
        <v/>
      </c>
      <c r="M83" s="2" t="str">
        <f t="shared" si="31"/>
        <v/>
      </c>
      <c r="N83" s="2" t="str">
        <f t="shared" si="27"/>
        <v/>
      </c>
      <c r="O83" s="8" t="str">
        <f t="shared" si="28"/>
        <v/>
      </c>
      <c r="P83" s="8" t="str">
        <f t="shared" si="29"/>
        <v/>
      </c>
      <c r="Q83" s="40" t="str">
        <f t="shared" si="20"/>
        <v/>
      </c>
      <c r="R83" s="48" t="str">
        <f t="shared" si="30"/>
        <v/>
      </c>
      <c r="S83" s="8"/>
      <c r="U83" s="35">
        <f t="shared" si="21"/>
        <v>0</v>
      </c>
      <c r="V83" s="24">
        <f t="shared" si="22"/>
        <v>0</v>
      </c>
      <c r="W83" s="41">
        <f t="shared" si="17"/>
        <v>0</v>
      </c>
      <c r="X83" s="31"/>
      <c r="Y83" s="31"/>
      <c r="Z83" s="31"/>
      <c r="AA83" s="25">
        <f t="shared" si="23"/>
        <v>9.0359999999999996</v>
      </c>
      <c r="AB83" s="25">
        <f t="shared" si="24"/>
        <v>-184.49199999999999</v>
      </c>
      <c r="AD83" s="24">
        <f>IF(D83="M",IF(AG83&lt;78,BMILMS!$D$5*AG83^3+BMILMS!$E$5*AG83^2+BMILMS!$F$5*AG83+BMILMS!$G$5,IF(AG83&lt;150,BMILMS!$D$6*AG83^3+BMILMS!$E$6*AG83^2+BMILMS!$F$6*AG83+BMILMS!$G$6,BMILMS!$D$7*AG83^3+BMILMS!$E$7*AG83^2+BMILMS!$F$7*AG83+BMILMS!$G$7)),IF(AG83&lt;69,BMILMS!$D$9*AG83^3+BMILMS!$E$9*AG83^2+BMILMS!$F$9*AG83+BMILMS!$G$9,IF(AG83&lt;150,BMILMS!$D$10*AG83^3+BMILMS!$E$10*AG83^2+BMILMS!$F$10*AG83+BMILMS!$G$10,BMILMS!$D$11*AG83^3+BMILMS!$E$11*AG83^2+BMILMS!$F$11*AG83+BMILMS!$G$11)))</f>
        <v>0.79584630099999998</v>
      </c>
      <c r="AE83" s="24">
        <f>IF(D83="M",(IF(AG83&lt;2.5,BMILMS!$D$21*AG83^3+BMILMS!$E$21*AG83^2+BMILMS!$F$21*AG83+BMILMS!$G$21,IF(AG83&lt;9.5,BMILMS!$D$22*AG83^3+BMILMS!$E$22*AG83^2+BMILMS!$F$22*AG83+BMILMS!$G$22,IF(AG83&lt;26.75,BMILMS!$D$23*AG83^3+BMILMS!$E$23*AG83^2+BMILMS!$F$23*AG83+BMILMS!$G$23,IF(AG83&lt;90,BMILMS!$D$24*AG83^3+BMILMS!$E$24*AG83^2+BMILMS!$F$24*AG83+BMILMS!$G$24,BMILMS!$D$25*AG83^3+BMILMS!$E$25*AG83^2+BMILMS!$F$25*AG83+BMILMS!$G$25))))),(IF(AG83&lt;2.5,BMILMS!$D$27*AG83^3+BMILMS!$E$27*AG83^2+BMILMS!$F$27*AG83+BMILMS!$G$27,IF(AG83&lt;9.5,BMILMS!$D$28*AG83^3+BMILMS!$E$28*AG83^2+BMILMS!$F$28*AG83+BMILMS!$G$28,IF(AG83&lt;26.75,BMILMS!$D$29*AG83^3+BMILMS!$E$29*AG83^2+BMILMS!$F$29*AG83+BMILMS!$G$29,IF(AG83&lt;90,BMILMS!$D$30*AG83^3+BMILMS!$E$30*AG83^2+BMILMS!$F$30*AG83+BMILMS!$G$30,IF(AG83&lt;150,BMILMS!$D$31*AG83^3+BMILMS!$E$31*AG83^2+BMILMS!$F$31*AG83+BMILMS!$G$31,BMILMS!$D$32*AG83^3+BMILMS!$E$32*AG83^2+BMILMS!$F$32*AG83+BMILMS!$G$32)))))))</f>
        <v>12.568967990000001</v>
      </c>
      <c r="AF83" s="24">
        <f>IF(D83="M",(IF(AG83&lt;90,BMILMS!$D$14*AG83^3+BMILMS!$E$14*AG83^2+BMILMS!$F$14*AG83+BMILMS!$G$14,BMILMS!$D$15*AG83^3+BMILMS!$E$15*AG83^2+BMILMS!$F$15*AG83+BMILMS!$G$15)),(IF(AG83&lt;90,BMILMS!$D$17*AG83^3+BMILMS!$E$17*AG83^2+BMILMS!$F$17*AG83+BMILMS!$G$17,BMILMS!$D$18*AG83^3+BMILMS!$E$18*AG83^2+BMILMS!$F$18*AG83+BMILMS!$G$18)))</f>
        <v>8.8969350000000003E-2</v>
      </c>
      <c r="AG83" s="24">
        <f t="shared" si="32"/>
        <v>0</v>
      </c>
      <c r="AI83" s="38">
        <f>IF(D83="M",WeightSDS!P$5*$AG83^7+WeightSDS!Q$5*$AG83^6+WeightSDS!R$5*$AG83^5+WeightSDS!S$5*$AG83^4+WeightSDS!T$5*$AG83^3+WeightSDS!U$5*$AG83^2+WeightSDS!V$5*$AG83+WeightSDS!W$5,IF($AG83&lt;186,WeightSDS!P$8*$AG83^7+WeightSDS!Q$8*$AG83^6+WeightSDS!R$8*$AG83^5+WeightSDS!S$8*$AG83^4+WeightSDS!T$8*$AG83^3+WeightSDS!U$8*$AG83^2+WeightSDS!V$8*$AG83+WeightSDS!W$8,WeightSDS!$U$9-WeightSDS!$V$9*($AG83-WeightSDS!$W$9)))</f>
        <v>0.75407122999999998</v>
      </c>
      <c r="AJ83" s="24">
        <f>IF(D83="M",IF($AG83&lt;45,WeightSDS!M$23*$AG83^10+WeightSDS!N$23*$AG83^9+WeightSDS!O$23*$AG83^8+WeightSDS!P$23*$AG83^7+WeightSDS!Q$23*$AG83^6+WeightSDS!R$23*$AG83^5+WeightSDS!S$23*$AG83^4+WeightSDS!T$23*$AG83^3+WeightSDS!U$23*$AG83^2+WeightSDS!V$23*$AG83+WeightSDS!W$23,IF($AG83&lt;153,WeightSDS!M$25*$AG83^10+WeightSDS!N$25*$AG83^9+WeightSDS!O$25*$AG83^8+WeightSDS!P$25*$AG83^7+WeightSDS!Q$25*$AG83^6+WeightSDS!R$25*$AG83^5+WeightSDS!S$25*$AG83^4+WeightSDS!T$25*$AG83^3+WeightSDS!U$25*$AG83^2+WeightSDS!V$25*$AG83+WeightSDS!W$25,WeightSDS!M$27+WeightSDS!N$27/(1+EXP(WeightSDS!O$27+WeightSDS!P$27*$AG83)))),IF($AG83&lt;43.8,WeightSDS!M$29*$AG83^10+WeightSDS!N$29*$AG83^9+WeightSDS!O$29*$AG83^8+WeightSDS!P$29*$AG83^7+WeightSDS!Q$29*$AG83^6+WeightSDS!R$29*$AG83^5+WeightSDS!S$29*$AG83^4+WeightSDS!T$29*$AG83^3+WeightSDS!U$29*$AG83^2+WeightSDS!V$29*$AG83+WeightSDS!W$29-0.010431*(1-$AG83/210),IF($AG83&lt;123,WeightSDS!M$30*$AG83^10+WeightSDS!N$30*$AG83^9+WeightSDS!O$30*$AG83^8+WeightSDS!P$30*$AG83^7+WeightSDS!Q$30*$AG83^6+WeightSDS!R$30*$AG83^5+WeightSDS!S$30*$AG83^4+WeightSDS!T$30*$AG83^3+WeightSDS!U$30*$AG83^2+WeightSDS!V$30*$AG83+WeightSDS!W$30-0.010431*(1-1/$AG83),WeightSDS!M$32+WeightSDS!N$32/(1+EXP(WeightSDS!O$32+WeightSDS!P$32*$AG83))-0.010431*(1-$AG83/210))))</f>
        <v>2.9500001032655536</v>
      </c>
      <c r="AK83" s="24">
        <f>IF(D83="M",IF($AG83&lt;162,WeightSDS!P$12*$AG83^7+WeightSDS!Q$12*$AG83^6+WeightSDS!R$12*$AG83^5+WeightSDS!S$12*$AG83^4+WeightSDS!T$12*$AG83^3+WeightSDS!U$12*$AG83^2+WeightSDS!V$12*$AG83+WeightSDS!W$12,WeightSDS!P$14*$AG83^7+WeightSDS!Q$14*$AG83^6+WeightSDS!R$14*$AG83^5+WeightSDS!S$14*$AG83^4+WeightSDS!T$14*$AG83^3+WeightSDS!U$14*$AG83^2+WeightSDS!V$14*$AG83+WeightSDS!W$14),IF($AG83&lt;156,WeightSDS!O$17*$AG83^8+WeightSDS!P$17*$AG83^7+WeightSDS!Q$17*$AG83^6+WeightSDS!R$17*$AG83^5+WeightSDS!S$17*$AG83^4+WeightSDS!T$17*$AG83^3+WeightSDS!U$17*$AG83^2+WeightSDS!V$17*$AG83+WeightSDS!W$17,IF($AG83&lt;186,WeightSDS!$U$18+(WeightSDS!$V$18-WeightSDS!$U$18)/24*($AG83-186)+WeightSDS!$W$18*(-$AG83+186)^2-0.005,WeightSDS!$U$18+(WeightSDS!$V$18-WeightSDS!$U$18)/24*($AG83-186)-0.005)))</f>
        <v>0.14604529399999999</v>
      </c>
    </row>
    <row r="84" spans="1:37">
      <c r="A84" s="4"/>
      <c r="B84" s="21"/>
      <c r="C84" s="21"/>
      <c r="D84" s="21"/>
      <c r="E84" s="22"/>
      <c r="F84" s="22"/>
      <c r="G84" s="23"/>
      <c r="H84" s="23"/>
      <c r="I84" s="8" t="str">
        <f t="shared" si="18"/>
        <v/>
      </c>
      <c r="J84" s="2" t="str">
        <f t="shared" si="25"/>
        <v/>
      </c>
      <c r="K84" s="2" t="str">
        <f t="shared" si="19"/>
        <v/>
      </c>
      <c r="L84" s="2" t="str">
        <f t="shared" si="26"/>
        <v/>
      </c>
      <c r="M84" s="2" t="str">
        <f t="shared" si="31"/>
        <v/>
      </c>
      <c r="N84" s="2" t="str">
        <f t="shared" si="27"/>
        <v/>
      </c>
      <c r="O84" s="8" t="str">
        <f t="shared" si="28"/>
        <v/>
      </c>
      <c r="P84" s="8" t="str">
        <f t="shared" si="29"/>
        <v/>
      </c>
      <c r="Q84" s="40" t="str">
        <f t="shared" si="20"/>
        <v/>
      </c>
      <c r="R84" s="48" t="str">
        <f t="shared" si="30"/>
        <v/>
      </c>
      <c r="S84" s="8"/>
      <c r="U84" s="35">
        <f t="shared" si="21"/>
        <v>0</v>
      </c>
      <c r="V84" s="24">
        <f t="shared" si="22"/>
        <v>0</v>
      </c>
      <c r="W84" s="41">
        <f t="shared" si="17"/>
        <v>0</v>
      </c>
      <c r="X84" s="31"/>
      <c r="Y84" s="31"/>
      <c r="Z84" s="31"/>
      <c r="AA84" s="25">
        <f t="shared" si="23"/>
        <v>9.0359999999999996</v>
      </c>
      <c r="AB84" s="25">
        <f t="shared" si="24"/>
        <v>-184.49199999999999</v>
      </c>
      <c r="AD84" s="24">
        <f>IF(D84="M",IF(AG84&lt;78,BMILMS!$D$5*AG84^3+BMILMS!$E$5*AG84^2+BMILMS!$F$5*AG84+BMILMS!$G$5,IF(AG84&lt;150,BMILMS!$D$6*AG84^3+BMILMS!$E$6*AG84^2+BMILMS!$F$6*AG84+BMILMS!$G$6,BMILMS!$D$7*AG84^3+BMILMS!$E$7*AG84^2+BMILMS!$F$7*AG84+BMILMS!$G$7)),IF(AG84&lt;69,BMILMS!$D$9*AG84^3+BMILMS!$E$9*AG84^2+BMILMS!$F$9*AG84+BMILMS!$G$9,IF(AG84&lt;150,BMILMS!$D$10*AG84^3+BMILMS!$E$10*AG84^2+BMILMS!$F$10*AG84+BMILMS!$G$10,BMILMS!$D$11*AG84^3+BMILMS!$E$11*AG84^2+BMILMS!$F$11*AG84+BMILMS!$G$11)))</f>
        <v>0.79584630099999998</v>
      </c>
      <c r="AE84" s="24">
        <f>IF(D84="M",(IF(AG84&lt;2.5,BMILMS!$D$21*AG84^3+BMILMS!$E$21*AG84^2+BMILMS!$F$21*AG84+BMILMS!$G$21,IF(AG84&lt;9.5,BMILMS!$D$22*AG84^3+BMILMS!$E$22*AG84^2+BMILMS!$F$22*AG84+BMILMS!$G$22,IF(AG84&lt;26.75,BMILMS!$D$23*AG84^3+BMILMS!$E$23*AG84^2+BMILMS!$F$23*AG84+BMILMS!$G$23,IF(AG84&lt;90,BMILMS!$D$24*AG84^3+BMILMS!$E$24*AG84^2+BMILMS!$F$24*AG84+BMILMS!$G$24,BMILMS!$D$25*AG84^3+BMILMS!$E$25*AG84^2+BMILMS!$F$25*AG84+BMILMS!$G$25))))),(IF(AG84&lt;2.5,BMILMS!$D$27*AG84^3+BMILMS!$E$27*AG84^2+BMILMS!$F$27*AG84+BMILMS!$G$27,IF(AG84&lt;9.5,BMILMS!$D$28*AG84^3+BMILMS!$E$28*AG84^2+BMILMS!$F$28*AG84+BMILMS!$G$28,IF(AG84&lt;26.75,BMILMS!$D$29*AG84^3+BMILMS!$E$29*AG84^2+BMILMS!$F$29*AG84+BMILMS!$G$29,IF(AG84&lt;90,BMILMS!$D$30*AG84^3+BMILMS!$E$30*AG84^2+BMILMS!$F$30*AG84+BMILMS!$G$30,IF(AG84&lt;150,BMILMS!$D$31*AG84^3+BMILMS!$E$31*AG84^2+BMILMS!$F$31*AG84+BMILMS!$G$31,BMILMS!$D$32*AG84^3+BMILMS!$E$32*AG84^2+BMILMS!$F$32*AG84+BMILMS!$G$32)))))))</f>
        <v>12.568967990000001</v>
      </c>
      <c r="AF84" s="24">
        <f>IF(D84="M",(IF(AG84&lt;90,BMILMS!$D$14*AG84^3+BMILMS!$E$14*AG84^2+BMILMS!$F$14*AG84+BMILMS!$G$14,BMILMS!$D$15*AG84^3+BMILMS!$E$15*AG84^2+BMILMS!$F$15*AG84+BMILMS!$G$15)),(IF(AG84&lt;90,BMILMS!$D$17*AG84^3+BMILMS!$E$17*AG84^2+BMILMS!$F$17*AG84+BMILMS!$G$17,BMILMS!$D$18*AG84^3+BMILMS!$E$18*AG84^2+BMILMS!$F$18*AG84+BMILMS!$G$18)))</f>
        <v>8.8969350000000003E-2</v>
      </c>
      <c r="AG84" s="24">
        <f t="shared" si="32"/>
        <v>0</v>
      </c>
      <c r="AI84" s="38">
        <f>IF(D84="M",WeightSDS!P$5*$AG84^7+WeightSDS!Q$5*$AG84^6+WeightSDS!R$5*$AG84^5+WeightSDS!S$5*$AG84^4+WeightSDS!T$5*$AG84^3+WeightSDS!U$5*$AG84^2+WeightSDS!V$5*$AG84+WeightSDS!W$5,IF($AG84&lt;186,WeightSDS!P$8*$AG84^7+WeightSDS!Q$8*$AG84^6+WeightSDS!R$8*$AG84^5+WeightSDS!S$8*$AG84^4+WeightSDS!T$8*$AG84^3+WeightSDS!U$8*$AG84^2+WeightSDS!V$8*$AG84+WeightSDS!W$8,WeightSDS!$U$9-WeightSDS!$V$9*($AG84-WeightSDS!$W$9)))</f>
        <v>0.75407122999999998</v>
      </c>
      <c r="AJ84" s="24">
        <f>IF(D84="M",IF($AG84&lt;45,WeightSDS!M$23*$AG84^10+WeightSDS!N$23*$AG84^9+WeightSDS!O$23*$AG84^8+WeightSDS!P$23*$AG84^7+WeightSDS!Q$23*$AG84^6+WeightSDS!R$23*$AG84^5+WeightSDS!S$23*$AG84^4+WeightSDS!T$23*$AG84^3+WeightSDS!U$23*$AG84^2+WeightSDS!V$23*$AG84+WeightSDS!W$23,IF($AG84&lt;153,WeightSDS!M$25*$AG84^10+WeightSDS!N$25*$AG84^9+WeightSDS!O$25*$AG84^8+WeightSDS!P$25*$AG84^7+WeightSDS!Q$25*$AG84^6+WeightSDS!R$25*$AG84^5+WeightSDS!S$25*$AG84^4+WeightSDS!T$25*$AG84^3+WeightSDS!U$25*$AG84^2+WeightSDS!V$25*$AG84+WeightSDS!W$25,WeightSDS!M$27+WeightSDS!N$27/(1+EXP(WeightSDS!O$27+WeightSDS!P$27*$AG84)))),IF($AG84&lt;43.8,WeightSDS!M$29*$AG84^10+WeightSDS!N$29*$AG84^9+WeightSDS!O$29*$AG84^8+WeightSDS!P$29*$AG84^7+WeightSDS!Q$29*$AG84^6+WeightSDS!R$29*$AG84^5+WeightSDS!S$29*$AG84^4+WeightSDS!T$29*$AG84^3+WeightSDS!U$29*$AG84^2+WeightSDS!V$29*$AG84+WeightSDS!W$29-0.010431*(1-$AG84/210),IF($AG84&lt;123,WeightSDS!M$30*$AG84^10+WeightSDS!N$30*$AG84^9+WeightSDS!O$30*$AG84^8+WeightSDS!P$30*$AG84^7+WeightSDS!Q$30*$AG84^6+WeightSDS!R$30*$AG84^5+WeightSDS!S$30*$AG84^4+WeightSDS!T$30*$AG84^3+WeightSDS!U$30*$AG84^2+WeightSDS!V$30*$AG84+WeightSDS!W$30-0.010431*(1-1/$AG84),WeightSDS!M$32+WeightSDS!N$32/(1+EXP(WeightSDS!O$32+WeightSDS!P$32*$AG84))-0.010431*(1-$AG84/210))))</f>
        <v>2.9500001032655536</v>
      </c>
      <c r="AK84" s="24">
        <f>IF(D84="M",IF($AG84&lt;162,WeightSDS!P$12*$AG84^7+WeightSDS!Q$12*$AG84^6+WeightSDS!R$12*$AG84^5+WeightSDS!S$12*$AG84^4+WeightSDS!T$12*$AG84^3+WeightSDS!U$12*$AG84^2+WeightSDS!V$12*$AG84+WeightSDS!W$12,WeightSDS!P$14*$AG84^7+WeightSDS!Q$14*$AG84^6+WeightSDS!R$14*$AG84^5+WeightSDS!S$14*$AG84^4+WeightSDS!T$14*$AG84^3+WeightSDS!U$14*$AG84^2+WeightSDS!V$14*$AG84+WeightSDS!W$14),IF($AG84&lt;156,WeightSDS!O$17*$AG84^8+WeightSDS!P$17*$AG84^7+WeightSDS!Q$17*$AG84^6+WeightSDS!R$17*$AG84^5+WeightSDS!S$17*$AG84^4+WeightSDS!T$17*$AG84^3+WeightSDS!U$17*$AG84^2+WeightSDS!V$17*$AG84+WeightSDS!W$17,IF($AG84&lt;186,WeightSDS!$U$18+(WeightSDS!$V$18-WeightSDS!$U$18)/24*($AG84-186)+WeightSDS!$W$18*(-$AG84+186)^2-0.005,WeightSDS!$U$18+(WeightSDS!$V$18-WeightSDS!$U$18)/24*($AG84-186)-0.005)))</f>
        <v>0.14604529399999999</v>
      </c>
    </row>
    <row r="85" spans="1:37">
      <c r="A85" s="4"/>
      <c r="B85" s="21"/>
      <c r="C85" s="21"/>
      <c r="D85" s="21"/>
      <c r="E85" s="22"/>
      <c r="F85" s="22"/>
      <c r="G85" s="23"/>
      <c r="H85" s="23"/>
      <c r="I85" s="8" t="str">
        <f t="shared" si="18"/>
        <v/>
      </c>
      <c r="J85" s="2" t="str">
        <f t="shared" si="25"/>
        <v/>
      </c>
      <c r="K85" s="2" t="str">
        <f t="shared" si="19"/>
        <v/>
      </c>
      <c r="L85" s="2" t="str">
        <f t="shared" si="26"/>
        <v/>
      </c>
      <c r="M85" s="2" t="str">
        <f t="shared" si="31"/>
        <v/>
      </c>
      <c r="N85" s="2" t="str">
        <f t="shared" si="27"/>
        <v/>
      </c>
      <c r="O85" s="8" t="str">
        <f t="shared" si="28"/>
        <v/>
      </c>
      <c r="P85" s="8" t="str">
        <f t="shared" si="29"/>
        <v/>
      </c>
      <c r="Q85" s="40" t="str">
        <f t="shared" si="20"/>
        <v/>
      </c>
      <c r="R85" s="48" t="str">
        <f t="shared" si="30"/>
        <v/>
      </c>
      <c r="S85" s="8"/>
      <c r="U85" s="35">
        <f t="shared" si="21"/>
        <v>0</v>
      </c>
      <c r="V85" s="24">
        <f t="shared" si="22"/>
        <v>0</v>
      </c>
      <c r="W85" s="41">
        <f t="shared" si="17"/>
        <v>0</v>
      </c>
      <c r="X85" s="31"/>
      <c r="Y85" s="31"/>
      <c r="Z85" s="31"/>
      <c r="AA85" s="25">
        <f t="shared" si="23"/>
        <v>9.0359999999999996</v>
      </c>
      <c r="AB85" s="25">
        <f t="shared" si="24"/>
        <v>-184.49199999999999</v>
      </c>
      <c r="AD85" s="24">
        <f>IF(D85="M",IF(AG85&lt;78,BMILMS!$D$5*AG85^3+BMILMS!$E$5*AG85^2+BMILMS!$F$5*AG85+BMILMS!$G$5,IF(AG85&lt;150,BMILMS!$D$6*AG85^3+BMILMS!$E$6*AG85^2+BMILMS!$F$6*AG85+BMILMS!$G$6,BMILMS!$D$7*AG85^3+BMILMS!$E$7*AG85^2+BMILMS!$F$7*AG85+BMILMS!$G$7)),IF(AG85&lt;69,BMILMS!$D$9*AG85^3+BMILMS!$E$9*AG85^2+BMILMS!$F$9*AG85+BMILMS!$G$9,IF(AG85&lt;150,BMILMS!$D$10*AG85^3+BMILMS!$E$10*AG85^2+BMILMS!$F$10*AG85+BMILMS!$G$10,BMILMS!$D$11*AG85^3+BMILMS!$E$11*AG85^2+BMILMS!$F$11*AG85+BMILMS!$G$11)))</f>
        <v>0.79584630099999998</v>
      </c>
      <c r="AE85" s="24">
        <f>IF(D85="M",(IF(AG85&lt;2.5,BMILMS!$D$21*AG85^3+BMILMS!$E$21*AG85^2+BMILMS!$F$21*AG85+BMILMS!$G$21,IF(AG85&lt;9.5,BMILMS!$D$22*AG85^3+BMILMS!$E$22*AG85^2+BMILMS!$F$22*AG85+BMILMS!$G$22,IF(AG85&lt;26.75,BMILMS!$D$23*AG85^3+BMILMS!$E$23*AG85^2+BMILMS!$F$23*AG85+BMILMS!$G$23,IF(AG85&lt;90,BMILMS!$D$24*AG85^3+BMILMS!$E$24*AG85^2+BMILMS!$F$24*AG85+BMILMS!$G$24,BMILMS!$D$25*AG85^3+BMILMS!$E$25*AG85^2+BMILMS!$F$25*AG85+BMILMS!$G$25))))),(IF(AG85&lt;2.5,BMILMS!$D$27*AG85^3+BMILMS!$E$27*AG85^2+BMILMS!$F$27*AG85+BMILMS!$G$27,IF(AG85&lt;9.5,BMILMS!$D$28*AG85^3+BMILMS!$E$28*AG85^2+BMILMS!$F$28*AG85+BMILMS!$G$28,IF(AG85&lt;26.75,BMILMS!$D$29*AG85^3+BMILMS!$E$29*AG85^2+BMILMS!$F$29*AG85+BMILMS!$G$29,IF(AG85&lt;90,BMILMS!$D$30*AG85^3+BMILMS!$E$30*AG85^2+BMILMS!$F$30*AG85+BMILMS!$G$30,IF(AG85&lt;150,BMILMS!$D$31*AG85^3+BMILMS!$E$31*AG85^2+BMILMS!$F$31*AG85+BMILMS!$G$31,BMILMS!$D$32*AG85^3+BMILMS!$E$32*AG85^2+BMILMS!$F$32*AG85+BMILMS!$G$32)))))))</f>
        <v>12.568967990000001</v>
      </c>
      <c r="AF85" s="24">
        <f>IF(D85="M",(IF(AG85&lt;90,BMILMS!$D$14*AG85^3+BMILMS!$E$14*AG85^2+BMILMS!$F$14*AG85+BMILMS!$G$14,BMILMS!$D$15*AG85^3+BMILMS!$E$15*AG85^2+BMILMS!$F$15*AG85+BMILMS!$G$15)),(IF(AG85&lt;90,BMILMS!$D$17*AG85^3+BMILMS!$E$17*AG85^2+BMILMS!$F$17*AG85+BMILMS!$G$17,BMILMS!$D$18*AG85^3+BMILMS!$E$18*AG85^2+BMILMS!$F$18*AG85+BMILMS!$G$18)))</f>
        <v>8.8969350000000003E-2</v>
      </c>
      <c r="AG85" s="24">
        <f t="shared" si="32"/>
        <v>0</v>
      </c>
      <c r="AI85" s="38">
        <f>IF(D85="M",WeightSDS!P$5*$AG85^7+WeightSDS!Q$5*$AG85^6+WeightSDS!R$5*$AG85^5+WeightSDS!S$5*$AG85^4+WeightSDS!T$5*$AG85^3+WeightSDS!U$5*$AG85^2+WeightSDS!V$5*$AG85+WeightSDS!W$5,IF($AG85&lt;186,WeightSDS!P$8*$AG85^7+WeightSDS!Q$8*$AG85^6+WeightSDS!R$8*$AG85^5+WeightSDS!S$8*$AG85^4+WeightSDS!T$8*$AG85^3+WeightSDS!U$8*$AG85^2+WeightSDS!V$8*$AG85+WeightSDS!W$8,WeightSDS!$U$9-WeightSDS!$V$9*($AG85-WeightSDS!$W$9)))</f>
        <v>0.75407122999999998</v>
      </c>
      <c r="AJ85" s="24">
        <f>IF(D85="M",IF($AG85&lt;45,WeightSDS!M$23*$AG85^10+WeightSDS!N$23*$AG85^9+WeightSDS!O$23*$AG85^8+WeightSDS!P$23*$AG85^7+WeightSDS!Q$23*$AG85^6+WeightSDS!R$23*$AG85^5+WeightSDS!S$23*$AG85^4+WeightSDS!T$23*$AG85^3+WeightSDS!U$23*$AG85^2+WeightSDS!V$23*$AG85+WeightSDS!W$23,IF($AG85&lt;153,WeightSDS!M$25*$AG85^10+WeightSDS!N$25*$AG85^9+WeightSDS!O$25*$AG85^8+WeightSDS!P$25*$AG85^7+WeightSDS!Q$25*$AG85^6+WeightSDS!R$25*$AG85^5+WeightSDS!S$25*$AG85^4+WeightSDS!T$25*$AG85^3+WeightSDS!U$25*$AG85^2+WeightSDS!V$25*$AG85+WeightSDS!W$25,WeightSDS!M$27+WeightSDS!N$27/(1+EXP(WeightSDS!O$27+WeightSDS!P$27*$AG85)))),IF($AG85&lt;43.8,WeightSDS!M$29*$AG85^10+WeightSDS!N$29*$AG85^9+WeightSDS!O$29*$AG85^8+WeightSDS!P$29*$AG85^7+WeightSDS!Q$29*$AG85^6+WeightSDS!R$29*$AG85^5+WeightSDS!S$29*$AG85^4+WeightSDS!T$29*$AG85^3+WeightSDS!U$29*$AG85^2+WeightSDS!V$29*$AG85+WeightSDS!W$29-0.010431*(1-$AG85/210),IF($AG85&lt;123,WeightSDS!M$30*$AG85^10+WeightSDS!N$30*$AG85^9+WeightSDS!O$30*$AG85^8+WeightSDS!P$30*$AG85^7+WeightSDS!Q$30*$AG85^6+WeightSDS!R$30*$AG85^5+WeightSDS!S$30*$AG85^4+WeightSDS!T$30*$AG85^3+WeightSDS!U$30*$AG85^2+WeightSDS!V$30*$AG85+WeightSDS!W$30-0.010431*(1-1/$AG85),WeightSDS!M$32+WeightSDS!N$32/(1+EXP(WeightSDS!O$32+WeightSDS!P$32*$AG85))-0.010431*(1-$AG85/210))))</f>
        <v>2.9500001032655536</v>
      </c>
      <c r="AK85" s="24">
        <f>IF(D85="M",IF($AG85&lt;162,WeightSDS!P$12*$AG85^7+WeightSDS!Q$12*$AG85^6+WeightSDS!R$12*$AG85^5+WeightSDS!S$12*$AG85^4+WeightSDS!T$12*$AG85^3+WeightSDS!U$12*$AG85^2+WeightSDS!V$12*$AG85+WeightSDS!W$12,WeightSDS!P$14*$AG85^7+WeightSDS!Q$14*$AG85^6+WeightSDS!R$14*$AG85^5+WeightSDS!S$14*$AG85^4+WeightSDS!T$14*$AG85^3+WeightSDS!U$14*$AG85^2+WeightSDS!V$14*$AG85+WeightSDS!W$14),IF($AG85&lt;156,WeightSDS!O$17*$AG85^8+WeightSDS!P$17*$AG85^7+WeightSDS!Q$17*$AG85^6+WeightSDS!R$17*$AG85^5+WeightSDS!S$17*$AG85^4+WeightSDS!T$17*$AG85^3+WeightSDS!U$17*$AG85^2+WeightSDS!V$17*$AG85+WeightSDS!W$17,IF($AG85&lt;186,WeightSDS!$U$18+(WeightSDS!$V$18-WeightSDS!$U$18)/24*($AG85-186)+WeightSDS!$W$18*(-$AG85+186)^2-0.005,WeightSDS!$U$18+(WeightSDS!$V$18-WeightSDS!$U$18)/24*($AG85-186)-0.005)))</f>
        <v>0.14604529399999999</v>
      </c>
    </row>
    <row r="86" spans="1:37">
      <c r="A86" s="4"/>
      <c r="B86" s="21"/>
      <c r="C86" s="21"/>
      <c r="D86" s="21"/>
      <c r="E86" s="22"/>
      <c r="F86" s="22"/>
      <c r="G86" s="23"/>
      <c r="H86" s="23"/>
      <c r="I86" s="8" t="str">
        <f t="shared" si="18"/>
        <v/>
      </c>
      <c r="J86" s="2" t="str">
        <f t="shared" si="25"/>
        <v/>
      </c>
      <c r="K86" s="2" t="str">
        <f t="shared" si="19"/>
        <v/>
      </c>
      <c r="L86" s="2" t="str">
        <f t="shared" si="26"/>
        <v/>
      </c>
      <c r="M86" s="2" t="str">
        <f t="shared" si="31"/>
        <v/>
      </c>
      <c r="N86" s="2" t="str">
        <f t="shared" si="27"/>
        <v/>
      </c>
      <c r="O86" s="8" t="str">
        <f t="shared" si="28"/>
        <v/>
      </c>
      <c r="P86" s="8" t="str">
        <f t="shared" si="29"/>
        <v/>
      </c>
      <c r="Q86" s="40" t="str">
        <f t="shared" si="20"/>
        <v/>
      </c>
      <c r="R86" s="48" t="str">
        <f t="shared" si="30"/>
        <v/>
      </c>
      <c r="S86" s="8"/>
      <c r="U86" s="35">
        <f t="shared" si="21"/>
        <v>0</v>
      </c>
      <c r="V86" s="24">
        <f t="shared" si="22"/>
        <v>0</v>
      </c>
      <c r="W86" s="41">
        <f t="shared" si="17"/>
        <v>0</v>
      </c>
      <c r="X86" s="31"/>
      <c r="Y86" s="31"/>
      <c r="Z86" s="31"/>
      <c r="AA86" s="25">
        <f t="shared" si="23"/>
        <v>9.0359999999999996</v>
      </c>
      <c r="AB86" s="25">
        <f t="shared" si="24"/>
        <v>-184.49199999999999</v>
      </c>
      <c r="AD86" s="24">
        <f>IF(D86="M",IF(AG86&lt;78,BMILMS!$D$5*AG86^3+BMILMS!$E$5*AG86^2+BMILMS!$F$5*AG86+BMILMS!$G$5,IF(AG86&lt;150,BMILMS!$D$6*AG86^3+BMILMS!$E$6*AG86^2+BMILMS!$F$6*AG86+BMILMS!$G$6,BMILMS!$D$7*AG86^3+BMILMS!$E$7*AG86^2+BMILMS!$F$7*AG86+BMILMS!$G$7)),IF(AG86&lt;69,BMILMS!$D$9*AG86^3+BMILMS!$E$9*AG86^2+BMILMS!$F$9*AG86+BMILMS!$G$9,IF(AG86&lt;150,BMILMS!$D$10*AG86^3+BMILMS!$E$10*AG86^2+BMILMS!$F$10*AG86+BMILMS!$G$10,BMILMS!$D$11*AG86^3+BMILMS!$E$11*AG86^2+BMILMS!$F$11*AG86+BMILMS!$G$11)))</f>
        <v>0.79584630099999998</v>
      </c>
      <c r="AE86" s="24">
        <f>IF(D86="M",(IF(AG86&lt;2.5,BMILMS!$D$21*AG86^3+BMILMS!$E$21*AG86^2+BMILMS!$F$21*AG86+BMILMS!$G$21,IF(AG86&lt;9.5,BMILMS!$D$22*AG86^3+BMILMS!$E$22*AG86^2+BMILMS!$F$22*AG86+BMILMS!$G$22,IF(AG86&lt;26.75,BMILMS!$D$23*AG86^3+BMILMS!$E$23*AG86^2+BMILMS!$F$23*AG86+BMILMS!$G$23,IF(AG86&lt;90,BMILMS!$D$24*AG86^3+BMILMS!$E$24*AG86^2+BMILMS!$F$24*AG86+BMILMS!$G$24,BMILMS!$D$25*AG86^3+BMILMS!$E$25*AG86^2+BMILMS!$F$25*AG86+BMILMS!$G$25))))),(IF(AG86&lt;2.5,BMILMS!$D$27*AG86^3+BMILMS!$E$27*AG86^2+BMILMS!$F$27*AG86+BMILMS!$G$27,IF(AG86&lt;9.5,BMILMS!$D$28*AG86^3+BMILMS!$E$28*AG86^2+BMILMS!$F$28*AG86+BMILMS!$G$28,IF(AG86&lt;26.75,BMILMS!$D$29*AG86^3+BMILMS!$E$29*AG86^2+BMILMS!$F$29*AG86+BMILMS!$G$29,IF(AG86&lt;90,BMILMS!$D$30*AG86^3+BMILMS!$E$30*AG86^2+BMILMS!$F$30*AG86+BMILMS!$G$30,IF(AG86&lt;150,BMILMS!$D$31*AG86^3+BMILMS!$E$31*AG86^2+BMILMS!$F$31*AG86+BMILMS!$G$31,BMILMS!$D$32*AG86^3+BMILMS!$E$32*AG86^2+BMILMS!$F$32*AG86+BMILMS!$G$32)))))))</f>
        <v>12.568967990000001</v>
      </c>
      <c r="AF86" s="24">
        <f>IF(D86="M",(IF(AG86&lt;90,BMILMS!$D$14*AG86^3+BMILMS!$E$14*AG86^2+BMILMS!$F$14*AG86+BMILMS!$G$14,BMILMS!$D$15*AG86^3+BMILMS!$E$15*AG86^2+BMILMS!$F$15*AG86+BMILMS!$G$15)),(IF(AG86&lt;90,BMILMS!$D$17*AG86^3+BMILMS!$E$17*AG86^2+BMILMS!$F$17*AG86+BMILMS!$G$17,BMILMS!$D$18*AG86^3+BMILMS!$E$18*AG86^2+BMILMS!$F$18*AG86+BMILMS!$G$18)))</f>
        <v>8.8969350000000003E-2</v>
      </c>
      <c r="AG86" s="24">
        <f t="shared" si="32"/>
        <v>0</v>
      </c>
      <c r="AI86" s="38">
        <f>IF(D86="M",WeightSDS!P$5*$AG86^7+WeightSDS!Q$5*$AG86^6+WeightSDS!R$5*$AG86^5+WeightSDS!S$5*$AG86^4+WeightSDS!T$5*$AG86^3+WeightSDS!U$5*$AG86^2+WeightSDS!V$5*$AG86+WeightSDS!W$5,IF($AG86&lt;186,WeightSDS!P$8*$AG86^7+WeightSDS!Q$8*$AG86^6+WeightSDS!R$8*$AG86^5+WeightSDS!S$8*$AG86^4+WeightSDS!T$8*$AG86^3+WeightSDS!U$8*$AG86^2+WeightSDS!V$8*$AG86+WeightSDS!W$8,WeightSDS!$U$9-WeightSDS!$V$9*($AG86-WeightSDS!$W$9)))</f>
        <v>0.75407122999999998</v>
      </c>
      <c r="AJ86" s="24">
        <f>IF(D86="M",IF($AG86&lt;45,WeightSDS!M$23*$AG86^10+WeightSDS!N$23*$AG86^9+WeightSDS!O$23*$AG86^8+WeightSDS!P$23*$AG86^7+WeightSDS!Q$23*$AG86^6+WeightSDS!R$23*$AG86^5+WeightSDS!S$23*$AG86^4+WeightSDS!T$23*$AG86^3+WeightSDS!U$23*$AG86^2+WeightSDS!V$23*$AG86+WeightSDS!W$23,IF($AG86&lt;153,WeightSDS!M$25*$AG86^10+WeightSDS!N$25*$AG86^9+WeightSDS!O$25*$AG86^8+WeightSDS!P$25*$AG86^7+WeightSDS!Q$25*$AG86^6+WeightSDS!R$25*$AG86^5+WeightSDS!S$25*$AG86^4+WeightSDS!T$25*$AG86^3+WeightSDS!U$25*$AG86^2+WeightSDS!V$25*$AG86+WeightSDS!W$25,WeightSDS!M$27+WeightSDS!N$27/(1+EXP(WeightSDS!O$27+WeightSDS!P$27*$AG86)))),IF($AG86&lt;43.8,WeightSDS!M$29*$AG86^10+WeightSDS!N$29*$AG86^9+WeightSDS!O$29*$AG86^8+WeightSDS!P$29*$AG86^7+WeightSDS!Q$29*$AG86^6+WeightSDS!R$29*$AG86^5+WeightSDS!S$29*$AG86^4+WeightSDS!T$29*$AG86^3+WeightSDS!U$29*$AG86^2+WeightSDS!V$29*$AG86+WeightSDS!W$29-0.010431*(1-$AG86/210),IF($AG86&lt;123,WeightSDS!M$30*$AG86^10+WeightSDS!N$30*$AG86^9+WeightSDS!O$30*$AG86^8+WeightSDS!P$30*$AG86^7+WeightSDS!Q$30*$AG86^6+WeightSDS!R$30*$AG86^5+WeightSDS!S$30*$AG86^4+WeightSDS!T$30*$AG86^3+WeightSDS!U$30*$AG86^2+WeightSDS!V$30*$AG86+WeightSDS!W$30-0.010431*(1-1/$AG86),WeightSDS!M$32+WeightSDS!N$32/(1+EXP(WeightSDS!O$32+WeightSDS!P$32*$AG86))-0.010431*(1-$AG86/210))))</f>
        <v>2.9500001032655536</v>
      </c>
      <c r="AK86" s="24">
        <f>IF(D86="M",IF($AG86&lt;162,WeightSDS!P$12*$AG86^7+WeightSDS!Q$12*$AG86^6+WeightSDS!R$12*$AG86^5+WeightSDS!S$12*$AG86^4+WeightSDS!T$12*$AG86^3+WeightSDS!U$12*$AG86^2+WeightSDS!V$12*$AG86+WeightSDS!W$12,WeightSDS!P$14*$AG86^7+WeightSDS!Q$14*$AG86^6+WeightSDS!R$14*$AG86^5+WeightSDS!S$14*$AG86^4+WeightSDS!T$14*$AG86^3+WeightSDS!U$14*$AG86^2+WeightSDS!V$14*$AG86+WeightSDS!W$14),IF($AG86&lt;156,WeightSDS!O$17*$AG86^8+WeightSDS!P$17*$AG86^7+WeightSDS!Q$17*$AG86^6+WeightSDS!R$17*$AG86^5+WeightSDS!S$17*$AG86^4+WeightSDS!T$17*$AG86^3+WeightSDS!U$17*$AG86^2+WeightSDS!V$17*$AG86+WeightSDS!W$17,IF($AG86&lt;186,WeightSDS!$U$18+(WeightSDS!$V$18-WeightSDS!$U$18)/24*($AG86-186)+WeightSDS!$W$18*(-$AG86+186)^2-0.005,WeightSDS!$U$18+(WeightSDS!$V$18-WeightSDS!$U$18)/24*($AG86-186)-0.005)))</f>
        <v>0.14604529399999999</v>
      </c>
    </row>
    <row r="87" spans="1:37">
      <c r="A87" s="4"/>
      <c r="B87" s="21"/>
      <c r="C87" s="21"/>
      <c r="D87" s="21"/>
      <c r="E87" s="22"/>
      <c r="F87" s="22"/>
      <c r="G87" s="23"/>
      <c r="H87" s="23"/>
      <c r="I87" s="8" t="str">
        <f t="shared" si="18"/>
        <v/>
      </c>
      <c r="J87" s="2" t="str">
        <f t="shared" si="25"/>
        <v/>
      </c>
      <c r="K87" s="2" t="str">
        <f t="shared" si="19"/>
        <v/>
      </c>
      <c r="L87" s="2" t="str">
        <f t="shared" si="26"/>
        <v/>
      </c>
      <c r="M87" s="2" t="str">
        <f t="shared" si="31"/>
        <v/>
      </c>
      <c r="N87" s="2" t="str">
        <f t="shared" si="27"/>
        <v/>
      </c>
      <c r="O87" s="8" t="str">
        <f t="shared" si="28"/>
        <v/>
      </c>
      <c r="P87" s="8" t="str">
        <f t="shared" si="29"/>
        <v/>
      </c>
      <c r="Q87" s="40" t="str">
        <f t="shared" si="20"/>
        <v/>
      </c>
      <c r="R87" s="48" t="str">
        <f t="shared" si="30"/>
        <v/>
      </c>
      <c r="S87" s="8"/>
      <c r="U87" s="35">
        <f t="shared" si="21"/>
        <v>0</v>
      </c>
      <c r="V87" s="24">
        <f t="shared" si="22"/>
        <v>0</v>
      </c>
      <c r="W87" s="41">
        <f t="shared" si="17"/>
        <v>0</v>
      </c>
      <c r="X87" s="31"/>
      <c r="Y87" s="31"/>
      <c r="Z87" s="31"/>
      <c r="AA87" s="25">
        <f t="shared" si="23"/>
        <v>9.0359999999999996</v>
      </c>
      <c r="AB87" s="25">
        <f t="shared" si="24"/>
        <v>-184.49199999999999</v>
      </c>
      <c r="AD87" s="24">
        <f>IF(D87="M",IF(AG87&lt;78,BMILMS!$D$5*AG87^3+BMILMS!$E$5*AG87^2+BMILMS!$F$5*AG87+BMILMS!$G$5,IF(AG87&lt;150,BMILMS!$D$6*AG87^3+BMILMS!$E$6*AG87^2+BMILMS!$F$6*AG87+BMILMS!$G$6,BMILMS!$D$7*AG87^3+BMILMS!$E$7*AG87^2+BMILMS!$F$7*AG87+BMILMS!$G$7)),IF(AG87&lt;69,BMILMS!$D$9*AG87^3+BMILMS!$E$9*AG87^2+BMILMS!$F$9*AG87+BMILMS!$G$9,IF(AG87&lt;150,BMILMS!$D$10*AG87^3+BMILMS!$E$10*AG87^2+BMILMS!$F$10*AG87+BMILMS!$G$10,BMILMS!$D$11*AG87^3+BMILMS!$E$11*AG87^2+BMILMS!$F$11*AG87+BMILMS!$G$11)))</f>
        <v>0.79584630099999998</v>
      </c>
      <c r="AE87" s="24">
        <f>IF(D87="M",(IF(AG87&lt;2.5,BMILMS!$D$21*AG87^3+BMILMS!$E$21*AG87^2+BMILMS!$F$21*AG87+BMILMS!$G$21,IF(AG87&lt;9.5,BMILMS!$D$22*AG87^3+BMILMS!$E$22*AG87^2+BMILMS!$F$22*AG87+BMILMS!$G$22,IF(AG87&lt;26.75,BMILMS!$D$23*AG87^3+BMILMS!$E$23*AG87^2+BMILMS!$F$23*AG87+BMILMS!$G$23,IF(AG87&lt;90,BMILMS!$D$24*AG87^3+BMILMS!$E$24*AG87^2+BMILMS!$F$24*AG87+BMILMS!$G$24,BMILMS!$D$25*AG87^3+BMILMS!$E$25*AG87^2+BMILMS!$F$25*AG87+BMILMS!$G$25))))),(IF(AG87&lt;2.5,BMILMS!$D$27*AG87^3+BMILMS!$E$27*AG87^2+BMILMS!$F$27*AG87+BMILMS!$G$27,IF(AG87&lt;9.5,BMILMS!$D$28*AG87^3+BMILMS!$E$28*AG87^2+BMILMS!$F$28*AG87+BMILMS!$G$28,IF(AG87&lt;26.75,BMILMS!$D$29*AG87^3+BMILMS!$E$29*AG87^2+BMILMS!$F$29*AG87+BMILMS!$G$29,IF(AG87&lt;90,BMILMS!$D$30*AG87^3+BMILMS!$E$30*AG87^2+BMILMS!$F$30*AG87+BMILMS!$G$30,IF(AG87&lt;150,BMILMS!$D$31*AG87^3+BMILMS!$E$31*AG87^2+BMILMS!$F$31*AG87+BMILMS!$G$31,BMILMS!$D$32*AG87^3+BMILMS!$E$32*AG87^2+BMILMS!$F$32*AG87+BMILMS!$G$32)))))))</f>
        <v>12.568967990000001</v>
      </c>
      <c r="AF87" s="24">
        <f>IF(D87="M",(IF(AG87&lt;90,BMILMS!$D$14*AG87^3+BMILMS!$E$14*AG87^2+BMILMS!$F$14*AG87+BMILMS!$G$14,BMILMS!$D$15*AG87^3+BMILMS!$E$15*AG87^2+BMILMS!$F$15*AG87+BMILMS!$G$15)),(IF(AG87&lt;90,BMILMS!$D$17*AG87^3+BMILMS!$E$17*AG87^2+BMILMS!$F$17*AG87+BMILMS!$G$17,BMILMS!$D$18*AG87^3+BMILMS!$E$18*AG87^2+BMILMS!$F$18*AG87+BMILMS!$G$18)))</f>
        <v>8.8969350000000003E-2</v>
      </c>
      <c r="AG87" s="24">
        <f t="shared" si="32"/>
        <v>0</v>
      </c>
      <c r="AI87" s="38">
        <f>IF(D87="M",WeightSDS!P$5*$AG87^7+WeightSDS!Q$5*$AG87^6+WeightSDS!R$5*$AG87^5+WeightSDS!S$5*$AG87^4+WeightSDS!T$5*$AG87^3+WeightSDS!U$5*$AG87^2+WeightSDS!V$5*$AG87+WeightSDS!W$5,IF($AG87&lt;186,WeightSDS!P$8*$AG87^7+WeightSDS!Q$8*$AG87^6+WeightSDS!R$8*$AG87^5+WeightSDS!S$8*$AG87^4+WeightSDS!T$8*$AG87^3+WeightSDS!U$8*$AG87^2+WeightSDS!V$8*$AG87+WeightSDS!W$8,WeightSDS!$U$9-WeightSDS!$V$9*($AG87-WeightSDS!$W$9)))</f>
        <v>0.75407122999999998</v>
      </c>
      <c r="AJ87" s="24">
        <f>IF(D87="M",IF($AG87&lt;45,WeightSDS!M$23*$AG87^10+WeightSDS!N$23*$AG87^9+WeightSDS!O$23*$AG87^8+WeightSDS!P$23*$AG87^7+WeightSDS!Q$23*$AG87^6+WeightSDS!R$23*$AG87^5+WeightSDS!S$23*$AG87^4+WeightSDS!T$23*$AG87^3+WeightSDS!U$23*$AG87^2+WeightSDS!V$23*$AG87+WeightSDS!W$23,IF($AG87&lt;153,WeightSDS!M$25*$AG87^10+WeightSDS!N$25*$AG87^9+WeightSDS!O$25*$AG87^8+WeightSDS!P$25*$AG87^7+WeightSDS!Q$25*$AG87^6+WeightSDS!R$25*$AG87^5+WeightSDS!S$25*$AG87^4+WeightSDS!T$25*$AG87^3+WeightSDS!U$25*$AG87^2+WeightSDS!V$25*$AG87+WeightSDS!W$25,WeightSDS!M$27+WeightSDS!N$27/(1+EXP(WeightSDS!O$27+WeightSDS!P$27*$AG87)))),IF($AG87&lt;43.8,WeightSDS!M$29*$AG87^10+WeightSDS!N$29*$AG87^9+WeightSDS!O$29*$AG87^8+WeightSDS!P$29*$AG87^7+WeightSDS!Q$29*$AG87^6+WeightSDS!R$29*$AG87^5+WeightSDS!S$29*$AG87^4+WeightSDS!T$29*$AG87^3+WeightSDS!U$29*$AG87^2+WeightSDS!V$29*$AG87+WeightSDS!W$29-0.010431*(1-$AG87/210),IF($AG87&lt;123,WeightSDS!M$30*$AG87^10+WeightSDS!N$30*$AG87^9+WeightSDS!O$30*$AG87^8+WeightSDS!P$30*$AG87^7+WeightSDS!Q$30*$AG87^6+WeightSDS!R$30*$AG87^5+WeightSDS!S$30*$AG87^4+WeightSDS!T$30*$AG87^3+WeightSDS!U$30*$AG87^2+WeightSDS!V$30*$AG87+WeightSDS!W$30-0.010431*(1-1/$AG87),WeightSDS!M$32+WeightSDS!N$32/(1+EXP(WeightSDS!O$32+WeightSDS!P$32*$AG87))-0.010431*(1-$AG87/210))))</f>
        <v>2.9500001032655536</v>
      </c>
      <c r="AK87" s="24">
        <f>IF(D87="M",IF($AG87&lt;162,WeightSDS!P$12*$AG87^7+WeightSDS!Q$12*$AG87^6+WeightSDS!R$12*$AG87^5+WeightSDS!S$12*$AG87^4+WeightSDS!T$12*$AG87^3+WeightSDS!U$12*$AG87^2+WeightSDS!V$12*$AG87+WeightSDS!W$12,WeightSDS!P$14*$AG87^7+WeightSDS!Q$14*$AG87^6+WeightSDS!R$14*$AG87^5+WeightSDS!S$14*$AG87^4+WeightSDS!T$14*$AG87^3+WeightSDS!U$14*$AG87^2+WeightSDS!V$14*$AG87+WeightSDS!W$14),IF($AG87&lt;156,WeightSDS!O$17*$AG87^8+WeightSDS!P$17*$AG87^7+WeightSDS!Q$17*$AG87^6+WeightSDS!R$17*$AG87^5+WeightSDS!S$17*$AG87^4+WeightSDS!T$17*$AG87^3+WeightSDS!U$17*$AG87^2+WeightSDS!V$17*$AG87+WeightSDS!W$17,IF($AG87&lt;186,WeightSDS!$U$18+(WeightSDS!$V$18-WeightSDS!$U$18)/24*($AG87-186)+WeightSDS!$W$18*(-$AG87+186)^2-0.005,WeightSDS!$U$18+(WeightSDS!$V$18-WeightSDS!$U$18)/24*($AG87-186)-0.005)))</f>
        <v>0.14604529399999999</v>
      </c>
    </row>
    <row r="88" spans="1:37">
      <c r="A88" s="4"/>
      <c r="B88" s="21"/>
      <c r="C88" s="21"/>
      <c r="D88" s="21"/>
      <c r="E88" s="22"/>
      <c r="F88" s="22"/>
      <c r="G88" s="23"/>
      <c r="H88" s="23"/>
      <c r="I88" s="8" t="str">
        <f t="shared" si="18"/>
        <v/>
      </c>
      <c r="J88" s="2" t="str">
        <f t="shared" si="25"/>
        <v/>
      </c>
      <c r="K88" s="2" t="str">
        <f t="shared" si="19"/>
        <v/>
      </c>
      <c r="L88" s="2" t="str">
        <f t="shared" si="26"/>
        <v/>
      </c>
      <c r="M88" s="2" t="str">
        <f t="shared" si="31"/>
        <v/>
      </c>
      <c r="N88" s="2" t="str">
        <f t="shared" si="27"/>
        <v/>
      </c>
      <c r="O88" s="8" t="str">
        <f t="shared" si="28"/>
        <v/>
      </c>
      <c r="P88" s="8" t="str">
        <f t="shared" si="29"/>
        <v/>
      </c>
      <c r="Q88" s="40" t="str">
        <f t="shared" si="20"/>
        <v/>
      </c>
      <c r="R88" s="48" t="str">
        <f t="shared" si="30"/>
        <v/>
      </c>
      <c r="S88" s="8"/>
      <c r="U88" s="35">
        <f t="shared" si="21"/>
        <v>0</v>
      </c>
      <c r="V88" s="24">
        <f t="shared" si="22"/>
        <v>0</v>
      </c>
      <c r="W88" s="41">
        <f t="shared" si="17"/>
        <v>0</v>
      </c>
      <c r="X88" s="31"/>
      <c r="Y88" s="31"/>
      <c r="Z88" s="31"/>
      <c r="AA88" s="25">
        <f t="shared" si="23"/>
        <v>9.0359999999999996</v>
      </c>
      <c r="AB88" s="25">
        <f t="shared" si="24"/>
        <v>-184.49199999999999</v>
      </c>
      <c r="AD88" s="24">
        <f>IF(D88="M",IF(AG88&lt;78,BMILMS!$D$5*AG88^3+BMILMS!$E$5*AG88^2+BMILMS!$F$5*AG88+BMILMS!$G$5,IF(AG88&lt;150,BMILMS!$D$6*AG88^3+BMILMS!$E$6*AG88^2+BMILMS!$F$6*AG88+BMILMS!$G$6,BMILMS!$D$7*AG88^3+BMILMS!$E$7*AG88^2+BMILMS!$F$7*AG88+BMILMS!$G$7)),IF(AG88&lt;69,BMILMS!$D$9*AG88^3+BMILMS!$E$9*AG88^2+BMILMS!$F$9*AG88+BMILMS!$G$9,IF(AG88&lt;150,BMILMS!$D$10*AG88^3+BMILMS!$E$10*AG88^2+BMILMS!$F$10*AG88+BMILMS!$G$10,BMILMS!$D$11*AG88^3+BMILMS!$E$11*AG88^2+BMILMS!$F$11*AG88+BMILMS!$G$11)))</f>
        <v>0.79584630099999998</v>
      </c>
      <c r="AE88" s="24">
        <f>IF(D88="M",(IF(AG88&lt;2.5,BMILMS!$D$21*AG88^3+BMILMS!$E$21*AG88^2+BMILMS!$F$21*AG88+BMILMS!$G$21,IF(AG88&lt;9.5,BMILMS!$D$22*AG88^3+BMILMS!$E$22*AG88^2+BMILMS!$F$22*AG88+BMILMS!$G$22,IF(AG88&lt;26.75,BMILMS!$D$23*AG88^3+BMILMS!$E$23*AG88^2+BMILMS!$F$23*AG88+BMILMS!$G$23,IF(AG88&lt;90,BMILMS!$D$24*AG88^3+BMILMS!$E$24*AG88^2+BMILMS!$F$24*AG88+BMILMS!$G$24,BMILMS!$D$25*AG88^3+BMILMS!$E$25*AG88^2+BMILMS!$F$25*AG88+BMILMS!$G$25))))),(IF(AG88&lt;2.5,BMILMS!$D$27*AG88^3+BMILMS!$E$27*AG88^2+BMILMS!$F$27*AG88+BMILMS!$G$27,IF(AG88&lt;9.5,BMILMS!$D$28*AG88^3+BMILMS!$E$28*AG88^2+BMILMS!$F$28*AG88+BMILMS!$G$28,IF(AG88&lt;26.75,BMILMS!$D$29*AG88^3+BMILMS!$E$29*AG88^2+BMILMS!$F$29*AG88+BMILMS!$G$29,IF(AG88&lt;90,BMILMS!$D$30*AG88^3+BMILMS!$E$30*AG88^2+BMILMS!$F$30*AG88+BMILMS!$G$30,IF(AG88&lt;150,BMILMS!$D$31*AG88^3+BMILMS!$E$31*AG88^2+BMILMS!$F$31*AG88+BMILMS!$G$31,BMILMS!$D$32*AG88^3+BMILMS!$E$32*AG88^2+BMILMS!$F$32*AG88+BMILMS!$G$32)))))))</f>
        <v>12.568967990000001</v>
      </c>
      <c r="AF88" s="24">
        <f>IF(D88="M",(IF(AG88&lt;90,BMILMS!$D$14*AG88^3+BMILMS!$E$14*AG88^2+BMILMS!$F$14*AG88+BMILMS!$G$14,BMILMS!$D$15*AG88^3+BMILMS!$E$15*AG88^2+BMILMS!$F$15*AG88+BMILMS!$G$15)),(IF(AG88&lt;90,BMILMS!$D$17*AG88^3+BMILMS!$E$17*AG88^2+BMILMS!$F$17*AG88+BMILMS!$G$17,BMILMS!$D$18*AG88^3+BMILMS!$E$18*AG88^2+BMILMS!$F$18*AG88+BMILMS!$G$18)))</f>
        <v>8.8969350000000003E-2</v>
      </c>
      <c r="AG88" s="24">
        <f t="shared" si="32"/>
        <v>0</v>
      </c>
      <c r="AI88" s="38">
        <f>IF(D88="M",WeightSDS!P$5*$AG88^7+WeightSDS!Q$5*$AG88^6+WeightSDS!R$5*$AG88^5+WeightSDS!S$5*$AG88^4+WeightSDS!T$5*$AG88^3+WeightSDS!U$5*$AG88^2+WeightSDS!V$5*$AG88+WeightSDS!W$5,IF($AG88&lt;186,WeightSDS!P$8*$AG88^7+WeightSDS!Q$8*$AG88^6+WeightSDS!R$8*$AG88^5+WeightSDS!S$8*$AG88^4+WeightSDS!T$8*$AG88^3+WeightSDS!U$8*$AG88^2+WeightSDS!V$8*$AG88+WeightSDS!W$8,WeightSDS!$U$9-WeightSDS!$V$9*($AG88-WeightSDS!$W$9)))</f>
        <v>0.75407122999999998</v>
      </c>
      <c r="AJ88" s="24">
        <f>IF(D88="M",IF($AG88&lt;45,WeightSDS!M$23*$AG88^10+WeightSDS!N$23*$AG88^9+WeightSDS!O$23*$AG88^8+WeightSDS!P$23*$AG88^7+WeightSDS!Q$23*$AG88^6+WeightSDS!R$23*$AG88^5+WeightSDS!S$23*$AG88^4+WeightSDS!T$23*$AG88^3+WeightSDS!U$23*$AG88^2+WeightSDS!V$23*$AG88+WeightSDS!W$23,IF($AG88&lt;153,WeightSDS!M$25*$AG88^10+WeightSDS!N$25*$AG88^9+WeightSDS!O$25*$AG88^8+WeightSDS!P$25*$AG88^7+WeightSDS!Q$25*$AG88^6+WeightSDS!R$25*$AG88^5+WeightSDS!S$25*$AG88^4+WeightSDS!T$25*$AG88^3+WeightSDS!U$25*$AG88^2+WeightSDS!V$25*$AG88+WeightSDS!W$25,WeightSDS!M$27+WeightSDS!N$27/(1+EXP(WeightSDS!O$27+WeightSDS!P$27*$AG88)))),IF($AG88&lt;43.8,WeightSDS!M$29*$AG88^10+WeightSDS!N$29*$AG88^9+WeightSDS!O$29*$AG88^8+WeightSDS!P$29*$AG88^7+WeightSDS!Q$29*$AG88^6+WeightSDS!R$29*$AG88^5+WeightSDS!S$29*$AG88^4+WeightSDS!T$29*$AG88^3+WeightSDS!U$29*$AG88^2+WeightSDS!V$29*$AG88+WeightSDS!W$29-0.010431*(1-$AG88/210),IF($AG88&lt;123,WeightSDS!M$30*$AG88^10+WeightSDS!N$30*$AG88^9+WeightSDS!O$30*$AG88^8+WeightSDS!P$30*$AG88^7+WeightSDS!Q$30*$AG88^6+WeightSDS!R$30*$AG88^5+WeightSDS!S$30*$AG88^4+WeightSDS!T$30*$AG88^3+WeightSDS!U$30*$AG88^2+WeightSDS!V$30*$AG88+WeightSDS!W$30-0.010431*(1-1/$AG88),WeightSDS!M$32+WeightSDS!N$32/(1+EXP(WeightSDS!O$32+WeightSDS!P$32*$AG88))-0.010431*(1-$AG88/210))))</f>
        <v>2.9500001032655536</v>
      </c>
      <c r="AK88" s="24">
        <f>IF(D88="M",IF($AG88&lt;162,WeightSDS!P$12*$AG88^7+WeightSDS!Q$12*$AG88^6+WeightSDS!R$12*$AG88^5+WeightSDS!S$12*$AG88^4+WeightSDS!T$12*$AG88^3+WeightSDS!U$12*$AG88^2+WeightSDS!V$12*$AG88+WeightSDS!W$12,WeightSDS!P$14*$AG88^7+WeightSDS!Q$14*$AG88^6+WeightSDS!R$14*$AG88^5+WeightSDS!S$14*$AG88^4+WeightSDS!T$14*$AG88^3+WeightSDS!U$14*$AG88^2+WeightSDS!V$14*$AG88+WeightSDS!W$14),IF($AG88&lt;156,WeightSDS!O$17*$AG88^8+WeightSDS!P$17*$AG88^7+WeightSDS!Q$17*$AG88^6+WeightSDS!R$17*$AG88^5+WeightSDS!S$17*$AG88^4+WeightSDS!T$17*$AG88^3+WeightSDS!U$17*$AG88^2+WeightSDS!V$17*$AG88+WeightSDS!W$17,IF($AG88&lt;186,WeightSDS!$U$18+(WeightSDS!$V$18-WeightSDS!$U$18)/24*($AG88-186)+WeightSDS!$W$18*(-$AG88+186)^2-0.005,WeightSDS!$U$18+(WeightSDS!$V$18-WeightSDS!$U$18)/24*($AG88-186)-0.005)))</f>
        <v>0.14604529399999999</v>
      </c>
    </row>
    <row r="89" spans="1:37">
      <c r="A89" s="4"/>
      <c r="B89" s="21"/>
      <c r="C89" s="21"/>
      <c r="D89" s="21"/>
      <c r="E89" s="22"/>
      <c r="F89" s="22"/>
      <c r="G89" s="23"/>
      <c r="H89" s="23"/>
      <c r="I89" s="8" t="str">
        <f t="shared" si="18"/>
        <v/>
      </c>
      <c r="J89" s="2" t="str">
        <f t="shared" si="25"/>
        <v/>
      </c>
      <c r="K89" s="2" t="str">
        <f t="shared" si="19"/>
        <v/>
      </c>
      <c r="L89" s="2" t="str">
        <f t="shared" si="26"/>
        <v/>
      </c>
      <c r="M89" s="2" t="str">
        <f t="shared" si="31"/>
        <v/>
      </c>
      <c r="N89" s="2" t="str">
        <f t="shared" si="27"/>
        <v/>
      </c>
      <c r="O89" s="8" t="str">
        <f t="shared" si="28"/>
        <v/>
      </c>
      <c r="P89" s="8" t="str">
        <f t="shared" si="29"/>
        <v/>
      </c>
      <c r="Q89" s="40" t="str">
        <f t="shared" si="20"/>
        <v/>
      </c>
      <c r="R89" s="48" t="str">
        <f t="shared" si="30"/>
        <v/>
      </c>
      <c r="S89" s="8"/>
      <c r="U89" s="35">
        <f t="shared" si="21"/>
        <v>0</v>
      </c>
      <c r="V89" s="24">
        <f t="shared" si="22"/>
        <v>0</v>
      </c>
      <c r="W89" s="41">
        <f t="shared" si="17"/>
        <v>0</v>
      </c>
      <c r="X89" s="31"/>
      <c r="Y89" s="31"/>
      <c r="Z89" s="31"/>
      <c r="AA89" s="25">
        <f t="shared" si="23"/>
        <v>9.0359999999999996</v>
      </c>
      <c r="AB89" s="25">
        <f t="shared" si="24"/>
        <v>-184.49199999999999</v>
      </c>
      <c r="AD89" s="24">
        <f>IF(D89="M",IF(AG89&lt;78,BMILMS!$D$5*AG89^3+BMILMS!$E$5*AG89^2+BMILMS!$F$5*AG89+BMILMS!$G$5,IF(AG89&lt;150,BMILMS!$D$6*AG89^3+BMILMS!$E$6*AG89^2+BMILMS!$F$6*AG89+BMILMS!$G$6,BMILMS!$D$7*AG89^3+BMILMS!$E$7*AG89^2+BMILMS!$F$7*AG89+BMILMS!$G$7)),IF(AG89&lt;69,BMILMS!$D$9*AG89^3+BMILMS!$E$9*AG89^2+BMILMS!$F$9*AG89+BMILMS!$G$9,IF(AG89&lt;150,BMILMS!$D$10*AG89^3+BMILMS!$E$10*AG89^2+BMILMS!$F$10*AG89+BMILMS!$G$10,BMILMS!$D$11*AG89^3+BMILMS!$E$11*AG89^2+BMILMS!$F$11*AG89+BMILMS!$G$11)))</f>
        <v>0.79584630099999998</v>
      </c>
      <c r="AE89" s="24">
        <f>IF(D89="M",(IF(AG89&lt;2.5,BMILMS!$D$21*AG89^3+BMILMS!$E$21*AG89^2+BMILMS!$F$21*AG89+BMILMS!$G$21,IF(AG89&lt;9.5,BMILMS!$D$22*AG89^3+BMILMS!$E$22*AG89^2+BMILMS!$F$22*AG89+BMILMS!$G$22,IF(AG89&lt;26.75,BMILMS!$D$23*AG89^3+BMILMS!$E$23*AG89^2+BMILMS!$F$23*AG89+BMILMS!$G$23,IF(AG89&lt;90,BMILMS!$D$24*AG89^3+BMILMS!$E$24*AG89^2+BMILMS!$F$24*AG89+BMILMS!$G$24,BMILMS!$D$25*AG89^3+BMILMS!$E$25*AG89^2+BMILMS!$F$25*AG89+BMILMS!$G$25))))),(IF(AG89&lt;2.5,BMILMS!$D$27*AG89^3+BMILMS!$E$27*AG89^2+BMILMS!$F$27*AG89+BMILMS!$G$27,IF(AG89&lt;9.5,BMILMS!$D$28*AG89^3+BMILMS!$E$28*AG89^2+BMILMS!$F$28*AG89+BMILMS!$G$28,IF(AG89&lt;26.75,BMILMS!$D$29*AG89^3+BMILMS!$E$29*AG89^2+BMILMS!$F$29*AG89+BMILMS!$G$29,IF(AG89&lt;90,BMILMS!$D$30*AG89^3+BMILMS!$E$30*AG89^2+BMILMS!$F$30*AG89+BMILMS!$G$30,IF(AG89&lt;150,BMILMS!$D$31*AG89^3+BMILMS!$E$31*AG89^2+BMILMS!$F$31*AG89+BMILMS!$G$31,BMILMS!$D$32*AG89^3+BMILMS!$E$32*AG89^2+BMILMS!$F$32*AG89+BMILMS!$G$32)))))))</f>
        <v>12.568967990000001</v>
      </c>
      <c r="AF89" s="24">
        <f>IF(D89="M",(IF(AG89&lt;90,BMILMS!$D$14*AG89^3+BMILMS!$E$14*AG89^2+BMILMS!$F$14*AG89+BMILMS!$G$14,BMILMS!$D$15*AG89^3+BMILMS!$E$15*AG89^2+BMILMS!$F$15*AG89+BMILMS!$G$15)),(IF(AG89&lt;90,BMILMS!$D$17*AG89^3+BMILMS!$E$17*AG89^2+BMILMS!$F$17*AG89+BMILMS!$G$17,BMILMS!$D$18*AG89^3+BMILMS!$E$18*AG89^2+BMILMS!$F$18*AG89+BMILMS!$G$18)))</f>
        <v>8.8969350000000003E-2</v>
      </c>
      <c r="AG89" s="24">
        <f t="shared" si="32"/>
        <v>0</v>
      </c>
      <c r="AI89" s="38">
        <f>IF(D89="M",WeightSDS!P$5*$AG89^7+WeightSDS!Q$5*$AG89^6+WeightSDS!R$5*$AG89^5+WeightSDS!S$5*$AG89^4+WeightSDS!T$5*$AG89^3+WeightSDS!U$5*$AG89^2+WeightSDS!V$5*$AG89+WeightSDS!W$5,IF($AG89&lt;186,WeightSDS!P$8*$AG89^7+WeightSDS!Q$8*$AG89^6+WeightSDS!R$8*$AG89^5+WeightSDS!S$8*$AG89^4+WeightSDS!T$8*$AG89^3+WeightSDS!U$8*$AG89^2+WeightSDS!V$8*$AG89+WeightSDS!W$8,WeightSDS!$U$9-WeightSDS!$V$9*($AG89-WeightSDS!$W$9)))</f>
        <v>0.75407122999999998</v>
      </c>
      <c r="AJ89" s="24">
        <f>IF(D89="M",IF($AG89&lt;45,WeightSDS!M$23*$AG89^10+WeightSDS!N$23*$AG89^9+WeightSDS!O$23*$AG89^8+WeightSDS!P$23*$AG89^7+WeightSDS!Q$23*$AG89^6+WeightSDS!R$23*$AG89^5+WeightSDS!S$23*$AG89^4+WeightSDS!T$23*$AG89^3+WeightSDS!U$23*$AG89^2+WeightSDS!V$23*$AG89+WeightSDS!W$23,IF($AG89&lt;153,WeightSDS!M$25*$AG89^10+WeightSDS!N$25*$AG89^9+WeightSDS!O$25*$AG89^8+WeightSDS!P$25*$AG89^7+WeightSDS!Q$25*$AG89^6+WeightSDS!R$25*$AG89^5+WeightSDS!S$25*$AG89^4+WeightSDS!T$25*$AG89^3+WeightSDS!U$25*$AG89^2+WeightSDS!V$25*$AG89+WeightSDS!W$25,WeightSDS!M$27+WeightSDS!N$27/(1+EXP(WeightSDS!O$27+WeightSDS!P$27*$AG89)))),IF($AG89&lt;43.8,WeightSDS!M$29*$AG89^10+WeightSDS!N$29*$AG89^9+WeightSDS!O$29*$AG89^8+WeightSDS!P$29*$AG89^7+WeightSDS!Q$29*$AG89^6+WeightSDS!R$29*$AG89^5+WeightSDS!S$29*$AG89^4+WeightSDS!T$29*$AG89^3+WeightSDS!U$29*$AG89^2+WeightSDS!V$29*$AG89+WeightSDS!W$29-0.010431*(1-$AG89/210),IF($AG89&lt;123,WeightSDS!M$30*$AG89^10+WeightSDS!N$30*$AG89^9+WeightSDS!O$30*$AG89^8+WeightSDS!P$30*$AG89^7+WeightSDS!Q$30*$AG89^6+WeightSDS!R$30*$AG89^5+WeightSDS!S$30*$AG89^4+WeightSDS!T$30*$AG89^3+WeightSDS!U$30*$AG89^2+WeightSDS!V$30*$AG89+WeightSDS!W$30-0.010431*(1-1/$AG89),WeightSDS!M$32+WeightSDS!N$32/(1+EXP(WeightSDS!O$32+WeightSDS!P$32*$AG89))-0.010431*(1-$AG89/210))))</f>
        <v>2.9500001032655536</v>
      </c>
      <c r="AK89" s="24">
        <f>IF(D89="M",IF($AG89&lt;162,WeightSDS!P$12*$AG89^7+WeightSDS!Q$12*$AG89^6+WeightSDS!R$12*$AG89^5+WeightSDS!S$12*$AG89^4+WeightSDS!T$12*$AG89^3+WeightSDS!U$12*$AG89^2+WeightSDS!V$12*$AG89+WeightSDS!W$12,WeightSDS!P$14*$AG89^7+WeightSDS!Q$14*$AG89^6+WeightSDS!R$14*$AG89^5+WeightSDS!S$14*$AG89^4+WeightSDS!T$14*$AG89^3+WeightSDS!U$14*$AG89^2+WeightSDS!V$14*$AG89+WeightSDS!W$14),IF($AG89&lt;156,WeightSDS!O$17*$AG89^8+WeightSDS!P$17*$AG89^7+WeightSDS!Q$17*$AG89^6+WeightSDS!R$17*$AG89^5+WeightSDS!S$17*$AG89^4+WeightSDS!T$17*$AG89^3+WeightSDS!U$17*$AG89^2+WeightSDS!V$17*$AG89+WeightSDS!W$17,IF($AG89&lt;186,WeightSDS!$U$18+(WeightSDS!$V$18-WeightSDS!$U$18)/24*($AG89-186)+WeightSDS!$W$18*(-$AG89+186)^2-0.005,WeightSDS!$U$18+(WeightSDS!$V$18-WeightSDS!$U$18)/24*($AG89-186)-0.005)))</f>
        <v>0.14604529399999999</v>
      </c>
    </row>
    <row r="90" spans="1:37">
      <c r="A90" s="4"/>
      <c r="B90" s="21"/>
      <c r="C90" s="21"/>
      <c r="D90" s="21"/>
      <c r="E90" s="22"/>
      <c r="F90" s="22"/>
      <c r="G90" s="23"/>
      <c r="H90" s="23"/>
      <c r="I90" s="8" t="str">
        <f t="shared" si="18"/>
        <v/>
      </c>
      <c r="J90" s="2" t="str">
        <f t="shared" si="25"/>
        <v/>
      </c>
      <c r="K90" s="2" t="str">
        <f t="shared" si="19"/>
        <v/>
      </c>
      <c r="L90" s="2" t="str">
        <f t="shared" si="26"/>
        <v/>
      </c>
      <c r="M90" s="2" t="str">
        <f t="shared" si="31"/>
        <v/>
      </c>
      <c r="N90" s="2" t="str">
        <f t="shared" si="27"/>
        <v/>
      </c>
      <c r="O90" s="8" t="str">
        <f t="shared" si="28"/>
        <v/>
      </c>
      <c r="P90" s="8" t="str">
        <f t="shared" si="29"/>
        <v/>
      </c>
      <c r="Q90" s="40" t="str">
        <f t="shared" si="20"/>
        <v/>
      </c>
      <c r="R90" s="48" t="str">
        <f t="shared" si="30"/>
        <v/>
      </c>
      <c r="S90" s="8"/>
      <c r="U90" s="35">
        <f t="shared" si="21"/>
        <v>0</v>
      </c>
      <c r="V90" s="24">
        <f t="shared" si="22"/>
        <v>0</v>
      </c>
      <c r="W90" s="41">
        <f t="shared" si="17"/>
        <v>0</v>
      </c>
      <c r="X90" s="31"/>
      <c r="Y90" s="31"/>
      <c r="Z90" s="31"/>
      <c r="AA90" s="25">
        <f t="shared" si="23"/>
        <v>9.0359999999999996</v>
      </c>
      <c r="AB90" s="25">
        <f t="shared" si="24"/>
        <v>-184.49199999999999</v>
      </c>
      <c r="AD90" s="24">
        <f>IF(D90="M",IF(AG90&lt;78,BMILMS!$D$5*AG90^3+BMILMS!$E$5*AG90^2+BMILMS!$F$5*AG90+BMILMS!$G$5,IF(AG90&lt;150,BMILMS!$D$6*AG90^3+BMILMS!$E$6*AG90^2+BMILMS!$F$6*AG90+BMILMS!$G$6,BMILMS!$D$7*AG90^3+BMILMS!$E$7*AG90^2+BMILMS!$F$7*AG90+BMILMS!$G$7)),IF(AG90&lt;69,BMILMS!$D$9*AG90^3+BMILMS!$E$9*AG90^2+BMILMS!$F$9*AG90+BMILMS!$G$9,IF(AG90&lt;150,BMILMS!$D$10*AG90^3+BMILMS!$E$10*AG90^2+BMILMS!$F$10*AG90+BMILMS!$G$10,BMILMS!$D$11*AG90^3+BMILMS!$E$11*AG90^2+BMILMS!$F$11*AG90+BMILMS!$G$11)))</f>
        <v>0.79584630099999998</v>
      </c>
      <c r="AE90" s="24">
        <f>IF(D90="M",(IF(AG90&lt;2.5,BMILMS!$D$21*AG90^3+BMILMS!$E$21*AG90^2+BMILMS!$F$21*AG90+BMILMS!$G$21,IF(AG90&lt;9.5,BMILMS!$D$22*AG90^3+BMILMS!$E$22*AG90^2+BMILMS!$F$22*AG90+BMILMS!$G$22,IF(AG90&lt;26.75,BMILMS!$D$23*AG90^3+BMILMS!$E$23*AG90^2+BMILMS!$F$23*AG90+BMILMS!$G$23,IF(AG90&lt;90,BMILMS!$D$24*AG90^3+BMILMS!$E$24*AG90^2+BMILMS!$F$24*AG90+BMILMS!$G$24,BMILMS!$D$25*AG90^3+BMILMS!$E$25*AG90^2+BMILMS!$F$25*AG90+BMILMS!$G$25))))),(IF(AG90&lt;2.5,BMILMS!$D$27*AG90^3+BMILMS!$E$27*AG90^2+BMILMS!$F$27*AG90+BMILMS!$G$27,IF(AG90&lt;9.5,BMILMS!$D$28*AG90^3+BMILMS!$E$28*AG90^2+BMILMS!$F$28*AG90+BMILMS!$G$28,IF(AG90&lt;26.75,BMILMS!$D$29*AG90^3+BMILMS!$E$29*AG90^2+BMILMS!$F$29*AG90+BMILMS!$G$29,IF(AG90&lt;90,BMILMS!$D$30*AG90^3+BMILMS!$E$30*AG90^2+BMILMS!$F$30*AG90+BMILMS!$G$30,IF(AG90&lt;150,BMILMS!$D$31*AG90^3+BMILMS!$E$31*AG90^2+BMILMS!$F$31*AG90+BMILMS!$G$31,BMILMS!$D$32*AG90^3+BMILMS!$E$32*AG90^2+BMILMS!$F$32*AG90+BMILMS!$G$32)))))))</f>
        <v>12.568967990000001</v>
      </c>
      <c r="AF90" s="24">
        <f>IF(D90="M",(IF(AG90&lt;90,BMILMS!$D$14*AG90^3+BMILMS!$E$14*AG90^2+BMILMS!$F$14*AG90+BMILMS!$G$14,BMILMS!$D$15*AG90^3+BMILMS!$E$15*AG90^2+BMILMS!$F$15*AG90+BMILMS!$G$15)),(IF(AG90&lt;90,BMILMS!$D$17*AG90^3+BMILMS!$E$17*AG90^2+BMILMS!$F$17*AG90+BMILMS!$G$17,BMILMS!$D$18*AG90^3+BMILMS!$E$18*AG90^2+BMILMS!$F$18*AG90+BMILMS!$G$18)))</f>
        <v>8.8969350000000003E-2</v>
      </c>
      <c r="AG90" s="24">
        <f t="shared" si="32"/>
        <v>0</v>
      </c>
      <c r="AI90" s="38">
        <f>IF(D90="M",WeightSDS!P$5*$AG90^7+WeightSDS!Q$5*$AG90^6+WeightSDS!R$5*$AG90^5+WeightSDS!S$5*$AG90^4+WeightSDS!T$5*$AG90^3+WeightSDS!U$5*$AG90^2+WeightSDS!V$5*$AG90+WeightSDS!W$5,IF($AG90&lt;186,WeightSDS!P$8*$AG90^7+WeightSDS!Q$8*$AG90^6+WeightSDS!R$8*$AG90^5+WeightSDS!S$8*$AG90^4+WeightSDS!T$8*$AG90^3+WeightSDS!U$8*$AG90^2+WeightSDS!V$8*$AG90+WeightSDS!W$8,WeightSDS!$U$9-WeightSDS!$V$9*($AG90-WeightSDS!$W$9)))</f>
        <v>0.75407122999999998</v>
      </c>
      <c r="AJ90" s="24">
        <f>IF(D90="M",IF($AG90&lt;45,WeightSDS!M$23*$AG90^10+WeightSDS!N$23*$AG90^9+WeightSDS!O$23*$AG90^8+WeightSDS!P$23*$AG90^7+WeightSDS!Q$23*$AG90^6+WeightSDS!R$23*$AG90^5+WeightSDS!S$23*$AG90^4+WeightSDS!T$23*$AG90^3+WeightSDS!U$23*$AG90^2+WeightSDS!V$23*$AG90+WeightSDS!W$23,IF($AG90&lt;153,WeightSDS!M$25*$AG90^10+WeightSDS!N$25*$AG90^9+WeightSDS!O$25*$AG90^8+WeightSDS!P$25*$AG90^7+WeightSDS!Q$25*$AG90^6+WeightSDS!R$25*$AG90^5+WeightSDS!S$25*$AG90^4+WeightSDS!T$25*$AG90^3+WeightSDS!U$25*$AG90^2+WeightSDS!V$25*$AG90+WeightSDS!W$25,WeightSDS!M$27+WeightSDS!N$27/(1+EXP(WeightSDS!O$27+WeightSDS!P$27*$AG90)))),IF($AG90&lt;43.8,WeightSDS!M$29*$AG90^10+WeightSDS!N$29*$AG90^9+WeightSDS!O$29*$AG90^8+WeightSDS!P$29*$AG90^7+WeightSDS!Q$29*$AG90^6+WeightSDS!R$29*$AG90^5+WeightSDS!S$29*$AG90^4+WeightSDS!T$29*$AG90^3+WeightSDS!U$29*$AG90^2+WeightSDS!V$29*$AG90+WeightSDS!W$29-0.010431*(1-$AG90/210),IF($AG90&lt;123,WeightSDS!M$30*$AG90^10+WeightSDS!N$30*$AG90^9+WeightSDS!O$30*$AG90^8+WeightSDS!P$30*$AG90^7+WeightSDS!Q$30*$AG90^6+WeightSDS!R$30*$AG90^5+WeightSDS!S$30*$AG90^4+WeightSDS!T$30*$AG90^3+WeightSDS!U$30*$AG90^2+WeightSDS!V$30*$AG90+WeightSDS!W$30-0.010431*(1-1/$AG90),WeightSDS!M$32+WeightSDS!N$32/(1+EXP(WeightSDS!O$32+WeightSDS!P$32*$AG90))-0.010431*(1-$AG90/210))))</f>
        <v>2.9500001032655536</v>
      </c>
      <c r="AK90" s="24">
        <f>IF(D90="M",IF($AG90&lt;162,WeightSDS!P$12*$AG90^7+WeightSDS!Q$12*$AG90^6+WeightSDS!R$12*$AG90^5+WeightSDS!S$12*$AG90^4+WeightSDS!T$12*$AG90^3+WeightSDS!U$12*$AG90^2+WeightSDS!V$12*$AG90+WeightSDS!W$12,WeightSDS!P$14*$AG90^7+WeightSDS!Q$14*$AG90^6+WeightSDS!R$14*$AG90^5+WeightSDS!S$14*$AG90^4+WeightSDS!T$14*$AG90^3+WeightSDS!U$14*$AG90^2+WeightSDS!V$14*$AG90+WeightSDS!W$14),IF($AG90&lt;156,WeightSDS!O$17*$AG90^8+WeightSDS!P$17*$AG90^7+WeightSDS!Q$17*$AG90^6+WeightSDS!R$17*$AG90^5+WeightSDS!S$17*$AG90^4+WeightSDS!T$17*$AG90^3+WeightSDS!U$17*$AG90^2+WeightSDS!V$17*$AG90+WeightSDS!W$17,IF($AG90&lt;186,WeightSDS!$U$18+(WeightSDS!$V$18-WeightSDS!$U$18)/24*($AG90-186)+WeightSDS!$W$18*(-$AG90+186)^2-0.005,WeightSDS!$U$18+(WeightSDS!$V$18-WeightSDS!$U$18)/24*($AG90-186)-0.005)))</f>
        <v>0.14604529399999999</v>
      </c>
    </row>
    <row r="91" spans="1:37">
      <c r="A91" s="4"/>
      <c r="B91" s="21"/>
      <c r="C91" s="21"/>
      <c r="D91" s="21"/>
      <c r="E91" s="22"/>
      <c r="F91" s="22"/>
      <c r="G91" s="23"/>
      <c r="H91" s="23"/>
      <c r="I91" s="8" t="str">
        <f t="shared" si="18"/>
        <v/>
      </c>
      <c r="J91" s="2" t="str">
        <f t="shared" si="25"/>
        <v/>
      </c>
      <c r="K91" s="2" t="str">
        <f t="shared" si="19"/>
        <v/>
      </c>
      <c r="L91" s="2" t="str">
        <f t="shared" si="26"/>
        <v/>
      </c>
      <c r="M91" s="2" t="str">
        <f t="shared" si="31"/>
        <v/>
      </c>
      <c r="N91" s="2" t="str">
        <f t="shared" si="27"/>
        <v/>
      </c>
      <c r="O91" s="8" t="str">
        <f t="shared" si="28"/>
        <v/>
      </c>
      <c r="P91" s="8" t="str">
        <f t="shared" si="29"/>
        <v/>
      </c>
      <c r="Q91" s="40" t="str">
        <f t="shared" si="20"/>
        <v/>
      </c>
      <c r="R91" s="48" t="str">
        <f t="shared" si="30"/>
        <v/>
      </c>
      <c r="S91" s="8"/>
      <c r="U91" s="35">
        <f t="shared" si="21"/>
        <v>0</v>
      </c>
      <c r="V91" s="24">
        <f t="shared" si="22"/>
        <v>0</v>
      </c>
      <c r="W91" s="41">
        <f t="shared" si="17"/>
        <v>0</v>
      </c>
      <c r="X91" s="31"/>
      <c r="Y91" s="31"/>
      <c r="Z91" s="31"/>
      <c r="AA91" s="25">
        <f t="shared" si="23"/>
        <v>9.0359999999999996</v>
      </c>
      <c r="AB91" s="25">
        <f t="shared" si="24"/>
        <v>-184.49199999999999</v>
      </c>
      <c r="AD91" s="24">
        <f>IF(D91="M",IF(AG91&lt;78,BMILMS!$D$5*AG91^3+BMILMS!$E$5*AG91^2+BMILMS!$F$5*AG91+BMILMS!$G$5,IF(AG91&lt;150,BMILMS!$D$6*AG91^3+BMILMS!$E$6*AG91^2+BMILMS!$F$6*AG91+BMILMS!$G$6,BMILMS!$D$7*AG91^3+BMILMS!$E$7*AG91^2+BMILMS!$F$7*AG91+BMILMS!$G$7)),IF(AG91&lt;69,BMILMS!$D$9*AG91^3+BMILMS!$E$9*AG91^2+BMILMS!$F$9*AG91+BMILMS!$G$9,IF(AG91&lt;150,BMILMS!$D$10*AG91^3+BMILMS!$E$10*AG91^2+BMILMS!$F$10*AG91+BMILMS!$G$10,BMILMS!$D$11*AG91^3+BMILMS!$E$11*AG91^2+BMILMS!$F$11*AG91+BMILMS!$G$11)))</f>
        <v>0.79584630099999998</v>
      </c>
      <c r="AE91" s="24">
        <f>IF(D91="M",(IF(AG91&lt;2.5,BMILMS!$D$21*AG91^3+BMILMS!$E$21*AG91^2+BMILMS!$F$21*AG91+BMILMS!$G$21,IF(AG91&lt;9.5,BMILMS!$D$22*AG91^3+BMILMS!$E$22*AG91^2+BMILMS!$F$22*AG91+BMILMS!$G$22,IF(AG91&lt;26.75,BMILMS!$D$23*AG91^3+BMILMS!$E$23*AG91^2+BMILMS!$F$23*AG91+BMILMS!$G$23,IF(AG91&lt;90,BMILMS!$D$24*AG91^3+BMILMS!$E$24*AG91^2+BMILMS!$F$24*AG91+BMILMS!$G$24,BMILMS!$D$25*AG91^3+BMILMS!$E$25*AG91^2+BMILMS!$F$25*AG91+BMILMS!$G$25))))),(IF(AG91&lt;2.5,BMILMS!$D$27*AG91^3+BMILMS!$E$27*AG91^2+BMILMS!$F$27*AG91+BMILMS!$G$27,IF(AG91&lt;9.5,BMILMS!$D$28*AG91^3+BMILMS!$E$28*AG91^2+BMILMS!$F$28*AG91+BMILMS!$G$28,IF(AG91&lt;26.75,BMILMS!$D$29*AG91^3+BMILMS!$E$29*AG91^2+BMILMS!$F$29*AG91+BMILMS!$G$29,IF(AG91&lt;90,BMILMS!$D$30*AG91^3+BMILMS!$E$30*AG91^2+BMILMS!$F$30*AG91+BMILMS!$G$30,IF(AG91&lt;150,BMILMS!$D$31*AG91^3+BMILMS!$E$31*AG91^2+BMILMS!$F$31*AG91+BMILMS!$G$31,BMILMS!$D$32*AG91^3+BMILMS!$E$32*AG91^2+BMILMS!$F$32*AG91+BMILMS!$G$32)))))))</f>
        <v>12.568967990000001</v>
      </c>
      <c r="AF91" s="24">
        <f>IF(D91="M",(IF(AG91&lt;90,BMILMS!$D$14*AG91^3+BMILMS!$E$14*AG91^2+BMILMS!$F$14*AG91+BMILMS!$G$14,BMILMS!$D$15*AG91^3+BMILMS!$E$15*AG91^2+BMILMS!$F$15*AG91+BMILMS!$G$15)),(IF(AG91&lt;90,BMILMS!$D$17*AG91^3+BMILMS!$E$17*AG91^2+BMILMS!$F$17*AG91+BMILMS!$G$17,BMILMS!$D$18*AG91^3+BMILMS!$E$18*AG91^2+BMILMS!$F$18*AG91+BMILMS!$G$18)))</f>
        <v>8.8969350000000003E-2</v>
      </c>
      <c r="AG91" s="24">
        <f t="shared" si="32"/>
        <v>0</v>
      </c>
      <c r="AI91" s="38">
        <f>IF(D91="M",WeightSDS!P$5*$AG91^7+WeightSDS!Q$5*$AG91^6+WeightSDS!R$5*$AG91^5+WeightSDS!S$5*$AG91^4+WeightSDS!T$5*$AG91^3+WeightSDS!U$5*$AG91^2+WeightSDS!V$5*$AG91+WeightSDS!W$5,IF($AG91&lt;186,WeightSDS!P$8*$AG91^7+WeightSDS!Q$8*$AG91^6+WeightSDS!R$8*$AG91^5+WeightSDS!S$8*$AG91^4+WeightSDS!T$8*$AG91^3+WeightSDS!U$8*$AG91^2+WeightSDS!V$8*$AG91+WeightSDS!W$8,WeightSDS!$U$9-WeightSDS!$V$9*($AG91-WeightSDS!$W$9)))</f>
        <v>0.75407122999999998</v>
      </c>
      <c r="AJ91" s="24">
        <f>IF(D91="M",IF($AG91&lt;45,WeightSDS!M$23*$AG91^10+WeightSDS!N$23*$AG91^9+WeightSDS!O$23*$AG91^8+WeightSDS!P$23*$AG91^7+WeightSDS!Q$23*$AG91^6+WeightSDS!R$23*$AG91^5+WeightSDS!S$23*$AG91^4+WeightSDS!T$23*$AG91^3+WeightSDS!U$23*$AG91^2+WeightSDS!V$23*$AG91+WeightSDS!W$23,IF($AG91&lt;153,WeightSDS!M$25*$AG91^10+WeightSDS!N$25*$AG91^9+WeightSDS!O$25*$AG91^8+WeightSDS!P$25*$AG91^7+WeightSDS!Q$25*$AG91^6+WeightSDS!R$25*$AG91^5+WeightSDS!S$25*$AG91^4+WeightSDS!T$25*$AG91^3+WeightSDS!U$25*$AG91^2+WeightSDS!V$25*$AG91+WeightSDS!W$25,WeightSDS!M$27+WeightSDS!N$27/(1+EXP(WeightSDS!O$27+WeightSDS!P$27*$AG91)))),IF($AG91&lt;43.8,WeightSDS!M$29*$AG91^10+WeightSDS!N$29*$AG91^9+WeightSDS!O$29*$AG91^8+WeightSDS!P$29*$AG91^7+WeightSDS!Q$29*$AG91^6+WeightSDS!R$29*$AG91^5+WeightSDS!S$29*$AG91^4+WeightSDS!T$29*$AG91^3+WeightSDS!U$29*$AG91^2+WeightSDS!V$29*$AG91+WeightSDS!W$29-0.010431*(1-$AG91/210),IF($AG91&lt;123,WeightSDS!M$30*$AG91^10+WeightSDS!N$30*$AG91^9+WeightSDS!O$30*$AG91^8+WeightSDS!P$30*$AG91^7+WeightSDS!Q$30*$AG91^6+WeightSDS!R$30*$AG91^5+WeightSDS!S$30*$AG91^4+WeightSDS!T$30*$AG91^3+WeightSDS!U$30*$AG91^2+WeightSDS!V$30*$AG91+WeightSDS!W$30-0.010431*(1-1/$AG91),WeightSDS!M$32+WeightSDS!N$32/(1+EXP(WeightSDS!O$32+WeightSDS!P$32*$AG91))-0.010431*(1-$AG91/210))))</f>
        <v>2.9500001032655536</v>
      </c>
      <c r="AK91" s="24">
        <f>IF(D91="M",IF($AG91&lt;162,WeightSDS!P$12*$AG91^7+WeightSDS!Q$12*$AG91^6+WeightSDS!R$12*$AG91^5+WeightSDS!S$12*$AG91^4+WeightSDS!T$12*$AG91^3+WeightSDS!U$12*$AG91^2+WeightSDS!V$12*$AG91+WeightSDS!W$12,WeightSDS!P$14*$AG91^7+WeightSDS!Q$14*$AG91^6+WeightSDS!R$14*$AG91^5+WeightSDS!S$14*$AG91^4+WeightSDS!T$14*$AG91^3+WeightSDS!U$14*$AG91^2+WeightSDS!V$14*$AG91+WeightSDS!W$14),IF($AG91&lt;156,WeightSDS!O$17*$AG91^8+WeightSDS!P$17*$AG91^7+WeightSDS!Q$17*$AG91^6+WeightSDS!R$17*$AG91^5+WeightSDS!S$17*$AG91^4+WeightSDS!T$17*$AG91^3+WeightSDS!U$17*$AG91^2+WeightSDS!V$17*$AG91+WeightSDS!W$17,IF($AG91&lt;186,WeightSDS!$U$18+(WeightSDS!$V$18-WeightSDS!$U$18)/24*($AG91-186)+WeightSDS!$W$18*(-$AG91+186)^2-0.005,WeightSDS!$U$18+(WeightSDS!$V$18-WeightSDS!$U$18)/24*($AG91-186)-0.005)))</f>
        <v>0.14604529399999999</v>
      </c>
    </row>
    <row r="92" spans="1:37">
      <c r="A92" s="4"/>
      <c r="B92" s="21"/>
      <c r="C92" s="21"/>
      <c r="D92" s="21"/>
      <c r="E92" s="22"/>
      <c r="F92" s="22"/>
      <c r="G92" s="23"/>
      <c r="H92" s="23"/>
      <c r="I92" s="8" t="str">
        <f t="shared" si="18"/>
        <v/>
      </c>
      <c r="J92" s="2" t="str">
        <f t="shared" si="25"/>
        <v/>
      </c>
      <c r="K92" s="2" t="str">
        <f t="shared" si="19"/>
        <v/>
      </c>
      <c r="L92" s="2" t="str">
        <f t="shared" si="26"/>
        <v/>
      </c>
      <c r="M92" s="2" t="str">
        <f t="shared" si="31"/>
        <v/>
      </c>
      <c r="N92" s="2" t="str">
        <f t="shared" si="27"/>
        <v/>
      </c>
      <c r="O92" s="8" t="str">
        <f t="shared" si="28"/>
        <v/>
      </c>
      <c r="P92" s="8" t="str">
        <f t="shared" si="29"/>
        <v/>
      </c>
      <c r="Q92" s="40" t="str">
        <f t="shared" si="20"/>
        <v/>
      </c>
      <c r="R92" s="48" t="str">
        <f t="shared" si="30"/>
        <v/>
      </c>
      <c r="S92" s="8"/>
      <c r="U92" s="35">
        <f t="shared" si="21"/>
        <v>0</v>
      </c>
      <c r="V92" s="24">
        <f t="shared" si="22"/>
        <v>0</v>
      </c>
      <c r="W92" s="41">
        <f t="shared" si="17"/>
        <v>0</v>
      </c>
      <c r="X92" s="31"/>
      <c r="Y92" s="31"/>
      <c r="Z92" s="31"/>
      <c r="AA92" s="25">
        <f t="shared" si="23"/>
        <v>9.0359999999999996</v>
      </c>
      <c r="AB92" s="25">
        <f t="shared" si="24"/>
        <v>-184.49199999999999</v>
      </c>
      <c r="AD92" s="24">
        <f>IF(D92="M",IF(AG92&lt;78,BMILMS!$D$5*AG92^3+BMILMS!$E$5*AG92^2+BMILMS!$F$5*AG92+BMILMS!$G$5,IF(AG92&lt;150,BMILMS!$D$6*AG92^3+BMILMS!$E$6*AG92^2+BMILMS!$F$6*AG92+BMILMS!$G$6,BMILMS!$D$7*AG92^3+BMILMS!$E$7*AG92^2+BMILMS!$F$7*AG92+BMILMS!$G$7)),IF(AG92&lt;69,BMILMS!$D$9*AG92^3+BMILMS!$E$9*AG92^2+BMILMS!$F$9*AG92+BMILMS!$G$9,IF(AG92&lt;150,BMILMS!$D$10*AG92^3+BMILMS!$E$10*AG92^2+BMILMS!$F$10*AG92+BMILMS!$G$10,BMILMS!$D$11*AG92^3+BMILMS!$E$11*AG92^2+BMILMS!$F$11*AG92+BMILMS!$G$11)))</f>
        <v>0.79584630099999998</v>
      </c>
      <c r="AE92" s="24">
        <f>IF(D92="M",(IF(AG92&lt;2.5,BMILMS!$D$21*AG92^3+BMILMS!$E$21*AG92^2+BMILMS!$F$21*AG92+BMILMS!$G$21,IF(AG92&lt;9.5,BMILMS!$D$22*AG92^3+BMILMS!$E$22*AG92^2+BMILMS!$F$22*AG92+BMILMS!$G$22,IF(AG92&lt;26.75,BMILMS!$D$23*AG92^3+BMILMS!$E$23*AG92^2+BMILMS!$F$23*AG92+BMILMS!$G$23,IF(AG92&lt;90,BMILMS!$D$24*AG92^3+BMILMS!$E$24*AG92^2+BMILMS!$F$24*AG92+BMILMS!$G$24,BMILMS!$D$25*AG92^3+BMILMS!$E$25*AG92^2+BMILMS!$F$25*AG92+BMILMS!$G$25))))),(IF(AG92&lt;2.5,BMILMS!$D$27*AG92^3+BMILMS!$E$27*AG92^2+BMILMS!$F$27*AG92+BMILMS!$G$27,IF(AG92&lt;9.5,BMILMS!$D$28*AG92^3+BMILMS!$E$28*AG92^2+BMILMS!$F$28*AG92+BMILMS!$G$28,IF(AG92&lt;26.75,BMILMS!$D$29*AG92^3+BMILMS!$E$29*AG92^2+BMILMS!$F$29*AG92+BMILMS!$G$29,IF(AG92&lt;90,BMILMS!$D$30*AG92^3+BMILMS!$E$30*AG92^2+BMILMS!$F$30*AG92+BMILMS!$G$30,IF(AG92&lt;150,BMILMS!$D$31*AG92^3+BMILMS!$E$31*AG92^2+BMILMS!$F$31*AG92+BMILMS!$G$31,BMILMS!$D$32*AG92^3+BMILMS!$E$32*AG92^2+BMILMS!$F$32*AG92+BMILMS!$G$32)))))))</f>
        <v>12.568967990000001</v>
      </c>
      <c r="AF92" s="24">
        <f>IF(D92="M",(IF(AG92&lt;90,BMILMS!$D$14*AG92^3+BMILMS!$E$14*AG92^2+BMILMS!$F$14*AG92+BMILMS!$G$14,BMILMS!$D$15*AG92^3+BMILMS!$E$15*AG92^2+BMILMS!$F$15*AG92+BMILMS!$G$15)),(IF(AG92&lt;90,BMILMS!$D$17*AG92^3+BMILMS!$E$17*AG92^2+BMILMS!$F$17*AG92+BMILMS!$G$17,BMILMS!$D$18*AG92^3+BMILMS!$E$18*AG92^2+BMILMS!$F$18*AG92+BMILMS!$G$18)))</f>
        <v>8.8969350000000003E-2</v>
      </c>
      <c r="AG92" s="24">
        <f t="shared" si="32"/>
        <v>0</v>
      </c>
      <c r="AI92" s="38">
        <f>IF(D92="M",WeightSDS!P$5*$AG92^7+WeightSDS!Q$5*$AG92^6+WeightSDS!R$5*$AG92^5+WeightSDS!S$5*$AG92^4+WeightSDS!T$5*$AG92^3+WeightSDS!U$5*$AG92^2+WeightSDS!V$5*$AG92+WeightSDS!W$5,IF($AG92&lt;186,WeightSDS!P$8*$AG92^7+WeightSDS!Q$8*$AG92^6+WeightSDS!R$8*$AG92^5+WeightSDS!S$8*$AG92^4+WeightSDS!T$8*$AG92^3+WeightSDS!U$8*$AG92^2+WeightSDS!V$8*$AG92+WeightSDS!W$8,WeightSDS!$U$9-WeightSDS!$V$9*($AG92-WeightSDS!$W$9)))</f>
        <v>0.75407122999999998</v>
      </c>
      <c r="AJ92" s="24">
        <f>IF(D92="M",IF($AG92&lt;45,WeightSDS!M$23*$AG92^10+WeightSDS!N$23*$AG92^9+WeightSDS!O$23*$AG92^8+WeightSDS!P$23*$AG92^7+WeightSDS!Q$23*$AG92^6+WeightSDS!R$23*$AG92^5+WeightSDS!S$23*$AG92^4+WeightSDS!T$23*$AG92^3+WeightSDS!U$23*$AG92^2+WeightSDS!V$23*$AG92+WeightSDS!W$23,IF($AG92&lt;153,WeightSDS!M$25*$AG92^10+WeightSDS!N$25*$AG92^9+WeightSDS!O$25*$AG92^8+WeightSDS!P$25*$AG92^7+WeightSDS!Q$25*$AG92^6+WeightSDS!R$25*$AG92^5+WeightSDS!S$25*$AG92^4+WeightSDS!T$25*$AG92^3+WeightSDS!U$25*$AG92^2+WeightSDS!V$25*$AG92+WeightSDS!W$25,WeightSDS!M$27+WeightSDS!N$27/(1+EXP(WeightSDS!O$27+WeightSDS!P$27*$AG92)))),IF($AG92&lt;43.8,WeightSDS!M$29*$AG92^10+WeightSDS!N$29*$AG92^9+WeightSDS!O$29*$AG92^8+WeightSDS!P$29*$AG92^7+WeightSDS!Q$29*$AG92^6+WeightSDS!R$29*$AG92^5+WeightSDS!S$29*$AG92^4+WeightSDS!T$29*$AG92^3+WeightSDS!U$29*$AG92^2+WeightSDS!V$29*$AG92+WeightSDS!W$29-0.010431*(1-$AG92/210),IF($AG92&lt;123,WeightSDS!M$30*$AG92^10+WeightSDS!N$30*$AG92^9+WeightSDS!O$30*$AG92^8+WeightSDS!P$30*$AG92^7+WeightSDS!Q$30*$AG92^6+WeightSDS!R$30*$AG92^5+WeightSDS!S$30*$AG92^4+WeightSDS!T$30*$AG92^3+WeightSDS!U$30*$AG92^2+WeightSDS!V$30*$AG92+WeightSDS!W$30-0.010431*(1-1/$AG92),WeightSDS!M$32+WeightSDS!N$32/(1+EXP(WeightSDS!O$32+WeightSDS!P$32*$AG92))-0.010431*(1-$AG92/210))))</f>
        <v>2.9500001032655536</v>
      </c>
      <c r="AK92" s="24">
        <f>IF(D92="M",IF($AG92&lt;162,WeightSDS!P$12*$AG92^7+WeightSDS!Q$12*$AG92^6+WeightSDS!R$12*$AG92^5+WeightSDS!S$12*$AG92^4+WeightSDS!T$12*$AG92^3+WeightSDS!U$12*$AG92^2+WeightSDS!V$12*$AG92+WeightSDS!W$12,WeightSDS!P$14*$AG92^7+WeightSDS!Q$14*$AG92^6+WeightSDS!R$14*$AG92^5+WeightSDS!S$14*$AG92^4+WeightSDS!T$14*$AG92^3+WeightSDS!U$14*$AG92^2+WeightSDS!V$14*$AG92+WeightSDS!W$14),IF($AG92&lt;156,WeightSDS!O$17*$AG92^8+WeightSDS!P$17*$AG92^7+WeightSDS!Q$17*$AG92^6+WeightSDS!R$17*$AG92^5+WeightSDS!S$17*$AG92^4+WeightSDS!T$17*$AG92^3+WeightSDS!U$17*$AG92^2+WeightSDS!V$17*$AG92+WeightSDS!W$17,IF($AG92&lt;186,WeightSDS!$U$18+(WeightSDS!$V$18-WeightSDS!$U$18)/24*($AG92-186)+WeightSDS!$W$18*(-$AG92+186)^2-0.005,WeightSDS!$U$18+(WeightSDS!$V$18-WeightSDS!$U$18)/24*($AG92-186)-0.005)))</f>
        <v>0.14604529399999999</v>
      </c>
    </row>
    <row r="93" spans="1:37">
      <c r="A93" s="4"/>
      <c r="B93" s="21"/>
      <c r="C93" s="21"/>
      <c r="D93" s="21"/>
      <c r="E93" s="22"/>
      <c r="F93" s="22"/>
      <c r="G93" s="23"/>
      <c r="H93" s="23"/>
      <c r="I93" s="8" t="str">
        <f t="shared" si="18"/>
        <v/>
      </c>
      <c r="J93" s="2" t="str">
        <f t="shared" si="25"/>
        <v/>
      </c>
      <c r="K93" s="2" t="str">
        <f t="shared" si="19"/>
        <v/>
      </c>
      <c r="L93" s="2" t="str">
        <f t="shared" si="26"/>
        <v/>
      </c>
      <c r="M93" s="2" t="str">
        <f t="shared" si="31"/>
        <v/>
      </c>
      <c r="N93" s="2" t="str">
        <f t="shared" si="27"/>
        <v/>
      </c>
      <c r="O93" s="8" t="str">
        <f t="shared" si="28"/>
        <v/>
      </c>
      <c r="P93" s="8" t="str">
        <f t="shared" si="29"/>
        <v/>
      </c>
      <c r="Q93" s="40" t="str">
        <f t="shared" si="20"/>
        <v/>
      </c>
      <c r="R93" s="48" t="str">
        <f t="shared" si="30"/>
        <v/>
      </c>
      <c r="S93" s="8"/>
      <c r="U93" s="35">
        <f t="shared" si="21"/>
        <v>0</v>
      </c>
      <c r="V93" s="24">
        <f t="shared" si="22"/>
        <v>0</v>
      </c>
      <c r="W93" s="41">
        <f t="shared" si="17"/>
        <v>0</v>
      </c>
      <c r="X93" s="31"/>
      <c r="Y93" s="31"/>
      <c r="Z93" s="31"/>
      <c r="AA93" s="25">
        <f t="shared" si="23"/>
        <v>9.0359999999999996</v>
      </c>
      <c r="AB93" s="25">
        <f t="shared" si="24"/>
        <v>-184.49199999999999</v>
      </c>
      <c r="AD93" s="24">
        <f>IF(D93="M",IF(AG93&lt;78,BMILMS!$D$5*AG93^3+BMILMS!$E$5*AG93^2+BMILMS!$F$5*AG93+BMILMS!$G$5,IF(AG93&lt;150,BMILMS!$D$6*AG93^3+BMILMS!$E$6*AG93^2+BMILMS!$F$6*AG93+BMILMS!$G$6,BMILMS!$D$7*AG93^3+BMILMS!$E$7*AG93^2+BMILMS!$F$7*AG93+BMILMS!$G$7)),IF(AG93&lt;69,BMILMS!$D$9*AG93^3+BMILMS!$E$9*AG93^2+BMILMS!$F$9*AG93+BMILMS!$G$9,IF(AG93&lt;150,BMILMS!$D$10*AG93^3+BMILMS!$E$10*AG93^2+BMILMS!$F$10*AG93+BMILMS!$G$10,BMILMS!$D$11*AG93^3+BMILMS!$E$11*AG93^2+BMILMS!$F$11*AG93+BMILMS!$G$11)))</f>
        <v>0.79584630099999998</v>
      </c>
      <c r="AE93" s="24">
        <f>IF(D93="M",(IF(AG93&lt;2.5,BMILMS!$D$21*AG93^3+BMILMS!$E$21*AG93^2+BMILMS!$F$21*AG93+BMILMS!$G$21,IF(AG93&lt;9.5,BMILMS!$D$22*AG93^3+BMILMS!$E$22*AG93^2+BMILMS!$F$22*AG93+BMILMS!$G$22,IF(AG93&lt;26.75,BMILMS!$D$23*AG93^3+BMILMS!$E$23*AG93^2+BMILMS!$F$23*AG93+BMILMS!$G$23,IF(AG93&lt;90,BMILMS!$D$24*AG93^3+BMILMS!$E$24*AG93^2+BMILMS!$F$24*AG93+BMILMS!$G$24,BMILMS!$D$25*AG93^3+BMILMS!$E$25*AG93^2+BMILMS!$F$25*AG93+BMILMS!$G$25))))),(IF(AG93&lt;2.5,BMILMS!$D$27*AG93^3+BMILMS!$E$27*AG93^2+BMILMS!$F$27*AG93+BMILMS!$G$27,IF(AG93&lt;9.5,BMILMS!$D$28*AG93^3+BMILMS!$E$28*AG93^2+BMILMS!$F$28*AG93+BMILMS!$G$28,IF(AG93&lt;26.75,BMILMS!$D$29*AG93^3+BMILMS!$E$29*AG93^2+BMILMS!$F$29*AG93+BMILMS!$G$29,IF(AG93&lt;90,BMILMS!$D$30*AG93^3+BMILMS!$E$30*AG93^2+BMILMS!$F$30*AG93+BMILMS!$G$30,IF(AG93&lt;150,BMILMS!$D$31*AG93^3+BMILMS!$E$31*AG93^2+BMILMS!$F$31*AG93+BMILMS!$G$31,BMILMS!$D$32*AG93^3+BMILMS!$E$32*AG93^2+BMILMS!$F$32*AG93+BMILMS!$G$32)))))))</f>
        <v>12.568967990000001</v>
      </c>
      <c r="AF93" s="24">
        <f>IF(D93="M",(IF(AG93&lt;90,BMILMS!$D$14*AG93^3+BMILMS!$E$14*AG93^2+BMILMS!$F$14*AG93+BMILMS!$G$14,BMILMS!$D$15*AG93^3+BMILMS!$E$15*AG93^2+BMILMS!$F$15*AG93+BMILMS!$G$15)),(IF(AG93&lt;90,BMILMS!$D$17*AG93^3+BMILMS!$E$17*AG93^2+BMILMS!$F$17*AG93+BMILMS!$G$17,BMILMS!$D$18*AG93^3+BMILMS!$E$18*AG93^2+BMILMS!$F$18*AG93+BMILMS!$G$18)))</f>
        <v>8.8969350000000003E-2</v>
      </c>
      <c r="AG93" s="24">
        <f t="shared" si="32"/>
        <v>0</v>
      </c>
      <c r="AI93" s="38">
        <f>IF(D93="M",WeightSDS!P$5*$AG93^7+WeightSDS!Q$5*$AG93^6+WeightSDS!R$5*$AG93^5+WeightSDS!S$5*$AG93^4+WeightSDS!T$5*$AG93^3+WeightSDS!U$5*$AG93^2+WeightSDS!V$5*$AG93+WeightSDS!W$5,IF($AG93&lt;186,WeightSDS!P$8*$AG93^7+WeightSDS!Q$8*$AG93^6+WeightSDS!R$8*$AG93^5+WeightSDS!S$8*$AG93^4+WeightSDS!T$8*$AG93^3+WeightSDS!U$8*$AG93^2+WeightSDS!V$8*$AG93+WeightSDS!W$8,WeightSDS!$U$9-WeightSDS!$V$9*($AG93-WeightSDS!$W$9)))</f>
        <v>0.75407122999999998</v>
      </c>
      <c r="AJ93" s="24">
        <f>IF(D93="M",IF($AG93&lt;45,WeightSDS!M$23*$AG93^10+WeightSDS!N$23*$AG93^9+WeightSDS!O$23*$AG93^8+WeightSDS!P$23*$AG93^7+WeightSDS!Q$23*$AG93^6+WeightSDS!R$23*$AG93^5+WeightSDS!S$23*$AG93^4+WeightSDS!T$23*$AG93^3+WeightSDS!U$23*$AG93^2+WeightSDS!V$23*$AG93+WeightSDS!W$23,IF($AG93&lt;153,WeightSDS!M$25*$AG93^10+WeightSDS!N$25*$AG93^9+WeightSDS!O$25*$AG93^8+WeightSDS!P$25*$AG93^7+WeightSDS!Q$25*$AG93^6+WeightSDS!R$25*$AG93^5+WeightSDS!S$25*$AG93^4+WeightSDS!T$25*$AG93^3+WeightSDS!U$25*$AG93^2+WeightSDS!V$25*$AG93+WeightSDS!W$25,WeightSDS!M$27+WeightSDS!N$27/(1+EXP(WeightSDS!O$27+WeightSDS!P$27*$AG93)))),IF($AG93&lt;43.8,WeightSDS!M$29*$AG93^10+WeightSDS!N$29*$AG93^9+WeightSDS!O$29*$AG93^8+WeightSDS!P$29*$AG93^7+WeightSDS!Q$29*$AG93^6+WeightSDS!R$29*$AG93^5+WeightSDS!S$29*$AG93^4+WeightSDS!T$29*$AG93^3+WeightSDS!U$29*$AG93^2+WeightSDS!V$29*$AG93+WeightSDS!W$29-0.010431*(1-$AG93/210),IF($AG93&lt;123,WeightSDS!M$30*$AG93^10+WeightSDS!N$30*$AG93^9+WeightSDS!O$30*$AG93^8+WeightSDS!P$30*$AG93^7+WeightSDS!Q$30*$AG93^6+WeightSDS!R$30*$AG93^5+WeightSDS!S$30*$AG93^4+WeightSDS!T$30*$AG93^3+WeightSDS!U$30*$AG93^2+WeightSDS!V$30*$AG93+WeightSDS!W$30-0.010431*(1-1/$AG93),WeightSDS!M$32+WeightSDS!N$32/(1+EXP(WeightSDS!O$32+WeightSDS!P$32*$AG93))-0.010431*(1-$AG93/210))))</f>
        <v>2.9500001032655536</v>
      </c>
      <c r="AK93" s="24">
        <f>IF(D93="M",IF($AG93&lt;162,WeightSDS!P$12*$AG93^7+WeightSDS!Q$12*$AG93^6+WeightSDS!R$12*$AG93^5+WeightSDS!S$12*$AG93^4+WeightSDS!T$12*$AG93^3+WeightSDS!U$12*$AG93^2+WeightSDS!V$12*$AG93+WeightSDS!W$12,WeightSDS!P$14*$AG93^7+WeightSDS!Q$14*$AG93^6+WeightSDS!R$14*$AG93^5+WeightSDS!S$14*$AG93^4+WeightSDS!T$14*$AG93^3+WeightSDS!U$14*$AG93^2+WeightSDS!V$14*$AG93+WeightSDS!W$14),IF($AG93&lt;156,WeightSDS!O$17*$AG93^8+WeightSDS!P$17*$AG93^7+WeightSDS!Q$17*$AG93^6+WeightSDS!R$17*$AG93^5+WeightSDS!S$17*$AG93^4+WeightSDS!T$17*$AG93^3+WeightSDS!U$17*$AG93^2+WeightSDS!V$17*$AG93+WeightSDS!W$17,IF($AG93&lt;186,WeightSDS!$U$18+(WeightSDS!$V$18-WeightSDS!$U$18)/24*($AG93-186)+WeightSDS!$W$18*(-$AG93+186)^2-0.005,WeightSDS!$U$18+(WeightSDS!$V$18-WeightSDS!$U$18)/24*($AG93-186)-0.005)))</f>
        <v>0.14604529399999999</v>
      </c>
    </row>
    <row r="94" spans="1:37">
      <c r="A94" s="4"/>
      <c r="B94" s="21"/>
      <c r="C94" s="21"/>
      <c r="D94" s="21"/>
      <c r="E94" s="22"/>
      <c r="F94" s="22"/>
      <c r="G94" s="23"/>
      <c r="H94" s="23"/>
      <c r="I94" s="8" t="str">
        <f t="shared" si="18"/>
        <v/>
      </c>
      <c r="J94" s="2" t="str">
        <f t="shared" si="25"/>
        <v/>
      </c>
      <c r="K94" s="2" t="str">
        <f t="shared" si="19"/>
        <v/>
      </c>
      <c r="L94" s="2" t="str">
        <f t="shared" si="26"/>
        <v/>
      </c>
      <c r="M94" s="2" t="str">
        <f t="shared" si="31"/>
        <v/>
      </c>
      <c r="N94" s="2" t="str">
        <f t="shared" si="27"/>
        <v/>
      </c>
      <c r="O94" s="8" t="str">
        <f t="shared" si="28"/>
        <v/>
      </c>
      <c r="P94" s="8" t="str">
        <f t="shared" si="29"/>
        <v/>
      </c>
      <c r="Q94" s="40" t="str">
        <f t="shared" si="20"/>
        <v/>
      </c>
      <c r="R94" s="48" t="str">
        <f t="shared" si="30"/>
        <v/>
      </c>
      <c r="S94" s="8"/>
      <c r="U94" s="35">
        <f t="shared" si="21"/>
        <v>0</v>
      </c>
      <c r="V94" s="24">
        <f t="shared" si="22"/>
        <v>0</v>
      </c>
      <c r="W94" s="41">
        <f t="shared" ref="W94:W157" si="33">DATEDIF(E94,F94,"Y")+(F94-(DATE(YEAR(E94)+DATEDIF(E94,F94,"Y"),MONTH(E94),DAY(E94))))/(365+IF(MOD(YEAR((DATE(YEAR(F94)-1,MONTH(E94),DAY(E94)))),4)=0,IF((DATE(YEAR(F94)-1,MONTH(E94),DAY(E94)))&gt;DATE(YEAR((DATE(YEAR(F94)-1,MONTH(E94),DAY(E94)))),2,29),0,1),0)+IF(MOD(YEAR(F94),4)=0,IF(F94&gt;DATE(YEAR(F94),2,29),1,0),0))</f>
        <v>0</v>
      </c>
      <c r="X94" s="31"/>
      <c r="Y94" s="31"/>
      <c r="Z94" s="31"/>
      <c r="AA94" s="25">
        <f t="shared" si="23"/>
        <v>9.0359999999999996</v>
      </c>
      <c r="AB94" s="25">
        <f t="shared" si="24"/>
        <v>-184.49199999999999</v>
      </c>
      <c r="AD94" s="24">
        <f>IF(D94="M",IF(AG94&lt;78,BMILMS!$D$5*AG94^3+BMILMS!$E$5*AG94^2+BMILMS!$F$5*AG94+BMILMS!$G$5,IF(AG94&lt;150,BMILMS!$D$6*AG94^3+BMILMS!$E$6*AG94^2+BMILMS!$F$6*AG94+BMILMS!$G$6,BMILMS!$D$7*AG94^3+BMILMS!$E$7*AG94^2+BMILMS!$F$7*AG94+BMILMS!$G$7)),IF(AG94&lt;69,BMILMS!$D$9*AG94^3+BMILMS!$E$9*AG94^2+BMILMS!$F$9*AG94+BMILMS!$G$9,IF(AG94&lt;150,BMILMS!$D$10*AG94^3+BMILMS!$E$10*AG94^2+BMILMS!$F$10*AG94+BMILMS!$G$10,BMILMS!$D$11*AG94^3+BMILMS!$E$11*AG94^2+BMILMS!$F$11*AG94+BMILMS!$G$11)))</f>
        <v>0.79584630099999998</v>
      </c>
      <c r="AE94" s="24">
        <f>IF(D94="M",(IF(AG94&lt;2.5,BMILMS!$D$21*AG94^3+BMILMS!$E$21*AG94^2+BMILMS!$F$21*AG94+BMILMS!$G$21,IF(AG94&lt;9.5,BMILMS!$D$22*AG94^3+BMILMS!$E$22*AG94^2+BMILMS!$F$22*AG94+BMILMS!$G$22,IF(AG94&lt;26.75,BMILMS!$D$23*AG94^3+BMILMS!$E$23*AG94^2+BMILMS!$F$23*AG94+BMILMS!$G$23,IF(AG94&lt;90,BMILMS!$D$24*AG94^3+BMILMS!$E$24*AG94^2+BMILMS!$F$24*AG94+BMILMS!$G$24,BMILMS!$D$25*AG94^3+BMILMS!$E$25*AG94^2+BMILMS!$F$25*AG94+BMILMS!$G$25))))),(IF(AG94&lt;2.5,BMILMS!$D$27*AG94^3+BMILMS!$E$27*AG94^2+BMILMS!$F$27*AG94+BMILMS!$G$27,IF(AG94&lt;9.5,BMILMS!$D$28*AG94^3+BMILMS!$E$28*AG94^2+BMILMS!$F$28*AG94+BMILMS!$G$28,IF(AG94&lt;26.75,BMILMS!$D$29*AG94^3+BMILMS!$E$29*AG94^2+BMILMS!$F$29*AG94+BMILMS!$G$29,IF(AG94&lt;90,BMILMS!$D$30*AG94^3+BMILMS!$E$30*AG94^2+BMILMS!$F$30*AG94+BMILMS!$G$30,IF(AG94&lt;150,BMILMS!$D$31*AG94^3+BMILMS!$E$31*AG94^2+BMILMS!$F$31*AG94+BMILMS!$G$31,BMILMS!$D$32*AG94^3+BMILMS!$E$32*AG94^2+BMILMS!$F$32*AG94+BMILMS!$G$32)))))))</f>
        <v>12.568967990000001</v>
      </c>
      <c r="AF94" s="24">
        <f>IF(D94="M",(IF(AG94&lt;90,BMILMS!$D$14*AG94^3+BMILMS!$E$14*AG94^2+BMILMS!$F$14*AG94+BMILMS!$G$14,BMILMS!$D$15*AG94^3+BMILMS!$E$15*AG94^2+BMILMS!$F$15*AG94+BMILMS!$G$15)),(IF(AG94&lt;90,BMILMS!$D$17*AG94^3+BMILMS!$E$17*AG94^2+BMILMS!$F$17*AG94+BMILMS!$G$17,BMILMS!$D$18*AG94^3+BMILMS!$E$18*AG94^2+BMILMS!$F$18*AG94+BMILMS!$G$18)))</f>
        <v>8.8969350000000003E-2</v>
      </c>
      <c r="AG94" s="24">
        <f t="shared" si="32"/>
        <v>0</v>
      </c>
      <c r="AI94" s="38">
        <f>IF(D94="M",WeightSDS!P$5*$AG94^7+WeightSDS!Q$5*$AG94^6+WeightSDS!R$5*$AG94^5+WeightSDS!S$5*$AG94^4+WeightSDS!T$5*$AG94^3+WeightSDS!U$5*$AG94^2+WeightSDS!V$5*$AG94+WeightSDS!W$5,IF($AG94&lt;186,WeightSDS!P$8*$AG94^7+WeightSDS!Q$8*$AG94^6+WeightSDS!R$8*$AG94^5+WeightSDS!S$8*$AG94^4+WeightSDS!T$8*$AG94^3+WeightSDS!U$8*$AG94^2+WeightSDS!V$8*$AG94+WeightSDS!W$8,WeightSDS!$U$9-WeightSDS!$V$9*($AG94-WeightSDS!$W$9)))</f>
        <v>0.75407122999999998</v>
      </c>
      <c r="AJ94" s="24">
        <f>IF(D94="M",IF($AG94&lt;45,WeightSDS!M$23*$AG94^10+WeightSDS!N$23*$AG94^9+WeightSDS!O$23*$AG94^8+WeightSDS!P$23*$AG94^7+WeightSDS!Q$23*$AG94^6+WeightSDS!R$23*$AG94^5+WeightSDS!S$23*$AG94^4+WeightSDS!T$23*$AG94^3+WeightSDS!U$23*$AG94^2+WeightSDS!V$23*$AG94+WeightSDS!W$23,IF($AG94&lt;153,WeightSDS!M$25*$AG94^10+WeightSDS!N$25*$AG94^9+WeightSDS!O$25*$AG94^8+WeightSDS!P$25*$AG94^7+WeightSDS!Q$25*$AG94^6+WeightSDS!R$25*$AG94^5+WeightSDS!S$25*$AG94^4+WeightSDS!T$25*$AG94^3+WeightSDS!U$25*$AG94^2+WeightSDS!V$25*$AG94+WeightSDS!W$25,WeightSDS!M$27+WeightSDS!N$27/(1+EXP(WeightSDS!O$27+WeightSDS!P$27*$AG94)))),IF($AG94&lt;43.8,WeightSDS!M$29*$AG94^10+WeightSDS!N$29*$AG94^9+WeightSDS!O$29*$AG94^8+WeightSDS!P$29*$AG94^7+WeightSDS!Q$29*$AG94^6+WeightSDS!R$29*$AG94^5+WeightSDS!S$29*$AG94^4+WeightSDS!T$29*$AG94^3+WeightSDS!U$29*$AG94^2+WeightSDS!V$29*$AG94+WeightSDS!W$29-0.010431*(1-$AG94/210),IF($AG94&lt;123,WeightSDS!M$30*$AG94^10+WeightSDS!N$30*$AG94^9+WeightSDS!O$30*$AG94^8+WeightSDS!P$30*$AG94^7+WeightSDS!Q$30*$AG94^6+WeightSDS!R$30*$AG94^5+WeightSDS!S$30*$AG94^4+WeightSDS!T$30*$AG94^3+WeightSDS!U$30*$AG94^2+WeightSDS!V$30*$AG94+WeightSDS!W$30-0.010431*(1-1/$AG94),WeightSDS!M$32+WeightSDS!N$32/(1+EXP(WeightSDS!O$32+WeightSDS!P$32*$AG94))-0.010431*(1-$AG94/210))))</f>
        <v>2.9500001032655536</v>
      </c>
      <c r="AK94" s="24">
        <f>IF(D94="M",IF($AG94&lt;162,WeightSDS!P$12*$AG94^7+WeightSDS!Q$12*$AG94^6+WeightSDS!R$12*$AG94^5+WeightSDS!S$12*$AG94^4+WeightSDS!T$12*$AG94^3+WeightSDS!U$12*$AG94^2+WeightSDS!V$12*$AG94+WeightSDS!W$12,WeightSDS!P$14*$AG94^7+WeightSDS!Q$14*$AG94^6+WeightSDS!R$14*$AG94^5+WeightSDS!S$14*$AG94^4+WeightSDS!T$14*$AG94^3+WeightSDS!U$14*$AG94^2+WeightSDS!V$14*$AG94+WeightSDS!W$14),IF($AG94&lt;156,WeightSDS!O$17*$AG94^8+WeightSDS!P$17*$AG94^7+WeightSDS!Q$17*$AG94^6+WeightSDS!R$17*$AG94^5+WeightSDS!S$17*$AG94^4+WeightSDS!T$17*$AG94^3+WeightSDS!U$17*$AG94^2+WeightSDS!V$17*$AG94+WeightSDS!W$17,IF($AG94&lt;186,WeightSDS!$U$18+(WeightSDS!$V$18-WeightSDS!$U$18)/24*($AG94-186)+WeightSDS!$W$18*(-$AG94+186)^2-0.005,WeightSDS!$U$18+(WeightSDS!$V$18-WeightSDS!$U$18)/24*($AG94-186)-0.005)))</f>
        <v>0.14604529399999999</v>
      </c>
    </row>
    <row r="95" spans="1:37">
      <c r="A95" s="4"/>
      <c r="B95" s="21"/>
      <c r="C95" s="21"/>
      <c r="D95" s="21"/>
      <c r="E95" s="22"/>
      <c r="F95" s="22"/>
      <c r="G95" s="23"/>
      <c r="H95" s="23"/>
      <c r="I95" s="8" t="str">
        <f t="shared" si="18"/>
        <v/>
      </c>
      <c r="J95" s="2" t="str">
        <f t="shared" si="25"/>
        <v/>
      </c>
      <c r="K95" s="2" t="str">
        <f t="shared" si="19"/>
        <v/>
      </c>
      <c r="L95" s="2" t="str">
        <f t="shared" si="26"/>
        <v/>
      </c>
      <c r="M95" s="2" t="str">
        <f t="shared" si="31"/>
        <v/>
      </c>
      <c r="N95" s="2" t="str">
        <f t="shared" si="27"/>
        <v/>
      </c>
      <c r="O95" s="8" t="str">
        <f t="shared" si="28"/>
        <v/>
      </c>
      <c r="P95" s="8" t="str">
        <f t="shared" si="29"/>
        <v/>
      </c>
      <c r="Q95" s="40" t="str">
        <f t="shared" si="20"/>
        <v/>
      </c>
      <c r="R95" s="48" t="str">
        <f t="shared" si="30"/>
        <v/>
      </c>
      <c r="S95" s="8"/>
      <c r="U95" s="35">
        <f t="shared" si="21"/>
        <v>0</v>
      </c>
      <c r="V95" s="24">
        <f t="shared" si="22"/>
        <v>0</v>
      </c>
      <c r="W95" s="41">
        <f t="shared" si="33"/>
        <v>0</v>
      </c>
      <c r="X95" s="31"/>
      <c r="Y95" s="31"/>
      <c r="Z95" s="31"/>
      <c r="AA95" s="25">
        <f t="shared" si="23"/>
        <v>9.0359999999999996</v>
      </c>
      <c r="AB95" s="25">
        <f t="shared" si="24"/>
        <v>-184.49199999999999</v>
      </c>
      <c r="AD95" s="24">
        <f>IF(D95="M",IF(AG95&lt;78,BMILMS!$D$5*AG95^3+BMILMS!$E$5*AG95^2+BMILMS!$F$5*AG95+BMILMS!$G$5,IF(AG95&lt;150,BMILMS!$D$6*AG95^3+BMILMS!$E$6*AG95^2+BMILMS!$F$6*AG95+BMILMS!$G$6,BMILMS!$D$7*AG95^3+BMILMS!$E$7*AG95^2+BMILMS!$F$7*AG95+BMILMS!$G$7)),IF(AG95&lt;69,BMILMS!$D$9*AG95^3+BMILMS!$E$9*AG95^2+BMILMS!$F$9*AG95+BMILMS!$G$9,IF(AG95&lt;150,BMILMS!$D$10*AG95^3+BMILMS!$E$10*AG95^2+BMILMS!$F$10*AG95+BMILMS!$G$10,BMILMS!$D$11*AG95^3+BMILMS!$E$11*AG95^2+BMILMS!$F$11*AG95+BMILMS!$G$11)))</f>
        <v>0.79584630099999998</v>
      </c>
      <c r="AE95" s="24">
        <f>IF(D95="M",(IF(AG95&lt;2.5,BMILMS!$D$21*AG95^3+BMILMS!$E$21*AG95^2+BMILMS!$F$21*AG95+BMILMS!$G$21,IF(AG95&lt;9.5,BMILMS!$D$22*AG95^3+BMILMS!$E$22*AG95^2+BMILMS!$F$22*AG95+BMILMS!$G$22,IF(AG95&lt;26.75,BMILMS!$D$23*AG95^3+BMILMS!$E$23*AG95^2+BMILMS!$F$23*AG95+BMILMS!$G$23,IF(AG95&lt;90,BMILMS!$D$24*AG95^3+BMILMS!$E$24*AG95^2+BMILMS!$F$24*AG95+BMILMS!$G$24,BMILMS!$D$25*AG95^3+BMILMS!$E$25*AG95^2+BMILMS!$F$25*AG95+BMILMS!$G$25))))),(IF(AG95&lt;2.5,BMILMS!$D$27*AG95^3+BMILMS!$E$27*AG95^2+BMILMS!$F$27*AG95+BMILMS!$G$27,IF(AG95&lt;9.5,BMILMS!$D$28*AG95^3+BMILMS!$E$28*AG95^2+BMILMS!$F$28*AG95+BMILMS!$G$28,IF(AG95&lt;26.75,BMILMS!$D$29*AG95^3+BMILMS!$E$29*AG95^2+BMILMS!$F$29*AG95+BMILMS!$G$29,IF(AG95&lt;90,BMILMS!$D$30*AG95^3+BMILMS!$E$30*AG95^2+BMILMS!$F$30*AG95+BMILMS!$G$30,IF(AG95&lt;150,BMILMS!$D$31*AG95^3+BMILMS!$E$31*AG95^2+BMILMS!$F$31*AG95+BMILMS!$G$31,BMILMS!$D$32*AG95^3+BMILMS!$E$32*AG95^2+BMILMS!$F$32*AG95+BMILMS!$G$32)))))))</f>
        <v>12.568967990000001</v>
      </c>
      <c r="AF95" s="24">
        <f>IF(D95="M",(IF(AG95&lt;90,BMILMS!$D$14*AG95^3+BMILMS!$E$14*AG95^2+BMILMS!$F$14*AG95+BMILMS!$G$14,BMILMS!$D$15*AG95^3+BMILMS!$E$15*AG95^2+BMILMS!$F$15*AG95+BMILMS!$G$15)),(IF(AG95&lt;90,BMILMS!$D$17*AG95^3+BMILMS!$E$17*AG95^2+BMILMS!$F$17*AG95+BMILMS!$G$17,BMILMS!$D$18*AG95^3+BMILMS!$E$18*AG95^2+BMILMS!$F$18*AG95+BMILMS!$G$18)))</f>
        <v>8.8969350000000003E-2</v>
      </c>
      <c r="AG95" s="24">
        <f t="shared" si="32"/>
        <v>0</v>
      </c>
      <c r="AI95" s="38">
        <f>IF(D95="M",WeightSDS!P$5*$AG95^7+WeightSDS!Q$5*$AG95^6+WeightSDS!R$5*$AG95^5+WeightSDS!S$5*$AG95^4+WeightSDS!T$5*$AG95^3+WeightSDS!U$5*$AG95^2+WeightSDS!V$5*$AG95+WeightSDS!W$5,IF($AG95&lt;186,WeightSDS!P$8*$AG95^7+WeightSDS!Q$8*$AG95^6+WeightSDS!R$8*$AG95^5+WeightSDS!S$8*$AG95^4+WeightSDS!T$8*$AG95^3+WeightSDS!U$8*$AG95^2+WeightSDS!V$8*$AG95+WeightSDS!W$8,WeightSDS!$U$9-WeightSDS!$V$9*($AG95-WeightSDS!$W$9)))</f>
        <v>0.75407122999999998</v>
      </c>
      <c r="AJ95" s="24">
        <f>IF(D95="M",IF($AG95&lt;45,WeightSDS!M$23*$AG95^10+WeightSDS!N$23*$AG95^9+WeightSDS!O$23*$AG95^8+WeightSDS!P$23*$AG95^7+WeightSDS!Q$23*$AG95^6+WeightSDS!R$23*$AG95^5+WeightSDS!S$23*$AG95^4+WeightSDS!T$23*$AG95^3+WeightSDS!U$23*$AG95^2+WeightSDS!V$23*$AG95+WeightSDS!W$23,IF($AG95&lt;153,WeightSDS!M$25*$AG95^10+WeightSDS!N$25*$AG95^9+WeightSDS!O$25*$AG95^8+WeightSDS!P$25*$AG95^7+WeightSDS!Q$25*$AG95^6+WeightSDS!R$25*$AG95^5+WeightSDS!S$25*$AG95^4+WeightSDS!T$25*$AG95^3+WeightSDS!U$25*$AG95^2+WeightSDS!V$25*$AG95+WeightSDS!W$25,WeightSDS!M$27+WeightSDS!N$27/(1+EXP(WeightSDS!O$27+WeightSDS!P$27*$AG95)))),IF($AG95&lt;43.8,WeightSDS!M$29*$AG95^10+WeightSDS!N$29*$AG95^9+WeightSDS!O$29*$AG95^8+WeightSDS!P$29*$AG95^7+WeightSDS!Q$29*$AG95^6+WeightSDS!R$29*$AG95^5+WeightSDS!S$29*$AG95^4+WeightSDS!T$29*$AG95^3+WeightSDS!U$29*$AG95^2+WeightSDS!V$29*$AG95+WeightSDS!W$29-0.010431*(1-$AG95/210),IF($AG95&lt;123,WeightSDS!M$30*$AG95^10+WeightSDS!N$30*$AG95^9+WeightSDS!O$30*$AG95^8+WeightSDS!P$30*$AG95^7+WeightSDS!Q$30*$AG95^6+WeightSDS!R$30*$AG95^5+WeightSDS!S$30*$AG95^4+WeightSDS!T$30*$AG95^3+WeightSDS!U$30*$AG95^2+WeightSDS!V$30*$AG95+WeightSDS!W$30-0.010431*(1-1/$AG95),WeightSDS!M$32+WeightSDS!N$32/(1+EXP(WeightSDS!O$32+WeightSDS!P$32*$AG95))-0.010431*(1-$AG95/210))))</f>
        <v>2.9500001032655536</v>
      </c>
      <c r="AK95" s="24">
        <f>IF(D95="M",IF($AG95&lt;162,WeightSDS!P$12*$AG95^7+WeightSDS!Q$12*$AG95^6+WeightSDS!R$12*$AG95^5+WeightSDS!S$12*$AG95^4+WeightSDS!T$12*$AG95^3+WeightSDS!U$12*$AG95^2+WeightSDS!V$12*$AG95+WeightSDS!W$12,WeightSDS!P$14*$AG95^7+WeightSDS!Q$14*$AG95^6+WeightSDS!R$14*$AG95^5+WeightSDS!S$14*$AG95^4+WeightSDS!T$14*$AG95^3+WeightSDS!U$14*$AG95^2+WeightSDS!V$14*$AG95+WeightSDS!W$14),IF($AG95&lt;156,WeightSDS!O$17*$AG95^8+WeightSDS!P$17*$AG95^7+WeightSDS!Q$17*$AG95^6+WeightSDS!R$17*$AG95^5+WeightSDS!S$17*$AG95^4+WeightSDS!T$17*$AG95^3+WeightSDS!U$17*$AG95^2+WeightSDS!V$17*$AG95+WeightSDS!W$17,IF($AG95&lt;186,WeightSDS!$U$18+(WeightSDS!$V$18-WeightSDS!$U$18)/24*($AG95-186)+WeightSDS!$W$18*(-$AG95+186)^2-0.005,WeightSDS!$U$18+(WeightSDS!$V$18-WeightSDS!$U$18)/24*($AG95-186)-0.005)))</f>
        <v>0.14604529399999999</v>
      </c>
    </row>
    <row r="96" spans="1:37">
      <c r="A96" s="4"/>
      <c r="B96" s="21"/>
      <c r="C96" s="21"/>
      <c r="D96" s="21"/>
      <c r="E96" s="22"/>
      <c r="F96" s="22"/>
      <c r="G96" s="23"/>
      <c r="H96" s="23"/>
      <c r="I96" s="8" t="str">
        <f t="shared" si="18"/>
        <v/>
      </c>
      <c r="J96" s="2" t="str">
        <f t="shared" si="25"/>
        <v/>
      </c>
      <c r="K96" s="2" t="str">
        <f t="shared" si="19"/>
        <v/>
      </c>
      <c r="L96" s="2" t="str">
        <f t="shared" si="26"/>
        <v/>
      </c>
      <c r="M96" s="2" t="str">
        <f t="shared" si="31"/>
        <v/>
      </c>
      <c r="N96" s="2" t="str">
        <f t="shared" si="27"/>
        <v/>
      </c>
      <c r="O96" s="8" t="str">
        <f t="shared" si="28"/>
        <v/>
      </c>
      <c r="P96" s="8" t="str">
        <f t="shared" si="29"/>
        <v/>
      </c>
      <c r="Q96" s="40" t="str">
        <f t="shared" si="20"/>
        <v/>
      </c>
      <c r="R96" s="48" t="str">
        <f t="shared" si="30"/>
        <v/>
      </c>
      <c r="S96" s="8"/>
      <c r="U96" s="35">
        <f t="shared" si="21"/>
        <v>0</v>
      </c>
      <c r="V96" s="24">
        <f t="shared" si="22"/>
        <v>0</v>
      </c>
      <c r="W96" s="41">
        <f t="shared" si="33"/>
        <v>0</v>
      </c>
      <c r="X96" s="31"/>
      <c r="Y96" s="31"/>
      <c r="Z96" s="31"/>
      <c r="AA96" s="25">
        <f t="shared" si="23"/>
        <v>9.0359999999999996</v>
      </c>
      <c r="AB96" s="25">
        <f t="shared" si="24"/>
        <v>-184.49199999999999</v>
      </c>
      <c r="AD96" s="24">
        <f>IF(D96="M",IF(AG96&lt;78,BMILMS!$D$5*AG96^3+BMILMS!$E$5*AG96^2+BMILMS!$F$5*AG96+BMILMS!$G$5,IF(AG96&lt;150,BMILMS!$D$6*AG96^3+BMILMS!$E$6*AG96^2+BMILMS!$F$6*AG96+BMILMS!$G$6,BMILMS!$D$7*AG96^3+BMILMS!$E$7*AG96^2+BMILMS!$F$7*AG96+BMILMS!$G$7)),IF(AG96&lt;69,BMILMS!$D$9*AG96^3+BMILMS!$E$9*AG96^2+BMILMS!$F$9*AG96+BMILMS!$G$9,IF(AG96&lt;150,BMILMS!$D$10*AG96^3+BMILMS!$E$10*AG96^2+BMILMS!$F$10*AG96+BMILMS!$G$10,BMILMS!$D$11*AG96^3+BMILMS!$E$11*AG96^2+BMILMS!$F$11*AG96+BMILMS!$G$11)))</f>
        <v>0.79584630099999998</v>
      </c>
      <c r="AE96" s="24">
        <f>IF(D96="M",(IF(AG96&lt;2.5,BMILMS!$D$21*AG96^3+BMILMS!$E$21*AG96^2+BMILMS!$F$21*AG96+BMILMS!$G$21,IF(AG96&lt;9.5,BMILMS!$D$22*AG96^3+BMILMS!$E$22*AG96^2+BMILMS!$F$22*AG96+BMILMS!$G$22,IF(AG96&lt;26.75,BMILMS!$D$23*AG96^3+BMILMS!$E$23*AG96^2+BMILMS!$F$23*AG96+BMILMS!$G$23,IF(AG96&lt;90,BMILMS!$D$24*AG96^3+BMILMS!$E$24*AG96^2+BMILMS!$F$24*AG96+BMILMS!$G$24,BMILMS!$D$25*AG96^3+BMILMS!$E$25*AG96^2+BMILMS!$F$25*AG96+BMILMS!$G$25))))),(IF(AG96&lt;2.5,BMILMS!$D$27*AG96^3+BMILMS!$E$27*AG96^2+BMILMS!$F$27*AG96+BMILMS!$G$27,IF(AG96&lt;9.5,BMILMS!$D$28*AG96^3+BMILMS!$E$28*AG96^2+BMILMS!$F$28*AG96+BMILMS!$G$28,IF(AG96&lt;26.75,BMILMS!$D$29*AG96^3+BMILMS!$E$29*AG96^2+BMILMS!$F$29*AG96+BMILMS!$G$29,IF(AG96&lt;90,BMILMS!$D$30*AG96^3+BMILMS!$E$30*AG96^2+BMILMS!$F$30*AG96+BMILMS!$G$30,IF(AG96&lt;150,BMILMS!$D$31*AG96^3+BMILMS!$E$31*AG96^2+BMILMS!$F$31*AG96+BMILMS!$G$31,BMILMS!$D$32*AG96^3+BMILMS!$E$32*AG96^2+BMILMS!$F$32*AG96+BMILMS!$G$32)))))))</f>
        <v>12.568967990000001</v>
      </c>
      <c r="AF96" s="24">
        <f>IF(D96="M",(IF(AG96&lt;90,BMILMS!$D$14*AG96^3+BMILMS!$E$14*AG96^2+BMILMS!$F$14*AG96+BMILMS!$G$14,BMILMS!$D$15*AG96^3+BMILMS!$E$15*AG96^2+BMILMS!$F$15*AG96+BMILMS!$G$15)),(IF(AG96&lt;90,BMILMS!$D$17*AG96^3+BMILMS!$E$17*AG96^2+BMILMS!$F$17*AG96+BMILMS!$G$17,BMILMS!$D$18*AG96^3+BMILMS!$E$18*AG96^2+BMILMS!$F$18*AG96+BMILMS!$G$18)))</f>
        <v>8.8969350000000003E-2</v>
      </c>
      <c r="AG96" s="24">
        <f t="shared" si="32"/>
        <v>0</v>
      </c>
      <c r="AI96" s="38">
        <f>IF(D96="M",WeightSDS!P$5*$AG96^7+WeightSDS!Q$5*$AG96^6+WeightSDS!R$5*$AG96^5+WeightSDS!S$5*$AG96^4+WeightSDS!T$5*$AG96^3+WeightSDS!U$5*$AG96^2+WeightSDS!V$5*$AG96+WeightSDS!W$5,IF($AG96&lt;186,WeightSDS!P$8*$AG96^7+WeightSDS!Q$8*$AG96^6+WeightSDS!R$8*$AG96^5+WeightSDS!S$8*$AG96^4+WeightSDS!T$8*$AG96^3+WeightSDS!U$8*$AG96^2+WeightSDS!V$8*$AG96+WeightSDS!W$8,WeightSDS!$U$9-WeightSDS!$V$9*($AG96-WeightSDS!$W$9)))</f>
        <v>0.75407122999999998</v>
      </c>
      <c r="AJ96" s="24">
        <f>IF(D96="M",IF($AG96&lt;45,WeightSDS!M$23*$AG96^10+WeightSDS!N$23*$AG96^9+WeightSDS!O$23*$AG96^8+WeightSDS!P$23*$AG96^7+WeightSDS!Q$23*$AG96^6+WeightSDS!R$23*$AG96^5+WeightSDS!S$23*$AG96^4+WeightSDS!T$23*$AG96^3+WeightSDS!U$23*$AG96^2+WeightSDS!V$23*$AG96+WeightSDS!W$23,IF($AG96&lt;153,WeightSDS!M$25*$AG96^10+WeightSDS!N$25*$AG96^9+WeightSDS!O$25*$AG96^8+WeightSDS!P$25*$AG96^7+WeightSDS!Q$25*$AG96^6+WeightSDS!R$25*$AG96^5+WeightSDS!S$25*$AG96^4+WeightSDS!T$25*$AG96^3+WeightSDS!U$25*$AG96^2+WeightSDS!V$25*$AG96+WeightSDS!W$25,WeightSDS!M$27+WeightSDS!N$27/(1+EXP(WeightSDS!O$27+WeightSDS!P$27*$AG96)))),IF($AG96&lt;43.8,WeightSDS!M$29*$AG96^10+WeightSDS!N$29*$AG96^9+WeightSDS!O$29*$AG96^8+WeightSDS!P$29*$AG96^7+WeightSDS!Q$29*$AG96^6+WeightSDS!R$29*$AG96^5+WeightSDS!S$29*$AG96^4+WeightSDS!T$29*$AG96^3+WeightSDS!U$29*$AG96^2+WeightSDS!V$29*$AG96+WeightSDS!W$29-0.010431*(1-$AG96/210),IF($AG96&lt;123,WeightSDS!M$30*$AG96^10+WeightSDS!N$30*$AG96^9+WeightSDS!O$30*$AG96^8+WeightSDS!P$30*$AG96^7+WeightSDS!Q$30*$AG96^6+WeightSDS!R$30*$AG96^5+WeightSDS!S$30*$AG96^4+WeightSDS!T$30*$AG96^3+WeightSDS!U$30*$AG96^2+WeightSDS!V$30*$AG96+WeightSDS!W$30-0.010431*(1-1/$AG96),WeightSDS!M$32+WeightSDS!N$32/(1+EXP(WeightSDS!O$32+WeightSDS!P$32*$AG96))-0.010431*(1-$AG96/210))))</f>
        <v>2.9500001032655536</v>
      </c>
      <c r="AK96" s="24">
        <f>IF(D96="M",IF($AG96&lt;162,WeightSDS!P$12*$AG96^7+WeightSDS!Q$12*$AG96^6+WeightSDS!R$12*$AG96^5+WeightSDS!S$12*$AG96^4+WeightSDS!T$12*$AG96^3+WeightSDS!U$12*$AG96^2+WeightSDS!V$12*$AG96+WeightSDS!W$12,WeightSDS!P$14*$AG96^7+WeightSDS!Q$14*$AG96^6+WeightSDS!R$14*$AG96^5+WeightSDS!S$14*$AG96^4+WeightSDS!T$14*$AG96^3+WeightSDS!U$14*$AG96^2+WeightSDS!V$14*$AG96+WeightSDS!W$14),IF($AG96&lt;156,WeightSDS!O$17*$AG96^8+WeightSDS!P$17*$AG96^7+WeightSDS!Q$17*$AG96^6+WeightSDS!R$17*$AG96^5+WeightSDS!S$17*$AG96^4+WeightSDS!T$17*$AG96^3+WeightSDS!U$17*$AG96^2+WeightSDS!V$17*$AG96+WeightSDS!W$17,IF($AG96&lt;186,WeightSDS!$U$18+(WeightSDS!$V$18-WeightSDS!$U$18)/24*($AG96-186)+WeightSDS!$W$18*(-$AG96+186)^2-0.005,WeightSDS!$U$18+(WeightSDS!$V$18-WeightSDS!$U$18)/24*($AG96-186)-0.005)))</f>
        <v>0.14604529399999999</v>
      </c>
    </row>
    <row r="97" spans="1:37">
      <c r="A97" s="4"/>
      <c r="B97" s="21"/>
      <c r="C97" s="21"/>
      <c r="D97" s="21"/>
      <c r="E97" s="22"/>
      <c r="F97" s="22"/>
      <c r="G97" s="23"/>
      <c r="H97" s="23"/>
      <c r="I97" s="8" t="str">
        <f t="shared" si="18"/>
        <v/>
      </c>
      <c r="J97" s="2" t="str">
        <f t="shared" si="25"/>
        <v/>
      </c>
      <c r="K97" s="2" t="str">
        <f t="shared" si="19"/>
        <v/>
      </c>
      <c r="L97" s="2" t="str">
        <f t="shared" si="26"/>
        <v/>
      </c>
      <c r="M97" s="2" t="str">
        <f t="shared" si="31"/>
        <v/>
      </c>
      <c r="N97" s="2" t="str">
        <f t="shared" si="27"/>
        <v/>
      </c>
      <c r="O97" s="8" t="str">
        <f t="shared" si="28"/>
        <v/>
      </c>
      <c r="P97" s="8" t="str">
        <f t="shared" si="29"/>
        <v/>
      </c>
      <c r="Q97" s="40" t="str">
        <f t="shared" si="20"/>
        <v/>
      </c>
      <c r="R97" s="48" t="str">
        <f t="shared" si="30"/>
        <v/>
      </c>
      <c r="S97" s="8"/>
      <c r="U97" s="35">
        <f t="shared" si="21"/>
        <v>0</v>
      </c>
      <c r="V97" s="24">
        <f t="shared" si="22"/>
        <v>0</v>
      </c>
      <c r="W97" s="41">
        <f t="shared" si="33"/>
        <v>0</v>
      </c>
      <c r="X97" s="31"/>
      <c r="Y97" s="31"/>
      <c r="Z97" s="31"/>
      <c r="AA97" s="25">
        <f t="shared" si="23"/>
        <v>9.0359999999999996</v>
      </c>
      <c r="AB97" s="25">
        <f t="shared" si="24"/>
        <v>-184.49199999999999</v>
      </c>
      <c r="AD97" s="24">
        <f>IF(D97="M",IF(AG97&lt;78,BMILMS!$D$5*AG97^3+BMILMS!$E$5*AG97^2+BMILMS!$F$5*AG97+BMILMS!$G$5,IF(AG97&lt;150,BMILMS!$D$6*AG97^3+BMILMS!$E$6*AG97^2+BMILMS!$F$6*AG97+BMILMS!$G$6,BMILMS!$D$7*AG97^3+BMILMS!$E$7*AG97^2+BMILMS!$F$7*AG97+BMILMS!$G$7)),IF(AG97&lt;69,BMILMS!$D$9*AG97^3+BMILMS!$E$9*AG97^2+BMILMS!$F$9*AG97+BMILMS!$G$9,IF(AG97&lt;150,BMILMS!$D$10*AG97^3+BMILMS!$E$10*AG97^2+BMILMS!$F$10*AG97+BMILMS!$G$10,BMILMS!$D$11*AG97^3+BMILMS!$E$11*AG97^2+BMILMS!$F$11*AG97+BMILMS!$G$11)))</f>
        <v>0.79584630099999998</v>
      </c>
      <c r="AE97" s="24">
        <f>IF(D97="M",(IF(AG97&lt;2.5,BMILMS!$D$21*AG97^3+BMILMS!$E$21*AG97^2+BMILMS!$F$21*AG97+BMILMS!$G$21,IF(AG97&lt;9.5,BMILMS!$D$22*AG97^3+BMILMS!$E$22*AG97^2+BMILMS!$F$22*AG97+BMILMS!$G$22,IF(AG97&lt;26.75,BMILMS!$D$23*AG97^3+BMILMS!$E$23*AG97^2+BMILMS!$F$23*AG97+BMILMS!$G$23,IF(AG97&lt;90,BMILMS!$D$24*AG97^3+BMILMS!$E$24*AG97^2+BMILMS!$F$24*AG97+BMILMS!$G$24,BMILMS!$D$25*AG97^3+BMILMS!$E$25*AG97^2+BMILMS!$F$25*AG97+BMILMS!$G$25))))),(IF(AG97&lt;2.5,BMILMS!$D$27*AG97^3+BMILMS!$E$27*AG97^2+BMILMS!$F$27*AG97+BMILMS!$G$27,IF(AG97&lt;9.5,BMILMS!$D$28*AG97^3+BMILMS!$E$28*AG97^2+BMILMS!$F$28*AG97+BMILMS!$G$28,IF(AG97&lt;26.75,BMILMS!$D$29*AG97^3+BMILMS!$E$29*AG97^2+BMILMS!$F$29*AG97+BMILMS!$G$29,IF(AG97&lt;90,BMILMS!$D$30*AG97^3+BMILMS!$E$30*AG97^2+BMILMS!$F$30*AG97+BMILMS!$G$30,IF(AG97&lt;150,BMILMS!$D$31*AG97^3+BMILMS!$E$31*AG97^2+BMILMS!$F$31*AG97+BMILMS!$G$31,BMILMS!$D$32*AG97^3+BMILMS!$E$32*AG97^2+BMILMS!$F$32*AG97+BMILMS!$G$32)))))))</f>
        <v>12.568967990000001</v>
      </c>
      <c r="AF97" s="24">
        <f>IF(D97="M",(IF(AG97&lt;90,BMILMS!$D$14*AG97^3+BMILMS!$E$14*AG97^2+BMILMS!$F$14*AG97+BMILMS!$G$14,BMILMS!$D$15*AG97^3+BMILMS!$E$15*AG97^2+BMILMS!$F$15*AG97+BMILMS!$G$15)),(IF(AG97&lt;90,BMILMS!$D$17*AG97^3+BMILMS!$E$17*AG97^2+BMILMS!$F$17*AG97+BMILMS!$G$17,BMILMS!$D$18*AG97^3+BMILMS!$E$18*AG97^2+BMILMS!$F$18*AG97+BMILMS!$G$18)))</f>
        <v>8.8969350000000003E-2</v>
      </c>
      <c r="AG97" s="24">
        <f t="shared" si="32"/>
        <v>0</v>
      </c>
      <c r="AI97" s="38">
        <f>IF(D97="M",WeightSDS!P$5*$AG97^7+WeightSDS!Q$5*$AG97^6+WeightSDS!R$5*$AG97^5+WeightSDS!S$5*$AG97^4+WeightSDS!T$5*$AG97^3+WeightSDS!U$5*$AG97^2+WeightSDS!V$5*$AG97+WeightSDS!W$5,IF($AG97&lt;186,WeightSDS!P$8*$AG97^7+WeightSDS!Q$8*$AG97^6+WeightSDS!R$8*$AG97^5+WeightSDS!S$8*$AG97^4+WeightSDS!T$8*$AG97^3+WeightSDS!U$8*$AG97^2+WeightSDS!V$8*$AG97+WeightSDS!W$8,WeightSDS!$U$9-WeightSDS!$V$9*($AG97-WeightSDS!$W$9)))</f>
        <v>0.75407122999999998</v>
      </c>
      <c r="AJ97" s="24">
        <f>IF(D97="M",IF($AG97&lt;45,WeightSDS!M$23*$AG97^10+WeightSDS!N$23*$AG97^9+WeightSDS!O$23*$AG97^8+WeightSDS!P$23*$AG97^7+WeightSDS!Q$23*$AG97^6+WeightSDS!R$23*$AG97^5+WeightSDS!S$23*$AG97^4+WeightSDS!T$23*$AG97^3+WeightSDS!U$23*$AG97^2+WeightSDS!V$23*$AG97+WeightSDS!W$23,IF($AG97&lt;153,WeightSDS!M$25*$AG97^10+WeightSDS!N$25*$AG97^9+WeightSDS!O$25*$AG97^8+WeightSDS!P$25*$AG97^7+WeightSDS!Q$25*$AG97^6+WeightSDS!R$25*$AG97^5+WeightSDS!S$25*$AG97^4+WeightSDS!T$25*$AG97^3+WeightSDS!U$25*$AG97^2+WeightSDS!V$25*$AG97+WeightSDS!W$25,WeightSDS!M$27+WeightSDS!N$27/(1+EXP(WeightSDS!O$27+WeightSDS!P$27*$AG97)))),IF($AG97&lt;43.8,WeightSDS!M$29*$AG97^10+WeightSDS!N$29*$AG97^9+WeightSDS!O$29*$AG97^8+WeightSDS!P$29*$AG97^7+WeightSDS!Q$29*$AG97^6+WeightSDS!R$29*$AG97^5+WeightSDS!S$29*$AG97^4+WeightSDS!T$29*$AG97^3+WeightSDS!U$29*$AG97^2+WeightSDS!V$29*$AG97+WeightSDS!W$29-0.010431*(1-$AG97/210),IF($AG97&lt;123,WeightSDS!M$30*$AG97^10+WeightSDS!N$30*$AG97^9+WeightSDS!O$30*$AG97^8+WeightSDS!P$30*$AG97^7+WeightSDS!Q$30*$AG97^6+WeightSDS!R$30*$AG97^5+WeightSDS!S$30*$AG97^4+WeightSDS!T$30*$AG97^3+WeightSDS!U$30*$AG97^2+WeightSDS!V$30*$AG97+WeightSDS!W$30-0.010431*(1-1/$AG97),WeightSDS!M$32+WeightSDS!N$32/(1+EXP(WeightSDS!O$32+WeightSDS!P$32*$AG97))-0.010431*(1-$AG97/210))))</f>
        <v>2.9500001032655536</v>
      </c>
      <c r="AK97" s="24">
        <f>IF(D97="M",IF($AG97&lt;162,WeightSDS!P$12*$AG97^7+WeightSDS!Q$12*$AG97^6+WeightSDS!R$12*$AG97^5+WeightSDS!S$12*$AG97^4+WeightSDS!T$12*$AG97^3+WeightSDS!U$12*$AG97^2+WeightSDS!V$12*$AG97+WeightSDS!W$12,WeightSDS!P$14*$AG97^7+WeightSDS!Q$14*$AG97^6+WeightSDS!R$14*$AG97^5+WeightSDS!S$14*$AG97^4+WeightSDS!T$14*$AG97^3+WeightSDS!U$14*$AG97^2+WeightSDS!V$14*$AG97+WeightSDS!W$14),IF($AG97&lt;156,WeightSDS!O$17*$AG97^8+WeightSDS!P$17*$AG97^7+WeightSDS!Q$17*$AG97^6+WeightSDS!R$17*$AG97^5+WeightSDS!S$17*$AG97^4+WeightSDS!T$17*$AG97^3+WeightSDS!U$17*$AG97^2+WeightSDS!V$17*$AG97+WeightSDS!W$17,IF($AG97&lt;186,WeightSDS!$U$18+(WeightSDS!$V$18-WeightSDS!$U$18)/24*($AG97-186)+WeightSDS!$W$18*(-$AG97+186)^2-0.005,WeightSDS!$U$18+(WeightSDS!$V$18-WeightSDS!$U$18)/24*($AG97-186)-0.005)))</f>
        <v>0.14604529399999999</v>
      </c>
    </row>
    <row r="98" spans="1:37">
      <c r="A98" s="4"/>
      <c r="B98" s="21"/>
      <c r="C98" s="21"/>
      <c r="D98" s="21"/>
      <c r="E98" s="22"/>
      <c r="F98" s="22"/>
      <c r="G98" s="23"/>
      <c r="H98" s="23"/>
      <c r="I98" s="8" t="str">
        <f t="shared" si="18"/>
        <v/>
      </c>
      <c r="J98" s="2" t="str">
        <f t="shared" si="25"/>
        <v/>
      </c>
      <c r="K98" s="2" t="str">
        <f t="shared" si="19"/>
        <v/>
      </c>
      <c r="L98" s="2" t="str">
        <f t="shared" si="26"/>
        <v/>
      </c>
      <c r="M98" s="2" t="str">
        <f t="shared" si="31"/>
        <v/>
      </c>
      <c r="N98" s="2" t="str">
        <f t="shared" si="27"/>
        <v/>
      </c>
      <c r="O98" s="8" t="str">
        <f t="shared" si="28"/>
        <v/>
      </c>
      <c r="P98" s="8" t="str">
        <f t="shared" si="29"/>
        <v/>
      </c>
      <c r="Q98" s="40" t="str">
        <f t="shared" si="20"/>
        <v/>
      </c>
      <c r="R98" s="48" t="str">
        <f t="shared" si="30"/>
        <v/>
      </c>
      <c r="S98" s="8"/>
      <c r="U98" s="35">
        <f t="shared" si="21"/>
        <v>0</v>
      </c>
      <c r="V98" s="24">
        <f t="shared" si="22"/>
        <v>0</v>
      </c>
      <c r="W98" s="41">
        <f t="shared" si="33"/>
        <v>0</v>
      </c>
      <c r="X98" s="31"/>
      <c r="Y98" s="31"/>
      <c r="Z98" s="31"/>
      <c r="AA98" s="25">
        <f t="shared" si="23"/>
        <v>9.0359999999999996</v>
      </c>
      <c r="AB98" s="25">
        <f t="shared" si="24"/>
        <v>-184.49199999999999</v>
      </c>
      <c r="AD98" s="24">
        <f>IF(D98="M",IF(AG98&lt;78,BMILMS!$D$5*AG98^3+BMILMS!$E$5*AG98^2+BMILMS!$F$5*AG98+BMILMS!$G$5,IF(AG98&lt;150,BMILMS!$D$6*AG98^3+BMILMS!$E$6*AG98^2+BMILMS!$F$6*AG98+BMILMS!$G$6,BMILMS!$D$7*AG98^3+BMILMS!$E$7*AG98^2+BMILMS!$F$7*AG98+BMILMS!$G$7)),IF(AG98&lt;69,BMILMS!$D$9*AG98^3+BMILMS!$E$9*AG98^2+BMILMS!$F$9*AG98+BMILMS!$G$9,IF(AG98&lt;150,BMILMS!$D$10*AG98^3+BMILMS!$E$10*AG98^2+BMILMS!$F$10*AG98+BMILMS!$G$10,BMILMS!$D$11*AG98^3+BMILMS!$E$11*AG98^2+BMILMS!$F$11*AG98+BMILMS!$G$11)))</f>
        <v>0.79584630099999998</v>
      </c>
      <c r="AE98" s="24">
        <f>IF(D98="M",(IF(AG98&lt;2.5,BMILMS!$D$21*AG98^3+BMILMS!$E$21*AG98^2+BMILMS!$F$21*AG98+BMILMS!$G$21,IF(AG98&lt;9.5,BMILMS!$D$22*AG98^3+BMILMS!$E$22*AG98^2+BMILMS!$F$22*AG98+BMILMS!$G$22,IF(AG98&lt;26.75,BMILMS!$D$23*AG98^3+BMILMS!$E$23*AG98^2+BMILMS!$F$23*AG98+BMILMS!$G$23,IF(AG98&lt;90,BMILMS!$D$24*AG98^3+BMILMS!$E$24*AG98^2+BMILMS!$F$24*AG98+BMILMS!$G$24,BMILMS!$D$25*AG98^3+BMILMS!$E$25*AG98^2+BMILMS!$F$25*AG98+BMILMS!$G$25))))),(IF(AG98&lt;2.5,BMILMS!$D$27*AG98^3+BMILMS!$E$27*AG98^2+BMILMS!$F$27*AG98+BMILMS!$G$27,IF(AG98&lt;9.5,BMILMS!$D$28*AG98^3+BMILMS!$E$28*AG98^2+BMILMS!$F$28*AG98+BMILMS!$G$28,IF(AG98&lt;26.75,BMILMS!$D$29*AG98^3+BMILMS!$E$29*AG98^2+BMILMS!$F$29*AG98+BMILMS!$G$29,IF(AG98&lt;90,BMILMS!$D$30*AG98^3+BMILMS!$E$30*AG98^2+BMILMS!$F$30*AG98+BMILMS!$G$30,IF(AG98&lt;150,BMILMS!$D$31*AG98^3+BMILMS!$E$31*AG98^2+BMILMS!$F$31*AG98+BMILMS!$G$31,BMILMS!$D$32*AG98^3+BMILMS!$E$32*AG98^2+BMILMS!$F$32*AG98+BMILMS!$G$32)))))))</f>
        <v>12.568967990000001</v>
      </c>
      <c r="AF98" s="24">
        <f>IF(D98="M",(IF(AG98&lt;90,BMILMS!$D$14*AG98^3+BMILMS!$E$14*AG98^2+BMILMS!$F$14*AG98+BMILMS!$G$14,BMILMS!$D$15*AG98^3+BMILMS!$E$15*AG98^2+BMILMS!$F$15*AG98+BMILMS!$G$15)),(IF(AG98&lt;90,BMILMS!$D$17*AG98^3+BMILMS!$E$17*AG98^2+BMILMS!$F$17*AG98+BMILMS!$G$17,BMILMS!$D$18*AG98^3+BMILMS!$E$18*AG98^2+BMILMS!$F$18*AG98+BMILMS!$G$18)))</f>
        <v>8.8969350000000003E-2</v>
      </c>
      <c r="AG98" s="24">
        <f t="shared" si="32"/>
        <v>0</v>
      </c>
      <c r="AI98" s="38">
        <f>IF(D98="M",WeightSDS!P$5*$AG98^7+WeightSDS!Q$5*$AG98^6+WeightSDS!R$5*$AG98^5+WeightSDS!S$5*$AG98^4+WeightSDS!T$5*$AG98^3+WeightSDS!U$5*$AG98^2+WeightSDS!V$5*$AG98+WeightSDS!W$5,IF($AG98&lt;186,WeightSDS!P$8*$AG98^7+WeightSDS!Q$8*$AG98^6+WeightSDS!R$8*$AG98^5+WeightSDS!S$8*$AG98^4+WeightSDS!T$8*$AG98^3+WeightSDS!U$8*$AG98^2+WeightSDS!V$8*$AG98+WeightSDS!W$8,WeightSDS!$U$9-WeightSDS!$V$9*($AG98-WeightSDS!$W$9)))</f>
        <v>0.75407122999999998</v>
      </c>
      <c r="AJ98" s="24">
        <f>IF(D98="M",IF($AG98&lt;45,WeightSDS!M$23*$AG98^10+WeightSDS!N$23*$AG98^9+WeightSDS!O$23*$AG98^8+WeightSDS!P$23*$AG98^7+WeightSDS!Q$23*$AG98^6+WeightSDS!R$23*$AG98^5+WeightSDS!S$23*$AG98^4+WeightSDS!T$23*$AG98^3+WeightSDS!U$23*$AG98^2+WeightSDS!V$23*$AG98+WeightSDS!W$23,IF($AG98&lt;153,WeightSDS!M$25*$AG98^10+WeightSDS!N$25*$AG98^9+WeightSDS!O$25*$AG98^8+WeightSDS!P$25*$AG98^7+WeightSDS!Q$25*$AG98^6+WeightSDS!R$25*$AG98^5+WeightSDS!S$25*$AG98^4+WeightSDS!T$25*$AG98^3+WeightSDS!U$25*$AG98^2+WeightSDS!V$25*$AG98+WeightSDS!W$25,WeightSDS!M$27+WeightSDS!N$27/(1+EXP(WeightSDS!O$27+WeightSDS!P$27*$AG98)))),IF($AG98&lt;43.8,WeightSDS!M$29*$AG98^10+WeightSDS!N$29*$AG98^9+WeightSDS!O$29*$AG98^8+WeightSDS!P$29*$AG98^7+WeightSDS!Q$29*$AG98^6+WeightSDS!R$29*$AG98^5+WeightSDS!S$29*$AG98^4+WeightSDS!T$29*$AG98^3+WeightSDS!U$29*$AG98^2+WeightSDS!V$29*$AG98+WeightSDS!W$29-0.010431*(1-$AG98/210),IF($AG98&lt;123,WeightSDS!M$30*$AG98^10+WeightSDS!N$30*$AG98^9+WeightSDS!O$30*$AG98^8+WeightSDS!P$30*$AG98^7+WeightSDS!Q$30*$AG98^6+WeightSDS!R$30*$AG98^5+WeightSDS!S$30*$AG98^4+WeightSDS!T$30*$AG98^3+WeightSDS!U$30*$AG98^2+WeightSDS!V$30*$AG98+WeightSDS!W$30-0.010431*(1-1/$AG98),WeightSDS!M$32+WeightSDS!N$32/(1+EXP(WeightSDS!O$32+WeightSDS!P$32*$AG98))-0.010431*(1-$AG98/210))))</f>
        <v>2.9500001032655536</v>
      </c>
      <c r="AK98" s="24">
        <f>IF(D98="M",IF($AG98&lt;162,WeightSDS!P$12*$AG98^7+WeightSDS!Q$12*$AG98^6+WeightSDS!R$12*$AG98^5+WeightSDS!S$12*$AG98^4+WeightSDS!T$12*$AG98^3+WeightSDS!U$12*$AG98^2+WeightSDS!V$12*$AG98+WeightSDS!W$12,WeightSDS!P$14*$AG98^7+WeightSDS!Q$14*$AG98^6+WeightSDS!R$14*$AG98^5+WeightSDS!S$14*$AG98^4+WeightSDS!T$14*$AG98^3+WeightSDS!U$14*$AG98^2+WeightSDS!V$14*$AG98+WeightSDS!W$14),IF($AG98&lt;156,WeightSDS!O$17*$AG98^8+WeightSDS!P$17*$AG98^7+WeightSDS!Q$17*$AG98^6+WeightSDS!R$17*$AG98^5+WeightSDS!S$17*$AG98^4+WeightSDS!T$17*$AG98^3+WeightSDS!U$17*$AG98^2+WeightSDS!V$17*$AG98+WeightSDS!W$17,IF($AG98&lt;186,WeightSDS!$U$18+(WeightSDS!$V$18-WeightSDS!$U$18)/24*($AG98-186)+WeightSDS!$W$18*(-$AG98+186)^2-0.005,WeightSDS!$U$18+(WeightSDS!$V$18-WeightSDS!$U$18)/24*($AG98-186)-0.005)))</f>
        <v>0.14604529399999999</v>
      </c>
    </row>
    <row r="99" spans="1:37">
      <c r="A99" s="4"/>
      <c r="B99" s="21"/>
      <c r="C99" s="21"/>
      <c r="D99" s="21"/>
      <c r="E99" s="22"/>
      <c r="F99" s="22"/>
      <c r="G99" s="23"/>
      <c r="H99" s="23"/>
      <c r="I99" s="8" t="str">
        <f t="shared" si="18"/>
        <v/>
      </c>
      <c r="J99" s="2" t="str">
        <f t="shared" si="25"/>
        <v/>
      </c>
      <c r="K99" s="2" t="str">
        <f t="shared" si="19"/>
        <v/>
      </c>
      <c r="L99" s="2" t="str">
        <f t="shared" si="26"/>
        <v/>
      </c>
      <c r="M99" s="2" t="str">
        <f t="shared" si="31"/>
        <v/>
      </c>
      <c r="N99" s="2" t="str">
        <f t="shared" si="27"/>
        <v/>
      </c>
      <c r="O99" s="8" t="str">
        <f t="shared" si="28"/>
        <v/>
      </c>
      <c r="P99" s="8" t="str">
        <f t="shared" si="29"/>
        <v/>
      </c>
      <c r="Q99" s="40" t="str">
        <f t="shared" si="20"/>
        <v/>
      </c>
      <c r="R99" s="48" t="str">
        <f t="shared" si="30"/>
        <v/>
      </c>
      <c r="S99" s="8"/>
      <c r="U99" s="35">
        <f t="shared" si="21"/>
        <v>0</v>
      </c>
      <c r="V99" s="24">
        <f t="shared" si="22"/>
        <v>0</v>
      </c>
      <c r="W99" s="41">
        <f t="shared" si="33"/>
        <v>0</v>
      </c>
      <c r="X99" s="31"/>
      <c r="Y99" s="31"/>
      <c r="Z99" s="31"/>
      <c r="AA99" s="25">
        <f t="shared" si="23"/>
        <v>9.0359999999999996</v>
      </c>
      <c r="AB99" s="25">
        <f t="shared" si="24"/>
        <v>-184.49199999999999</v>
      </c>
      <c r="AD99" s="24">
        <f>IF(D99="M",IF(AG99&lt;78,BMILMS!$D$5*AG99^3+BMILMS!$E$5*AG99^2+BMILMS!$F$5*AG99+BMILMS!$G$5,IF(AG99&lt;150,BMILMS!$D$6*AG99^3+BMILMS!$E$6*AG99^2+BMILMS!$F$6*AG99+BMILMS!$G$6,BMILMS!$D$7*AG99^3+BMILMS!$E$7*AG99^2+BMILMS!$F$7*AG99+BMILMS!$G$7)),IF(AG99&lt;69,BMILMS!$D$9*AG99^3+BMILMS!$E$9*AG99^2+BMILMS!$F$9*AG99+BMILMS!$G$9,IF(AG99&lt;150,BMILMS!$D$10*AG99^3+BMILMS!$E$10*AG99^2+BMILMS!$F$10*AG99+BMILMS!$G$10,BMILMS!$D$11*AG99^3+BMILMS!$E$11*AG99^2+BMILMS!$F$11*AG99+BMILMS!$G$11)))</f>
        <v>0.79584630099999998</v>
      </c>
      <c r="AE99" s="24">
        <f>IF(D99="M",(IF(AG99&lt;2.5,BMILMS!$D$21*AG99^3+BMILMS!$E$21*AG99^2+BMILMS!$F$21*AG99+BMILMS!$G$21,IF(AG99&lt;9.5,BMILMS!$D$22*AG99^3+BMILMS!$E$22*AG99^2+BMILMS!$F$22*AG99+BMILMS!$G$22,IF(AG99&lt;26.75,BMILMS!$D$23*AG99^3+BMILMS!$E$23*AG99^2+BMILMS!$F$23*AG99+BMILMS!$G$23,IF(AG99&lt;90,BMILMS!$D$24*AG99^3+BMILMS!$E$24*AG99^2+BMILMS!$F$24*AG99+BMILMS!$G$24,BMILMS!$D$25*AG99^3+BMILMS!$E$25*AG99^2+BMILMS!$F$25*AG99+BMILMS!$G$25))))),(IF(AG99&lt;2.5,BMILMS!$D$27*AG99^3+BMILMS!$E$27*AG99^2+BMILMS!$F$27*AG99+BMILMS!$G$27,IF(AG99&lt;9.5,BMILMS!$D$28*AG99^3+BMILMS!$E$28*AG99^2+BMILMS!$F$28*AG99+BMILMS!$G$28,IF(AG99&lt;26.75,BMILMS!$D$29*AG99^3+BMILMS!$E$29*AG99^2+BMILMS!$F$29*AG99+BMILMS!$G$29,IF(AG99&lt;90,BMILMS!$D$30*AG99^3+BMILMS!$E$30*AG99^2+BMILMS!$F$30*AG99+BMILMS!$G$30,IF(AG99&lt;150,BMILMS!$D$31*AG99^3+BMILMS!$E$31*AG99^2+BMILMS!$F$31*AG99+BMILMS!$G$31,BMILMS!$D$32*AG99^3+BMILMS!$E$32*AG99^2+BMILMS!$F$32*AG99+BMILMS!$G$32)))))))</f>
        <v>12.568967990000001</v>
      </c>
      <c r="AF99" s="24">
        <f>IF(D99="M",(IF(AG99&lt;90,BMILMS!$D$14*AG99^3+BMILMS!$E$14*AG99^2+BMILMS!$F$14*AG99+BMILMS!$G$14,BMILMS!$D$15*AG99^3+BMILMS!$E$15*AG99^2+BMILMS!$F$15*AG99+BMILMS!$G$15)),(IF(AG99&lt;90,BMILMS!$D$17*AG99^3+BMILMS!$E$17*AG99^2+BMILMS!$F$17*AG99+BMILMS!$G$17,BMILMS!$D$18*AG99^3+BMILMS!$E$18*AG99^2+BMILMS!$F$18*AG99+BMILMS!$G$18)))</f>
        <v>8.8969350000000003E-2</v>
      </c>
      <c r="AG99" s="24">
        <f t="shared" si="32"/>
        <v>0</v>
      </c>
      <c r="AI99" s="38">
        <f>IF(D99="M",WeightSDS!P$5*$AG99^7+WeightSDS!Q$5*$AG99^6+WeightSDS!R$5*$AG99^5+WeightSDS!S$5*$AG99^4+WeightSDS!T$5*$AG99^3+WeightSDS!U$5*$AG99^2+WeightSDS!V$5*$AG99+WeightSDS!W$5,IF($AG99&lt;186,WeightSDS!P$8*$AG99^7+WeightSDS!Q$8*$AG99^6+WeightSDS!R$8*$AG99^5+WeightSDS!S$8*$AG99^4+WeightSDS!T$8*$AG99^3+WeightSDS!U$8*$AG99^2+WeightSDS!V$8*$AG99+WeightSDS!W$8,WeightSDS!$U$9-WeightSDS!$V$9*($AG99-WeightSDS!$W$9)))</f>
        <v>0.75407122999999998</v>
      </c>
      <c r="AJ99" s="24">
        <f>IF(D99="M",IF($AG99&lt;45,WeightSDS!M$23*$AG99^10+WeightSDS!N$23*$AG99^9+WeightSDS!O$23*$AG99^8+WeightSDS!P$23*$AG99^7+WeightSDS!Q$23*$AG99^6+WeightSDS!R$23*$AG99^5+WeightSDS!S$23*$AG99^4+WeightSDS!T$23*$AG99^3+WeightSDS!U$23*$AG99^2+WeightSDS!V$23*$AG99+WeightSDS!W$23,IF($AG99&lt;153,WeightSDS!M$25*$AG99^10+WeightSDS!N$25*$AG99^9+WeightSDS!O$25*$AG99^8+WeightSDS!P$25*$AG99^7+WeightSDS!Q$25*$AG99^6+WeightSDS!R$25*$AG99^5+WeightSDS!S$25*$AG99^4+WeightSDS!T$25*$AG99^3+WeightSDS!U$25*$AG99^2+WeightSDS!V$25*$AG99+WeightSDS!W$25,WeightSDS!M$27+WeightSDS!N$27/(1+EXP(WeightSDS!O$27+WeightSDS!P$27*$AG99)))),IF($AG99&lt;43.8,WeightSDS!M$29*$AG99^10+WeightSDS!N$29*$AG99^9+WeightSDS!O$29*$AG99^8+WeightSDS!P$29*$AG99^7+WeightSDS!Q$29*$AG99^6+WeightSDS!R$29*$AG99^5+WeightSDS!S$29*$AG99^4+WeightSDS!T$29*$AG99^3+WeightSDS!U$29*$AG99^2+WeightSDS!V$29*$AG99+WeightSDS!W$29-0.010431*(1-$AG99/210),IF($AG99&lt;123,WeightSDS!M$30*$AG99^10+WeightSDS!N$30*$AG99^9+WeightSDS!O$30*$AG99^8+WeightSDS!P$30*$AG99^7+WeightSDS!Q$30*$AG99^6+WeightSDS!R$30*$AG99^5+WeightSDS!S$30*$AG99^4+WeightSDS!T$30*$AG99^3+WeightSDS!U$30*$AG99^2+WeightSDS!V$30*$AG99+WeightSDS!W$30-0.010431*(1-1/$AG99),WeightSDS!M$32+WeightSDS!N$32/(1+EXP(WeightSDS!O$32+WeightSDS!P$32*$AG99))-0.010431*(1-$AG99/210))))</f>
        <v>2.9500001032655536</v>
      </c>
      <c r="AK99" s="24">
        <f>IF(D99="M",IF($AG99&lt;162,WeightSDS!P$12*$AG99^7+WeightSDS!Q$12*$AG99^6+WeightSDS!R$12*$AG99^5+WeightSDS!S$12*$AG99^4+WeightSDS!T$12*$AG99^3+WeightSDS!U$12*$AG99^2+WeightSDS!V$12*$AG99+WeightSDS!W$12,WeightSDS!P$14*$AG99^7+WeightSDS!Q$14*$AG99^6+WeightSDS!R$14*$AG99^5+WeightSDS!S$14*$AG99^4+WeightSDS!T$14*$AG99^3+WeightSDS!U$14*$AG99^2+WeightSDS!V$14*$AG99+WeightSDS!W$14),IF($AG99&lt;156,WeightSDS!O$17*$AG99^8+WeightSDS!P$17*$AG99^7+WeightSDS!Q$17*$AG99^6+WeightSDS!R$17*$AG99^5+WeightSDS!S$17*$AG99^4+WeightSDS!T$17*$AG99^3+WeightSDS!U$17*$AG99^2+WeightSDS!V$17*$AG99+WeightSDS!W$17,IF($AG99&lt;186,WeightSDS!$U$18+(WeightSDS!$V$18-WeightSDS!$U$18)/24*($AG99-186)+WeightSDS!$W$18*(-$AG99+186)^2-0.005,WeightSDS!$U$18+(WeightSDS!$V$18-WeightSDS!$U$18)/24*($AG99-186)-0.005)))</f>
        <v>0.14604529399999999</v>
      </c>
    </row>
    <row r="100" spans="1:37">
      <c r="A100" s="4"/>
      <c r="B100" s="21"/>
      <c r="C100" s="21"/>
      <c r="D100" s="21"/>
      <c r="E100" s="22"/>
      <c r="F100" s="22"/>
      <c r="G100" s="23"/>
      <c r="H100" s="23"/>
      <c r="I100" s="8" t="str">
        <f t="shared" si="18"/>
        <v/>
      </c>
      <c r="J100" s="2" t="str">
        <f t="shared" si="25"/>
        <v/>
      </c>
      <c r="K100" s="2" t="str">
        <f t="shared" si="19"/>
        <v/>
      </c>
      <c r="L100" s="2" t="str">
        <f t="shared" si="26"/>
        <v/>
      </c>
      <c r="M100" s="2" t="str">
        <f t="shared" si="31"/>
        <v/>
      </c>
      <c r="N100" s="2" t="str">
        <f t="shared" si="27"/>
        <v/>
      </c>
      <c r="O100" s="8" t="str">
        <f t="shared" si="28"/>
        <v/>
      </c>
      <c r="P100" s="8" t="str">
        <f t="shared" si="29"/>
        <v/>
      </c>
      <c r="Q100" s="40" t="str">
        <f t="shared" si="20"/>
        <v/>
      </c>
      <c r="R100" s="48" t="str">
        <f t="shared" si="30"/>
        <v/>
      </c>
      <c r="S100" s="8"/>
      <c r="U100" s="35">
        <f t="shared" si="21"/>
        <v>0</v>
      </c>
      <c r="V100" s="24">
        <f t="shared" si="22"/>
        <v>0</v>
      </c>
      <c r="W100" s="41">
        <f t="shared" si="33"/>
        <v>0</v>
      </c>
      <c r="X100" s="31"/>
      <c r="Y100" s="31"/>
      <c r="Z100" s="31"/>
      <c r="AA100" s="25">
        <f t="shared" si="23"/>
        <v>9.0359999999999996</v>
      </c>
      <c r="AB100" s="25">
        <f t="shared" si="24"/>
        <v>-184.49199999999999</v>
      </c>
      <c r="AD100" s="24">
        <f>IF(D100="M",IF(AG100&lt;78,BMILMS!$D$5*AG100^3+BMILMS!$E$5*AG100^2+BMILMS!$F$5*AG100+BMILMS!$G$5,IF(AG100&lt;150,BMILMS!$D$6*AG100^3+BMILMS!$E$6*AG100^2+BMILMS!$F$6*AG100+BMILMS!$G$6,BMILMS!$D$7*AG100^3+BMILMS!$E$7*AG100^2+BMILMS!$F$7*AG100+BMILMS!$G$7)),IF(AG100&lt;69,BMILMS!$D$9*AG100^3+BMILMS!$E$9*AG100^2+BMILMS!$F$9*AG100+BMILMS!$G$9,IF(AG100&lt;150,BMILMS!$D$10*AG100^3+BMILMS!$E$10*AG100^2+BMILMS!$F$10*AG100+BMILMS!$G$10,BMILMS!$D$11*AG100^3+BMILMS!$E$11*AG100^2+BMILMS!$F$11*AG100+BMILMS!$G$11)))</f>
        <v>0.79584630099999998</v>
      </c>
      <c r="AE100" s="24">
        <f>IF(D100="M",(IF(AG100&lt;2.5,BMILMS!$D$21*AG100^3+BMILMS!$E$21*AG100^2+BMILMS!$F$21*AG100+BMILMS!$G$21,IF(AG100&lt;9.5,BMILMS!$D$22*AG100^3+BMILMS!$E$22*AG100^2+BMILMS!$F$22*AG100+BMILMS!$G$22,IF(AG100&lt;26.75,BMILMS!$D$23*AG100^3+BMILMS!$E$23*AG100^2+BMILMS!$F$23*AG100+BMILMS!$G$23,IF(AG100&lt;90,BMILMS!$D$24*AG100^3+BMILMS!$E$24*AG100^2+BMILMS!$F$24*AG100+BMILMS!$G$24,BMILMS!$D$25*AG100^3+BMILMS!$E$25*AG100^2+BMILMS!$F$25*AG100+BMILMS!$G$25))))),(IF(AG100&lt;2.5,BMILMS!$D$27*AG100^3+BMILMS!$E$27*AG100^2+BMILMS!$F$27*AG100+BMILMS!$G$27,IF(AG100&lt;9.5,BMILMS!$D$28*AG100^3+BMILMS!$E$28*AG100^2+BMILMS!$F$28*AG100+BMILMS!$G$28,IF(AG100&lt;26.75,BMILMS!$D$29*AG100^3+BMILMS!$E$29*AG100^2+BMILMS!$F$29*AG100+BMILMS!$G$29,IF(AG100&lt;90,BMILMS!$D$30*AG100^3+BMILMS!$E$30*AG100^2+BMILMS!$F$30*AG100+BMILMS!$G$30,IF(AG100&lt;150,BMILMS!$D$31*AG100^3+BMILMS!$E$31*AG100^2+BMILMS!$F$31*AG100+BMILMS!$G$31,BMILMS!$D$32*AG100^3+BMILMS!$E$32*AG100^2+BMILMS!$F$32*AG100+BMILMS!$G$32)))))))</f>
        <v>12.568967990000001</v>
      </c>
      <c r="AF100" s="24">
        <f>IF(D100="M",(IF(AG100&lt;90,BMILMS!$D$14*AG100^3+BMILMS!$E$14*AG100^2+BMILMS!$F$14*AG100+BMILMS!$G$14,BMILMS!$D$15*AG100^3+BMILMS!$E$15*AG100^2+BMILMS!$F$15*AG100+BMILMS!$G$15)),(IF(AG100&lt;90,BMILMS!$D$17*AG100^3+BMILMS!$E$17*AG100^2+BMILMS!$F$17*AG100+BMILMS!$G$17,BMILMS!$D$18*AG100^3+BMILMS!$E$18*AG100^2+BMILMS!$F$18*AG100+BMILMS!$G$18)))</f>
        <v>8.8969350000000003E-2</v>
      </c>
      <c r="AG100" s="24">
        <f t="shared" si="32"/>
        <v>0</v>
      </c>
      <c r="AI100" s="38">
        <f>IF(D100="M",WeightSDS!P$5*$AG100^7+WeightSDS!Q$5*$AG100^6+WeightSDS!R$5*$AG100^5+WeightSDS!S$5*$AG100^4+WeightSDS!T$5*$AG100^3+WeightSDS!U$5*$AG100^2+WeightSDS!V$5*$AG100+WeightSDS!W$5,IF($AG100&lt;186,WeightSDS!P$8*$AG100^7+WeightSDS!Q$8*$AG100^6+WeightSDS!R$8*$AG100^5+WeightSDS!S$8*$AG100^4+WeightSDS!T$8*$AG100^3+WeightSDS!U$8*$AG100^2+WeightSDS!V$8*$AG100+WeightSDS!W$8,WeightSDS!$U$9-WeightSDS!$V$9*($AG100-WeightSDS!$W$9)))</f>
        <v>0.75407122999999998</v>
      </c>
      <c r="AJ100" s="24">
        <f>IF(D100="M",IF($AG100&lt;45,WeightSDS!M$23*$AG100^10+WeightSDS!N$23*$AG100^9+WeightSDS!O$23*$AG100^8+WeightSDS!P$23*$AG100^7+WeightSDS!Q$23*$AG100^6+WeightSDS!R$23*$AG100^5+WeightSDS!S$23*$AG100^4+WeightSDS!T$23*$AG100^3+WeightSDS!U$23*$AG100^2+WeightSDS!V$23*$AG100+WeightSDS!W$23,IF($AG100&lt;153,WeightSDS!M$25*$AG100^10+WeightSDS!N$25*$AG100^9+WeightSDS!O$25*$AG100^8+WeightSDS!P$25*$AG100^7+WeightSDS!Q$25*$AG100^6+WeightSDS!R$25*$AG100^5+WeightSDS!S$25*$AG100^4+WeightSDS!T$25*$AG100^3+WeightSDS!U$25*$AG100^2+WeightSDS!V$25*$AG100+WeightSDS!W$25,WeightSDS!M$27+WeightSDS!N$27/(1+EXP(WeightSDS!O$27+WeightSDS!P$27*$AG100)))),IF($AG100&lt;43.8,WeightSDS!M$29*$AG100^10+WeightSDS!N$29*$AG100^9+WeightSDS!O$29*$AG100^8+WeightSDS!P$29*$AG100^7+WeightSDS!Q$29*$AG100^6+WeightSDS!R$29*$AG100^5+WeightSDS!S$29*$AG100^4+WeightSDS!T$29*$AG100^3+WeightSDS!U$29*$AG100^2+WeightSDS!V$29*$AG100+WeightSDS!W$29-0.010431*(1-$AG100/210),IF($AG100&lt;123,WeightSDS!M$30*$AG100^10+WeightSDS!N$30*$AG100^9+WeightSDS!O$30*$AG100^8+WeightSDS!P$30*$AG100^7+WeightSDS!Q$30*$AG100^6+WeightSDS!R$30*$AG100^5+WeightSDS!S$30*$AG100^4+WeightSDS!T$30*$AG100^3+WeightSDS!U$30*$AG100^2+WeightSDS!V$30*$AG100+WeightSDS!W$30-0.010431*(1-1/$AG100),WeightSDS!M$32+WeightSDS!N$32/(1+EXP(WeightSDS!O$32+WeightSDS!P$32*$AG100))-0.010431*(1-$AG100/210))))</f>
        <v>2.9500001032655536</v>
      </c>
      <c r="AK100" s="24">
        <f>IF(D100="M",IF($AG100&lt;162,WeightSDS!P$12*$AG100^7+WeightSDS!Q$12*$AG100^6+WeightSDS!R$12*$AG100^5+WeightSDS!S$12*$AG100^4+WeightSDS!T$12*$AG100^3+WeightSDS!U$12*$AG100^2+WeightSDS!V$12*$AG100+WeightSDS!W$12,WeightSDS!P$14*$AG100^7+WeightSDS!Q$14*$AG100^6+WeightSDS!R$14*$AG100^5+WeightSDS!S$14*$AG100^4+WeightSDS!T$14*$AG100^3+WeightSDS!U$14*$AG100^2+WeightSDS!V$14*$AG100+WeightSDS!W$14),IF($AG100&lt;156,WeightSDS!O$17*$AG100^8+WeightSDS!P$17*$AG100^7+WeightSDS!Q$17*$AG100^6+WeightSDS!R$17*$AG100^5+WeightSDS!S$17*$AG100^4+WeightSDS!T$17*$AG100^3+WeightSDS!U$17*$AG100^2+WeightSDS!V$17*$AG100+WeightSDS!W$17,IF($AG100&lt;186,WeightSDS!$U$18+(WeightSDS!$V$18-WeightSDS!$U$18)/24*($AG100-186)+WeightSDS!$W$18*(-$AG100+186)^2-0.005,WeightSDS!$U$18+(WeightSDS!$V$18-WeightSDS!$U$18)/24*($AG100-186)-0.005)))</f>
        <v>0.14604529399999999</v>
      </c>
    </row>
    <row r="101" spans="1:37">
      <c r="A101" s="4"/>
      <c r="B101" s="21"/>
      <c r="C101" s="21"/>
      <c r="D101" s="21"/>
      <c r="E101" s="22"/>
      <c r="F101" s="22"/>
      <c r="G101" s="23"/>
      <c r="H101" s="23"/>
      <c r="I101" s="8" t="str">
        <f t="shared" si="18"/>
        <v/>
      </c>
      <c r="J101" s="2" t="str">
        <f t="shared" si="25"/>
        <v/>
      </c>
      <c r="K101" s="2" t="str">
        <f t="shared" si="19"/>
        <v/>
      </c>
      <c r="L101" s="2" t="str">
        <f t="shared" si="26"/>
        <v/>
      </c>
      <c r="M101" s="2" t="str">
        <f t="shared" si="31"/>
        <v/>
      </c>
      <c r="N101" s="2" t="str">
        <f t="shared" si="27"/>
        <v/>
      </c>
      <c r="O101" s="8" t="str">
        <f t="shared" si="28"/>
        <v/>
      </c>
      <c r="P101" s="8" t="str">
        <f t="shared" si="29"/>
        <v/>
      </c>
      <c r="Q101" s="40" t="str">
        <f t="shared" si="20"/>
        <v/>
      </c>
      <c r="R101" s="48" t="str">
        <f t="shared" si="30"/>
        <v/>
      </c>
      <c r="S101" s="8"/>
      <c r="U101" s="35">
        <f t="shared" si="21"/>
        <v>0</v>
      </c>
      <c r="V101" s="24">
        <f t="shared" si="22"/>
        <v>0</v>
      </c>
      <c r="W101" s="41">
        <f t="shared" si="33"/>
        <v>0</v>
      </c>
      <c r="X101" s="31"/>
      <c r="Y101" s="31"/>
      <c r="Z101" s="31"/>
      <c r="AA101" s="25">
        <f t="shared" si="23"/>
        <v>9.0359999999999996</v>
      </c>
      <c r="AB101" s="25">
        <f t="shared" si="24"/>
        <v>-184.49199999999999</v>
      </c>
      <c r="AD101" s="24">
        <f>IF(D101="M",IF(AG101&lt;78,BMILMS!$D$5*AG101^3+BMILMS!$E$5*AG101^2+BMILMS!$F$5*AG101+BMILMS!$G$5,IF(AG101&lt;150,BMILMS!$D$6*AG101^3+BMILMS!$E$6*AG101^2+BMILMS!$F$6*AG101+BMILMS!$G$6,BMILMS!$D$7*AG101^3+BMILMS!$E$7*AG101^2+BMILMS!$F$7*AG101+BMILMS!$G$7)),IF(AG101&lt;69,BMILMS!$D$9*AG101^3+BMILMS!$E$9*AG101^2+BMILMS!$F$9*AG101+BMILMS!$G$9,IF(AG101&lt;150,BMILMS!$D$10*AG101^3+BMILMS!$E$10*AG101^2+BMILMS!$F$10*AG101+BMILMS!$G$10,BMILMS!$D$11*AG101^3+BMILMS!$E$11*AG101^2+BMILMS!$F$11*AG101+BMILMS!$G$11)))</f>
        <v>0.79584630099999998</v>
      </c>
      <c r="AE101" s="24">
        <f>IF(D101="M",(IF(AG101&lt;2.5,BMILMS!$D$21*AG101^3+BMILMS!$E$21*AG101^2+BMILMS!$F$21*AG101+BMILMS!$G$21,IF(AG101&lt;9.5,BMILMS!$D$22*AG101^3+BMILMS!$E$22*AG101^2+BMILMS!$F$22*AG101+BMILMS!$G$22,IF(AG101&lt;26.75,BMILMS!$D$23*AG101^3+BMILMS!$E$23*AG101^2+BMILMS!$F$23*AG101+BMILMS!$G$23,IF(AG101&lt;90,BMILMS!$D$24*AG101^3+BMILMS!$E$24*AG101^2+BMILMS!$F$24*AG101+BMILMS!$G$24,BMILMS!$D$25*AG101^3+BMILMS!$E$25*AG101^2+BMILMS!$F$25*AG101+BMILMS!$G$25))))),(IF(AG101&lt;2.5,BMILMS!$D$27*AG101^3+BMILMS!$E$27*AG101^2+BMILMS!$F$27*AG101+BMILMS!$G$27,IF(AG101&lt;9.5,BMILMS!$D$28*AG101^3+BMILMS!$E$28*AG101^2+BMILMS!$F$28*AG101+BMILMS!$G$28,IF(AG101&lt;26.75,BMILMS!$D$29*AG101^3+BMILMS!$E$29*AG101^2+BMILMS!$F$29*AG101+BMILMS!$G$29,IF(AG101&lt;90,BMILMS!$D$30*AG101^3+BMILMS!$E$30*AG101^2+BMILMS!$F$30*AG101+BMILMS!$G$30,IF(AG101&lt;150,BMILMS!$D$31*AG101^3+BMILMS!$E$31*AG101^2+BMILMS!$F$31*AG101+BMILMS!$G$31,BMILMS!$D$32*AG101^3+BMILMS!$E$32*AG101^2+BMILMS!$F$32*AG101+BMILMS!$G$32)))))))</f>
        <v>12.568967990000001</v>
      </c>
      <c r="AF101" s="24">
        <f>IF(D101="M",(IF(AG101&lt;90,BMILMS!$D$14*AG101^3+BMILMS!$E$14*AG101^2+BMILMS!$F$14*AG101+BMILMS!$G$14,BMILMS!$D$15*AG101^3+BMILMS!$E$15*AG101^2+BMILMS!$F$15*AG101+BMILMS!$G$15)),(IF(AG101&lt;90,BMILMS!$D$17*AG101^3+BMILMS!$E$17*AG101^2+BMILMS!$F$17*AG101+BMILMS!$G$17,BMILMS!$D$18*AG101^3+BMILMS!$E$18*AG101^2+BMILMS!$F$18*AG101+BMILMS!$G$18)))</f>
        <v>8.8969350000000003E-2</v>
      </c>
      <c r="AG101" s="24">
        <f t="shared" si="32"/>
        <v>0</v>
      </c>
      <c r="AI101" s="38">
        <f>IF(D101="M",WeightSDS!P$5*$AG101^7+WeightSDS!Q$5*$AG101^6+WeightSDS!R$5*$AG101^5+WeightSDS!S$5*$AG101^4+WeightSDS!T$5*$AG101^3+WeightSDS!U$5*$AG101^2+WeightSDS!V$5*$AG101+WeightSDS!W$5,IF($AG101&lt;186,WeightSDS!P$8*$AG101^7+WeightSDS!Q$8*$AG101^6+WeightSDS!R$8*$AG101^5+WeightSDS!S$8*$AG101^4+WeightSDS!T$8*$AG101^3+WeightSDS!U$8*$AG101^2+WeightSDS!V$8*$AG101+WeightSDS!W$8,WeightSDS!$U$9-WeightSDS!$V$9*($AG101-WeightSDS!$W$9)))</f>
        <v>0.75407122999999998</v>
      </c>
      <c r="AJ101" s="24">
        <f>IF(D101="M",IF($AG101&lt;45,WeightSDS!M$23*$AG101^10+WeightSDS!N$23*$AG101^9+WeightSDS!O$23*$AG101^8+WeightSDS!P$23*$AG101^7+WeightSDS!Q$23*$AG101^6+WeightSDS!R$23*$AG101^5+WeightSDS!S$23*$AG101^4+WeightSDS!T$23*$AG101^3+WeightSDS!U$23*$AG101^2+WeightSDS!V$23*$AG101+WeightSDS!W$23,IF($AG101&lt;153,WeightSDS!M$25*$AG101^10+WeightSDS!N$25*$AG101^9+WeightSDS!O$25*$AG101^8+WeightSDS!P$25*$AG101^7+WeightSDS!Q$25*$AG101^6+WeightSDS!R$25*$AG101^5+WeightSDS!S$25*$AG101^4+WeightSDS!T$25*$AG101^3+WeightSDS!U$25*$AG101^2+WeightSDS!V$25*$AG101+WeightSDS!W$25,WeightSDS!M$27+WeightSDS!N$27/(1+EXP(WeightSDS!O$27+WeightSDS!P$27*$AG101)))),IF($AG101&lt;43.8,WeightSDS!M$29*$AG101^10+WeightSDS!N$29*$AG101^9+WeightSDS!O$29*$AG101^8+WeightSDS!P$29*$AG101^7+WeightSDS!Q$29*$AG101^6+WeightSDS!R$29*$AG101^5+WeightSDS!S$29*$AG101^4+WeightSDS!T$29*$AG101^3+WeightSDS!U$29*$AG101^2+WeightSDS!V$29*$AG101+WeightSDS!W$29-0.010431*(1-$AG101/210),IF($AG101&lt;123,WeightSDS!M$30*$AG101^10+WeightSDS!N$30*$AG101^9+WeightSDS!O$30*$AG101^8+WeightSDS!P$30*$AG101^7+WeightSDS!Q$30*$AG101^6+WeightSDS!R$30*$AG101^5+WeightSDS!S$30*$AG101^4+WeightSDS!T$30*$AG101^3+WeightSDS!U$30*$AG101^2+WeightSDS!V$30*$AG101+WeightSDS!W$30-0.010431*(1-1/$AG101),WeightSDS!M$32+WeightSDS!N$32/(1+EXP(WeightSDS!O$32+WeightSDS!P$32*$AG101))-0.010431*(1-$AG101/210))))</f>
        <v>2.9500001032655536</v>
      </c>
      <c r="AK101" s="24">
        <f>IF(D101="M",IF($AG101&lt;162,WeightSDS!P$12*$AG101^7+WeightSDS!Q$12*$AG101^6+WeightSDS!R$12*$AG101^5+WeightSDS!S$12*$AG101^4+WeightSDS!T$12*$AG101^3+WeightSDS!U$12*$AG101^2+WeightSDS!V$12*$AG101+WeightSDS!W$12,WeightSDS!P$14*$AG101^7+WeightSDS!Q$14*$AG101^6+WeightSDS!R$14*$AG101^5+WeightSDS!S$14*$AG101^4+WeightSDS!T$14*$AG101^3+WeightSDS!U$14*$AG101^2+WeightSDS!V$14*$AG101+WeightSDS!W$14),IF($AG101&lt;156,WeightSDS!O$17*$AG101^8+WeightSDS!P$17*$AG101^7+WeightSDS!Q$17*$AG101^6+WeightSDS!R$17*$AG101^5+WeightSDS!S$17*$AG101^4+WeightSDS!T$17*$AG101^3+WeightSDS!U$17*$AG101^2+WeightSDS!V$17*$AG101+WeightSDS!W$17,IF($AG101&lt;186,WeightSDS!$U$18+(WeightSDS!$V$18-WeightSDS!$U$18)/24*($AG101-186)+WeightSDS!$W$18*(-$AG101+186)^2-0.005,WeightSDS!$U$18+(WeightSDS!$V$18-WeightSDS!$U$18)/24*($AG101-186)-0.005)))</f>
        <v>0.14604529399999999</v>
      </c>
    </row>
    <row r="102" spans="1:37">
      <c r="A102" s="4"/>
      <c r="B102" s="21"/>
      <c r="C102" s="21"/>
      <c r="D102" s="21"/>
      <c r="E102" s="22"/>
      <c r="F102" s="22"/>
      <c r="G102" s="23"/>
      <c r="H102" s="23"/>
      <c r="I102" s="8" t="str">
        <f t="shared" si="18"/>
        <v/>
      </c>
      <c r="J102" s="2" t="str">
        <f t="shared" si="25"/>
        <v/>
      </c>
      <c r="K102" s="2" t="str">
        <f t="shared" si="19"/>
        <v/>
      </c>
      <c r="L102" s="2" t="str">
        <f t="shared" si="26"/>
        <v/>
      </c>
      <c r="M102" s="2" t="str">
        <f t="shared" si="31"/>
        <v/>
      </c>
      <c r="N102" s="2" t="str">
        <f t="shared" si="27"/>
        <v/>
      </c>
      <c r="O102" s="8" t="str">
        <f t="shared" si="28"/>
        <v/>
      </c>
      <c r="P102" s="8" t="str">
        <f t="shared" si="29"/>
        <v/>
      </c>
      <c r="Q102" s="40" t="str">
        <f t="shared" si="20"/>
        <v/>
      </c>
      <c r="R102" s="48" t="str">
        <f t="shared" si="30"/>
        <v/>
      </c>
      <c r="S102" s="8"/>
      <c r="U102" s="35">
        <f t="shared" si="21"/>
        <v>0</v>
      </c>
      <c r="V102" s="24">
        <f t="shared" si="22"/>
        <v>0</v>
      </c>
      <c r="W102" s="41">
        <f t="shared" si="33"/>
        <v>0</v>
      </c>
      <c r="X102" s="31"/>
      <c r="Y102" s="31"/>
      <c r="Z102" s="31"/>
      <c r="AA102" s="25">
        <f t="shared" si="23"/>
        <v>9.0359999999999996</v>
      </c>
      <c r="AB102" s="25">
        <f t="shared" si="24"/>
        <v>-184.49199999999999</v>
      </c>
      <c r="AD102" s="24">
        <f>IF(D102="M",IF(AG102&lt;78,BMILMS!$D$5*AG102^3+BMILMS!$E$5*AG102^2+BMILMS!$F$5*AG102+BMILMS!$G$5,IF(AG102&lt;150,BMILMS!$D$6*AG102^3+BMILMS!$E$6*AG102^2+BMILMS!$F$6*AG102+BMILMS!$G$6,BMILMS!$D$7*AG102^3+BMILMS!$E$7*AG102^2+BMILMS!$F$7*AG102+BMILMS!$G$7)),IF(AG102&lt;69,BMILMS!$D$9*AG102^3+BMILMS!$E$9*AG102^2+BMILMS!$F$9*AG102+BMILMS!$G$9,IF(AG102&lt;150,BMILMS!$D$10*AG102^3+BMILMS!$E$10*AG102^2+BMILMS!$F$10*AG102+BMILMS!$G$10,BMILMS!$D$11*AG102^3+BMILMS!$E$11*AG102^2+BMILMS!$F$11*AG102+BMILMS!$G$11)))</f>
        <v>0.79584630099999998</v>
      </c>
      <c r="AE102" s="24">
        <f>IF(D102="M",(IF(AG102&lt;2.5,BMILMS!$D$21*AG102^3+BMILMS!$E$21*AG102^2+BMILMS!$F$21*AG102+BMILMS!$G$21,IF(AG102&lt;9.5,BMILMS!$D$22*AG102^3+BMILMS!$E$22*AG102^2+BMILMS!$F$22*AG102+BMILMS!$G$22,IF(AG102&lt;26.75,BMILMS!$D$23*AG102^3+BMILMS!$E$23*AG102^2+BMILMS!$F$23*AG102+BMILMS!$G$23,IF(AG102&lt;90,BMILMS!$D$24*AG102^3+BMILMS!$E$24*AG102^2+BMILMS!$F$24*AG102+BMILMS!$G$24,BMILMS!$D$25*AG102^3+BMILMS!$E$25*AG102^2+BMILMS!$F$25*AG102+BMILMS!$G$25))))),(IF(AG102&lt;2.5,BMILMS!$D$27*AG102^3+BMILMS!$E$27*AG102^2+BMILMS!$F$27*AG102+BMILMS!$G$27,IF(AG102&lt;9.5,BMILMS!$D$28*AG102^3+BMILMS!$E$28*AG102^2+BMILMS!$F$28*AG102+BMILMS!$G$28,IF(AG102&lt;26.75,BMILMS!$D$29*AG102^3+BMILMS!$E$29*AG102^2+BMILMS!$F$29*AG102+BMILMS!$G$29,IF(AG102&lt;90,BMILMS!$D$30*AG102^3+BMILMS!$E$30*AG102^2+BMILMS!$F$30*AG102+BMILMS!$G$30,IF(AG102&lt;150,BMILMS!$D$31*AG102^3+BMILMS!$E$31*AG102^2+BMILMS!$F$31*AG102+BMILMS!$G$31,BMILMS!$D$32*AG102^3+BMILMS!$E$32*AG102^2+BMILMS!$F$32*AG102+BMILMS!$G$32)))))))</f>
        <v>12.568967990000001</v>
      </c>
      <c r="AF102" s="24">
        <f>IF(D102="M",(IF(AG102&lt;90,BMILMS!$D$14*AG102^3+BMILMS!$E$14*AG102^2+BMILMS!$F$14*AG102+BMILMS!$G$14,BMILMS!$D$15*AG102^3+BMILMS!$E$15*AG102^2+BMILMS!$F$15*AG102+BMILMS!$G$15)),(IF(AG102&lt;90,BMILMS!$D$17*AG102^3+BMILMS!$E$17*AG102^2+BMILMS!$F$17*AG102+BMILMS!$G$17,BMILMS!$D$18*AG102^3+BMILMS!$E$18*AG102^2+BMILMS!$F$18*AG102+BMILMS!$G$18)))</f>
        <v>8.8969350000000003E-2</v>
      </c>
      <c r="AG102" s="24">
        <f t="shared" si="32"/>
        <v>0</v>
      </c>
      <c r="AI102" s="38">
        <f>IF(D102="M",WeightSDS!P$5*$AG102^7+WeightSDS!Q$5*$AG102^6+WeightSDS!R$5*$AG102^5+WeightSDS!S$5*$AG102^4+WeightSDS!T$5*$AG102^3+WeightSDS!U$5*$AG102^2+WeightSDS!V$5*$AG102+WeightSDS!W$5,IF($AG102&lt;186,WeightSDS!P$8*$AG102^7+WeightSDS!Q$8*$AG102^6+WeightSDS!R$8*$AG102^5+WeightSDS!S$8*$AG102^4+WeightSDS!T$8*$AG102^3+WeightSDS!U$8*$AG102^2+WeightSDS!V$8*$AG102+WeightSDS!W$8,WeightSDS!$U$9-WeightSDS!$V$9*($AG102-WeightSDS!$W$9)))</f>
        <v>0.75407122999999998</v>
      </c>
      <c r="AJ102" s="24">
        <f>IF(D102="M",IF($AG102&lt;45,WeightSDS!M$23*$AG102^10+WeightSDS!N$23*$AG102^9+WeightSDS!O$23*$AG102^8+WeightSDS!P$23*$AG102^7+WeightSDS!Q$23*$AG102^6+WeightSDS!R$23*$AG102^5+WeightSDS!S$23*$AG102^4+WeightSDS!T$23*$AG102^3+WeightSDS!U$23*$AG102^2+WeightSDS!V$23*$AG102+WeightSDS!W$23,IF($AG102&lt;153,WeightSDS!M$25*$AG102^10+WeightSDS!N$25*$AG102^9+WeightSDS!O$25*$AG102^8+WeightSDS!P$25*$AG102^7+WeightSDS!Q$25*$AG102^6+WeightSDS!R$25*$AG102^5+WeightSDS!S$25*$AG102^4+WeightSDS!T$25*$AG102^3+WeightSDS!U$25*$AG102^2+WeightSDS!V$25*$AG102+WeightSDS!W$25,WeightSDS!M$27+WeightSDS!N$27/(1+EXP(WeightSDS!O$27+WeightSDS!P$27*$AG102)))),IF($AG102&lt;43.8,WeightSDS!M$29*$AG102^10+WeightSDS!N$29*$AG102^9+WeightSDS!O$29*$AG102^8+WeightSDS!P$29*$AG102^7+WeightSDS!Q$29*$AG102^6+WeightSDS!R$29*$AG102^5+WeightSDS!S$29*$AG102^4+WeightSDS!T$29*$AG102^3+WeightSDS!U$29*$AG102^2+WeightSDS!V$29*$AG102+WeightSDS!W$29-0.010431*(1-$AG102/210),IF($AG102&lt;123,WeightSDS!M$30*$AG102^10+WeightSDS!N$30*$AG102^9+WeightSDS!O$30*$AG102^8+WeightSDS!P$30*$AG102^7+WeightSDS!Q$30*$AG102^6+WeightSDS!R$30*$AG102^5+WeightSDS!S$30*$AG102^4+WeightSDS!T$30*$AG102^3+WeightSDS!U$30*$AG102^2+WeightSDS!V$30*$AG102+WeightSDS!W$30-0.010431*(1-1/$AG102),WeightSDS!M$32+WeightSDS!N$32/(1+EXP(WeightSDS!O$32+WeightSDS!P$32*$AG102))-0.010431*(1-$AG102/210))))</f>
        <v>2.9500001032655536</v>
      </c>
      <c r="AK102" s="24">
        <f>IF(D102="M",IF($AG102&lt;162,WeightSDS!P$12*$AG102^7+WeightSDS!Q$12*$AG102^6+WeightSDS!R$12*$AG102^5+WeightSDS!S$12*$AG102^4+WeightSDS!T$12*$AG102^3+WeightSDS!U$12*$AG102^2+WeightSDS!V$12*$AG102+WeightSDS!W$12,WeightSDS!P$14*$AG102^7+WeightSDS!Q$14*$AG102^6+WeightSDS!R$14*$AG102^5+WeightSDS!S$14*$AG102^4+WeightSDS!T$14*$AG102^3+WeightSDS!U$14*$AG102^2+WeightSDS!V$14*$AG102+WeightSDS!W$14),IF($AG102&lt;156,WeightSDS!O$17*$AG102^8+WeightSDS!P$17*$AG102^7+WeightSDS!Q$17*$AG102^6+WeightSDS!R$17*$AG102^5+WeightSDS!S$17*$AG102^4+WeightSDS!T$17*$AG102^3+WeightSDS!U$17*$AG102^2+WeightSDS!V$17*$AG102+WeightSDS!W$17,IF($AG102&lt;186,WeightSDS!$U$18+(WeightSDS!$V$18-WeightSDS!$U$18)/24*($AG102-186)+WeightSDS!$W$18*(-$AG102+186)^2-0.005,WeightSDS!$U$18+(WeightSDS!$V$18-WeightSDS!$U$18)/24*($AG102-186)-0.005)))</f>
        <v>0.14604529399999999</v>
      </c>
    </row>
    <row r="103" spans="1:37">
      <c r="A103" s="4"/>
      <c r="B103" s="21"/>
      <c r="C103" s="21"/>
      <c r="D103" s="21"/>
      <c r="E103" s="22"/>
      <c r="F103" s="22"/>
      <c r="G103" s="23"/>
      <c r="H103" s="23"/>
      <c r="I103" s="8" t="str">
        <f t="shared" si="18"/>
        <v/>
      </c>
      <c r="J103" s="2" t="str">
        <f t="shared" si="25"/>
        <v/>
      </c>
      <c r="K103" s="2" t="str">
        <f t="shared" si="19"/>
        <v/>
      </c>
      <c r="L103" s="2" t="str">
        <f t="shared" si="26"/>
        <v/>
      </c>
      <c r="M103" s="2" t="str">
        <f t="shared" si="31"/>
        <v/>
      </c>
      <c r="N103" s="2" t="str">
        <f t="shared" si="27"/>
        <v/>
      </c>
      <c r="O103" s="8" t="str">
        <f t="shared" si="28"/>
        <v/>
      </c>
      <c r="P103" s="8" t="str">
        <f t="shared" si="29"/>
        <v/>
      </c>
      <c r="Q103" s="40" t="str">
        <f t="shared" si="20"/>
        <v/>
      </c>
      <c r="R103" s="48" t="str">
        <f t="shared" si="30"/>
        <v/>
      </c>
      <c r="S103" s="8"/>
      <c r="U103" s="35">
        <f t="shared" si="21"/>
        <v>0</v>
      </c>
      <c r="V103" s="24">
        <f t="shared" si="22"/>
        <v>0</v>
      </c>
      <c r="W103" s="41">
        <f t="shared" si="33"/>
        <v>0</v>
      </c>
      <c r="X103" s="31"/>
      <c r="Y103" s="31"/>
      <c r="Z103" s="31"/>
      <c r="AA103" s="25">
        <f t="shared" si="23"/>
        <v>9.0359999999999996</v>
      </c>
      <c r="AB103" s="25">
        <f t="shared" si="24"/>
        <v>-184.49199999999999</v>
      </c>
      <c r="AD103" s="24">
        <f>IF(D103="M",IF(AG103&lt;78,BMILMS!$D$5*AG103^3+BMILMS!$E$5*AG103^2+BMILMS!$F$5*AG103+BMILMS!$G$5,IF(AG103&lt;150,BMILMS!$D$6*AG103^3+BMILMS!$E$6*AG103^2+BMILMS!$F$6*AG103+BMILMS!$G$6,BMILMS!$D$7*AG103^3+BMILMS!$E$7*AG103^2+BMILMS!$F$7*AG103+BMILMS!$G$7)),IF(AG103&lt;69,BMILMS!$D$9*AG103^3+BMILMS!$E$9*AG103^2+BMILMS!$F$9*AG103+BMILMS!$G$9,IF(AG103&lt;150,BMILMS!$D$10*AG103^3+BMILMS!$E$10*AG103^2+BMILMS!$F$10*AG103+BMILMS!$G$10,BMILMS!$D$11*AG103^3+BMILMS!$E$11*AG103^2+BMILMS!$F$11*AG103+BMILMS!$G$11)))</f>
        <v>0.79584630099999998</v>
      </c>
      <c r="AE103" s="24">
        <f>IF(D103="M",(IF(AG103&lt;2.5,BMILMS!$D$21*AG103^3+BMILMS!$E$21*AG103^2+BMILMS!$F$21*AG103+BMILMS!$G$21,IF(AG103&lt;9.5,BMILMS!$D$22*AG103^3+BMILMS!$E$22*AG103^2+BMILMS!$F$22*AG103+BMILMS!$G$22,IF(AG103&lt;26.75,BMILMS!$D$23*AG103^3+BMILMS!$E$23*AG103^2+BMILMS!$F$23*AG103+BMILMS!$G$23,IF(AG103&lt;90,BMILMS!$D$24*AG103^3+BMILMS!$E$24*AG103^2+BMILMS!$F$24*AG103+BMILMS!$G$24,BMILMS!$D$25*AG103^3+BMILMS!$E$25*AG103^2+BMILMS!$F$25*AG103+BMILMS!$G$25))))),(IF(AG103&lt;2.5,BMILMS!$D$27*AG103^3+BMILMS!$E$27*AG103^2+BMILMS!$F$27*AG103+BMILMS!$G$27,IF(AG103&lt;9.5,BMILMS!$D$28*AG103^3+BMILMS!$E$28*AG103^2+BMILMS!$F$28*AG103+BMILMS!$G$28,IF(AG103&lt;26.75,BMILMS!$D$29*AG103^3+BMILMS!$E$29*AG103^2+BMILMS!$F$29*AG103+BMILMS!$G$29,IF(AG103&lt;90,BMILMS!$D$30*AG103^3+BMILMS!$E$30*AG103^2+BMILMS!$F$30*AG103+BMILMS!$G$30,IF(AG103&lt;150,BMILMS!$D$31*AG103^3+BMILMS!$E$31*AG103^2+BMILMS!$F$31*AG103+BMILMS!$G$31,BMILMS!$D$32*AG103^3+BMILMS!$E$32*AG103^2+BMILMS!$F$32*AG103+BMILMS!$G$32)))))))</f>
        <v>12.568967990000001</v>
      </c>
      <c r="AF103" s="24">
        <f>IF(D103="M",(IF(AG103&lt;90,BMILMS!$D$14*AG103^3+BMILMS!$E$14*AG103^2+BMILMS!$F$14*AG103+BMILMS!$G$14,BMILMS!$D$15*AG103^3+BMILMS!$E$15*AG103^2+BMILMS!$F$15*AG103+BMILMS!$G$15)),(IF(AG103&lt;90,BMILMS!$D$17*AG103^3+BMILMS!$E$17*AG103^2+BMILMS!$F$17*AG103+BMILMS!$G$17,BMILMS!$D$18*AG103^3+BMILMS!$E$18*AG103^2+BMILMS!$F$18*AG103+BMILMS!$G$18)))</f>
        <v>8.8969350000000003E-2</v>
      </c>
      <c r="AG103" s="24">
        <f t="shared" si="32"/>
        <v>0</v>
      </c>
      <c r="AI103" s="38">
        <f>IF(D103="M",WeightSDS!P$5*$AG103^7+WeightSDS!Q$5*$AG103^6+WeightSDS!R$5*$AG103^5+WeightSDS!S$5*$AG103^4+WeightSDS!T$5*$AG103^3+WeightSDS!U$5*$AG103^2+WeightSDS!V$5*$AG103+WeightSDS!W$5,IF($AG103&lt;186,WeightSDS!P$8*$AG103^7+WeightSDS!Q$8*$AG103^6+WeightSDS!R$8*$AG103^5+WeightSDS!S$8*$AG103^4+WeightSDS!T$8*$AG103^3+WeightSDS!U$8*$AG103^2+WeightSDS!V$8*$AG103+WeightSDS!W$8,WeightSDS!$U$9-WeightSDS!$V$9*($AG103-WeightSDS!$W$9)))</f>
        <v>0.75407122999999998</v>
      </c>
      <c r="AJ103" s="24">
        <f>IF(D103="M",IF($AG103&lt;45,WeightSDS!M$23*$AG103^10+WeightSDS!N$23*$AG103^9+WeightSDS!O$23*$AG103^8+WeightSDS!P$23*$AG103^7+WeightSDS!Q$23*$AG103^6+WeightSDS!R$23*$AG103^5+WeightSDS!S$23*$AG103^4+WeightSDS!T$23*$AG103^3+WeightSDS!U$23*$AG103^2+WeightSDS!V$23*$AG103+WeightSDS!W$23,IF($AG103&lt;153,WeightSDS!M$25*$AG103^10+WeightSDS!N$25*$AG103^9+WeightSDS!O$25*$AG103^8+WeightSDS!P$25*$AG103^7+WeightSDS!Q$25*$AG103^6+WeightSDS!R$25*$AG103^5+WeightSDS!S$25*$AG103^4+WeightSDS!T$25*$AG103^3+WeightSDS!U$25*$AG103^2+WeightSDS!V$25*$AG103+WeightSDS!W$25,WeightSDS!M$27+WeightSDS!N$27/(1+EXP(WeightSDS!O$27+WeightSDS!P$27*$AG103)))),IF($AG103&lt;43.8,WeightSDS!M$29*$AG103^10+WeightSDS!N$29*$AG103^9+WeightSDS!O$29*$AG103^8+WeightSDS!P$29*$AG103^7+WeightSDS!Q$29*$AG103^6+WeightSDS!R$29*$AG103^5+WeightSDS!S$29*$AG103^4+WeightSDS!T$29*$AG103^3+WeightSDS!U$29*$AG103^2+WeightSDS!V$29*$AG103+WeightSDS!W$29-0.010431*(1-$AG103/210),IF($AG103&lt;123,WeightSDS!M$30*$AG103^10+WeightSDS!N$30*$AG103^9+WeightSDS!O$30*$AG103^8+WeightSDS!P$30*$AG103^7+WeightSDS!Q$30*$AG103^6+WeightSDS!R$30*$AG103^5+WeightSDS!S$30*$AG103^4+WeightSDS!T$30*$AG103^3+WeightSDS!U$30*$AG103^2+WeightSDS!V$30*$AG103+WeightSDS!W$30-0.010431*(1-1/$AG103),WeightSDS!M$32+WeightSDS!N$32/(1+EXP(WeightSDS!O$32+WeightSDS!P$32*$AG103))-0.010431*(1-$AG103/210))))</f>
        <v>2.9500001032655536</v>
      </c>
      <c r="AK103" s="24">
        <f>IF(D103="M",IF($AG103&lt;162,WeightSDS!P$12*$AG103^7+WeightSDS!Q$12*$AG103^6+WeightSDS!R$12*$AG103^5+WeightSDS!S$12*$AG103^4+WeightSDS!T$12*$AG103^3+WeightSDS!U$12*$AG103^2+WeightSDS!V$12*$AG103+WeightSDS!W$12,WeightSDS!P$14*$AG103^7+WeightSDS!Q$14*$AG103^6+WeightSDS!R$14*$AG103^5+WeightSDS!S$14*$AG103^4+WeightSDS!T$14*$AG103^3+WeightSDS!U$14*$AG103^2+WeightSDS!V$14*$AG103+WeightSDS!W$14),IF($AG103&lt;156,WeightSDS!O$17*$AG103^8+WeightSDS!P$17*$AG103^7+WeightSDS!Q$17*$AG103^6+WeightSDS!R$17*$AG103^5+WeightSDS!S$17*$AG103^4+WeightSDS!T$17*$AG103^3+WeightSDS!U$17*$AG103^2+WeightSDS!V$17*$AG103+WeightSDS!W$17,IF($AG103&lt;186,WeightSDS!$U$18+(WeightSDS!$V$18-WeightSDS!$U$18)/24*($AG103-186)+WeightSDS!$W$18*(-$AG103+186)^2-0.005,WeightSDS!$U$18+(WeightSDS!$V$18-WeightSDS!$U$18)/24*($AG103-186)-0.005)))</f>
        <v>0.14604529399999999</v>
      </c>
    </row>
    <row r="104" spans="1:37">
      <c r="A104" s="4"/>
      <c r="B104" s="21"/>
      <c r="C104" s="21"/>
      <c r="D104" s="21"/>
      <c r="E104" s="22"/>
      <c r="F104" s="22"/>
      <c r="G104" s="23"/>
      <c r="H104" s="23"/>
      <c r="I104" s="8" t="str">
        <f t="shared" si="18"/>
        <v/>
      </c>
      <c r="J104" s="2" t="str">
        <f t="shared" si="25"/>
        <v/>
      </c>
      <c r="K104" s="2" t="str">
        <f t="shared" si="19"/>
        <v/>
      </c>
      <c r="L104" s="2" t="str">
        <f t="shared" si="26"/>
        <v/>
      </c>
      <c r="M104" s="2" t="str">
        <f t="shared" si="31"/>
        <v/>
      </c>
      <c r="N104" s="2" t="str">
        <f t="shared" si="27"/>
        <v/>
      </c>
      <c r="O104" s="8" t="str">
        <f t="shared" si="28"/>
        <v/>
      </c>
      <c r="P104" s="8" t="str">
        <f t="shared" si="29"/>
        <v/>
      </c>
      <c r="Q104" s="40" t="str">
        <f t="shared" si="20"/>
        <v/>
      </c>
      <c r="R104" s="48" t="str">
        <f t="shared" si="30"/>
        <v/>
      </c>
      <c r="S104" s="8"/>
      <c r="U104" s="35">
        <f t="shared" si="21"/>
        <v>0</v>
      </c>
      <c r="V104" s="24">
        <f t="shared" si="22"/>
        <v>0</v>
      </c>
      <c r="W104" s="41">
        <f t="shared" si="33"/>
        <v>0</v>
      </c>
      <c r="X104" s="31"/>
      <c r="Y104" s="31"/>
      <c r="Z104" s="31"/>
      <c r="AA104" s="25">
        <f t="shared" si="23"/>
        <v>9.0359999999999996</v>
      </c>
      <c r="AB104" s="25">
        <f t="shared" si="24"/>
        <v>-184.49199999999999</v>
      </c>
      <c r="AD104" s="24">
        <f>IF(D104="M",IF(AG104&lt;78,BMILMS!$D$5*AG104^3+BMILMS!$E$5*AG104^2+BMILMS!$F$5*AG104+BMILMS!$G$5,IF(AG104&lt;150,BMILMS!$D$6*AG104^3+BMILMS!$E$6*AG104^2+BMILMS!$F$6*AG104+BMILMS!$G$6,BMILMS!$D$7*AG104^3+BMILMS!$E$7*AG104^2+BMILMS!$F$7*AG104+BMILMS!$G$7)),IF(AG104&lt;69,BMILMS!$D$9*AG104^3+BMILMS!$E$9*AG104^2+BMILMS!$F$9*AG104+BMILMS!$G$9,IF(AG104&lt;150,BMILMS!$D$10*AG104^3+BMILMS!$E$10*AG104^2+BMILMS!$F$10*AG104+BMILMS!$G$10,BMILMS!$D$11*AG104^3+BMILMS!$E$11*AG104^2+BMILMS!$F$11*AG104+BMILMS!$G$11)))</f>
        <v>0.79584630099999998</v>
      </c>
      <c r="AE104" s="24">
        <f>IF(D104="M",(IF(AG104&lt;2.5,BMILMS!$D$21*AG104^3+BMILMS!$E$21*AG104^2+BMILMS!$F$21*AG104+BMILMS!$G$21,IF(AG104&lt;9.5,BMILMS!$D$22*AG104^3+BMILMS!$E$22*AG104^2+BMILMS!$F$22*AG104+BMILMS!$G$22,IF(AG104&lt;26.75,BMILMS!$D$23*AG104^3+BMILMS!$E$23*AG104^2+BMILMS!$F$23*AG104+BMILMS!$G$23,IF(AG104&lt;90,BMILMS!$D$24*AG104^3+BMILMS!$E$24*AG104^2+BMILMS!$F$24*AG104+BMILMS!$G$24,BMILMS!$D$25*AG104^3+BMILMS!$E$25*AG104^2+BMILMS!$F$25*AG104+BMILMS!$G$25))))),(IF(AG104&lt;2.5,BMILMS!$D$27*AG104^3+BMILMS!$E$27*AG104^2+BMILMS!$F$27*AG104+BMILMS!$G$27,IF(AG104&lt;9.5,BMILMS!$D$28*AG104^3+BMILMS!$E$28*AG104^2+BMILMS!$F$28*AG104+BMILMS!$G$28,IF(AG104&lt;26.75,BMILMS!$D$29*AG104^3+BMILMS!$E$29*AG104^2+BMILMS!$F$29*AG104+BMILMS!$G$29,IF(AG104&lt;90,BMILMS!$D$30*AG104^3+BMILMS!$E$30*AG104^2+BMILMS!$F$30*AG104+BMILMS!$G$30,IF(AG104&lt;150,BMILMS!$D$31*AG104^3+BMILMS!$E$31*AG104^2+BMILMS!$F$31*AG104+BMILMS!$G$31,BMILMS!$D$32*AG104^3+BMILMS!$E$32*AG104^2+BMILMS!$F$32*AG104+BMILMS!$G$32)))))))</f>
        <v>12.568967990000001</v>
      </c>
      <c r="AF104" s="24">
        <f>IF(D104="M",(IF(AG104&lt;90,BMILMS!$D$14*AG104^3+BMILMS!$E$14*AG104^2+BMILMS!$F$14*AG104+BMILMS!$G$14,BMILMS!$D$15*AG104^3+BMILMS!$E$15*AG104^2+BMILMS!$F$15*AG104+BMILMS!$G$15)),(IF(AG104&lt;90,BMILMS!$D$17*AG104^3+BMILMS!$E$17*AG104^2+BMILMS!$F$17*AG104+BMILMS!$G$17,BMILMS!$D$18*AG104^3+BMILMS!$E$18*AG104^2+BMILMS!$F$18*AG104+BMILMS!$G$18)))</f>
        <v>8.8969350000000003E-2</v>
      </c>
      <c r="AG104" s="24">
        <f t="shared" si="32"/>
        <v>0</v>
      </c>
      <c r="AI104" s="38">
        <f>IF(D104="M",WeightSDS!P$5*$AG104^7+WeightSDS!Q$5*$AG104^6+WeightSDS!R$5*$AG104^5+WeightSDS!S$5*$AG104^4+WeightSDS!T$5*$AG104^3+WeightSDS!U$5*$AG104^2+WeightSDS!V$5*$AG104+WeightSDS!W$5,IF($AG104&lt;186,WeightSDS!P$8*$AG104^7+WeightSDS!Q$8*$AG104^6+WeightSDS!R$8*$AG104^5+WeightSDS!S$8*$AG104^4+WeightSDS!T$8*$AG104^3+WeightSDS!U$8*$AG104^2+WeightSDS!V$8*$AG104+WeightSDS!W$8,WeightSDS!$U$9-WeightSDS!$V$9*($AG104-WeightSDS!$W$9)))</f>
        <v>0.75407122999999998</v>
      </c>
      <c r="AJ104" s="24">
        <f>IF(D104="M",IF($AG104&lt;45,WeightSDS!M$23*$AG104^10+WeightSDS!N$23*$AG104^9+WeightSDS!O$23*$AG104^8+WeightSDS!P$23*$AG104^7+WeightSDS!Q$23*$AG104^6+WeightSDS!R$23*$AG104^5+WeightSDS!S$23*$AG104^4+WeightSDS!T$23*$AG104^3+WeightSDS!U$23*$AG104^2+WeightSDS!V$23*$AG104+WeightSDS!W$23,IF($AG104&lt;153,WeightSDS!M$25*$AG104^10+WeightSDS!N$25*$AG104^9+WeightSDS!O$25*$AG104^8+WeightSDS!P$25*$AG104^7+WeightSDS!Q$25*$AG104^6+WeightSDS!R$25*$AG104^5+WeightSDS!S$25*$AG104^4+WeightSDS!T$25*$AG104^3+WeightSDS!U$25*$AG104^2+WeightSDS!V$25*$AG104+WeightSDS!W$25,WeightSDS!M$27+WeightSDS!N$27/(1+EXP(WeightSDS!O$27+WeightSDS!P$27*$AG104)))),IF($AG104&lt;43.8,WeightSDS!M$29*$AG104^10+WeightSDS!N$29*$AG104^9+WeightSDS!O$29*$AG104^8+WeightSDS!P$29*$AG104^7+WeightSDS!Q$29*$AG104^6+WeightSDS!R$29*$AG104^5+WeightSDS!S$29*$AG104^4+WeightSDS!T$29*$AG104^3+WeightSDS!U$29*$AG104^2+WeightSDS!V$29*$AG104+WeightSDS!W$29-0.010431*(1-$AG104/210),IF($AG104&lt;123,WeightSDS!M$30*$AG104^10+WeightSDS!N$30*$AG104^9+WeightSDS!O$30*$AG104^8+WeightSDS!P$30*$AG104^7+WeightSDS!Q$30*$AG104^6+WeightSDS!R$30*$AG104^5+WeightSDS!S$30*$AG104^4+WeightSDS!T$30*$AG104^3+WeightSDS!U$30*$AG104^2+WeightSDS!V$30*$AG104+WeightSDS!W$30-0.010431*(1-1/$AG104),WeightSDS!M$32+WeightSDS!N$32/(1+EXP(WeightSDS!O$32+WeightSDS!P$32*$AG104))-0.010431*(1-$AG104/210))))</f>
        <v>2.9500001032655536</v>
      </c>
      <c r="AK104" s="24">
        <f>IF(D104="M",IF($AG104&lt;162,WeightSDS!P$12*$AG104^7+WeightSDS!Q$12*$AG104^6+WeightSDS!R$12*$AG104^5+WeightSDS!S$12*$AG104^4+WeightSDS!T$12*$AG104^3+WeightSDS!U$12*$AG104^2+WeightSDS!V$12*$AG104+WeightSDS!W$12,WeightSDS!P$14*$AG104^7+WeightSDS!Q$14*$AG104^6+WeightSDS!R$14*$AG104^5+WeightSDS!S$14*$AG104^4+WeightSDS!T$14*$AG104^3+WeightSDS!U$14*$AG104^2+WeightSDS!V$14*$AG104+WeightSDS!W$14),IF($AG104&lt;156,WeightSDS!O$17*$AG104^8+WeightSDS!P$17*$AG104^7+WeightSDS!Q$17*$AG104^6+WeightSDS!R$17*$AG104^5+WeightSDS!S$17*$AG104^4+WeightSDS!T$17*$AG104^3+WeightSDS!U$17*$AG104^2+WeightSDS!V$17*$AG104+WeightSDS!W$17,IF($AG104&lt;186,WeightSDS!$U$18+(WeightSDS!$V$18-WeightSDS!$U$18)/24*($AG104-186)+WeightSDS!$W$18*(-$AG104+186)^2-0.005,WeightSDS!$U$18+(WeightSDS!$V$18-WeightSDS!$U$18)/24*($AG104-186)-0.005)))</f>
        <v>0.14604529399999999</v>
      </c>
    </row>
    <row r="105" spans="1:37">
      <c r="A105" s="4"/>
      <c r="B105" s="21"/>
      <c r="C105" s="21"/>
      <c r="D105" s="21"/>
      <c r="E105" s="22"/>
      <c r="F105" s="22"/>
      <c r="G105" s="23"/>
      <c r="H105" s="23"/>
      <c r="I105" s="8" t="str">
        <f t="shared" si="18"/>
        <v/>
      </c>
      <c r="J105" s="2" t="str">
        <f t="shared" si="25"/>
        <v/>
      </c>
      <c r="K105" s="2" t="str">
        <f t="shared" si="19"/>
        <v/>
      </c>
      <c r="L105" s="2" t="str">
        <f t="shared" si="26"/>
        <v/>
      </c>
      <c r="M105" s="2" t="str">
        <f t="shared" si="31"/>
        <v/>
      </c>
      <c r="N105" s="2" t="str">
        <f t="shared" si="27"/>
        <v/>
      </c>
      <c r="O105" s="8" t="str">
        <f t="shared" si="28"/>
        <v/>
      </c>
      <c r="P105" s="8" t="str">
        <f t="shared" si="29"/>
        <v/>
      </c>
      <c r="Q105" s="40" t="str">
        <f t="shared" si="20"/>
        <v/>
      </c>
      <c r="R105" s="48" t="str">
        <f t="shared" si="30"/>
        <v/>
      </c>
      <c r="S105" s="8"/>
      <c r="U105" s="35">
        <f t="shared" si="21"/>
        <v>0</v>
      </c>
      <c r="V105" s="24">
        <f t="shared" si="22"/>
        <v>0</v>
      </c>
      <c r="W105" s="41">
        <f t="shared" si="33"/>
        <v>0</v>
      </c>
      <c r="X105" s="31"/>
      <c r="Y105" s="31"/>
      <c r="Z105" s="31"/>
      <c r="AA105" s="25">
        <f t="shared" si="23"/>
        <v>9.0359999999999996</v>
      </c>
      <c r="AB105" s="25">
        <f t="shared" si="24"/>
        <v>-184.49199999999999</v>
      </c>
      <c r="AD105" s="24">
        <f>IF(D105="M",IF(AG105&lt;78,BMILMS!$D$5*AG105^3+BMILMS!$E$5*AG105^2+BMILMS!$F$5*AG105+BMILMS!$G$5,IF(AG105&lt;150,BMILMS!$D$6*AG105^3+BMILMS!$E$6*AG105^2+BMILMS!$F$6*AG105+BMILMS!$G$6,BMILMS!$D$7*AG105^3+BMILMS!$E$7*AG105^2+BMILMS!$F$7*AG105+BMILMS!$G$7)),IF(AG105&lt;69,BMILMS!$D$9*AG105^3+BMILMS!$E$9*AG105^2+BMILMS!$F$9*AG105+BMILMS!$G$9,IF(AG105&lt;150,BMILMS!$D$10*AG105^3+BMILMS!$E$10*AG105^2+BMILMS!$F$10*AG105+BMILMS!$G$10,BMILMS!$D$11*AG105^3+BMILMS!$E$11*AG105^2+BMILMS!$F$11*AG105+BMILMS!$G$11)))</f>
        <v>0.79584630099999998</v>
      </c>
      <c r="AE105" s="24">
        <f>IF(D105="M",(IF(AG105&lt;2.5,BMILMS!$D$21*AG105^3+BMILMS!$E$21*AG105^2+BMILMS!$F$21*AG105+BMILMS!$G$21,IF(AG105&lt;9.5,BMILMS!$D$22*AG105^3+BMILMS!$E$22*AG105^2+BMILMS!$F$22*AG105+BMILMS!$G$22,IF(AG105&lt;26.75,BMILMS!$D$23*AG105^3+BMILMS!$E$23*AG105^2+BMILMS!$F$23*AG105+BMILMS!$G$23,IF(AG105&lt;90,BMILMS!$D$24*AG105^3+BMILMS!$E$24*AG105^2+BMILMS!$F$24*AG105+BMILMS!$G$24,BMILMS!$D$25*AG105^3+BMILMS!$E$25*AG105^2+BMILMS!$F$25*AG105+BMILMS!$G$25))))),(IF(AG105&lt;2.5,BMILMS!$D$27*AG105^3+BMILMS!$E$27*AG105^2+BMILMS!$F$27*AG105+BMILMS!$G$27,IF(AG105&lt;9.5,BMILMS!$D$28*AG105^3+BMILMS!$E$28*AG105^2+BMILMS!$F$28*AG105+BMILMS!$G$28,IF(AG105&lt;26.75,BMILMS!$D$29*AG105^3+BMILMS!$E$29*AG105^2+BMILMS!$F$29*AG105+BMILMS!$G$29,IF(AG105&lt;90,BMILMS!$D$30*AG105^3+BMILMS!$E$30*AG105^2+BMILMS!$F$30*AG105+BMILMS!$G$30,IF(AG105&lt;150,BMILMS!$D$31*AG105^3+BMILMS!$E$31*AG105^2+BMILMS!$F$31*AG105+BMILMS!$G$31,BMILMS!$D$32*AG105^3+BMILMS!$E$32*AG105^2+BMILMS!$F$32*AG105+BMILMS!$G$32)))))))</f>
        <v>12.568967990000001</v>
      </c>
      <c r="AF105" s="24">
        <f>IF(D105="M",(IF(AG105&lt;90,BMILMS!$D$14*AG105^3+BMILMS!$E$14*AG105^2+BMILMS!$F$14*AG105+BMILMS!$G$14,BMILMS!$D$15*AG105^3+BMILMS!$E$15*AG105^2+BMILMS!$F$15*AG105+BMILMS!$G$15)),(IF(AG105&lt;90,BMILMS!$D$17*AG105^3+BMILMS!$E$17*AG105^2+BMILMS!$F$17*AG105+BMILMS!$G$17,BMILMS!$D$18*AG105^3+BMILMS!$E$18*AG105^2+BMILMS!$F$18*AG105+BMILMS!$G$18)))</f>
        <v>8.8969350000000003E-2</v>
      </c>
      <c r="AG105" s="24">
        <f t="shared" si="32"/>
        <v>0</v>
      </c>
      <c r="AI105" s="38">
        <f>IF(D105="M",WeightSDS!P$5*$AG105^7+WeightSDS!Q$5*$AG105^6+WeightSDS!R$5*$AG105^5+WeightSDS!S$5*$AG105^4+WeightSDS!T$5*$AG105^3+WeightSDS!U$5*$AG105^2+WeightSDS!V$5*$AG105+WeightSDS!W$5,IF($AG105&lt;186,WeightSDS!P$8*$AG105^7+WeightSDS!Q$8*$AG105^6+WeightSDS!R$8*$AG105^5+WeightSDS!S$8*$AG105^4+WeightSDS!T$8*$AG105^3+WeightSDS!U$8*$AG105^2+WeightSDS!V$8*$AG105+WeightSDS!W$8,WeightSDS!$U$9-WeightSDS!$V$9*($AG105-WeightSDS!$W$9)))</f>
        <v>0.75407122999999998</v>
      </c>
      <c r="AJ105" s="24">
        <f>IF(D105="M",IF($AG105&lt;45,WeightSDS!M$23*$AG105^10+WeightSDS!N$23*$AG105^9+WeightSDS!O$23*$AG105^8+WeightSDS!P$23*$AG105^7+WeightSDS!Q$23*$AG105^6+WeightSDS!R$23*$AG105^5+WeightSDS!S$23*$AG105^4+WeightSDS!T$23*$AG105^3+WeightSDS!U$23*$AG105^2+WeightSDS!V$23*$AG105+WeightSDS!W$23,IF($AG105&lt;153,WeightSDS!M$25*$AG105^10+WeightSDS!N$25*$AG105^9+WeightSDS!O$25*$AG105^8+WeightSDS!P$25*$AG105^7+WeightSDS!Q$25*$AG105^6+WeightSDS!R$25*$AG105^5+WeightSDS!S$25*$AG105^4+WeightSDS!T$25*$AG105^3+WeightSDS!U$25*$AG105^2+WeightSDS!V$25*$AG105+WeightSDS!W$25,WeightSDS!M$27+WeightSDS!N$27/(1+EXP(WeightSDS!O$27+WeightSDS!P$27*$AG105)))),IF($AG105&lt;43.8,WeightSDS!M$29*$AG105^10+WeightSDS!N$29*$AG105^9+WeightSDS!O$29*$AG105^8+WeightSDS!P$29*$AG105^7+WeightSDS!Q$29*$AG105^6+WeightSDS!R$29*$AG105^5+WeightSDS!S$29*$AG105^4+WeightSDS!T$29*$AG105^3+WeightSDS!U$29*$AG105^2+WeightSDS!V$29*$AG105+WeightSDS!W$29-0.010431*(1-$AG105/210),IF($AG105&lt;123,WeightSDS!M$30*$AG105^10+WeightSDS!N$30*$AG105^9+WeightSDS!O$30*$AG105^8+WeightSDS!P$30*$AG105^7+WeightSDS!Q$30*$AG105^6+WeightSDS!R$30*$AG105^5+WeightSDS!S$30*$AG105^4+WeightSDS!T$30*$AG105^3+WeightSDS!U$30*$AG105^2+WeightSDS!V$30*$AG105+WeightSDS!W$30-0.010431*(1-1/$AG105),WeightSDS!M$32+WeightSDS!N$32/(1+EXP(WeightSDS!O$32+WeightSDS!P$32*$AG105))-0.010431*(1-$AG105/210))))</f>
        <v>2.9500001032655536</v>
      </c>
      <c r="AK105" s="24">
        <f>IF(D105="M",IF($AG105&lt;162,WeightSDS!P$12*$AG105^7+WeightSDS!Q$12*$AG105^6+WeightSDS!R$12*$AG105^5+WeightSDS!S$12*$AG105^4+WeightSDS!T$12*$AG105^3+WeightSDS!U$12*$AG105^2+WeightSDS!V$12*$AG105+WeightSDS!W$12,WeightSDS!P$14*$AG105^7+WeightSDS!Q$14*$AG105^6+WeightSDS!R$14*$AG105^5+WeightSDS!S$14*$AG105^4+WeightSDS!T$14*$AG105^3+WeightSDS!U$14*$AG105^2+WeightSDS!V$14*$AG105+WeightSDS!W$14),IF($AG105&lt;156,WeightSDS!O$17*$AG105^8+WeightSDS!P$17*$AG105^7+WeightSDS!Q$17*$AG105^6+WeightSDS!R$17*$AG105^5+WeightSDS!S$17*$AG105^4+WeightSDS!T$17*$AG105^3+WeightSDS!U$17*$AG105^2+WeightSDS!V$17*$AG105+WeightSDS!W$17,IF($AG105&lt;186,WeightSDS!$U$18+(WeightSDS!$V$18-WeightSDS!$U$18)/24*($AG105-186)+WeightSDS!$W$18*(-$AG105+186)^2-0.005,WeightSDS!$U$18+(WeightSDS!$V$18-WeightSDS!$U$18)/24*($AG105-186)-0.005)))</f>
        <v>0.14604529399999999</v>
      </c>
    </row>
    <row r="106" spans="1:37">
      <c r="A106" s="4"/>
      <c r="B106" s="21"/>
      <c r="C106" s="21"/>
      <c r="D106" s="21"/>
      <c r="E106" s="22"/>
      <c r="F106" s="22"/>
      <c r="G106" s="23"/>
      <c r="H106" s="23"/>
      <c r="I106" s="8" t="str">
        <f t="shared" si="18"/>
        <v/>
      </c>
      <c r="J106" s="2" t="str">
        <f t="shared" si="25"/>
        <v/>
      </c>
      <c r="K106" s="2" t="str">
        <f t="shared" si="19"/>
        <v/>
      </c>
      <c r="L106" s="2" t="str">
        <f t="shared" si="26"/>
        <v/>
      </c>
      <c r="M106" s="2" t="str">
        <f t="shared" si="31"/>
        <v/>
      </c>
      <c r="N106" s="2" t="str">
        <f t="shared" si="27"/>
        <v/>
      </c>
      <c r="O106" s="8" t="str">
        <f t="shared" si="28"/>
        <v/>
      </c>
      <c r="P106" s="8" t="str">
        <f t="shared" si="29"/>
        <v/>
      </c>
      <c r="Q106" s="40" t="str">
        <f t="shared" si="20"/>
        <v/>
      </c>
      <c r="R106" s="48" t="str">
        <f t="shared" si="30"/>
        <v/>
      </c>
      <c r="S106" s="8"/>
      <c r="U106" s="35">
        <f t="shared" si="21"/>
        <v>0</v>
      </c>
      <c r="V106" s="24">
        <f t="shared" si="22"/>
        <v>0</v>
      </c>
      <c r="W106" s="41">
        <f t="shared" si="33"/>
        <v>0</v>
      </c>
      <c r="X106" s="31"/>
      <c r="Y106" s="31"/>
      <c r="Z106" s="31"/>
      <c r="AA106" s="25">
        <f t="shared" si="23"/>
        <v>9.0359999999999996</v>
      </c>
      <c r="AB106" s="25">
        <f t="shared" si="24"/>
        <v>-184.49199999999999</v>
      </c>
      <c r="AD106" s="24">
        <f>IF(D106="M",IF(AG106&lt;78,BMILMS!$D$5*AG106^3+BMILMS!$E$5*AG106^2+BMILMS!$F$5*AG106+BMILMS!$G$5,IF(AG106&lt;150,BMILMS!$D$6*AG106^3+BMILMS!$E$6*AG106^2+BMILMS!$F$6*AG106+BMILMS!$G$6,BMILMS!$D$7*AG106^3+BMILMS!$E$7*AG106^2+BMILMS!$F$7*AG106+BMILMS!$G$7)),IF(AG106&lt;69,BMILMS!$D$9*AG106^3+BMILMS!$E$9*AG106^2+BMILMS!$F$9*AG106+BMILMS!$G$9,IF(AG106&lt;150,BMILMS!$D$10*AG106^3+BMILMS!$E$10*AG106^2+BMILMS!$F$10*AG106+BMILMS!$G$10,BMILMS!$D$11*AG106^3+BMILMS!$E$11*AG106^2+BMILMS!$F$11*AG106+BMILMS!$G$11)))</f>
        <v>0.79584630099999998</v>
      </c>
      <c r="AE106" s="24">
        <f>IF(D106="M",(IF(AG106&lt;2.5,BMILMS!$D$21*AG106^3+BMILMS!$E$21*AG106^2+BMILMS!$F$21*AG106+BMILMS!$G$21,IF(AG106&lt;9.5,BMILMS!$D$22*AG106^3+BMILMS!$E$22*AG106^2+BMILMS!$F$22*AG106+BMILMS!$G$22,IF(AG106&lt;26.75,BMILMS!$D$23*AG106^3+BMILMS!$E$23*AG106^2+BMILMS!$F$23*AG106+BMILMS!$G$23,IF(AG106&lt;90,BMILMS!$D$24*AG106^3+BMILMS!$E$24*AG106^2+BMILMS!$F$24*AG106+BMILMS!$G$24,BMILMS!$D$25*AG106^3+BMILMS!$E$25*AG106^2+BMILMS!$F$25*AG106+BMILMS!$G$25))))),(IF(AG106&lt;2.5,BMILMS!$D$27*AG106^3+BMILMS!$E$27*AG106^2+BMILMS!$F$27*AG106+BMILMS!$G$27,IF(AG106&lt;9.5,BMILMS!$D$28*AG106^3+BMILMS!$E$28*AG106^2+BMILMS!$F$28*AG106+BMILMS!$G$28,IF(AG106&lt;26.75,BMILMS!$D$29*AG106^3+BMILMS!$E$29*AG106^2+BMILMS!$F$29*AG106+BMILMS!$G$29,IF(AG106&lt;90,BMILMS!$D$30*AG106^3+BMILMS!$E$30*AG106^2+BMILMS!$F$30*AG106+BMILMS!$G$30,IF(AG106&lt;150,BMILMS!$D$31*AG106^3+BMILMS!$E$31*AG106^2+BMILMS!$F$31*AG106+BMILMS!$G$31,BMILMS!$D$32*AG106^3+BMILMS!$E$32*AG106^2+BMILMS!$F$32*AG106+BMILMS!$G$32)))))))</f>
        <v>12.568967990000001</v>
      </c>
      <c r="AF106" s="24">
        <f>IF(D106="M",(IF(AG106&lt;90,BMILMS!$D$14*AG106^3+BMILMS!$E$14*AG106^2+BMILMS!$F$14*AG106+BMILMS!$G$14,BMILMS!$D$15*AG106^3+BMILMS!$E$15*AG106^2+BMILMS!$F$15*AG106+BMILMS!$G$15)),(IF(AG106&lt;90,BMILMS!$D$17*AG106^3+BMILMS!$E$17*AG106^2+BMILMS!$F$17*AG106+BMILMS!$G$17,BMILMS!$D$18*AG106^3+BMILMS!$E$18*AG106^2+BMILMS!$F$18*AG106+BMILMS!$G$18)))</f>
        <v>8.8969350000000003E-2</v>
      </c>
      <c r="AG106" s="24">
        <f t="shared" si="32"/>
        <v>0</v>
      </c>
      <c r="AI106" s="38">
        <f>IF(D106="M",WeightSDS!P$5*$AG106^7+WeightSDS!Q$5*$AG106^6+WeightSDS!R$5*$AG106^5+WeightSDS!S$5*$AG106^4+WeightSDS!T$5*$AG106^3+WeightSDS!U$5*$AG106^2+WeightSDS!V$5*$AG106+WeightSDS!W$5,IF($AG106&lt;186,WeightSDS!P$8*$AG106^7+WeightSDS!Q$8*$AG106^6+WeightSDS!R$8*$AG106^5+WeightSDS!S$8*$AG106^4+WeightSDS!T$8*$AG106^3+WeightSDS!U$8*$AG106^2+WeightSDS!V$8*$AG106+WeightSDS!W$8,WeightSDS!$U$9-WeightSDS!$V$9*($AG106-WeightSDS!$W$9)))</f>
        <v>0.75407122999999998</v>
      </c>
      <c r="AJ106" s="24">
        <f>IF(D106="M",IF($AG106&lt;45,WeightSDS!M$23*$AG106^10+WeightSDS!N$23*$AG106^9+WeightSDS!O$23*$AG106^8+WeightSDS!P$23*$AG106^7+WeightSDS!Q$23*$AG106^6+WeightSDS!R$23*$AG106^5+WeightSDS!S$23*$AG106^4+WeightSDS!T$23*$AG106^3+WeightSDS!U$23*$AG106^2+WeightSDS!V$23*$AG106+WeightSDS!W$23,IF($AG106&lt;153,WeightSDS!M$25*$AG106^10+WeightSDS!N$25*$AG106^9+WeightSDS!O$25*$AG106^8+WeightSDS!P$25*$AG106^7+WeightSDS!Q$25*$AG106^6+WeightSDS!R$25*$AG106^5+WeightSDS!S$25*$AG106^4+WeightSDS!T$25*$AG106^3+WeightSDS!U$25*$AG106^2+WeightSDS!V$25*$AG106+WeightSDS!W$25,WeightSDS!M$27+WeightSDS!N$27/(1+EXP(WeightSDS!O$27+WeightSDS!P$27*$AG106)))),IF($AG106&lt;43.8,WeightSDS!M$29*$AG106^10+WeightSDS!N$29*$AG106^9+WeightSDS!O$29*$AG106^8+WeightSDS!P$29*$AG106^7+WeightSDS!Q$29*$AG106^6+WeightSDS!R$29*$AG106^5+WeightSDS!S$29*$AG106^4+WeightSDS!T$29*$AG106^3+WeightSDS!U$29*$AG106^2+WeightSDS!V$29*$AG106+WeightSDS!W$29-0.010431*(1-$AG106/210),IF($AG106&lt;123,WeightSDS!M$30*$AG106^10+WeightSDS!N$30*$AG106^9+WeightSDS!O$30*$AG106^8+WeightSDS!P$30*$AG106^7+WeightSDS!Q$30*$AG106^6+WeightSDS!R$30*$AG106^5+WeightSDS!S$30*$AG106^4+WeightSDS!T$30*$AG106^3+WeightSDS!U$30*$AG106^2+WeightSDS!V$30*$AG106+WeightSDS!W$30-0.010431*(1-1/$AG106),WeightSDS!M$32+WeightSDS!N$32/(1+EXP(WeightSDS!O$32+WeightSDS!P$32*$AG106))-0.010431*(1-$AG106/210))))</f>
        <v>2.9500001032655536</v>
      </c>
      <c r="AK106" s="24">
        <f>IF(D106="M",IF($AG106&lt;162,WeightSDS!P$12*$AG106^7+WeightSDS!Q$12*$AG106^6+WeightSDS!R$12*$AG106^5+WeightSDS!S$12*$AG106^4+WeightSDS!T$12*$AG106^3+WeightSDS!U$12*$AG106^2+WeightSDS!V$12*$AG106+WeightSDS!W$12,WeightSDS!P$14*$AG106^7+WeightSDS!Q$14*$AG106^6+WeightSDS!R$14*$AG106^5+WeightSDS!S$14*$AG106^4+WeightSDS!T$14*$AG106^3+WeightSDS!U$14*$AG106^2+WeightSDS!V$14*$AG106+WeightSDS!W$14),IF($AG106&lt;156,WeightSDS!O$17*$AG106^8+WeightSDS!P$17*$AG106^7+WeightSDS!Q$17*$AG106^6+WeightSDS!R$17*$AG106^5+WeightSDS!S$17*$AG106^4+WeightSDS!T$17*$AG106^3+WeightSDS!U$17*$AG106^2+WeightSDS!V$17*$AG106+WeightSDS!W$17,IF($AG106&lt;186,WeightSDS!$U$18+(WeightSDS!$V$18-WeightSDS!$U$18)/24*($AG106-186)+WeightSDS!$W$18*(-$AG106+186)^2-0.005,WeightSDS!$U$18+(WeightSDS!$V$18-WeightSDS!$U$18)/24*($AG106-186)-0.005)))</f>
        <v>0.14604529399999999</v>
      </c>
    </row>
    <row r="107" spans="1:37">
      <c r="A107" s="4"/>
      <c r="B107" s="21"/>
      <c r="C107" s="21"/>
      <c r="D107" s="21"/>
      <c r="E107" s="22"/>
      <c r="F107" s="22"/>
      <c r="G107" s="23"/>
      <c r="H107" s="23"/>
      <c r="I107" s="8" t="str">
        <f t="shared" si="18"/>
        <v/>
      </c>
      <c r="J107" s="2" t="str">
        <f t="shared" si="25"/>
        <v/>
      </c>
      <c r="K107" s="2" t="str">
        <f t="shared" si="19"/>
        <v/>
      </c>
      <c r="L107" s="2" t="str">
        <f t="shared" si="26"/>
        <v/>
      </c>
      <c r="M107" s="2" t="str">
        <f t="shared" si="31"/>
        <v/>
      </c>
      <c r="N107" s="2" t="str">
        <f t="shared" si="27"/>
        <v/>
      </c>
      <c r="O107" s="8" t="str">
        <f t="shared" si="28"/>
        <v/>
      </c>
      <c r="P107" s="8" t="str">
        <f t="shared" si="29"/>
        <v/>
      </c>
      <c r="Q107" s="40" t="str">
        <f t="shared" si="20"/>
        <v/>
      </c>
      <c r="R107" s="48" t="str">
        <f t="shared" si="30"/>
        <v/>
      </c>
      <c r="S107" s="8"/>
      <c r="U107" s="35">
        <f t="shared" si="21"/>
        <v>0</v>
      </c>
      <c r="V107" s="24">
        <f t="shared" si="22"/>
        <v>0</v>
      </c>
      <c r="W107" s="41">
        <f t="shared" si="33"/>
        <v>0</v>
      </c>
      <c r="X107" s="31"/>
      <c r="Y107" s="31"/>
      <c r="Z107" s="31"/>
      <c r="AA107" s="25">
        <f t="shared" si="23"/>
        <v>9.0359999999999996</v>
      </c>
      <c r="AB107" s="25">
        <f t="shared" si="24"/>
        <v>-184.49199999999999</v>
      </c>
      <c r="AD107" s="24">
        <f>IF(D107="M",IF(AG107&lt;78,BMILMS!$D$5*AG107^3+BMILMS!$E$5*AG107^2+BMILMS!$F$5*AG107+BMILMS!$G$5,IF(AG107&lt;150,BMILMS!$D$6*AG107^3+BMILMS!$E$6*AG107^2+BMILMS!$F$6*AG107+BMILMS!$G$6,BMILMS!$D$7*AG107^3+BMILMS!$E$7*AG107^2+BMILMS!$F$7*AG107+BMILMS!$G$7)),IF(AG107&lt;69,BMILMS!$D$9*AG107^3+BMILMS!$E$9*AG107^2+BMILMS!$F$9*AG107+BMILMS!$G$9,IF(AG107&lt;150,BMILMS!$D$10*AG107^3+BMILMS!$E$10*AG107^2+BMILMS!$F$10*AG107+BMILMS!$G$10,BMILMS!$D$11*AG107^3+BMILMS!$E$11*AG107^2+BMILMS!$F$11*AG107+BMILMS!$G$11)))</f>
        <v>0.79584630099999998</v>
      </c>
      <c r="AE107" s="24">
        <f>IF(D107="M",(IF(AG107&lt;2.5,BMILMS!$D$21*AG107^3+BMILMS!$E$21*AG107^2+BMILMS!$F$21*AG107+BMILMS!$G$21,IF(AG107&lt;9.5,BMILMS!$D$22*AG107^3+BMILMS!$E$22*AG107^2+BMILMS!$F$22*AG107+BMILMS!$G$22,IF(AG107&lt;26.75,BMILMS!$D$23*AG107^3+BMILMS!$E$23*AG107^2+BMILMS!$F$23*AG107+BMILMS!$G$23,IF(AG107&lt;90,BMILMS!$D$24*AG107^3+BMILMS!$E$24*AG107^2+BMILMS!$F$24*AG107+BMILMS!$G$24,BMILMS!$D$25*AG107^3+BMILMS!$E$25*AG107^2+BMILMS!$F$25*AG107+BMILMS!$G$25))))),(IF(AG107&lt;2.5,BMILMS!$D$27*AG107^3+BMILMS!$E$27*AG107^2+BMILMS!$F$27*AG107+BMILMS!$G$27,IF(AG107&lt;9.5,BMILMS!$D$28*AG107^3+BMILMS!$E$28*AG107^2+BMILMS!$F$28*AG107+BMILMS!$G$28,IF(AG107&lt;26.75,BMILMS!$D$29*AG107^3+BMILMS!$E$29*AG107^2+BMILMS!$F$29*AG107+BMILMS!$G$29,IF(AG107&lt;90,BMILMS!$D$30*AG107^3+BMILMS!$E$30*AG107^2+BMILMS!$F$30*AG107+BMILMS!$G$30,IF(AG107&lt;150,BMILMS!$D$31*AG107^3+BMILMS!$E$31*AG107^2+BMILMS!$F$31*AG107+BMILMS!$G$31,BMILMS!$D$32*AG107^3+BMILMS!$E$32*AG107^2+BMILMS!$F$32*AG107+BMILMS!$G$32)))))))</f>
        <v>12.568967990000001</v>
      </c>
      <c r="AF107" s="24">
        <f>IF(D107="M",(IF(AG107&lt;90,BMILMS!$D$14*AG107^3+BMILMS!$E$14*AG107^2+BMILMS!$F$14*AG107+BMILMS!$G$14,BMILMS!$D$15*AG107^3+BMILMS!$E$15*AG107^2+BMILMS!$F$15*AG107+BMILMS!$G$15)),(IF(AG107&lt;90,BMILMS!$D$17*AG107^3+BMILMS!$E$17*AG107^2+BMILMS!$F$17*AG107+BMILMS!$G$17,BMILMS!$D$18*AG107^3+BMILMS!$E$18*AG107^2+BMILMS!$F$18*AG107+BMILMS!$G$18)))</f>
        <v>8.8969350000000003E-2</v>
      </c>
      <c r="AG107" s="24">
        <f t="shared" si="32"/>
        <v>0</v>
      </c>
      <c r="AI107" s="38">
        <f>IF(D107="M",WeightSDS!P$5*$AG107^7+WeightSDS!Q$5*$AG107^6+WeightSDS!R$5*$AG107^5+WeightSDS!S$5*$AG107^4+WeightSDS!T$5*$AG107^3+WeightSDS!U$5*$AG107^2+WeightSDS!V$5*$AG107+WeightSDS!W$5,IF($AG107&lt;186,WeightSDS!P$8*$AG107^7+WeightSDS!Q$8*$AG107^6+WeightSDS!R$8*$AG107^5+WeightSDS!S$8*$AG107^4+WeightSDS!T$8*$AG107^3+WeightSDS!U$8*$AG107^2+WeightSDS!V$8*$AG107+WeightSDS!W$8,WeightSDS!$U$9-WeightSDS!$V$9*($AG107-WeightSDS!$W$9)))</f>
        <v>0.75407122999999998</v>
      </c>
      <c r="AJ107" s="24">
        <f>IF(D107="M",IF($AG107&lt;45,WeightSDS!M$23*$AG107^10+WeightSDS!N$23*$AG107^9+WeightSDS!O$23*$AG107^8+WeightSDS!P$23*$AG107^7+WeightSDS!Q$23*$AG107^6+WeightSDS!R$23*$AG107^5+WeightSDS!S$23*$AG107^4+WeightSDS!T$23*$AG107^3+WeightSDS!U$23*$AG107^2+WeightSDS!V$23*$AG107+WeightSDS!W$23,IF($AG107&lt;153,WeightSDS!M$25*$AG107^10+WeightSDS!N$25*$AG107^9+WeightSDS!O$25*$AG107^8+WeightSDS!P$25*$AG107^7+WeightSDS!Q$25*$AG107^6+WeightSDS!R$25*$AG107^5+WeightSDS!S$25*$AG107^4+WeightSDS!T$25*$AG107^3+WeightSDS!U$25*$AG107^2+WeightSDS!V$25*$AG107+WeightSDS!W$25,WeightSDS!M$27+WeightSDS!N$27/(1+EXP(WeightSDS!O$27+WeightSDS!P$27*$AG107)))),IF($AG107&lt;43.8,WeightSDS!M$29*$AG107^10+WeightSDS!N$29*$AG107^9+WeightSDS!O$29*$AG107^8+WeightSDS!P$29*$AG107^7+WeightSDS!Q$29*$AG107^6+WeightSDS!R$29*$AG107^5+WeightSDS!S$29*$AG107^4+WeightSDS!T$29*$AG107^3+WeightSDS!U$29*$AG107^2+WeightSDS!V$29*$AG107+WeightSDS!W$29-0.010431*(1-$AG107/210),IF($AG107&lt;123,WeightSDS!M$30*$AG107^10+WeightSDS!N$30*$AG107^9+WeightSDS!O$30*$AG107^8+WeightSDS!P$30*$AG107^7+WeightSDS!Q$30*$AG107^6+WeightSDS!R$30*$AG107^5+WeightSDS!S$30*$AG107^4+WeightSDS!T$30*$AG107^3+WeightSDS!U$30*$AG107^2+WeightSDS!V$30*$AG107+WeightSDS!W$30-0.010431*(1-1/$AG107),WeightSDS!M$32+WeightSDS!N$32/(1+EXP(WeightSDS!O$32+WeightSDS!P$32*$AG107))-0.010431*(1-$AG107/210))))</f>
        <v>2.9500001032655536</v>
      </c>
      <c r="AK107" s="24">
        <f>IF(D107="M",IF($AG107&lt;162,WeightSDS!P$12*$AG107^7+WeightSDS!Q$12*$AG107^6+WeightSDS!R$12*$AG107^5+WeightSDS!S$12*$AG107^4+WeightSDS!T$12*$AG107^3+WeightSDS!U$12*$AG107^2+WeightSDS!V$12*$AG107+WeightSDS!W$12,WeightSDS!P$14*$AG107^7+WeightSDS!Q$14*$AG107^6+WeightSDS!R$14*$AG107^5+WeightSDS!S$14*$AG107^4+WeightSDS!T$14*$AG107^3+WeightSDS!U$14*$AG107^2+WeightSDS!V$14*$AG107+WeightSDS!W$14),IF($AG107&lt;156,WeightSDS!O$17*$AG107^8+WeightSDS!P$17*$AG107^7+WeightSDS!Q$17*$AG107^6+WeightSDS!R$17*$AG107^5+WeightSDS!S$17*$AG107^4+WeightSDS!T$17*$AG107^3+WeightSDS!U$17*$AG107^2+WeightSDS!V$17*$AG107+WeightSDS!W$17,IF($AG107&lt;186,WeightSDS!$U$18+(WeightSDS!$V$18-WeightSDS!$U$18)/24*($AG107-186)+WeightSDS!$W$18*(-$AG107+186)^2-0.005,WeightSDS!$U$18+(WeightSDS!$V$18-WeightSDS!$U$18)/24*($AG107-186)-0.005)))</f>
        <v>0.14604529399999999</v>
      </c>
    </row>
    <row r="108" spans="1:37">
      <c r="A108" s="4"/>
      <c r="B108" s="21"/>
      <c r="C108" s="21"/>
      <c r="D108" s="21"/>
      <c r="E108" s="22"/>
      <c r="F108" s="22"/>
      <c r="G108" s="23"/>
      <c r="H108" s="23"/>
      <c r="I108" s="8" t="str">
        <f t="shared" si="18"/>
        <v/>
      </c>
      <c r="J108" s="2" t="str">
        <f t="shared" si="25"/>
        <v/>
      </c>
      <c r="K108" s="2" t="str">
        <f t="shared" si="19"/>
        <v/>
      </c>
      <c r="L108" s="2" t="str">
        <f t="shared" si="26"/>
        <v/>
      </c>
      <c r="M108" s="2" t="str">
        <f t="shared" si="31"/>
        <v/>
      </c>
      <c r="N108" s="2" t="str">
        <f t="shared" si="27"/>
        <v/>
      </c>
      <c r="O108" s="8" t="str">
        <f t="shared" si="28"/>
        <v/>
      </c>
      <c r="P108" s="8" t="str">
        <f t="shared" si="29"/>
        <v/>
      </c>
      <c r="Q108" s="40" t="str">
        <f t="shared" si="20"/>
        <v/>
      </c>
      <c r="R108" s="48" t="str">
        <f t="shared" si="30"/>
        <v/>
      </c>
      <c r="S108" s="8"/>
      <c r="U108" s="35">
        <f t="shared" si="21"/>
        <v>0</v>
      </c>
      <c r="V108" s="24">
        <f t="shared" si="22"/>
        <v>0</v>
      </c>
      <c r="W108" s="41">
        <f t="shared" si="33"/>
        <v>0</v>
      </c>
      <c r="X108" s="31"/>
      <c r="Y108" s="31"/>
      <c r="Z108" s="31"/>
      <c r="AA108" s="25">
        <f t="shared" si="23"/>
        <v>9.0359999999999996</v>
      </c>
      <c r="AB108" s="25">
        <f t="shared" si="24"/>
        <v>-184.49199999999999</v>
      </c>
      <c r="AD108" s="24">
        <f>IF(D108="M",IF(AG108&lt;78,BMILMS!$D$5*AG108^3+BMILMS!$E$5*AG108^2+BMILMS!$F$5*AG108+BMILMS!$G$5,IF(AG108&lt;150,BMILMS!$D$6*AG108^3+BMILMS!$E$6*AG108^2+BMILMS!$F$6*AG108+BMILMS!$G$6,BMILMS!$D$7*AG108^3+BMILMS!$E$7*AG108^2+BMILMS!$F$7*AG108+BMILMS!$G$7)),IF(AG108&lt;69,BMILMS!$D$9*AG108^3+BMILMS!$E$9*AG108^2+BMILMS!$F$9*AG108+BMILMS!$G$9,IF(AG108&lt;150,BMILMS!$D$10*AG108^3+BMILMS!$E$10*AG108^2+BMILMS!$F$10*AG108+BMILMS!$G$10,BMILMS!$D$11*AG108^3+BMILMS!$E$11*AG108^2+BMILMS!$F$11*AG108+BMILMS!$G$11)))</f>
        <v>0.79584630099999998</v>
      </c>
      <c r="AE108" s="24">
        <f>IF(D108="M",(IF(AG108&lt;2.5,BMILMS!$D$21*AG108^3+BMILMS!$E$21*AG108^2+BMILMS!$F$21*AG108+BMILMS!$G$21,IF(AG108&lt;9.5,BMILMS!$D$22*AG108^3+BMILMS!$E$22*AG108^2+BMILMS!$F$22*AG108+BMILMS!$G$22,IF(AG108&lt;26.75,BMILMS!$D$23*AG108^3+BMILMS!$E$23*AG108^2+BMILMS!$F$23*AG108+BMILMS!$G$23,IF(AG108&lt;90,BMILMS!$D$24*AG108^3+BMILMS!$E$24*AG108^2+BMILMS!$F$24*AG108+BMILMS!$G$24,BMILMS!$D$25*AG108^3+BMILMS!$E$25*AG108^2+BMILMS!$F$25*AG108+BMILMS!$G$25))))),(IF(AG108&lt;2.5,BMILMS!$D$27*AG108^3+BMILMS!$E$27*AG108^2+BMILMS!$F$27*AG108+BMILMS!$G$27,IF(AG108&lt;9.5,BMILMS!$D$28*AG108^3+BMILMS!$E$28*AG108^2+BMILMS!$F$28*AG108+BMILMS!$G$28,IF(AG108&lt;26.75,BMILMS!$D$29*AG108^3+BMILMS!$E$29*AG108^2+BMILMS!$F$29*AG108+BMILMS!$G$29,IF(AG108&lt;90,BMILMS!$D$30*AG108^3+BMILMS!$E$30*AG108^2+BMILMS!$F$30*AG108+BMILMS!$G$30,IF(AG108&lt;150,BMILMS!$D$31*AG108^3+BMILMS!$E$31*AG108^2+BMILMS!$F$31*AG108+BMILMS!$G$31,BMILMS!$D$32*AG108^3+BMILMS!$E$32*AG108^2+BMILMS!$F$32*AG108+BMILMS!$G$32)))))))</f>
        <v>12.568967990000001</v>
      </c>
      <c r="AF108" s="24">
        <f>IF(D108="M",(IF(AG108&lt;90,BMILMS!$D$14*AG108^3+BMILMS!$E$14*AG108^2+BMILMS!$F$14*AG108+BMILMS!$G$14,BMILMS!$D$15*AG108^3+BMILMS!$E$15*AG108^2+BMILMS!$F$15*AG108+BMILMS!$G$15)),(IF(AG108&lt;90,BMILMS!$D$17*AG108^3+BMILMS!$E$17*AG108^2+BMILMS!$F$17*AG108+BMILMS!$G$17,BMILMS!$D$18*AG108^3+BMILMS!$E$18*AG108^2+BMILMS!$F$18*AG108+BMILMS!$G$18)))</f>
        <v>8.8969350000000003E-2</v>
      </c>
      <c r="AG108" s="24">
        <f t="shared" si="32"/>
        <v>0</v>
      </c>
      <c r="AI108" s="38">
        <f>IF(D108="M",WeightSDS!P$5*$AG108^7+WeightSDS!Q$5*$AG108^6+WeightSDS!R$5*$AG108^5+WeightSDS!S$5*$AG108^4+WeightSDS!T$5*$AG108^3+WeightSDS!U$5*$AG108^2+WeightSDS!V$5*$AG108+WeightSDS!W$5,IF($AG108&lt;186,WeightSDS!P$8*$AG108^7+WeightSDS!Q$8*$AG108^6+WeightSDS!R$8*$AG108^5+WeightSDS!S$8*$AG108^4+WeightSDS!T$8*$AG108^3+WeightSDS!U$8*$AG108^2+WeightSDS!V$8*$AG108+WeightSDS!W$8,WeightSDS!$U$9-WeightSDS!$V$9*($AG108-WeightSDS!$W$9)))</f>
        <v>0.75407122999999998</v>
      </c>
      <c r="AJ108" s="24">
        <f>IF(D108="M",IF($AG108&lt;45,WeightSDS!M$23*$AG108^10+WeightSDS!N$23*$AG108^9+WeightSDS!O$23*$AG108^8+WeightSDS!P$23*$AG108^7+WeightSDS!Q$23*$AG108^6+WeightSDS!R$23*$AG108^5+WeightSDS!S$23*$AG108^4+WeightSDS!T$23*$AG108^3+WeightSDS!U$23*$AG108^2+WeightSDS!V$23*$AG108+WeightSDS!W$23,IF($AG108&lt;153,WeightSDS!M$25*$AG108^10+WeightSDS!N$25*$AG108^9+WeightSDS!O$25*$AG108^8+WeightSDS!P$25*$AG108^7+WeightSDS!Q$25*$AG108^6+WeightSDS!R$25*$AG108^5+WeightSDS!S$25*$AG108^4+WeightSDS!T$25*$AG108^3+WeightSDS!U$25*$AG108^2+WeightSDS!V$25*$AG108+WeightSDS!W$25,WeightSDS!M$27+WeightSDS!N$27/(1+EXP(WeightSDS!O$27+WeightSDS!P$27*$AG108)))),IF($AG108&lt;43.8,WeightSDS!M$29*$AG108^10+WeightSDS!N$29*$AG108^9+WeightSDS!O$29*$AG108^8+WeightSDS!P$29*$AG108^7+WeightSDS!Q$29*$AG108^6+WeightSDS!R$29*$AG108^5+WeightSDS!S$29*$AG108^4+WeightSDS!T$29*$AG108^3+WeightSDS!U$29*$AG108^2+WeightSDS!V$29*$AG108+WeightSDS!W$29-0.010431*(1-$AG108/210),IF($AG108&lt;123,WeightSDS!M$30*$AG108^10+WeightSDS!N$30*$AG108^9+WeightSDS!O$30*$AG108^8+WeightSDS!P$30*$AG108^7+WeightSDS!Q$30*$AG108^6+WeightSDS!R$30*$AG108^5+WeightSDS!S$30*$AG108^4+WeightSDS!T$30*$AG108^3+WeightSDS!U$30*$AG108^2+WeightSDS!V$30*$AG108+WeightSDS!W$30-0.010431*(1-1/$AG108),WeightSDS!M$32+WeightSDS!N$32/(1+EXP(WeightSDS!O$32+WeightSDS!P$32*$AG108))-0.010431*(1-$AG108/210))))</f>
        <v>2.9500001032655536</v>
      </c>
      <c r="AK108" s="24">
        <f>IF(D108="M",IF($AG108&lt;162,WeightSDS!P$12*$AG108^7+WeightSDS!Q$12*$AG108^6+WeightSDS!R$12*$AG108^5+WeightSDS!S$12*$AG108^4+WeightSDS!T$12*$AG108^3+WeightSDS!U$12*$AG108^2+WeightSDS!V$12*$AG108+WeightSDS!W$12,WeightSDS!P$14*$AG108^7+WeightSDS!Q$14*$AG108^6+WeightSDS!R$14*$AG108^5+WeightSDS!S$14*$AG108^4+WeightSDS!T$14*$AG108^3+WeightSDS!U$14*$AG108^2+WeightSDS!V$14*$AG108+WeightSDS!W$14),IF($AG108&lt;156,WeightSDS!O$17*$AG108^8+WeightSDS!P$17*$AG108^7+WeightSDS!Q$17*$AG108^6+WeightSDS!R$17*$AG108^5+WeightSDS!S$17*$AG108^4+WeightSDS!T$17*$AG108^3+WeightSDS!U$17*$AG108^2+WeightSDS!V$17*$AG108+WeightSDS!W$17,IF($AG108&lt;186,WeightSDS!$U$18+(WeightSDS!$V$18-WeightSDS!$U$18)/24*($AG108-186)+WeightSDS!$W$18*(-$AG108+186)^2-0.005,WeightSDS!$U$18+(WeightSDS!$V$18-WeightSDS!$U$18)/24*($AG108-186)-0.005)))</f>
        <v>0.14604529399999999</v>
      </c>
    </row>
    <row r="109" spans="1:37">
      <c r="A109" s="4"/>
      <c r="B109" s="21"/>
      <c r="C109" s="21"/>
      <c r="D109" s="21"/>
      <c r="E109" s="22"/>
      <c r="F109" s="22"/>
      <c r="G109" s="23"/>
      <c r="H109" s="23"/>
      <c r="I109" s="8" t="str">
        <f t="shared" si="18"/>
        <v/>
      </c>
      <c r="J109" s="2" t="str">
        <f t="shared" si="25"/>
        <v/>
      </c>
      <c r="K109" s="2" t="str">
        <f t="shared" si="19"/>
        <v/>
      </c>
      <c r="L109" s="2" t="str">
        <f t="shared" si="26"/>
        <v/>
      </c>
      <c r="M109" s="2" t="str">
        <f t="shared" si="31"/>
        <v/>
      </c>
      <c r="N109" s="2" t="str">
        <f t="shared" si="27"/>
        <v/>
      </c>
      <c r="O109" s="8" t="str">
        <f t="shared" si="28"/>
        <v/>
      </c>
      <c r="P109" s="8" t="str">
        <f t="shared" si="29"/>
        <v/>
      </c>
      <c r="Q109" s="40" t="str">
        <f t="shared" si="20"/>
        <v/>
      </c>
      <c r="R109" s="48" t="str">
        <f t="shared" si="30"/>
        <v/>
      </c>
      <c r="S109" s="8"/>
      <c r="U109" s="35">
        <f t="shared" si="21"/>
        <v>0</v>
      </c>
      <c r="V109" s="24">
        <f t="shared" si="22"/>
        <v>0</v>
      </c>
      <c r="W109" s="41">
        <f t="shared" si="33"/>
        <v>0</v>
      </c>
      <c r="X109" s="31"/>
      <c r="Y109" s="31"/>
      <c r="Z109" s="31"/>
      <c r="AA109" s="25">
        <f t="shared" si="23"/>
        <v>9.0359999999999996</v>
      </c>
      <c r="AB109" s="25">
        <f t="shared" si="24"/>
        <v>-184.49199999999999</v>
      </c>
      <c r="AD109" s="24">
        <f>IF(D109="M",IF(AG109&lt;78,BMILMS!$D$5*AG109^3+BMILMS!$E$5*AG109^2+BMILMS!$F$5*AG109+BMILMS!$G$5,IF(AG109&lt;150,BMILMS!$D$6*AG109^3+BMILMS!$E$6*AG109^2+BMILMS!$F$6*AG109+BMILMS!$G$6,BMILMS!$D$7*AG109^3+BMILMS!$E$7*AG109^2+BMILMS!$F$7*AG109+BMILMS!$G$7)),IF(AG109&lt;69,BMILMS!$D$9*AG109^3+BMILMS!$E$9*AG109^2+BMILMS!$F$9*AG109+BMILMS!$G$9,IF(AG109&lt;150,BMILMS!$D$10*AG109^3+BMILMS!$E$10*AG109^2+BMILMS!$F$10*AG109+BMILMS!$G$10,BMILMS!$D$11*AG109^3+BMILMS!$E$11*AG109^2+BMILMS!$F$11*AG109+BMILMS!$G$11)))</f>
        <v>0.79584630099999998</v>
      </c>
      <c r="AE109" s="24">
        <f>IF(D109="M",(IF(AG109&lt;2.5,BMILMS!$D$21*AG109^3+BMILMS!$E$21*AG109^2+BMILMS!$F$21*AG109+BMILMS!$G$21,IF(AG109&lt;9.5,BMILMS!$D$22*AG109^3+BMILMS!$E$22*AG109^2+BMILMS!$F$22*AG109+BMILMS!$G$22,IF(AG109&lt;26.75,BMILMS!$D$23*AG109^3+BMILMS!$E$23*AG109^2+BMILMS!$F$23*AG109+BMILMS!$G$23,IF(AG109&lt;90,BMILMS!$D$24*AG109^3+BMILMS!$E$24*AG109^2+BMILMS!$F$24*AG109+BMILMS!$G$24,BMILMS!$D$25*AG109^3+BMILMS!$E$25*AG109^2+BMILMS!$F$25*AG109+BMILMS!$G$25))))),(IF(AG109&lt;2.5,BMILMS!$D$27*AG109^3+BMILMS!$E$27*AG109^2+BMILMS!$F$27*AG109+BMILMS!$G$27,IF(AG109&lt;9.5,BMILMS!$D$28*AG109^3+BMILMS!$E$28*AG109^2+BMILMS!$F$28*AG109+BMILMS!$G$28,IF(AG109&lt;26.75,BMILMS!$D$29*AG109^3+BMILMS!$E$29*AG109^2+BMILMS!$F$29*AG109+BMILMS!$G$29,IF(AG109&lt;90,BMILMS!$D$30*AG109^3+BMILMS!$E$30*AG109^2+BMILMS!$F$30*AG109+BMILMS!$G$30,IF(AG109&lt;150,BMILMS!$D$31*AG109^3+BMILMS!$E$31*AG109^2+BMILMS!$F$31*AG109+BMILMS!$G$31,BMILMS!$D$32*AG109^3+BMILMS!$E$32*AG109^2+BMILMS!$F$32*AG109+BMILMS!$G$32)))))))</f>
        <v>12.568967990000001</v>
      </c>
      <c r="AF109" s="24">
        <f>IF(D109="M",(IF(AG109&lt;90,BMILMS!$D$14*AG109^3+BMILMS!$E$14*AG109^2+BMILMS!$F$14*AG109+BMILMS!$G$14,BMILMS!$D$15*AG109^3+BMILMS!$E$15*AG109^2+BMILMS!$F$15*AG109+BMILMS!$G$15)),(IF(AG109&lt;90,BMILMS!$D$17*AG109^3+BMILMS!$E$17*AG109^2+BMILMS!$F$17*AG109+BMILMS!$G$17,BMILMS!$D$18*AG109^3+BMILMS!$E$18*AG109^2+BMILMS!$F$18*AG109+BMILMS!$G$18)))</f>
        <v>8.8969350000000003E-2</v>
      </c>
      <c r="AG109" s="24">
        <f t="shared" si="32"/>
        <v>0</v>
      </c>
      <c r="AI109" s="38">
        <f>IF(D109="M",WeightSDS!P$5*$AG109^7+WeightSDS!Q$5*$AG109^6+WeightSDS!R$5*$AG109^5+WeightSDS!S$5*$AG109^4+WeightSDS!T$5*$AG109^3+WeightSDS!U$5*$AG109^2+WeightSDS!V$5*$AG109+WeightSDS!W$5,IF($AG109&lt;186,WeightSDS!P$8*$AG109^7+WeightSDS!Q$8*$AG109^6+WeightSDS!R$8*$AG109^5+WeightSDS!S$8*$AG109^4+WeightSDS!T$8*$AG109^3+WeightSDS!U$8*$AG109^2+WeightSDS!V$8*$AG109+WeightSDS!W$8,WeightSDS!$U$9-WeightSDS!$V$9*($AG109-WeightSDS!$W$9)))</f>
        <v>0.75407122999999998</v>
      </c>
      <c r="AJ109" s="24">
        <f>IF(D109="M",IF($AG109&lt;45,WeightSDS!M$23*$AG109^10+WeightSDS!N$23*$AG109^9+WeightSDS!O$23*$AG109^8+WeightSDS!P$23*$AG109^7+WeightSDS!Q$23*$AG109^6+WeightSDS!R$23*$AG109^5+WeightSDS!S$23*$AG109^4+WeightSDS!T$23*$AG109^3+WeightSDS!U$23*$AG109^2+WeightSDS!V$23*$AG109+WeightSDS!W$23,IF($AG109&lt;153,WeightSDS!M$25*$AG109^10+WeightSDS!N$25*$AG109^9+WeightSDS!O$25*$AG109^8+WeightSDS!P$25*$AG109^7+WeightSDS!Q$25*$AG109^6+WeightSDS!R$25*$AG109^5+WeightSDS!S$25*$AG109^4+WeightSDS!T$25*$AG109^3+WeightSDS!U$25*$AG109^2+WeightSDS!V$25*$AG109+WeightSDS!W$25,WeightSDS!M$27+WeightSDS!N$27/(1+EXP(WeightSDS!O$27+WeightSDS!P$27*$AG109)))),IF($AG109&lt;43.8,WeightSDS!M$29*$AG109^10+WeightSDS!N$29*$AG109^9+WeightSDS!O$29*$AG109^8+WeightSDS!P$29*$AG109^7+WeightSDS!Q$29*$AG109^6+WeightSDS!R$29*$AG109^5+WeightSDS!S$29*$AG109^4+WeightSDS!T$29*$AG109^3+WeightSDS!U$29*$AG109^2+WeightSDS!V$29*$AG109+WeightSDS!W$29-0.010431*(1-$AG109/210),IF($AG109&lt;123,WeightSDS!M$30*$AG109^10+WeightSDS!N$30*$AG109^9+WeightSDS!O$30*$AG109^8+WeightSDS!P$30*$AG109^7+WeightSDS!Q$30*$AG109^6+WeightSDS!R$30*$AG109^5+WeightSDS!S$30*$AG109^4+WeightSDS!T$30*$AG109^3+WeightSDS!U$30*$AG109^2+WeightSDS!V$30*$AG109+WeightSDS!W$30-0.010431*(1-1/$AG109),WeightSDS!M$32+WeightSDS!N$32/(1+EXP(WeightSDS!O$32+WeightSDS!P$32*$AG109))-0.010431*(1-$AG109/210))))</f>
        <v>2.9500001032655536</v>
      </c>
      <c r="AK109" s="24">
        <f>IF(D109="M",IF($AG109&lt;162,WeightSDS!P$12*$AG109^7+WeightSDS!Q$12*$AG109^6+WeightSDS!R$12*$AG109^5+WeightSDS!S$12*$AG109^4+WeightSDS!T$12*$AG109^3+WeightSDS!U$12*$AG109^2+WeightSDS!V$12*$AG109+WeightSDS!W$12,WeightSDS!P$14*$AG109^7+WeightSDS!Q$14*$AG109^6+WeightSDS!R$14*$AG109^5+WeightSDS!S$14*$AG109^4+WeightSDS!T$14*$AG109^3+WeightSDS!U$14*$AG109^2+WeightSDS!V$14*$AG109+WeightSDS!W$14),IF($AG109&lt;156,WeightSDS!O$17*$AG109^8+WeightSDS!P$17*$AG109^7+WeightSDS!Q$17*$AG109^6+WeightSDS!R$17*$AG109^5+WeightSDS!S$17*$AG109^4+WeightSDS!T$17*$AG109^3+WeightSDS!U$17*$AG109^2+WeightSDS!V$17*$AG109+WeightSDS!W$17,IF($AG109&lt;186,WeightSDS!$U$18+(WeightSDS!$V$18-WeightSDS!$U$18)/24*($AG109-186)+WeightSDS!$W$18*(-$AG109+186)^2-0.005,WeightSDS!$U$18+(WeightSDS!$V$18-WeightSDS!$U$18)/24*($AG109-186)-0.005)))</f>
        <v>0.14604529399999999</v>
      </c>
    </row>
    <row r="110" spans="1:37">
      <c r="A110" s="4"/>
      <c r="B110" s="21"/>
      <c r="C110" s="21"/>
      <c r="D110" s="21"/>
      <c r="E110" s="22"/>
      <c r="F110" s="22"/>
      <c r="G110" s="23"/>
      <c r="H110" s="23"/>
      <c r="I110" s="8" t="str">
        <f t="shared" si="18"/>
        <v/>
      </c>
      <c r="J110" s="2" t="str">
        <f t="shared" si="25"/>
        <v/>
      </c>
      <c r="K110" s="2" t="str">
        <f t="shared" si="19"/>
        <v/>
      </c>
      <c r="L110" s="2" t="str">
        <f t="shared" si="26"/>
        <v/>
      </c>
      <c r="M110" s="2" t="str">
        <f t="shared" si="31"/>
        <v/>
      </c>
      <c r="N110" s="2" t="str">
        <f t="shared" si="27"/>
        <v/>
      </c>
      <c r="O110" s="8" t="str">
        <f t="shared" si="28"/>
        <v/>
      </c>
      <c r="P110" s="8" t="str">
        <f t="shared" si="29"/>
        <v/>
      </c>
      <c r="Q110" s="40" t="str">
        <f t="shared" si="20"/>
        <v/>
      </c>
      <c r="R110" s="48" t="str">
        <f t="shared" si="30"/>
        <v/>
      </c>
      <c r="S110" s="8"/>
      <c r="U110" s="35">
        <f t="shared" si="21"/>
        <v>0</v>
      </c>
      <c r="V110" s="24">
        <f t="shared" si="22"/>
        <v>0</v>
      </c>
      <c r="W110" s="41">
        <f t="shared" si="33"/>
        <v>0</v>
      </c>
      <c r="X110" s="31"/>
      <c r="Y110" s="31"/>
      <c r="Z110" s="31"/>
      <c r="AA110" s="25">
        <f t="shared" si="23"/>
        <v>9.0359999999999996</v>
      </c>
      <c r="AB110" s="25">
        <f t="shared" si="24"/>
        <v>-184.49199999999999</v>
      </c>
      <c r="AD110" s="24">
        <f>IF(D110="M",IF(AG110&lt;78,BMILMS!$D$5*AG110^3+BMILMS!$E$5*AG110^2+BMILMS!$F$5*AG110+BMILMS!$G$5,IF(AG110&lt;150,BMILMS!$D$6*AG110^3+BMILMS!$E$6*AG110^2+BMILMS!$F$6*AG110+BMILMS!$G$6,BMILMS!$D$7*AG110^3+BMILMS!$E$7*AG110^2+BMILMS!$F$7*AG110+BMILMS!$G$7)),IF(AG110&lt;69,BMILMS!$D$9*AG110^3+BMILMS!$E$9*AG110^2+BMILMS!$F$9*AG110+BMILMS!$G$9,IF(AG110&lt;150,BMILMS!$D$10*AG110^3+BMILMS!$E$10*AG110^2+BMILMS!$F$10*AG110+BMILMS!$G$10,BMILMS!$D$11*AG110^3+BMILMS!$E$11*AG110^2+BMILMS!$F$11*AG110+BMILMS!$G$11)))</f>
        <v>0.79584630099999998</v>
      </c>
      <c r="AE110" s="24">
        <f>IF(D110="M",(IF(AG110&lt;2.5,BMILMS!$D$21*AG110^3+BMILMS!$E$21*AG110^2+BMILMS!$F$21*AG110+BMILMS!$G$21,IF(AG110&lt;9.5,BMILMS!$D$22*AG110^3+BMILMS!$E$22*AG110^2+BMILMS!$F$22*AG110+BMILMS!$G$22,IF(AG110&lt;26.75,BMILMS!$D$23*AG110^3+BMILMS!$E$23*AG110^2+BMILMS!$F$23*AG110+BMILMS!$G$23,IF(AG110&lt;90,BMILMS!$D$24*AG110^3+BMILMS!$E$24*AG110^2+BMILMS!$F$24*AG110+BMILMS!$G$24,BMILMS!$D$25*AG110^3+BMILMS!$E$25*AG110^2+BMILMS!$F$25*AG110+BMILMS!$G$25))))),(IF(AG110&lt;2.5,BMILMS!$D$27*AG110^3+BMILMS!$E$27*AG110^2+BMILMS!$F$27*AG110+BMILMS!$G$27,IF(AG110&lt;9.5,BMILMS!$D$28*AG110^3+BMILMS!$E$28*AG110^2+BMILMS!$F$28*AG110+BMILMS!$G$28,IF(AG110&lt;26.75,BMILMS!$D$29*AG110^3+BMILMS!$E$29*AG110^2+BMILMS!$F$29*AG110+BMILMS!$G$29,IF(AG110&lt;90,BMILMS!$D$30*AG110^3+BMILMS!$E$30*AG110^2+BMILMS!$F$30*AG110+BMILMS!$G$30,IF(AG110&lt;150,BMILMS!$D$31*AG110^3+BMILMS!$E$31*AG110^2+BMILMS!$F$31*AG110+BMILMS!$G$31,BMILMS!$D$32*AG110^3+BMILMS!$E$32*AG110^2+BMILMS!$F$32*AG110+BMILMS!$G$32)))))))</f>
        <v>12.568967990000001</v>
      </c>
      <c r="AF110" s="24">
        <f>IF(D110="M",(IF(AG110&lt;90,BMILMS!$D$14*AG110^3+BMILMS!$E$14*AG110^2+BMILMS!$F$14*AG110+BMILMS!$G$14,BMILMS!$D$15*AG110^3+BMILMS!$E$15*AG110^2+BMILMS!$F$15*AG110+BMILMS!$G$15)),(IF(AG110&lt;90,BMILMS!$D$17*AG110^3+BMILMS!$E$17*AG110^2+BMILMS!$F$17*AG110+BMILMS!$G$17,BMILMS!$D$18*AG110^3+BMILMS!$E$18*AG110^2+BMILMS!$F$18*AG110+BMILMS!$G$18)))</f>
        <v>8.8969350000000003E-2</v>
      </c>
      <c r="AG110" s="24">
        <f t="shared" si="32"/>
        <v>0</v>
      </c>
      <c r="AI110" s="38">
        <f>IF(D110="M",WeightSDS!P$5*$AG110^7+WeightSDS!Q$5*$AG110^6+WeightSDS!R$5*$AG110^5+WeightSDS!S$5*$AG110^4+WeightSDS!T$5*$AG110^3+WeightSDS!U$5*$AG110^2+WeightSDS!V$5*$AG110+WeightSDS!W$5,IF($AG110&lt;186,WeightSDS!P$8*$AG110^7+WeightSDS!Q$8*$AG110^6+WeightSDS!R$8*$AG110^5+WeightSDS!S$8*$AG110^4+WeightSDS!T$8*$AG110^3+WeightSDS!U$8*$AG110^2+WeightSDS!V$8*$AG110+WeightSDS!W$8,WeightSDS!$U$9-WeightSDS!$V$9*($AG110-WeightSDS!$W$9)))</f>
        <v>0.75407122999999998</v>
      </c>
      <c r="AJ110" s="24">
        <f>IF(D110="M",IF($AG110&lt;45,WeightSDS!M$23*$AG110^10+WeightSDS!N$23*$AG110^9+WeightSDS!O$23*$AG110^8+WeightSDS!P$23*$AG110^7+WeightSDS!Q$23*$AG110^6+WeightSDS!R$23*$AG110^5+WeightSDS!S$23*$AG110^4+WeightSDS!T$23*$AG110^3+WeightSDS!U$23*$AG110^2+WeightSDS!V$23*$AG110+WeightSDS!W$23,IF($AG110&lt;153,WeightSDS!M$25*$AG110^10+WeightSDS!N$25*$AG110^9+WeightSDS!O$25*$AG110^8+WeightSDS!P$25*$AG110^7+WeightSDS!Q$25*$AG110^6+WeightSDS!R$25*$AG110^5+WeightSDS!S$25*$AG110^4+WeightSDS!T$25*$AG110^3+WeightSDS!U$25*$AG110^2+WeightSDS!V$25*$AG110+WeightSDS!W$25,WeightSDS!M$27+WeightSDS!N$27/(1+EXP(WeightSDS!O$27+WeightSDS!P$27*$AG110)))),IF($AG110&lt;43.8,WeightSDS!M$29*$AG110^10+WeightSDS!N$29*$AG110^9+WeightSDS!O$29*$AG110^8+WeightSDS!P$29*$AG110^7+WeightSDS!Q$29*$AG110^6+WeightSDS!R$29*$AG110^5+WeightSDS!S$29*$AG110^4+WeightSDS!T$29*$AG110^3+WeightSDS!U$29*$AG110^2+WeightSDS!V$29*$AG110+WeightSDS!W$29-0.010431*(1-$AG110/210),IF($AG110&lt;123,WeightSDS!M$30*$AG110^10+WeightSDS!N$30*$AG110^9+WeightSDS!O$30*$AG110^8+WeightSDS!P$30*$AG110^7+WeightSDS!Q$30*$AG110^6+WeightSDS!R$30*$AG110^5+WeightSDS!S$30*$AG110^4+WeightSDS!T$30*$AG110^3+WeightSDS!U$30*$AG110^2+WeightSDS!V$30*$AG110+WeightSDS!W$30-0.010431*(1-1/$AG110),WeightSDS!M$32+WeightSDS!N$32/(1+EXP(WeightSDS!O$32+WeightSDS!P$32*$AG110))-0.010431*(1-$AG110/210))))</f>
        <v>2.9500001032655536</v>
      </c>
      <c r="AK110" s="24">
        <f>IF(D110="M",IF($AG110&lt;162,WeightSDS!P$12*$AG110^7+WeightSDS!Q$12*$AG110^6+WeightSDS!R$12*$AG110^5+WeightSDS!S$12*$AG110^4+WeightSDS!T$12*$AG110^3+WeightSDS!U$12*$AG110^2+WeightSDS!V$12*$AG110+WeightSDS!W$12,WeightSDS!P$14*$AG110^7+WeightSDS!Q$14*$AG110^6+WeightSDS!R$14*$AG110^5+WeightSDS!S$14*$AG110^4+WeightSDS!T$14*$AG110^3+WeightSDS!U$14*$AG110^2+WeightSDS!V$14*$AG110+WeightSDS!W$14),IF($AG110&lt;156,WeightSDS!O$17*$AG110^8+WeightSDS!P$17*$AG110^7+WeightSDS!Q$17*$AG110^6+WeightSDS!R$17*$AG110^5+WeightSDS!S$17*$AG110^4+WeightSDS!T$17*$AG110^3+WeightSDS!U$17*$AG110^2+WeightSDS!V$17*$AG110+WeightSDS!W$17,IF($AG110&lt;186,WeightSDS!$U$18+(WeightSDS!$V$18-WeightSDS!$U$18)/24*($AG110-186)+WeightSDS!$W$18*(-$AG110+186)^2-0.005,WeightSDS!$U$18+(WeightSDS!$V$18-WeightSDS!$U$18)/24*($AG110-186)-0.005)))</f>
        <v>0.14604529399999999</v>
      </c>
    </row>
    <row r="111" spans="1:37">
      <c r="A111" s="4"/>
      <c r="B111" s="21"/>
      <c r="C111" s="21"/>
      <c r="D111" s="21"/>
      <c r="E111" s="22"/>
      <c r="F111" s="22"/>
      <c r="G111" s="23"/>
      <c r="H111" s="23"/>
      <c r="I111" s="8" t="str">
        <f t="shared" si="18"/>
        <v/>
      </c>
      <c r="J111" s="2" t="str">
        <f t="shared" si="25"/>
        <v/>
      </c>
      <c r="K111" s="2" t="str">
        <f t="shared" si="19"/>
        <v/>
      </c>
      <c r="L111" s="2" t="str">
        <f t="shared" si="26"/>
        <v/>
      </c>
      <c r="M111" s="2" t="str">
        <f t="shared" si="31"/>
        <v/>
      </c>
      <c r="N111" s="2" t="str">
        <f t="shared" si="27"/>
        <v/>
      </c>
      <c r="O111" s="8" t="str">
        <f t="shared" si="28"/>
        <v/>
      </c>
      <c r="P111" s="8" t="str">
        <f t="shared" si="29"/>
        <v/>
      </c>
      <c r="Q111" s="40" t="str">
        <f t="shared" si="20"/>
        <v/>
      </c>
      <c r="R111" s="48" t="str">
        <f t="shared" si="30"/>
        <v/>
      </c>
      <c r="S111" s="8"/>
      <c r="U111" s="35">
        <f t="shared" si="21"/>
        <v>0</v>
      </c>
      <c r="V111" s="24">
        <f t="shared" si="22"/>
        <v>0</v>
      </c>
      <c r="W111" s="41">
        <f t="shared" si="33"/>
        <v>0</v>
      </c>
      <c r="X111" s="31"/>
      <c r="Y111" s="31"/>
      <c r="Z111" s="31"/>
      <c r="AA111" s="25">
        <f t="shared" si="23"/>
        <v>9.0359999999999996</v>
      </c>
      <c r="AB111" s="25">
        <f t="shared" si="24"/>
        <v>-184.49199999999999</v>
      </c>
      <c r="AD111" s="24">
        <f>IF(D111="M",IF(AG111&lt;78,BMILMS!$D$5*AG111^3+BMILMS!$E$5*AG111^2+BMILMS!$F$5*AG111+BMILMS!$G$5,IF(AG111&lt;150,BMILMS!$D$6*AG111^3+BMILMS!$E$6*AG111^2+BMILMS!$F$6*AG111+BMILMS!$G$6,BMILMS!$D$7*AG111^3+BMILMS!$E$7*AG111^2+BMILMS!$F$7*AG111+BMILMS!$G$7)),IF(AG111&lt;69,BMILMS!$D$9*AG111^3+BMILMS!$E$9*AG111^2+BMILMS!$F$9*AG111+BMILMS!$G$9,IF(AG111&lt;150,BMILMS!$D$10*AG111^3+BMILMS!$E$10*AG111^2+BMILMS!$F$10*AG111+BMILMS!$G$10,BMILMS!$D$11*AG111^3+BMILMS!$E$11*AG111^2+BMILMS!$F$11*AG111+BMILMS!$G$11)))</f>
        <v>0.79584630099999998</v>
      </c>
      <c r="AE111" s="24">
        <f>IF(D111="M",(IF(AG111&lt;2.5,BMILMS!$D$21*AG111^3+BMILMS!$E$21*AG111^2+BMILMS!$F$21*AG111+BMILMS!$G$21,IF(AG111&lt;9.5,BMILMS!$D$22*AG111^3+BMILMS!$E$22*AG111^2+BMILMS!$F$22*AG111+BMILMS!$G$22,IF(AG111&lt;26.75,BMILMS!$D$23*AG111^3+BMILMS!$E$23*AG111^2+BMILMS!$F$23*AG111+BMILMS!$G$23,IF(AG111&lt;90,BMILMS!$D$24*AG111^3+BMILMS!$E$24*AG111^2+BMILMS!$F$24*AG111+BMILMS!$G$24,BMILMS!$D$25*AG111^3+BMILMS!$E$25*AG111^2+BMILMS!$F$25*AG111+BMILMS!$G$25))))),(IF(AG111&lt;2.5,BMILMS!$D$27*AG111^3+BMILMS!$E$27*AG111^2+BMILMS!$F$27*AG111+BMILMS!$G$27,IF(AG111&lt;9.5,BMILMS!$D$28*AG111^3+BMILMS!$E$28*AG111^2+BMILMS!$F$28*AG111+BMILMS!$G$28,IF(AG111&lt;26.75,BMILMS!$D$29*AG111^3+BMILMS!$E$29*AG111^2+BMILMS!$F$29*AG111+BMILMS!$G$29,IF(AG111&lt;90,BMILMS!$D$30*AG111^3+BMILMS!$E$30*AG111^2+BMILMS!$F$30*AG111+BMILMS!$G$30,IF(AG111&lt;150,BMILMS!$D$31*AG111^3+BMILMS!$E$31*AG111^2+BMILMS!$F$31*AG111+BMILMS!$G$31,BMILMS!$D$32*AG111^3+BMILMS!$E$32*AG111^2+BMILMS!$F$32*AG111+BMILMS!$G$32)))))))</f>
        <v>12.568967990000001</v>
      </c>
      <c r="AF111" s="24">
        <f>IF(D111="M",(IF(AG111&lt;90,BMILMS!$D$14*AG111^3+BMILMS!$E$14*AG111^2+BMILMS!$F$14*AG111+BMILMS!$G$14,BMILMS!$D$15*AG111^3+BMILMS!$E$15*AG111^2+BMILMS!$F$15*AG111+BMILMS!$G$15)),(IF(AG111&lt;90,BMILMS!$D$17*AG111^3+BMILMS!$E$17*AG111^2+BMILMS!$F$17*AG111+BMILMS!$G$17,BMILMS!$D$18*AG111^3+BMILMS!$E$18*AG111^2+BMILMS!$F$18*AG111+BMILMS!$G$18)))</f>
        <v>8.8969350000000003E-2</v>
      </c>
      <c r="AG111" s="24">
        <f t="shared" si="32"/>
        <v>0</v>
      </c>
      <c r="AI111" s="38">
        <f>IF(D111="M",WeightSDS!P$5*$AG111^7+WeightSDS!Q$5*$AG111^6+WeightSDS!R$5*$AG111^5+WeightSDS!S$5*$AG111^4+WeightSDS!T$5*$AG111^3+WeightSDS!U$5*$AG111^2+WeightSDS!V$5*$AG111+WeightSDS!W$5,IF($AG111&lt;186,WeightSDS!P$8*$AG111^7+WeightSDS!Q$8*$AG111^6+WeightSDS!R$8*$AG111^5+WeightSDS!S$8*$AG111^4+WeightSDS!T$8*$AG111^3+WeightSDS!U$8*$AG111^2+WeightSDS!V$8*$AG111+WeightSDS!W$8,WeightSDS!$U$9-WeightSDS!$V$9*($AG111-WeightSDS!$W$9)))</f>
        <v>0.75407122999999998</v>
      </c>
      <c r="AJ111" s="24">
        <f>IF(D111="M",IF($AG111&lt;45,WeightSDS!M$23*$AG111^10+WeightSDS!N$23*$AG111^9+WeightSDS!O$23*$AG111^8+WeightSDS!P$23*$AG111^7+WeightSDS!Q$23*$AG111^6+WeightSDS!R$23*$AG111^5+WeightSDS!S$23*$AG111^4+WeightSDS!T$23*$AG111^3+WeightSDS!U$23*$AG111^2+WeightSDS!V$23*$AG111+WeightSDS!W$23,IF($AG111&lt;153,WeightSDS!M$25*$AG111^10+WeightSDS!N$25*$AG111^9+WeightSDS!O$25*$AG111^8+WeightSDS!P$25*$AG111^7+WeightSDS!Q$25*$AG111^6+WeightSDS!R$25*$AG111^5+WeightSDS!S$25*$AG111^4+WeightSDS!T$25*$AG111^3+WeightSDS!U$25*$AG111^2+WeightSDS!V$25*$AG111+WeightSDS!W$25,WeightSDS!M$27+WeightSDS!N$27/(1+EXP(WeightSDS!O$27+WeightSDS!P$27*$AG111)))),IF($AG111&lt;43.8,WeightSDS!M$29*$AG111^10+WeightSDS!N$29*$AG111^9+WeightSDS!O$29*$AG111^8+WeightSDS!P$29*$AG111^7+WeightSDS!Q$29*$AG111^6+WeightSDS!R$29*$AG111^5+WeightSDS!S$29*$AG111^4+WeightSDS!T$29*$AG111^3+WeightSDS!U$29*$AG111^2+WeightSDS!V$29*$AG111+WeightSDS!W$29-0.010431*(1-$AG111/210),IF($AG111&lt;123,WeightSDS!M$30*$AG111^10+WeightSDS!N$30*$AG111^9+WeightSDS!O$30*$AG111^8+WeightSDS!P$30*$AG111^7+WeightSDS!Q$30*$AG111^6+WeightSDS!R$30*$AG111^5+WeightSDS!S$30*$AG111^4+WeightSDS!T$30*$AG111^3+WeightSDS!U$30*$AG111^2+WeightSDS!V$30*$AG111+WeightSDS!W$30-0.010431*(1-1/$AG111),WeightSDS!M$32+WeightSDS!N$32/(1+EXP(WeightSDS!O$32+WeightSDS!P$32*$AG111))-0.010431*(1-$AG111/210))))</f>
        <v>2.9500001032655536</v>
      </c>
      <c r="AK111" s="24">
        <f>IF(D111="M",IF($AG111&lt;162,WeightSDS!P$12*$AG111^7+WeightSDS!Q$12*$AG111^6+WeightSDS!R$12*$AG111^5+WeightSDS!S$12*$AG111^4+WeightSDS!T$12*$AG111^3+WeightSDS!U$12*$AG111^2+WeightSDS!V$12*$AG111+WeightSDS!W$12,WeightSDS!P$14*$AG111^7+WeightSDS!Q$14*$AG111^6+WeightSDS!R$14*$AG111^5+WeightSDS!S$14*$AG111^4+WeightSDS!T$14*$AG111^3+WeightSDS!U$14*$AG111^2+WeightSDS!V$14*$AG111+WeightSDS!W$14),IF($AG111&lt;156,WeightSDS!O$17*$AG111^8+WeightSDS!P$17*$AG111^7+WeightSDS!Q$17*$AG111^6+WeightSDS!R$17*$AG111^5+WeightSDS!S$17*$AG111^4+WeightSDS!T$17*$AG111^3+WeightSDS!U$17*$AG111^2+WeightSDS!V$17*$AG111+WeightSDS!W$17,IF($AG111&lt;186,WeightSDS!$U$18+(WeightSDS!$V$18-WeightSDS!$U$18)/24*($AG111-186)+WeightSDS!$W$18*(-$AG111+186)^2-0.005,WeightSDS!$U$18+(WeightSDS!$V$18-WeightSDS!$U$18)/24*($AG111-186)-0.005)))</f>
        <v>0.14604529399999999</v>
      </c>
    </row>
    <row r="112" spans="1:37">
      <c r="A112" s="4"/>
      <c r="B112" s="21"/>
      <c r="C112" s="21"/>
      <c r="D112" s="21"/>
      <c r="E112" s="22"/>
      <c r="F112" s="22"/>
      <c r="G112" s="23"/>
      <c r="H112" s="23"/>
      <c r="I112" s="8" t="str">
        <f t="shared" si="18"/>
        <v/>
      </c>
      <c r="J112" s="2" t="str">
        <f t="shared" si="25"/>
        <v/>
      </c>
      <c r="K112" s="2" t="str">
        <f t="shared" si="19"/>
        <v/>
      </c>
      <c r="L112" s="2" t="str">
        <f t="shared" si="26"/>
        <v/>
      </c>
      <c r="M112" s="2" t="str">
        <f t="shared" si="31"/>
        <v/>
      </c>
      <c r="N112" s="2" t="str">
        <f t="shared" si="27"/>
        <v/>
      </c>
      <c r="O112" s="8" t="str">
        <f t="shared" si="28"/>
        <v/>
      </c>
      <c r="P112" s="8" t="str">
        <f t="shared" si="29"/>
        <v/>
      </c>
      <c r="Q112" s="40" t="str">
        <f t="shared" si="20"/>
        <v/>
      </c>
      <c r="R112" s="48" t="str">
        <f t="shared" si="30"/>
        <v/>
      </c>
      <c r="S112" s="8"/>
      <c r="U112" s="35">
        <f t="shared" si="21"/>
        <v>0</v>
      </c>
      <c r="V112" s="24">
        <f t="shared" si="22"/>
        <v>0</v>
      </c>
      <c r="W112" s="41">
        <f t="shared" si="33"/>
        <v>0</v>
      </c>
      <c r="X112" s="31"/>
      <c r="Y112" s="31"/>
      <c r="Z112" s="31"/>
      <c r="AA112" s="25">
        <f t="shared" si="23"/>
        <v>9.0359999999999996</v>
      </c>
      <c r="AB112" s="25">
        <f t="shared" si="24"/>
        <v>-184.49199999999999</v>
      </c>
      <c r="AD112" s="24">
        <f>IF(D112="M",IF(AG112&lt;78,BMILMS!$D$5*AG112^3+BMILMS!$E$5*AG112^2+BMILMS!$F$5*AG112+BMILMS!$G$5,IF(AG112&lt;150,BMILMS!$D$6*AG112^3+BMILMS!$E$6*AG112^2+BMILMS!$F$6*AG112+BMILMS!$G$6,BMILMS!$D$7*AG112^3+BMILMS!$E$7*AG112^2+BMILMS!$F$7*AG112+BMILMS!$G$7)),IF(AG112&lt;69,BMILMS!$D$9*AG112^3+BMILMS!$E$9*AG112^2+BMILMS!$F$9*AG112+BMILMS!$G$9,IF(AG112&lt;150,BMILMS!$D$10*AG112^3+BMILMS!$E$10*AG112^2+BMILMS!$F$10*AG112+BMILMS!$G$10,BMILMS!$D$11*AG112^3+BMILMS!$E$11*AG112^2+BMILMS!$F$11*AG112+BMILMS!$G$11)))</f>
        <v>0.79584630099999998</v>
      </c>
      <c r="AE112" s="24">
        <f>IF(D112="M",(IF(AG112&lt;2.5,BMILMS!$D$21*AG112^3+BMILMS!$E$21*AG112^2+BMILMS!$F$21*AG112+BMILMS!$G$21,IF(AG112&lt;9.5,BMILMS!$D$22*AG112^3+BMILMS!$E$22*AG112^2+BMILMS!$F$22*AG112+BMILMS!$G$22,IF(AG112&lt;26.75,BMILMS!$D$23*AG112^3+BMILMS!$E$23*AG112^2+BMILMS!$F$23*AG112+BMILMS!$G$23,IF(AG112&lt;90,BMILMS!$D$24*AG112^3+BMILMS!$E$24*AG112^2+BMILMS!$F$24*AG112+BMILMS!$G$24,BMILMS!$D$25*AG112^3+BMILMS!$E$25*AG112^2+BMILMS!$F$25*AG112+BMILMS!$G$25))))),(IF(AG112&lt;2.5,BMILMS!$D$27*AG112^3+BMILMS!$E$27*AG112^2+BMILMS!$F$27*AG112+BMILMS!$G$27,IF(AG112&lt;9.5,BMILMS!$D$28*AG112^3+BMILMS!$E$28*AG112^2+BMILMS!$F$28*AG112+BMILMS!$G$28,IF(AG112&lt;26.75,BMILMS!$D$29*AG112^3+BMILMS!$E$29*AG112^2+BMILMS!$F$29*AG112+BMILMS!$G$29,IF(AG112&lt;90,BMILMS!$D$30*AG112^3+BMILMS!$E$30*AG112^2+BMILMS!$F$30*AG112+BMILMS!$G$30,IF(AG112&lt;150,BMILMS!$D$31*AG112^3+BMILMS!$E$31*AG112^2+BMILMS!$F$31*AG112+BMILMS!$G$31,BMILMS!$D$32*AG112^3+BMILMS!$E$32*AG112^2+BMILMS!$F$32*AG112+BMILMS!$G$32)))))))</f>
        <v>12.568967990000001</v>
      </c>
      <c r="AF112" s="24">
        <f>IF(D112="M",(IF(AG112&lt;90,BMILMS!$D$14*AG112^3+BMILMS!$E$14*AG112^2+BMILMS!$F$14*AG112+BMILMS!$G$14,BMILMS!$D$15*AG112^3+BMILMS!$E$15*AG112^2+BMILMS!$F$15*AG112+BMILMS!$G$15)),(IF(AG112&lt;90,BMILMS!$D$17*AG112^3+BMILMS!$E$17*AG112^2+BMILMS!$F$17*AG112+BMILMS!$G$17,BMILMS!$D$18*AG112^3+BMILMS!$E$18*AG112^2+BMILMS!$F$18*AG112+BMILMS!$G$18)))</f>
        <v>8.8969350000000003E-2</v>
      </c>
      <c r="AG112" s="24">
        <f t="shared" si="32"/>
        <v>0</v>
      </c>
      <c r="AI112" s="38">
        <f>IF(D112="M",WeightSDS!P$5*$AG112^7+WeightSDS!Q$5*$AG112^6+WeightSDS!R$5*$AG112^5+WeightSDS!S$5*$AG112^4+WeightSDS!T$5*$AG112^3+WeightSDS!U$5*$AG112^2+WeightSDS!V$5*$AG112+WeightSDS!W$5,IF($AG112&lt;186,WeightSDS!P$8*$AG112^7+WeightSDS!Q$8*$AG112^6+WeightSDS!R$8*$AG112^5+WeightSDS!S$8*$AG112^4+WeightSDS!T$8*$AG112^3+WeightSDS!U$8*$AG112^2+WeightSDS!V$8*$AG112+WeightSDS!W$8,WeightSDS!$U$9-WeightSDS!$V$9*($AG112-WeightSDS!$W$9)))</f>
        <v>0.75407122999999998</v>
      </c>
      <c r="AJ112" s="24">
        <f>IF(D112="M",IF($AG112&lt;45,WeightSDS!M$23*$AG112^10+WeightSDS!N$23*$AG112^9+WeightSDS!O$23*$AG112^8+WeightSDS!P$23*$AG112^7+WeightSDS!Q$23*$AG112^6+WeightSDS!R$23*$AG112^5+WeightSDS!S$23*$AG112^4+WeightSDS!T$23*$AG112^3+WeightSDS!U$23*$AG112^2+WeightSDS!V$23*$AG112+WeightSDS!W$23,IF($AG112&lt;153,WeightSDS!M$25*$AG112^10+WeightSDS!N$25*$AG112^9+WeightSDS!O$25*$AG112^8+WeightSDS!P$25*$AG112^7+WeightSDS!Q$25*$AG112^6+WeightSDS!R$25*$AG112^5+WeightSDS!S$25*$AG112^4+WeightSDS!T$25*$AG112^3+WeightSDS!U$25*$AG112^2+WeightSDS!V$25*$AG112+WeightSDS!W$25,WeightSDS!M$27+WeightSDS!N$27/(1+EXP(WeightSDS!O$27+WeightSDS!P$27*$AG112)))),IF($AG112&lt;43.8,WeightSDS!M$29*$AG112^10+WeightSDS!N$29*$AG112^9+WeightSDS!O$29*$AG112^8+WeightSDS!P$29*$AG112^7+WeightSDS!Q$29*$AG112^6+WeightSDS!R$29*$AG112^5+WeightSDS!S$29*$AG112^4+WeightSDS!T$29*$AG112^3+WeightSDS!U$29*$AG112^2+WeightSDS!V$29*$AG112+WeightSDS!W$29-0.010431*(1-$AG112/210),IF($AG112&lt;123,WeightSDS!M$30*$AG112^10+WeightSDS!N$30*$AG112^9+WeightSDS!O$30*$AG112^8+WeightSDS!P$30*$AG112^7+WeightSDS!Q$30*$AG112^6+WeightSDS!R$30*$AG112^5+WeightSDS!S$30*$AG112^4+WeightSDS!T$30*$AG112^3+WeightSDS!U$30*$AG112^2+WeightSDS!V$30*$AG112+WeightSDS!W$30-0.010431*(1-1/$AG112),WeightSDS!M$32+WeightSDS!N$32/(1+EXP(WeightSDS!O$32+WeightSDS!P$32*$AG112))-0.010431*(1-$AG112/210))))</f>
        <v>2.9500001032655536</v>
      </c>
      <c r="AK112" s="24">
        <f>IF(D112="M",IF($AG112&lt;162,WeightSDS!P$12*$AG112^7+WeightSDS!Q$12*$AG112^6+WeightSDS!R$12*$AG112^5+WeightSDS!S$12*$AG112^4+WeightSDS!T$12*$AG112^3+WeightSDS!U$12*$AG112^2+WeightSDS!V$12*$AG112+WeightSDS!W$12,WeightSDS!P$14*$AG112^7+WeightSDS!Q$14*$AG112^6+WeightSDS!R$14*$AG112^5+WeightSDS!S$14*$AG112^4+WeightSDS!T$14*$AG112^3+WeightSDS!U$14*$AG112^2+WeightSDS!V$14*$AG112+WeightSDS!W$14),IF($AG112&lt;156,WeightSDS!O$17*$AG112^8+WeightSDS!P$17*$AG112^7+WeightSDS!Q$17*$AG112^6+WeightSDS!R$17*$AG112^5+WeightSDS!S$17*$AG112^4+WeightSDS!T$17*$AG112^3+WeightSDS!U$17*$AG112^2+WeightSDS!V$17*$AG112+WeightSDS!W$17,IF($AG112&lt;186,WeightSDS!$U$18+(WeightSDS!$V$18-WeightSDS!$U$18)/24*($AG112-186)+WeightSDS!$W$18*(-$AG112+186)^2-0.005,WeightSDS!$U$18+(WeightSDS!$V$18-WeightSDS!$U$18)/24*($AG112-186)-0.005)))</f>
        <v>0.14604529399999999</v>
      </c>
    </row>
    <row r="113" spans="1:37">
      <c r="A113" s="4"/>
      <c r="B113" s="21"/>
      <c r="C113" s="21"/>
      <c r="D113" s="21"/>
      <c r="E113" s="22"/>
      <c r="F113" s="22"/>
      <c r="G113" s="23"/>
      <c r="H113" s="23"/>
      <c r="I113" s="8" t="str">
        <f t="shared" si="18"/>
        <v/>
      </c>
      <c r="J113" s="2" t="str">
        <f t="shared" si="25"/>
        <v/>
      </c>
      <c r="K113" s="2" t="str">
        <f t="shared" si="19"/>
        <v/>
      </c>
      <c r="L113" s="2" t="str">
        <f t="shared" si="26"/>
        <v/>
      </c>
      <c r="M113" s="2" t="str">
        <f t="shared" si="31"/>
        <v/>
      </c>
      <c r="N113" s="2" t="str">
        <f t="shared" si="27"/>
        <v/>
      </c>
      <c r="O113" s="8" t="str">
        <f t="shared" si="28"/>
        <v/>
      </c>
      <c r="P113" s="8" t="str">
        <f t="shared" si="29"/>
        <v/>
      </c>
      <c r="Q113" s="40" t="str">
        <f t="shared" si="20"/>
        <v/>
      </c>
      <c r="R113" s="48" t="str">
        <f t="shared" si="30"/>
        <v/>
      </c>
      <c r="S113" s="8"/>
      <c r="U113" s="35">
        <f t="shared" si="21"/>
        <v>0</v>
      </c>
      <c r="V113" s="24">
        <f t="shared" si="22"/>
        <v>0</v>
      </c>
      <c r="W113" s="41">
        <f t="shared" si="33"/>
        <v>0</v>
      </c>
      <c r="X113" s="31"/>
      <c r="Y113" s="31"/>
      <c r="Z113" s="31"/>
      <c r="AA113" s="25">
        <f t="shared" si="23"/>
        <v>9.0359999999999996</v>
      </c>
      <c r="AB113" s="25">
        <f t="shared" si="24"/>
        <v>-184.49199999999999</v>
      </c>
      <c r="AD113" s="24">
        <f>IF(D113="M",IF(AG113&lt;78,BMILMS!$D$5*AG113^3+BMILMS!$E$5*AG113^2+BMILMS!$F$5*AG113+BMILMS!$G$5,IF(AG113&lt;150,BMILMS!$D$6*AG113^3+BMILMS!$E$6*AG113^2+BMILMS!$F$6*AG113+BMILMS!$G$6,BMILMS!$D$7*AG113^3+BMILMS!$E$7*AG113^2+BMILMS!$F$7*AG113+BMILMS!$G$7)),IF(AG113&lt;69,BMILMS!$D$9*AG113^3+BMILMS!$E$9*AG113^2+BMILMS!$F$9*AG113+BMILMS!$G$9,IF(AG113&lt;150,BMILMS!$D$10*AG113^3+BMILMS!$E$10*AG113^2+BMILMS!$F$10*AG113+BMILMS!$G$10,BMILMS!$D$11*AG113^3+BMILMS!$E$11*AG113^2+BMILMS!$F$11*AG113+BMILMS!$G$11)))</f>
        <v>0.79584630099999998</v>
      </c>
      <c r="AE113" s="24">
        <f>IF(D113="M",(IF(AG113&lt;2.5,BMILMS!$D$21*AG113^3+BMILMS!$E$21*AG113^2+BMILMS!$F$21*AG113+BMILMS!$G$21,IF(AG113&lt;9.5,BMILMS!$D$22*AG113^3+BMILMS!$E$22*AG113^2+BMILMS!$F$22*AG113+BMILMS!$G$22,IF(AG113&lt;26.75,BMILMS!$D$23*AG113^3+BMILMS!$E$23*AG113^2+BMILMS!$F$23*AG113+BMILMS!$G$23,IF(AG113&lt;90,BMILMS!$D$24*AG113^3+BMILMS!$E$24*AG113^2+BMILMS!$F$24*AG113+BMILMS!$G$24,BMILMS!$D$25*AG113^3+BMILMS!$E$25*AG113^2+BMILMS!$F$25*AG113+BMILMS!$G$25))))),(IF(AG113&lt;2.5,BMILMS!$D$27*AG113^3+BMILMS!$E$27*AG113^2+BMILMS!$F$27*AG113+BMILMS!$G$27,IF(AG113&lt;9.5,BMILMS!$D$28*AG113^3+BMILMS!$E$28*AG113^2+BMILMS!$F$28*AG113+BMILMS!$G$28,IF(AG113&lt;26.75,BMILMS!$D$29*AG113^3+BMILMS!$E$29*AG113^2+BMILMS!$F$29*AG113+BMILMS!$G$29,IF(AG113&lt;90,BMILMS!$D$30*AG113^3+BMILMS!$E$30*AG113^2+BMILMS!$F$30*AG113+BMILMS!$G$30,IF(AG113&lt;150,BMILMS!$D$31*AG113^3+BMILMS!$E$31*AG113^2+BMILMS!$F$31*AG113+BMILMS!$G$31,BMILMS!$D$32*AG113^3+BMILMS!$E$32*AG113^2+BMILMS!$F$32*AG113+BMILMS!$G$32)))))))</f>
        <v>12.568967990000001</v>
      </c>
      <c r="AF113" s="24">
        <f>IF(D113="M",(IF(AG113&lt;90,BMILMS!$D$14*AG113^3+BMILMS!$E$14*AG113^2+BMILMS!$F$14*AG113+BMILMS!$G$14,BMILMS!$D$15*AG113^3+BMILMS!$E$15*AG113^2+BMILMS!$F$15*AG113+BMILMS!$G$15)),(IF(AG113&lt;90,BMILMS!$D$17*AG113^3+BMILMS!$E$17*AG113^2+BMILMS!$F$17*AG113+BMILMS!$G$17,BMILMS!$D$18*AG113^3+BMILMS!$E$18*AG113^2+BMILMS!$F$18*AG113+BMILMS!$G$18)))</f>
        <v>8.8969350000000003E-2</v>
      </c>
      <c r="AG113" s="24">
        <f t="shared" si="32"/>
        <v>0</v>
      </c>
      <c r="AI113" s="38">
        <f>IF(D113="M",WeightSDS!P$5*$AG113^7+WeightSDS!Q$5*$AG113^6+WeightSDS!R$5*$AG113^5+WeightSDS!S$5*$AG113^4+WeightSDS!T$5*$AG113^3+WeightSDS!U$5*$AG113^2+WeightSDS!V$5*$AG113+WeightSDS!W$5,IF($AG113&lt;186,WeightSDS!P$8*$AG113^7+WeightSDS!Q$8*$AG113^6+WeightSDS!R$8*$AG113^5+WeightSDS!S$8*$AG113^4+WeightSDS!T$8*$AG113^3+WeightSDS!U$8*$AG113^2+WeightSDS!V$8*$AG113+WeightSDS!W$8,WeightSDS!$U$9-WeightSDS!$V$9*($AG113-WeightSDS!$W$9)))</f>
        <v>0.75407122999999998</v>
      </c>
      <c r="AJ113" s="24">
        <f>IF(D113="M",IF($AG113&lt;45,WeightSDS!M$23*$AG113^10+WeightSDS!N$23*$AG113^9+WeightSDS!O$23*$AG113^8+WeightSDS!P$23*$AG113^7+WeightSDS!Q$23*$AG113^6+WeightSDS!R$23*$AG113^5+WeightSDS!S$23*$AG113^4+WeightSDS!T$23*$AG113^3+WeightSDS!U$23*$AG113^2+WeightSDS!V$23*$AG113+WeightSDS!W$23,IF($AG113&lt;153,WeightSDS!M$25*$AG113^10+WeightSDS!N$25*$AG113^9+WeightSDS!O$25*$AG113^8+WeightSDS!P$25*$AG113^7+WeightSDS!Q$25*$AG113^6+WeightSDS!R$25*$AG113^5+WeightSDS!S$25*$AG113^4+WeightSDS!T$25*$AG113^3+WeightSDS!U$25*$AG113^2+WeightSDS!V$25*$AG113+WeightSDS!W$25,WeightSDS!M$27+WeightSDS!N$27/(1+EXP(WeightSDS!O$27+WeightSDS!P$27*$AG113)))),IF($AG113&lt;43.8,WeightSDS!M$29*$AG113^10+WeightSDS!N$29*$AG113^9+WeightSDS!O$29*$AG113^8+WeightSDS!P$29*$AG113^7+WeightSDS!Q$29*$AG113^6+WeightSDS!R$29*$AG113^5+WeightSDS!S$29*$AG113^4+WeightSDS!T$29*$AG113^3+WeightSDS!U$29*$AG113^2+WeightSDS!V$29*$AG113+WeightSDS!W$29-0.010431*(1-$AG113/210),IF($AG113&lt;123,WeightSDS!M$30*$AG113^10+WeightSDS!N$30*$AG113^9+WeightSDS!O$30*$AG113^8+WeightSDS!P$30*$AG113^7+WeightSDS!Q$30*$AG113^6+WeightSDS!R$30*$AG113^5+WeightSDS!S$30*$AG113^4+WeightSDS!T$30*$AG113^3+WeightSDS!U$30*$AG113^2+WeightSDS!V$30*$AG113+WeightSDS!W$30-0.010431*(1-1/$AG113),WeightSDS!M$32+WeightSDS!N$32/(1+EXP(WeightSDS!O$32+WeightSDS!P$32*$AG113))-0.010431*(1-$AG113/210))))</f>
        <v>2.9500001032655536</v>
      </c>
      <c r="AK113" s="24">
        <f>IF(D113="M",IF($AG113&lt;162,WeightSDS!P$12*$AG113^7+WeightSDS!Q$12*$AG113^6+WeightSDS!R$12*$AG113^5+WeightSDS!S$12*$AG113^4+WeightSDS!T$12*$AG113^3+WeightSDS!U$12*$AG113^2+WeightSDS!V$12*$AG113+WeightSDS!W$12,WeightSDS!P$14*$AG113^7+WeightSDS!Q$14*$AG113^6+WeightSDS!R$14*$AG113^5+WeightSDS!S$14*$AG113^4+WeightSDS!T$14*$AG113^3+WeightSDS!U$14*$AG113^2+WeightSDS!V$14*$AG113+WeightSDS!W$14),IF($AG113&lt;156,WeightSDS!O$17*$AG113^8+WeightSDS!P$17*$AG113^7+WeightSDS!Q$17*$AG113^6+WeightSDS!R$17*$AG113^5+WeightSDS!S$17*$AG113^4+WeightSDS!T$17*$AG113^3+WeightSDS!U$17*$AG113^2+WeightSDS!V$17*$AG113+WeightSDS!W$17,IF($AG113&lt;186,WeightSDS!$U$18+(WeightSDS!$V$18-WeightSDS!$U$18)/24*($AG113-186)+WeightSDS!$W$18*(-$AG113+186)^2-0.005,WeightSDS!$U$18+(WeightSDS!$V$18-WeightSDS!$U$18)/24*($AG113-186)-0.005)))</f>
        <v>0.14604529399999999</v>
      </c>
    </row>
    <row r="114" spans="1:37">
      <c r="A114" s="4"/>
      <c r="B114" s="21"/>
      <c r="C114" s="21"/>
      <c r="D114" s="21"/>
      <c r="E114" s="22"/>
      <c r="F114" s="22"/>
      <c r="G114" s="23"/>
      <c r="H114" s="23"/>
      <c r="I114" s="8" t="str">
        <f t="shared" si="18"/>
        <v/>
      </c>
      <c r="J114" s="2" t="str">
        <f t="shared" si="25"/>
        <v/>
      </c>
      <c r="K114" s="2" t="str">
        <f t="shared" si="19"/>
        <v/>
      </c>
      <c r="L114" s="2" t="str">
        <f t="shared" si="26"/>
        <v/>
      </c>
      <c r="M114" s="2" t="str">
        <f t="shared" si="31"/>
        <v/>
      </c>
      <c r="N114" s="2" t="str">
        <f t="shared" si="27"/>
        <v/>
      </c>
      <c r="O114" s="8" t="str">
        <f t="shared" si="28"/>
        <v/>
      </c>
      <c r="P114" s="8" t="str">
        <f t="shared" si="29"/>
        <v/>
      </c>
      <c r="Q114" s="40" t="str">
        <f t="shared" si="20"/>
        <v/>
      </c>
      <c r="R114" s="48" t="str">
        <f t="shared" si="30"/>
        <v/>
      </c>
      <c r="S114" s="8"/>
      <c r="U114" s="35">
        <f t="shared" si="21"/>
        <v>0</v>
      </c>
      <c r="V114" s="24">
        <f t="shared" si="22"/>
        <v>0</v>
      </c>
      <c r="W114" s="41">
        <f t="shared" si="33"/>
        <v>0</v>
      </c>
      <c r="X114" s="31"/>
      <c r="Y114" s="31"/>
      <c r="Z114" s="31"/>
      <c r="AA114" s="25">
        <f t="shared" si="23"/>
        <v>9.0359999999999996</v>
      </c>
      <c r="AB114" s="25">
        <f t="shared" si="24"/>
        <v>-184.49199999999999</v>
      </c>
      <c r="AD114" s="24">
        <f>IF(D114="M",IF(AG114&lt;78,BMILMS!$D$5*AG114^3+BMILMS!$E$5*AG114^2+BMILMS!$F$5*AG114+BMILMS!$G$5,IF(AG114&lt;150,BMILMS!$D$6*AG114^3+BMILMS!$E$6*AG114^2+BMILMS!$F$6*AG114+BMILMS!$G$6,BMILMS!$D$7*AG114^3+BMILMS!$E$7*AG114^2+BMILMS!$F$7*AG114+BMILMS!$G$7)),IF(AG114&lt;69,BMILMS!$D$9*AG114^3+BMILMS!$E$9*AG114^2+BMILMS!$F$9*AG114+BMILMS!$G$9,IF(AG114&lt;150,BMILMS!$D$10*AG114^3+BMILMS!$E$10*AG114^2+BMILMS!$F$10*AG114+BMILMS!$G$10,BMILMS!$D$11*AG114^3+BMILMS!$E$11*AG114^2+BMILMS!$F$11*AG114+BMILMS!$G$11)))</f>
        <v>0.79584630099999998</v>
      </c>
      <c r="AE114" s="24">
        <f>IF(D114="M",(IF(AG114&lt;2.5,BMILMS!$D$21*AG114^3+BMILMS!$E$21*AG114^2+BMILMS!$F$21*AG114+BMILMS!$G$21,IF(AG114&lt;9.5,BMILMS!$D$22*AG114^3+BMILMS!$E$22*AG114^2+BMILMS!$F$22*AG114+BMILMS!$G$22,IF(AG114&lt;26.75,BMILMS!$D$23*AG114^3+BMILMS!$E$23*AG114^2+BMILMS!$F$23*AG114+BMILMS!$G$23,IF(AG114&lt;90,BMILMS!$D$24*AG114^3+BMILMS!$E$24*AG114^2+BMILMS!$F$24*AG114+BMILMS!$G$24,BMILMS!$D$25*AG114^3+BMILMS!$E$25*AG114^2+BMILMS!$F$25*AG114+BMILMS!$G$25))))),(IF(AG114&lt;2.5,BMILMS!$D$27*AG114^3+BMILMS!$E$27*AG114^2+BMILMS!$F$27*AG114+BMILMS!$G$27,IF(AG114&lt;9.5,BMILMS!$D$28*AG114^3+BMILMS!$E$28*AG114^2+BMILMS!$F$28*AG114+BMILMS!$G$28,IF(AG114&lt;26.75,BMILMS!$D$29*AG114^3+BMILMS!$E$29*AG114^2+BMILMS!$F$29*AG114+BMILMS!$G$29,IF(AG114&lt;90,BMILMS!$D$30*AG114^3+BMILMS!$E$30*AG114^2+BMILMS!$F$30*AG114+BMILMS!$G$30,IF(AG114&lt;150,BMILMS!$D$31*AG114^3+BMILMS!$E$31*AG114^2+BMILMS!$F$31*AG114+BMILMS!$G$31,BMILMS!$D$32*AG114^3+BMILMS!$E$32*AG114^2+BMILMS!$F$32*AG114+BMILMS!$G$32)))))))</f>
        <v>12.568967990000001</v>
      </c>
      <c r="AF114" s="24">
        <f>IF(D114="M",(IF(AG114&lt;90,BMILMS!$D$14*AG114^3+BMILMS!$E$14*AG114^2+BMILMS!$F$14*AG114+BMILMS!$G$14,BMILMS!$D$15*AG114^3+BMILMS!$E$15*AG114^2+BMILMS!$F$15*AG114+BMILMS!$G$15)),(IF(AG114&lt;90,BMILMS!$D$17*AG114^3+BMILMS!$E$17*AG114^2+BMILMS!$F$17*AG114+BMILMS!$G$17,BMILMS!$D$18*AG114^3+BMILMS!$E$18*AG114^2+BMILMS!$F$18*AG114+BMILMS!$G$18)))</f>
        <v>8.8969350000000003E-2</v>
      </c>
      <c r="AG114" s="24">
        <f t="shared" si="32"/>
        <v>0</v>
      </c>
      <c r="AI114" s="38">
        <f>IF(D114="M",WeightSDS!P$5*$AG114^7+WeightSDS!Q$5*$AG114^6+WeightSDS!R$5*$AG114^5+WeightSDS!S$5*$AG114^4+WeightSDS!T$5*$AG114^3+WeightSDS!U$5*$AG114^2+WeightSDS!V$5*$AG114+WeightSDS!W$5,IF($AG114&lt;186,WeightSDS!P$8*$AG114^7+WeightSDS!Q$8*$AG114^6+WeightSDS!R$8*$AG114^5+WeightSDS!S$8*$AG114^4+WeightSDS!T$8*$AG114^3+WeightSDS!U$8*$AG114^2+WeightSDS!V$8*$AG114+WeightSDS!W$8,WeightSDS!$U$9-WeightSDS!$V$9*($AG114-WeightSDS!$W$9)))</f>
        <v>0.75407122999999998</v>
      </c>
      <c r="AJ114" s="24">
        <f>IF(D114="M",IF($AG114&lt;45,WeightSDS!M$23*$AG114^10+WeightSDS!N$23*$AG114^9+WeightSDS!O$23*$AG114^8+WeightSDS!P$23*$AG114^7+WeightSDS!Q$23*$AG114^6+WeightSDS!R$23*$AG114^5+WeightSDS!S$23*$AG114^4+WeightSDS!T$23*$AG114^3+WeightSDS!U$23*$AG114^2+WeightSDS!V$23*$AG114+WeightSDS!W$23,IF($AG114&lt;153,WeightSDS!M$25*$AG114^10+WeightSDS!N$25*$AG114^9+WeightSDS!O$25*$AG114^8+WeightSDS!P$25*$AG114^7+WeightSDS!Q$25*$AG114^6+WeightSDS!R$25*$AG114^5+WeightSDS!S$25*$AG114^4+WeightSDS!T$25*$AG114^3+WeightSDS!U$25*$AG114^2+WeightSDS!V$25*$AG114+WeightSDS!W$25,WeightSDS!M$27+WeightSDS!N$27/(1+EXP(WeightSDS!O$27+WeightSDS!P$27*$AG114)))),IF($AG114&lt;43.8,WeightSDS!M$29*$AG114^10+WeightSDS!N$29*$AG114^9+WeightSDS!O$29*$AG114^8+WeightSDS!P$29*$AG114^7+WeightSDS!Q$29*$AG114^6+WeightSDS!R$29*$AG114^5+WeightSDS!S$29*$AG114^4+WeightSDS!T$29*$AG114^3+WeightSDS!U$29*$AG114^2+WeightSDS!V$29*$AG114+WeightSDS!W$29-0.010431*(1-$AG114/210),IF($AG114&lt;123,WeightSDS!M$30*$AG114^10+WeightSDS!N$30*$AG114^9+WeightSDS!O$30*$AG114^8+WeightSDS!P$30*$AG114^7+WeightSDS!Q$30*$AG114^6+WeightSDS!R$30*$AG114^5+WeightSDS!S$30*$AG114^4+WeightSDS!T$30*$AG114^3+WeightSDS!U$30*$AG114^2+WeightSDS!V$30*$AG114+WeightSDS!W$30-0.010431*(1-1/$AG114),WeightSDS!M$32+WeightSDS!N$32/(1+EXP(WeightSDS!O$32+WeightSDS!P$32*$AG114))-0.010431*(1-$AG114/210))))</f>
        <v>2.9500001032655536</v>
      </c>
      <c r="AK114" s="24">
        <f>IF(D114="M",IF($AG114&lt;162,WeightSDS!P$12*$AG114^7+WeightSDS!Q$12*$AG114^6+WeightSDS!R$12*$AG114^5+WeightSDS!S$12*$AG114^4+WeightSDS!T$12*$AG114^3+WeightSDS!U$12*$AG114^2+WeightSDS!V$12*$AG114+WeightSDS!W$12,WeightSDS!P$14*$AG114^7+WeightSDS!Q$14*$AG114^6+WeightSDS!R$14*$AG114^5+WeightSDS!S$14*$AG114^4+WeightSDS!T$14*$AG114^3+WeightSDS!U$14*$AG114^2+WeightSDS!V$14*$AG114+WeightSDS!W$14),IF($AG114&lt;156,WeightSDS!O$17*$AG114^8+WeightSDS!P$17*$AG114^7+WeightSDS!Q$17*$AG114^6+WeightSDS!R$17*$AG114^5+WeightSDS!S$17*$AG114^4+WeightSDS!T$17*$AG114^3+WeightSDS!U$17*$AG114^2+WeightSDS!V$17*$AG114+WeightSDS!W$17,IF($AG114&lt;186,WeightSDS!$U$18+(WeightSDS!$V$18-WeightSDS!$U$18)/24*($AG114-186)+WeightSDS!$W$18*(-$AG114+186)^2-0.005,WeightSDS!$U$18+(WeightSDS!$V$18-WeightSDS!$U$18)/24*($AG114-186)-0.005)))</f>
        <v>0.14604529399999999</v>
      </c>
    </row>
    <row r="115" spans="1:37">
      <c r="A115" s="4"/>
      <c r="B115" s="21"/>
      <c r="C115" s="21"/>
      <c r="D115" s="21"/>
      <c r="E115" s="22"/>
      <c r="F115" s="22"/>
      <c r="G115" s="23"/>
      <c r="H115" s="23"/>
      <c r="I115" s="8" t="str">
        <f t="shared" si="18"/>
        <v/>
      </c>
      <c r="J115" s="2" t="str">
        <f t="shared" si="25"/>
        <v/>
      </c>
      <c r="K115" s="2" t="str">
        <f t="shared" si="19"/>
        <v/>
      </c>
      <c r="L115" s="2" t="str">
        <f t="shared" si="26"/>
        <v/>
      </c>
      <c r="M115" s="2" t="str">
        <f t="shared" si="31"/>
        <v/>
      </c>
      <c r="N115" s="2" t="str">
        <f t="shared" si="27"/>
        <v/>
      </c>
      <c r="O115" s="8" t="str">
        <f t="shared" si="28"/>
        <v/>
      </c>
      <c r="P115" s="8" t="str">
        <f t="shared" si="29"/>
        <v/>
      </c>
      <c r="Q115" s="40" t="str">
        <f t="shared" si="20"/>
        <v/>
      </c>
      <c r="R115" s="48" t="str">
        <f t="shared" si="30"/>
        <v/>
      </c>
      <c r="S115" s="8"/>
      <c r="U115" s="35">
        <f t="shared" si="21"/>
        <v>0</v>
      </c>
      <c r="V115" s="24">
        <f t="shared" si="22"/>
        <v>0</v>
      </c>
      <c r="W115" s="41">
        <f t="shared" si="33"/>
        <v>0</v>
      </c>
      <c r="X115" s="31"/>
      <c r="Y115" s="31"/>
      <c r="Z115" s="31"/>
      <c r="AA115" s="25">
        <f t="shared" si="23"/>
        <v>9.0359999999999996</v>
      </c>
      <c r="AB115" s="25">
        <f t="shared" si="24"/>
        <v>-184.49199999999999</v>
      </c>
      <c r="AD115" s="24">
        <f>IF(D115="M",IF(AG115&lt;78,BMILMS!$D$5*AG115^3+BMILMS!$E$5*AG115^2+BMILMS!$F$5*AG115+BMILMS!$G$5,IF(AG115&lt;150,BMILMS!$D$6*AG115^3+BMILMS!$E$6*AG115^2+BMILMS!$F$6*AG115+BMILMS!$G$6,BMILMS!$D$7*AG115^3+BMILMS!$E$7*AG115^2+BMILMS!$F$7*AG115+BMILMS!$G$7)),IF(AG115&lt;69,BMILMS!$D$9*AG115^3+BMILMS!$E$9*AG115^2+BMILMS!$F$9*AG115+BMILMS!$G$9,IF(AG115&lt;150,BMILMS!$D$10*AG115^3+BMILMS!$E$10*AG115^2+BMILMS!$F$10*AG115+BMILMS!$G$10,BMILMS!$D$11*AG115^3+BMILMS!$E$11*AG115^2+BMILMS!$F$11*AG115+BMILMS!$G$11)))</f>
        <v>0.79584630099999998</v>
      </c>
      <c r="AE115" s="24">
        <f>IF(D115="M",(IF(AG115&lt;2.5,BMILMS!$D$21*AG115^3+BMILMS!$E$21*AG115^2+BMILMS!$F$21*AG115+BMILMS!$G$21,IF(AG115&lt;9.5,BMILMS!$D$22*AG115^3+BMILMS!$E$22*AG115^2+BMILMS!$F$22*AG115+BMILMS!$G$22,IF(AG115&lt;26.75,BMILMS!$D$23*AG115^3+BMILMS!$E$23*AG115^2+BMILMS!$F$23*AG115+BMILMS!$G$23,IF(AG115&lt;90,BMILMS!$D$24*AG115^3+BMILMS!$E$24*AG115^2+BMILMS!$F$24*AG115+BMILMS!$G$24,BMILMS!$D$25*AG115^3+BMILMS!$E$25*AG115^2+BMILMS!$F$25*AG115+BMILMS!$G$25))))),(IF(AG115&lt;2.5,BMILMS!$D$27*AG115^3+BMILMS!$E$27*AG115^2+BMILMS!$F$27*AG115+BMILMS!$G$27,IF(AG115&lt;9.5,BMILMS!$D$28*AG115^3+BMILMS!$E$28*AG115^2+BMILMS!$F$28*AG115+BMILMS!$G$28,IF(AG115&lt;26.75,BMILMS!$D$29*AG115^3+BMILMS!$E$29*AG115^2+BMILMS!$F$29*AG115+BMILMS!$G$29,IF(AG115&lt;90,BMILMS!$D$30*AG115^3+BMILMS!$E$30*AG115^2+BMILMS!$F$30*AG115+BMILMS!$G$30,IF(AG115&lt;150,BMILMS!$D$31*AG115^3+BMILMS!$E$31*AG115^2+BMILMS!$F$31*AG115+BMILMS!$G$31,BMILMS!$D$32*AG115^3+BMILMS!$E$32*AG115^2+BMILMS!$F$32*AG115+BMILMS!$G$32)))))))</f>
        <v>12.568967990000001</v>
      </c>
      <c r="AF115" s="24">
        <f>IF(D115="M",(IF(AG115&lt;90,BMILMS!$D$14*AG115^3+BMILMS!$E$14*AG115^2+BMILMS!$F$14*AG115+BMILMS!$G$14,BMILMS!$D$15*AG115^3+BMILMS!$E$15*AG115^2+BMILMS!$F$15*AG115+BMILMS!$G$15)),(IF(AG115&lt;90,BMILMS!$D$17*AG115^3+BMILMS!$E$17*AG115^2+BMILMS!$F$17*AG115+BMILMS!$G$17,BMILMS!$D$18*AG115^3+BMILMS!$E$18*AG115^2+BMILMS!$F$18*AG115+BMILMS!$G$18)))</f>
        <v>8.8969350000000003E-2</v>
      </c>
      <c r="AG115" s="24">
        <f t="shared" si="32"/>
        <v>0</v>
      </c>
      <c r="AI115" s="38">
        <f>IF(D115="M",WeightSDS!P$5*$AG115^7+WeightSDS!Q$5*$AG115^6+WeightSDS!R$5*$AG115^5+WeightSDS!S$5*$AG115^4+WeightSDS!T$5*$AG115^3+WeightSDS!U$5*$AG115^2+WeightSDS!V$5*$AG115+WeightSDS!W$5,IF($AG115&lt;186,WeightSDS!P$8*$AG115^7+WeightSDS!Q$8*$AG115^6+WeightSDS!R$8*$AG115^5+WeightSDS!S$8*$AG115^4+WeightSDS!T$8*$AG115^3+WeightSDS!U$8*$AG115^2+WeightSDS!V$8*$AG115+WeightSDS!W$8,WeightSDS!$U$9-WeightSDS!$V$9*($AG115-WeightSDS!$W$9)))</f>
        <v>0.75407122999999998</v>
      </c>
      <c r="AJ115" s="24">
        <f>IF(D115="M",IF($AG115&lt;45,WeightSDS!M$23*$AG115^10+WeightSDS!N$23*$AG115^9+WeightSDS!O$23*$AG115^8+WeightSDS!P$23*$AG115^7+WeightSDS!Q$23*$AG115^6+WeightSDS!R$23*$AG115^5+WeightSDS!S$23*$AG115^4+WeightSDS!T$23*$AG115^3+WeightSDS!U$23*$AG115^2+WeightSDS!V$23*$AG115+WeightSDS!W$23,IF($AG115&lt;153,WeightSDS!M$25*$AG115^10+WeightSDS!N$25*$AG115^9+WeightSDS!O$25*$AG115^8+WeightSDS!P$25*$AG115^7+WeightSDS!Q$25*$AG115^6+WeightSDS!R$25*$AG115^5+WeightSDS!S$25*$AG115^4+WeightSDS!T$25*$AG115^3+WeightSDS!U$25*$AG115^2+WeightSDS!V$25*$AG115+WeightSDS!W$25,WeightSDS!M$27+WeightSDS!N$27/(1+EXP(WeightSDS!O$27+WeightSDS!P$27*$AG115)))),IF($AG115&lt;43.8,WeightSDS!M$29*$AG115^10+WeightSDS!N$29*$AG115^9+WeightSDS!O$29*$AG115^8+WeightSDS!P$29*$AG115^7+WeightSDS!Q$29*$AG115^6+WeightSDS!R$29*$AG115^5+WeightSDS!S$29*$AG115^4+WeightSDS!T$29*$AG115^3+WeightSDS!U$29*$AG115^2+WeightSDS!V$29*$AG115+WeightSDS!W$29-0.010431*(1-$AG115/210),IF($AG115&lt;123,WeightSDS!M$30*$AG115^10+WeightSDS!N$30*$AG115^9+WeightSDS!O$30*$AG115^8+WeightSDS!P$30*$AG115^7+WeightSDS!Q$30*$AG115^6+WeightSDS!R$30*$AG115^5+WeightSDS!S$30*$AG115^4+WeightSDS!T$30*$AG115^3+WeightSDS!U$30*$AG115^2+WeightSDS!V$30*$AG115+WeightSDS!W$30-0.010431*(1-1/$AG115),WeightSDS!M$32+WeightSDS!N$32/(1+EXP(WeightSDS!O$32+WeightSDS!P$32*$AG115))-0.010431*(1-$AG115/210))))</f>
        <v>2.9500001032655536</v>
      </c>
      <c r="AK115" s="24">
        <f>IF(D115="M",IF($AG115&lt;162,WeightSDS!P$12*$AG115^7+WeightSDS!Q$12*$AG115^6+WeightSDS!R$12*$AG115^5+WeightSDS!S$12*$AG115^4+WeightSDS!T$12*$AG115^3+WeightSDS!U$12*$AG115^2+WeightSDS!V$12*$AG115+WeightSDS!W$12,WeightSDS!P$14*$AG115^7+WeightSDS!Q$14*$AG115^6+WeightSDS!R$14*$AG115^5+WeightSDS!S$14*$AG115^4+WeightSDS!T$14*$AG115^3+WeightSDS!U$14*$AG115^2+WeightSDS!V$14*$AG115+WeightSDS!W$14),IF($AG115&lt;156,WeightSDS!O$17*$AG115^8+WeightSDS!P$17*$AG115^7+WeightSDS!Q$17*$AG115^6+WeightSDS!R$17*$AG115^5+WeightSDS!S$17*$AG115^4+WeightSDS!T$17*$AG115^3+WeightSDS!U$17*$AG115^2+WeightSDS!V$17*$AG115+WeightSDS!W$17,IF($AG115&lt;186,WeightSDS!$U$18+(WeightSDS!$V$18-WeightSDS!$U$18)/24*($AG115-186)+WeightSDS!$W$18*(-$AG115+186)^2-0.005,WeightSDS!$U$18+(WeightSDS!$V$18-WeightSDS!$U$18)/24*($AG115-186)-0.005)))</f>
        <v>0.14604529399999999</v>
      </c>
    </row>
    <row r="116" spans="1:37">
      <c r="A116" s="4"/>
      <c r="B116" s="21"/>
      <c r="C116" s="21"/>
      <c r="D116" s="21"/>
      <c r="E116" s="22"/>
      <c r="F116" s="22"/>
      <c r="G116" s="23"/>
      <c r="H116" s="23"/>
      <c r="I116" s="8" t="str">
        <f t="shared" si="18"/>
        <v/>
      </c>
      <c r="J116" s="2" t="str">
        <f t="shared" si="25"/>
        <v/>
      </c>
      <c r="K116" s="2" t="str">
        <f t="shared" si="19"/>
        <v/>
      </c>
      <c r="L116" s="2" t="str">
        <f t="shared" si="26"/>
        <v/>
      </c>
      <c r="M116" s="2" t="str">
        <f t="shared" si="31"/>
        <v/>
      </c>
      <c r="N116" s="2" t="str">
        <f t="shared" si="27"/>
        <v/>
      </c>
      <c r="O116" s="8" t="str">
        <f t="shared" si="28"/>
        <v/>
      </c>
      <c r="P116" s="8" t="str">
        <f t="shared" si="29"/>
        <v/>
      </c>
      <c r="Q116" s="40" t="str">
        <f t="shared" si="20"/>
        <v/>
      </c>
      <c r="R116" s="48" t="str">
        <f t="shared" si="30"/>
        <v/>
      </c>
      <c r="S116" s="8"/>
      <c r="U116" s="35">
        <f t="shared" si="21"/>
        <v>0</v>
      </c>
      <c r="V116" s="24">
        <f t="shared" si="22"/>
        <v>0</v>
      </c>
      <c r="W116" s="41">
        <f t="shared" si="33"/>
        <v>0</v>
      </c>
      <c r="X116" s="31"/>
      <c r="Y116" s="31"/>
      <c r="Z116" s="31"/>
      <c r="AA116" s="25">
        <f t="shared" si="23"/>
        <v>9.0359999999999996</v>
      </c>
      <c r="AB116" s="25">
        <f t="shared" si="24"/>
        <v>-184.49199999999999</v>
      </c>
      <c r="AD116" s="24">
        <f>IF(D116="M",IF(AG116&lt;78,BMILMS!$D$5*AG116^3+BMILMS!$E$5*AG116^2+BMILMS!$F$5*AG116+BMILMS!$G$5,IF(AG116&lt;150,BMILMS!$D$6*AG116^3+BMILMS!$E$6*AG116^2+BMILMS!$F$6*AG116+BMILMS!$G$6,BMILMS!$D$7*AG116^3+BMILMS!$E$7*AG116^2+BMILMS!$F$7*AG116+BMILMS!$G$7)),IF(AG116&lt;69,BMILMS!$D$9*AG116^3+BMILMS!$E$9*AG116^2+BMILMS!$F$9*AG116+BMILMS!$G$9,IF(AG116&lt;150,BMILMS!$D$10*AG116^3+BMILMS!$E$10*AG116^2+BMILMS!$F$10*AG116+BMILMS!$G$10,BMILMS!$D$11*AG116^3+BMILMS!$E$11*AG116^2+BMILMS!$F$11*AG116+BMILMS!$G$11)))</f>
        <v>0.79584630099999998</v>
      </c>
      <c r="AE116" s="24">
        <f>IF(D116="M",(IF(AG116&lt;2.5,BMILMS!$D$21*AG116^3+BMILMS!$E$21*AG116^2+BMILMS!$F$21*AG116+BMILMS!$G$21,IF(AG116&lt;9.5,BMILMS!$D$22*AG116^3+BMILMS!$E$22*AG116^2+BMILMS!$F$22*AG116+BMILMS!$G$22,IF(AG116&lt;26.75,BMILMS!$D$23*AG116^3+BMILMS!$E$23*AG116^2+BMILMS!$F$23*AG116+BMILMS!$G$23,IF(AG116&lt;90,BMILMS!$D$24*AG116^3+BMILMS!$E$24*AG116^2+BMILMS!$F$24*AG116+BMILMS!$G$24,BMILMS!$D$25*AG116^3+BMILMS!$E$25*AG116^2+BMILMS!$F$25*AG116+BMILMS!$G$25))))),(IF(AG116&lt;2.5,BMILMS!$D$27*AG116^3+BMILMS!$E$27*AG116^2+BMILMS!$F$27*AG116+BMILMS!$G$27,IF(AG116&lt;9.5,BMILMS!$D$28*AG116^3+BMILMS!$E$28*AG116^2+BMILMS!$F$28*AG116+BMILMS!$G$28,IF(AG116&lt;26.75,BMILMS!$D$29*AG116^3+BMILMS!$E$29*AG116^2+BMILMS!$F$29*AG116+BMILMS!$G$29,IF(AG116&lt;90,BMILMS!$D$30*AG116^3+BMILMS!$E$30*AG116^2+BMILMS!$F$30*AG116+BMILMS!$G$30,IF(AG116&lt;150,BMILMS!$D$31*AG116^3+BMILMS!$E$31*AG116^2+BMILMS!$F$31*AG116+BMILMS!$G$31,BMILMS!$D$32*AG116^3+BMILMS!$E$32*AG116^2+BMILMS!$F$32*AG116+BMILMS!$G$32)))))))</f>
        <v>12.568967990000001</v>
      </c>
      <c r="AF116" s="24">
        <f>IF(D116="M",(IF(AG116&lt;90,BMILMS!$D$14*AG116^3+BMILMS!$E$14*AG116^2+BMILMS!$F$14*AG116+BMILMS!$G$14,BMILMS!$D$15*AG116^3+BMILMS!$E$15*AG116^2+BMILMS!$F$15*AG116+BMILMS!$G$15)),(IF(AG116&lt;90,BMILMS!$D$17*AG116^3+BMILMS!$E$17*AG116^2+BMILMS!$F$17*AG116+BMILMS!$G$17,BMILMS!$D$18*AG116^3+BMILMS!$E$18*AG116^2+BMILMS!$F$18*AG116+BMILMS!$G$18)))</f>
        <v>8.8969350000000003E-2</v>
      </c>
      <c r="AG116" s="24">
        <f t="shared" si="32"/>
        <v>0</v>
      </c>
      <c r="AI116" s="38">
        <f>IF(D116="M",WeightSDS!P$5*$AG116^7+WeightSDS!Q$5*$AG116^6+WeightSDS!R$5*$AG116^5+WeightSDS!S$5*$AG116^4+WeightSDS!T$5*$AG116^3+WeightSDS!U$5*$AG116^2+WeightSDS!V$5*$AG116+WeightSDS!W$5,IF($AG116&lt;186,WeightSDS!P$8*$AG116^7+WeightSDS!Q$8*$AG116^6+WeightSDS!R$8*$AG116^5+WeightSDS!S$8*$AG116^4+WeightSDS!T$8*$AG116^3+WeightSDS!U$8*$AG116^2+WeightSDS!V$8*$AG116+WeightSDS!W$8,WeightSDS!$U$9-WeightSDS!$V$9*($AG116-WeightSDS!$W$9)))</f>
        <v>0.75407122999999998</v>
      </c>
      <c r="AJ116" s="24">
        <f>IF(D116="M",IF($AG116&lt;45,WeightSDS!M$23*$AG116^10+WeightSDS!N$23*$AG116^9+WeightSDS!O$23*$AG116^8+WeightSDS!P$23*$AG116^7+WeightSDS!Q$23*$AG116^6+WeightSDS!R$23*$AG116^5+WeightSDS!S$23*$AG116^4+WeightSDS!T$23*$AG116^3+WeightSDS!U$23*$AG116^2+WeightSDS!V$23*$AG116+WeightSDS!W$23,IF($AG116&lt;153,WeightSDS!M$25*$AG116^10+WeightSDS!N$25*$AG116^9+WeightSDS!O$25*$AG116^8+WeightSDS!P$25*$AG116^7+WeightSDS!Q$25*$AG116^6+WeightSDS!R$25*$AG116^5+WeightSDS!S$25*$AG116^4+WeightSDS!T$25*$AG116^3+WeightSDS!U$25*$AG116^2+WeightSDS!V$25*$AG116+WeightSDS!W$25,WeightSDS!M$27+WeightSDS!N$27/(1+EXP(WeightSDS!O$27+WeightSDS!P$27*$AG116)))),IF($AG116&lt;43.8,WeightSDS!M$29*$AG116^10+WeightSDS!N$29*$AG116^9+WeightSDS!O$29*$AG116^8+WeightSDS!P$29*$AG116^7+WeightSDS!Q$29*$AG116^6+WeightSDS!R$29*$AG116^5+WeightSDS!S$29*$AG116^4+WeightSDS!T$29*$AG116^3+WeightSDS!U$29*$AG116^2+WeightSDS!V$29*$AG116+WeightSDS!W$29-0.010431*(1-$AG116/210),IF($AG116&lt;123,WeightSDS!M$30*$AG116^10+WeightSDS!N$30*$AG116^9+WeightSDS!O$30*$AG116^8+WeightSDS!P$30*$AG116^7+WeightSDS!Q$30*$AG116^6+WeightSDS!R$30*$AG116^5+WeightSDS!S$30*$AG116^4+WeightSDS!T$30*$AG116^3+WeightSDS!U$30*$AG116^2+WeightSDS!V$30*$AG116+WeightSDS!W$30-0.010431*(1-1/$AG116),WeightSDS!M$32+WeightSDS!N$32/(1+EXP(WeightSDS!O$32+WeightSDS!P$32*$AG116))-0.010431*(1-$AG116/210))))</f>
        <v>2.9500001032655536</v>
      </c>
      <c r="AK116" s="24">
        <f>IF(D116="M",IF($AG116&lt;162,WeightSDS!P$12*$AG116^7+WeightSDS!Q$12*$AG116^6+WeightSDS!R$12*$AG116^5+WeightSDS!S$12*$AG116^4+WeightSDS!T$12*$AG116^3+WeightSDS!U$12*$AG116^2+WeightSDS!V$12*$AG116+WeightSDS!W$12,WeightSDS!P$14*$AG116^7+WeightSDS!Q$14*$AG116^6+WeightSDS!R$14*$AG116^5+WeightSDS!S$14*$AG116^4+WeightSDS!T$14*$AG116^3+WeightSDS!U$14*$AG116^2+WeightSDS!V$14*$AG116+WeightSDS!W$14),IF($AG116&lt;156,WeightSDS!O$17*$AG116^8+WeightSDS!P$17*$AG116^7+WeightSDS!Q$17*$AG116^6+WeightSDS!R$17*$AG116^5+WeightSDS!S$17*$AG116^4+WeightSDS!T$17*$AG116^3+WeightSDS!U$17*$AG116^2+WeightSDS!V$17*$AG116+WeightSDS!W$17,IF($AG116&lt;186,WeightSDS!$U$18+(WeightSDS!$V$18-WeightSDS!$U$18)/24*($AG116-186)+WeightSDS!$W$18*(-$AG116+186)^2-0.005,WeightSDS!$U$18+(WeightSDS!$V$18-WeightSDS!$U$18)/24*($AG116-186)-0.005)))</f>
        <v>0.14604529399999999</v>
      </c>
    </row>
    <row r="117" spans="1:37">
      <c r="A117" s="4"/>
      <c r="B117" s="21"/>
      <c r="C117" s="21"/>
      <c r="D117" s="21"/>
      <c r="E117" s="22"/>
      <c r="F117" s="22"/>
      <c r="G117" s="23"/>
      <c r="H117" s="23"/>
      <c r="I117" s="8" t="str">
        <f t="shared" si="18"/>
        <v/>
      </c>
      <c r="J117" s="2" t="str">
        <f t="shared" si="25"/>
        <v/>
      </c>
      <c r="K117" s="2" t="str">
        <f t="shared" si="19"/>
        <v/>
      </c>
      <c r="L117" s="2" t="str">
        <f t="shared" si="26"/>
        <v/>
      </c>
      <c r="M117" s="2" t="str">
        <f t="shared" si="31"/>
        <v/>
      </c>
      <c r="N117" s="2" t="str">
        <f t="shared" si="27"/>
        <v/>
      </c>
      <c r="O117" s="8" t="str">
        <f t="shared" si="28"/>
        <v/>
      </c>
      <c r="P117" s="8" t="str">
        <f t="shared" si="29"/>
        <v/>
      </c>
      <c r="Q117" s="40" t="str">
        <f t="shared" si="20"/>
        <v/>
      </c>
      <c r="R117" s="48" t="str">
        <f t="shared" si="30"/>
        <v/>
      </c>
      <c r="S117" s="8"/>
      <c r="U117" s="35">
        <f t="shared" si="21"/>
        <v>0</v>
      </c>
      <c r="V117" s="24">
        <f t="shared" si="22"/>
        <v>0</v>
      </c>
      <c r="W117" s="41">
        <f t="shared" si="33"/>
        <v>0</v>
      </c>
      <c r="X117" s="31"/>
      <c r="Y117" s="31"/>
      <c r="Z117" s="31"/>
      <c r="AA117" s="25">
        <f t="shared" si="23"/>
        <v>9.0359999999999996</v>
      </c>
      <c r="AB117" s="25">
        <f t="shared" si="24"/>
        <v>-184.49199999999999</v>
      </c>
      <c r="AD117" s="24">
        <f>IF(D117="M",IF(AG117&lt;78,BMILMS!$D$5*AG117^3+BMILMS!$E$5*AG117^2+BMILMS!$F$5*AG117+BMILMS!$G$5,IF(AG117&lt;150,BMILMS!$D$6*AG117^3+BMILMS!$E$6*AG117^2+BMILMS!$F$6*AG117+BMILMS!$G$6,BMILMS!$D$7*AG117^3+BMILMS!$E$7*AG117^2+BMILMS!$F$7*AG117+BMILMS!$G$7)),IF(AG117&lt;69,BMILMS!$D$9*AG117^3+BMILMS!$E$9*AG117^2+BMILMS!$F$9*AG117+BMILMS!$G$9,IF(AG117&lt;150,BMILMS!$D$10*AG117^3+BMILMS!$E$10*AG117^2+BMILMS!$F$10*AG117+BMILMS!$G$10,BMILMS!$D$11*AG117^3+BMILMS!$E$11*AG117^2+BMILMS!$F$11*AG117+BMILMS!$G$11)))</f>
        <v>0.79584630099999998</v>
      </c>
      <c r="AE117" s="24">
        <f>IF(D117="M",(IF(AG117&lt;2.5,BMILMS!$D$21*AG117^3+BMILMS!$E$21*AG117^2+BMILMS!$F$21*AG117+BMILMS!$G$21,IF(AG117&lt;9.5,BMILMS!$D$22*AG117^3+BMILMS!$E$22*AG117^2+BMILMS!$F$22*AG117+BMILMS!$G$22,IF(AG117&lt;26.75,BMILMS!$D$23*AG117^3+BMILMS!$E$23*AG117^2+BMILMS!$F$23*AG117+BMILMS!$G$23,IF(AG117&lt;90,BMILMS!$D$24*AG117^3+BMILMS!$E$24*AG117^2+BMILMS!$F$24*AG117+BMILMS!$G$24,BMILMS!$D$25*AG117^3+BMILMS!$E$25*AG117^2+BMILMS!$F$25*AG117+BMILMS!$G$25))))),(IF(AG117&lt;2.5,BMILMS!$D$27*AG117^3+BMILMS!$E$27*AG117^2+BMILMS!$F$27*AG117+BMILMS!$G$27,IF(AG117&lt;9.5,BMILMS!$D$28*AG117^3+BMILMS!$E$28*AG117^2+BMILMS!$F$28*AG117+BMILMS!$G$28,IF(AG117&lt;26.75,BMILMS!$D$29*AG117^3+BMILMS!$E$29*AG117^2+BMILMS!$F$29*AG117+BMILMS!$G$29,IF(AG117&lt;90,BMILMS!$D$30*AG117^3+BMILMS!$E$30*AG117^2+BMILMS!$F$30*AG117+BMILMS!$G$30,IF(AG117&lt;150,BMILMS!$D$31*AG117^3+BMILMS!$E$31*AG117^2+BMILMS!$F$31*AG117+BMILMS!$G$31,BMILMS!$D$32*AG117^3+BMILMS!$E$32*AG117^2+BMILMS!$F$32*AG117+BMILMS!$G$32)))))))</f>
        <v>12.568967990000001</v>
      </c>
      <c r="AF117" s="24">
        <f>IF(D117="M",(IF(AG117&lt;90,BMILMS!$D$14*AG117^3+BMILMS!$E$14*AG117^2+BMILMS!$F$14*AG117+BMILMS!$G$14,BMILMS!$D$15*AG117^3+BMILMS!$E$15*AG117^2+BMILMS!$F$15*AG117+BMILMS!$G$15)),(IF(AG117&lt;90,BMILMS!$D$17*AG117^3+BMILMS!$E$17*AG117^2+BMILMS!$F$17*AG117+BMILMS!$G$17,BMILMS!$D$18*AG117^3+BMILMS!$E$18*AG117^2+BMILMS!$F$18*AG117+BMILMS!$G$18)))</f>
        <v>8.8969350000000003E-2</v>
      </c>
      <c r="AG117" s="24">
        <f t="shared" si="32"/>
        <v>0</v>
      </c>
      <c r="AI117" s="38">
        <f>IF(D117="M",WeightSDS!P$5*$AG117^7+WeightSDS!Q$5*$AG117^6+WeightSDS!R$5*$AG117^5+WeightSDS!S$5*$AG117^4+WeightSDS!T$5*$AG117^3+WeightSDS!U$5*$AG117^2+WeightSDS!V$5*$AG117+WeightSDS!W$5,IF($AG117&lt;186,WeightSDS!P$8*$AG117^7+WeightSDS!Q$8*$AG117^6+WeightSDS!R$8*$AG117^5+WeightSDS!S$8*$AG117^4+WeightSDS!T$8*$AG117^3+WeightSDS!U$8*$AG117^2+WeightSDS!V$8*$AG117+WeightSDS!W$8,WeightSDS!$U$9-WeightSDS!$V$9*($AG117-WeightSDS!$W$9)))</f>
        <v>0.75407122999999998</v>
      </c>
      <c r="AJ117" s="24">
        <f>IF(D117="M",IF($AG117&lt;45,WeightSDS!M$23*$AG117^10+WeightSDS!N$23*$AG117^9+WeightSDS!O$23*$AG117^8+WeightSDS!P$23*$AG117^7+WeightSDS!Q$23*$AG117^6+WeightSDS!R$23*$AG117^5+WeightSDS!S$23*$AG117^4+WeightSDS!T$23*$AG117^3+WeightSDS!U$23*$AG117^2+WeightSDS!V$23*$AG117+WeightSDS!W$23,IF($AG117&lt;153,WeightSDS!M$25*$AG117^10+WeightSDS!N$25*$AG117^9+WeightSDS!O$25*$AG117^8+WeightSDS!P$25*$AG117^7+WeightSDS!Q$25*$AG117^6+WeightSDS!R$25*$AG117^5+WeightSDS!S$25*$AG117^4+WeightSDS!T$25*$AG117^3+WeightSDS!U$25*$AG117^2+WeightSDS!V$25*$AG117+WeightSDS!W$25,WeightSDS!M$27+WeightSDS!N$27/(1+EXP(WeightSDS!O$27+WeightSDS!P$27*$AG117)))),IF($AG117&lt;43.8,WeightSDS!M$29*$AG117^10+WeightSDS!N$29*$AG117^9+WeightSDS!O$29*$AG117^8+WeightSDS!P$29*$AG117^7+WeightSDS!Q$29*$AG117^6+WeightSDS!R$29*$AG117^5+WeightSDS!S$29*$AG117^4+WeightSDS!T$29*$AG117^3+WeightSDS!U$29*$AG117^2+WeightSDS!V$29*$AG117+WeightSDS!W$29-0.010431*(1-$AG117/210),IF($AG117&lt;123,WeightSDS!M$30*$AG117^10+WeightSDS!N$30*$AG117^9+WeightSDS!O$30*$AG117^8+WeightSDS!P$30*$AG117^7+WeightSDS!Q$30*$AG117^6+WeightSDS!R$30*$AG117^5+WeightSDS!S$30*$AG117^4+WeightSDS!T$30*$AG117^3+WeightSDS!U$30*$AG117^2+WeightSDS!V$30*$AG117+WeightSDS!W$30-0.010431*(1-1/$AG117),WeightSDS!M$32+WeightSDS!N$32/(1+EXP(WeightSDS!O$32+WeightSDS!P$32*$AG117))-0.010431*(1-$AG117/210))))</f>
        <v>2.9500001032655536</v>
      </c>
      <c r="AK117" s="24">
        <f>IF(D117="M",IF($AG117&lt;162,WeightSDS!P$12*$AG117^7+WeightSDS!Q$12*$AG117^6+WeightSDS!R$12*$AG117^5+WeightSDS!S$12*$AG117^4+WeightSDS!T$12*$AG117^3+WeightSDS!U$12*$AG117^2+WeightSDS!V$12*$AG117+WeightSDS!W$12,WeightSDS!P$14*$AG117^7+WeightSDS!Q$14*$AG117^6+WeightSDS!R$14*$AG117^5+WeightSDS!S$14*$AG117^4+WeightSDS!T$14*$AG117^3+WeightSDS!U$14*$AG117^2+WeightSDS!V$14*$AG117+WeightSDS!W$14),IF($AG117&lt;156,WeightSDS!O$17*$AG117^8+WeightSDS!P$17*$AG117^7+WeightSDS!Q$17*$AG117^6+WeightSDS!R$17*$AG117^5+WeightSDS!S$17*$AG117^4+WeightSDS!T$17*$AG117^3+WeightSDS!U$17*$AG117^2+WeightSDS!V$17*$AG117+WeightSDS!W$17,IF($AG117&lt;186,WeightSDS!$U$18+(WeightSDS!$V$18-WeightSDS!$U$18)/24*($AG117-186)+WeightSDS!$W$18*(-$AG117+186)^2-0.005,WeightSDS!$U$18+(WeightSDS!$V$18-WeightSDS!$U$18)/24*($AG117-186)-0.005)))</f>
        <v>0.14604529399999999</v>
      </c>
    </row>
    <row r="118" spans="1:37">
      <c r="A118" s="4"/>
      <c r="B118" s="21"/>
      <c r="C118" s="21"/>
      <c r="D118" s="21"/>
      <c r="E118" s="22"/>
      <c r="F118" s="22"/>
      <c r="G118" s="23"/>
      <c r="H118" s="23"/>
      <c r="I118" s="8" t="str">
        <f t="shared" si="18"/>
        <v/>
      </c>
      <c r="J118" s="2" t="str">
        <f t="shared" si="25"/>
        <v/>
      </c>
      <c r="K118" s="2" t="str">
        <f t="shared" si="19"/>
        <v/>
      </c>
      <c r="L118" s="2" t="str">
        <f t="shared" si="26"/>
        <v/>
      </c>
      <c r="M118" s="2" t="str">
        <f t="shared" si="31"/>
        <v/>
      </c>
      <c r="N118" s="2" t="str">
        <f t="shared" si="27"/>
        <v/>
      </c>
      <c r="O118" s="8" t="str">
        <f t="shared" si="28"/>
        <v/>
      </c>
      <c r="P118" s="8" t="str">
        <f t="shared" si="29"/>
        <v/>
      </c>
      <c r="Q118" s="40" t="str">
        <f t="shared" si="20"/>
        <v/>
      </c>
      <c r="R118" s="48" t="str">
        <f t="shared" si="30"/>
        <v/>
      </c>
      <c r="S118" s="8"/>
      <c r="U118" s="35">
        <f t="shared" si="21"/>
        <v>0</v>
      </c>
      <c r="V118" s="24">
        <f t="shared" si="22"/>
        <v>0</v>
      </c>
      <c r="W118" s="41">
        <f t="shared" si="33"/>
        <v>0</v>
      </c>
      <c r="X118" s="31"/>
      <c r="Y118" s="31"/>
      <c r="Z118" s="31"/>
      <c r="AA118" s="25">
        <f t="shared" si="23"/>
        <v>9.0359999999999996</v>
      </c>
      <c r="AB118" s="25">
        <f t="shared" si="24"/>
        <v>-184.49199999999999</v>
      </c>
      <c r="AD118" s="24">
        <f>IF(D118="M",IF(AG118&lt;78,BMILMS!$D$5*AG118^3+BMILMS!$E$5*AG118^2+BMILMS!$F$5*AG118+BMILMS!$G$5,IF(AG118&lt;150,BMILMS!$D$6*AG118^3+BMILMS!$E$6*AG118^2+BMILMS!$F$6*AG118+BMILMS!$G$6,BMILMS!$D$7*AG118^3+BMILMS!$E$7*AG118^2+BMILMS!$F$7*AG118+BMILMS!$G$7)),IF(AG118&lt;69,BMILMS!$D$9*AG118^3+BMILMS!$E$9*AG118^2+BMILMS!$F$9*AG118+BMILMS!$G$9,IF(AG118&lt;150,BMILMS!$D$10*AG118^3+BMILMS!$E$10*AG118^2+BMILMS!$F$10*AG118+BMILMS!$G$10,BMILMS!$D$11*AG118^3+BMILMS!$E$11*AG118^2+BMILMS!$F$11*AG118+BMILMS!$G$11)))</f>
        <v>0.79584630099999998</v>
      </c>
      <c r="AE118" s="24">
        <f>IF(D118="M",(IF(AG118&lt;2.5,BMILMS!$D$21*AG118^3+BMILMS!$E$21*AG118^2+BMILMS!$F$21*AG118+BMILMS!$G$21,IF(AG118&lt;9.5,BMILMS!$D$22*AG118^3+BMILMS!$E$22*AG118^2+BMILMS!$F$22*AG118+BMILMS!$G$22,IF(AG118&lt;26.75,BMILMS!$D$23*AG118^3+BMILMS!$E$23*AG118^2+BMILMS!$F$23*AG118+BMILMS!$G$23,IF(AG118&lt;90,BMILMS!$D$24*AG118^3+BMILMS!$E$24*AG118^2+BMILMS!$F$24*AG118+BMILMS!$G$24,BMILMS!$D$25*AG118^3+BMILMS!$E$25*AG118^2+BMILMS!$F$25*AG118+BMILMS!$G$25))))),(IF(AG118&lt;2.5,BMILMS!$D$27*AG118^3+BMILMS!$E$27*AG118^2+BMILMS!$F$27*AG118+BMILMS!$G$27,IF(AG118&lt;9.5,BMILMS!$D$28*AG118^3+BMILMS!$E$28*AG118^2+BMILMS!$F$28*AG118+BMILMS!$G$28,IF(AG118&lt;26.75,BMILMS!$D$29*AG118^3+BMILMS!$E$29*AG118^2+BMILMS!$F$29*AG118+BMILMS!$G$29,IF(AG118&lt;90,BMILMS!$D$30*AG118^3+BMILMS!$E$30*AG118^2+BMILMS!$F$30*AG118+BMILMS!$G$30,IF(AG118&lt;150,BMILMS!$D$31*AG118^3+BMILMS!$E$31*AG118^2+BMILMS!$F$31*AG118+BMILMS!$G$31,BMILMS!$D$32*AG118^3+BMILMS!$E$32*AG118^2+BMILMS!$F$32*AG118+BMILMS!$G$32)))))))</f>
        <v>12.568967990000001</v>
      </c>
      <c r="AF118" s="24">
        <f>IF(D118="M",(IF(AG118&lt;90,BMILMS!$D$14*AG118^3+BMILMS!$E$14*AG118^2+BMILMS!$F$14*AG118+BMILMS!$G$14,BMILMS!$D$15*AG118^3+BMILMS!$E$15*AG118^2+BMILMS!$F$15*AG118+BMILMS!$G$15)),(IF(AG118&lt;90,BMILMS!$D$17*AG118^3+BMILMS!$E$17*AG118^2+BMILMS!$F$17*AG118+BMILMS!$G$17,BMILMS!$D$18*AG118^3+BMILMS!$E$18*AG118^2+BMILMS!$F$18*AG118+BMILMS!$G$18)))</f>
        <v>8.8969350000000003E-2</v>
      </c>
      <c r="AG118" s="24">
        <f t="shared" si="32"/>
        <v>0</v>
      </c>
      <c r="AI118" s="38">
        <f>IF(D118="M",WeightSDS!P$5*$AG118^7+WeightSDS!Q$5*$AG118^6+WeightSDS!R$5*$AG118^5+WeightSDS!S$5*$AG118^4+WeightSDS!T$5*$AG118^3+WeightSDS!U$5*$AG118^2+WeightSDS!V$5*$AG118+WeightSDS!W$5,IF($AG118&lt;186,WeightSDS!P$8*$AG118^7+WeightSDS!Q$8*$AG118^6+WeightSDS!R$8*$AG118^5+WeightSDS!S$8*$AG118^4+WeightSDS!T$8*$AG118^3+WeightSDS!U$8*$AG118^2+WeightSDS!V$8*$AG118+WeightSDS!W$8,WeightSDS!$U$9-WeightSDS!$V$9*($AG118-WeightSDS!$W$9)))</f>
        <v>0.75407122999999998</v>
      </c>
      <c r="AJ118" s="24">
        <f>IF(D118="M",IF($AG118&lt;45,WeightSDS!M$23*$AG118^10+WeightSDS!N$23*$AG118^9+WeightSDS!O$23*$AG118^8+WeightSDS!P$23*$AG118^7+WeightSDS!Q$23*$AG118^6+WeightSDS!R$23*$AG118^5+WeightSDS!S$23*$AG118^4+WeightSDS!T$23*$AG118^3+WeightSDS!U$23*$AG118^2+WeightSDS!V$23*$AG118+WeightSDS!W$23,IF($AG118&lt;153,WeightSDS!M$25*$AG118^10+WeightSDS!N$25*$AG118^9+WeightSDS!O$25*$AG118^8+WeightSDS!P$25*$AG118^7+WeightSDS!Q$25*$AG118^6+WeightSDS!R$25*$AG118^5+WeightSDS!S$25*$AG118^4+WeightSDS!T$25*$AG118^3+WeightSDS!U$25*$AG118^2+WeightSDS!V$25*$AG118+WeightSDS!W$25,WeightSDS!M$27+WeightSDS!N$27/(1+EXP(WeightSDS!O$27+WeightSDS!P$27*$AG118)))),IF($AG118&lt;43.8,WeightSDS!M$29*$AG118^10+WeightSDS!N$29*$AG118^9+WeightSDS!O$29*$AG118^8+WeightSDS!P$29*$AG118^7+WeightSDS!Q$29*$AG118^6+WeightSDS!R$29*$AG118^5+WeightSDS!S$29*$AG118^4+WeightSDS!T$29*$AG118^3+WeightSDS!U$29*$AG118^2+WeightSDS!V$29*$AG118+WeightSDS!W$29-0.010431*(1-$AG118/210),IF($AG118&lt;123,WeightSDS!M$30*$AG118^10+WeightSDS!N$30*$AG118^9+WeightSDS!O$30*$AG118^8+WeightSDS!P$30*$AG118^7+WeightSDS!Q$30*$AG118^6+WeightSDS!R$30*$AG118^5+WeightSDS!S$30*$AG118^4+WeightSDS!T$30*$AG118^3+WeightSDS!U$30*$AG118^2+WeightSDS!V$30*$AG118+WeightSDS!W$30-0.010431*(1-1/$AG118),WeightSDS!M$32+WeightSDS!N$32/(1+EXP(WeightSDS!O$32+WeightSDS!P$32*$AG118))-0.010431*(1-$AG118/210))))</f>
        <v>2.9500001032655536</v>
      </c>
      <c r="AK118" s="24">
        <f>IF(D118="M",IF($AG118&lt;162,WeightSDS!P$12*$AG118^7+WeightSDS!Q$12*$AG118^6+WeightSDS!R$12*$AG118^5+WeightSDS!S$12*$AG118^4+WeightSDS!T$12*$AG118^3+WeightSDS!U$12*$AG118^2+WeightSDS!V$12*$AG118+WeightSDS!W$12,WeightSDS!P$14*$AG118^7+WeightSDS!Q$14*$AG118^6+WeightSDS!R$14*$AG118^5+WeightSDS!S$14*$AG118^4+WeightSDS!T$14*$AG118^3+WeightSDS!U$14*$AG118^2+WeightSDS!V$14*$AG118+WeightSDS!W$14),IF($AG118&lt;156,WeightSDS!O$17*$AG118^8+WeightSDS!P$17*$AG118^7+WeightSDS!Q$17*$AG118^6+WeightSDS!R$17*$AG118^5+WeightSDS!S$17*$AG118^4+WeightSDS!T$17*$AG118^3+WeightSDS!U$17*$AG118^2+WeightSDS!V$17*$AG118+WeightSDS!W$17,IF($AG118&lt;186,WeightSDS!$U$18+(WeightSDS!$V$18-WeightSDS!$U$18)/24*($AG118-186)+WeightSDS!$W$18*(-$AG118+186)^2-0.005,WeightSDS!$U$18+(WeightSDS!$V$18-WeightSDS!$U$18)/24*($AG118-186)-0.005)))</f>
        <v>0.14604529399999999</v>
      </c>
    </row>
    <row r="119" spans="1:37">
      <c r="A119" s="4"/>
      <c r="B119" s="21"/>
      <c r="C119" s="21"/>
      <c r="D119" s="21"/>
      <c r="E119" s="22"/>
      <c r="F119" s="22"/>
      <c r="G119" s="23"/>
      <c r="H119" s="23"/>
      <c r="I119" s="8" t="str">
        <f t="shared" si="18"/>
        <v/>
      </c>
      <c r="J119" s="2" t="str">
        <f t="shared" si="25"/>
        <v/>
      </c>
      <c r="K119" s="2" t="str">
        <f t="shared" si="19"/>
        <v/>
      </c>
      <c r="L119" s="2" t="str">
        <f t="shared" si="26"/>
        <v/>
      </c>
      <c r="M119" s="2" t="str">
        <f t="shared" si="31"/>
        <v/>
      </c>
      <c r="N119" s="2" t="str">
        <f t="shared" si="27"/>
        <v/>
      </c>
      <c r="O119" s="8" t="str">
        <f t="shared" si="28"/>
        <v/>
      </c>
      <c r="P119" s="8" t="str">
        <f t="shared" si="29"/>
        <v/>
      </c>
      <c r="Q119" s="40" t="str">
        <f t="shared" si="20"/>
        <v/>
      </c>
      <c r="R119" s="48" t="str">
        <f t="shared" si="30"/>
        <v/>
      </c>
      <c r="S119" s="8"/>
      <c r="U119" s="35">
        <f t="shared" si="21"/>
        <v>0</v>
      </c>
      <c r="V119" s="24">
        <f t="shared" si="22"/>
        <v>0</v>
      </c>
      <c r="W119" s="41">
        <f t="shared" si="33"/>
        <v>0</v>
      </c>
      <c r="X119" s="31"/>
      <c r="Y119" s="31"/>
      <c r="Z119" s="31"/>
      <c r="AA119" s="25">
        <f t="shared" si="23"/>
        <v>9.0359999999999996</v>
      </c>
      <c r="AB119" s="25">
        <f t="shared" si="24"/>
        <v>-184.49199999999999</v>
      </c>
      <c r="AD119" s="24">
        <f>IF(D119="M",IF(AG119&lt;78,BMILMS!$D$5*AG119^3+BMILMS!$E$5*AG119^2+BMILMS!$F$5*AG119+BMILMS!$G$5,IF(AG119&lt;150,BMILMS!$D$6*AG119^3+BMILMS!$E$6*AG119^2+BMILMS!$F$6*AG119+BMILMS!$G$6,BMILMS!$D$7*AG119^3+BMILMS!$E$7*AG119^2+BMILMS!$F$7*AG119+BMILMS!$G$7)),IF(AG119&lt;69,BMILMS!$D$9*AG119^3+BMILMS!$E$9*AG119^2+BMILMS!$F$9*AG119+BMILMS!$G$9,IF(AG119&lt;150,BMILMS!$D$10*AG119^3+BMILMS!$E$10*AG119^2+BMILMS!$F$10*AG119+BMILMS!$G$10,BMILMS!$D$11*AG119^3+BMILMS!$E$11*AG119^2+BMILMS!$F$11*AG119+BMILMS!$G$11)))</f>
        <v>0.79584630099999998</v>
      </c>
      <c r="AE119" s="24">
        <f>IF(D119="M",(IF(AG119&lt;2.5,BMILMS!$D$21*AG119^3+BMILMS!$E$21*AG119^2+BMILMS!$F$21*AG119+BMILMS!$G$21,IF(AG119&lt;9.5,BMILMS!$D$22*AG119^3+BMILMS!$E$22*AG119^2+BMILMS!$F$22*AG119+BMILMS!$G$22,IF(AG119&lt;26.75,BMILMS!$D$23*AG119^3+BMILMS!$E$23*AG119^2+BMILMS!$F$23*AG119+BMILMS!$G$23,IF(AG119&lt;90,BMILMS!$D$24*AG119^3+BMILMS!$E$24*AG119^2+BMILMS!$F$24*AG119+BMILMS!$G$24,BMILMS!$D$25*AG119^3+BMILMS!$E$25*AG119^2+BMILMS!$F$25*AG119+BMILMS!$G$25))))),(IF(AG119&lt;2.5,BMILMS!$D$27*AG119^3+BMILMS!$E$27*AG119^2+BMILMS!$F$27*AG119+BMILMS!$G$27,IF(AG119&lt;9.5,BMILMS!$D$28*AG119^3+BMILMS!$E$28*AG119^2+BMILMS!$F$28*AG119+BMILMS!$G$28,IF(AG119&lt;26.75,BMILMS!$D$29*AG119^3+BMILMS!$E$29*AG119^2+BMILMS!$F$29*AG119+BMILMS!$G$29,IF(AG119&lt;90,BMILMS!$D$30*AG119^3+BMILMS!$E$30*AG119^2+BMILMS!$F$30*AG119+BMILMS!$G$30,IF(AG119&lt;150,BMILMS!$D$31*AG119^3+BMILMS!$E$31*AG119^2+BMILMS!$F$31*AG119+BMILMS!$G$31,BMILMS!$D$32*AG119^3+BMILMS!$E$32*AG119^2+BMILMS!$F$32*AG119+BMILMS!$G$32)))))))</f>
        <v>12.568967990000001</v>
      </c>
      <c r="AF119" s="24">
        <f>IF(D119="M",(IF(AG119&lt;90,BMILMS!$D$14*AG119^3+BMILMS!$E$14*AG119^2+BMILMS!$F$14*AG119+BMILMS!$G$14,BMILMS!$D$15*AG119^3+BMILMS!$E$15*AG119^2+BMILMS!$F$15*AG119+BMILMS!$G$15)),(IF(AG119&lt;90,BMILMS!$D$17*AG119^3+BMILMS!$E$17*AG119^2+BMILMS!$F$17*AG119+BMILMS!$G$17,BMILMS!$D$18*AG119^3+BMILMS!$E$18*AG119^2+BMILMS!$F$18*AG119+BMILMS!$G$18)))</f>
        <v>8.8969350000000003E-2</v>
      </c>
      <c r="AG119" s="24">
        <f t="shared" si="32"/>
        <v>0</v>
      </c>
      <c r="AI119" s="38">
        <f>IF(D119="M",WeightSDS!P$5*$AG119^7+WeightSDS!Q$5*$AG119^6+WeightSDS!R$5*$AG119^5+WeightSDS!S$5*$AG119^4+WeightSDS!T$5*$AG119^3+WeightSDS!U$5*$AG119^2+WeightSDS!V$5*$AG119+WeightSDS!W$5,IF($AG119&lt;186,WeightSDS!P$8*$AG119^7+WeightSDS!Q$8*$AG119^6+WeightSDS!R$8*$AG119^5+WeightSDS!S$8*$AG119^4+WeightSDS!T$8*$AG119^3+WeightSDS!U$8*$AG119^2+WeightSDS!V$8*$AG119+WeightSDS!W$8,WeightSDS!$U$9-WeightSDS!$V$9*($AG119-WeightSDS!$W$9)))</f>
        <v>0.75407122999999998</v>
      </c>
      <c r="AJ119" s="24">
        <f>IF(D119="M",IF($AG119&lt;45,WeightSDS!M$23*$AG119^10+WeightSDS!N$23*$AG119^9+WeightSDS!O$23*$AG119^8+WeightSDS!P$23*$AG119^7+WeightSDS!Q$23*$AG119^6+WeightSDS!R$23*$AG119^5+WeightSDS!S$23*$AG119^4+WeightSDS!T$23*$AG119^3+WeightSDS!U$23*$AG119^2+WeightSDS!V$23*$AG119+WeightSDS!W$23,IF($AG119&lt;153,WeightSDS!M$25*$AG119^10+WeightSDS!N$25*$AG119^9+WeightSDS!O$25*$AG119^8+WeightSDS!P$25*$AG119^7+WeightSDS!Q$25*$AG119^6+WeightSDS!R$25*$AG119^5+WeightSDS!S$25*$AG119^4+WeightSDS!T$25*$AG119^3+WeightSDS!U$25*$AG119^2+WeightSDS!V$25*$AG119+WeightSDS!W$25,WeightSDS!M$27+WeightSDS!N$27/(1+EXP(WeightSDS!O$27+WeightSDS!P$27*$AG119)))),IF($AG119&lt;43.8,WeightSDS!M$29*$AG119^10+WeightSDS!N$29*$AG119^9+WeightSDS!O$29*$AG119^8+WeightSDS!P$29*$AG119^7+WeightSDS!Q$29*$AG119^6+WeightSDS!R$29*$AG119^5+WeightSDS!S$29*$AG119^4+WeightSDS!T$29*$AG119^3+WeightSDS!U$29*$AG119^2+WeightSDS!V$29*$AG119+WeightSDS!W$29-0.010431*(1-$AG119/210),IF($AG119&lt;123,WeightSDS!M$30*$AG119^10+WeightSDS!N$30*$AG119^9+WeightSDS!O$30*$AG119^8+WeightSDS!P$30*$AG119^7+WeightSDS!Q$30*$AG119^6+WeightSDS!R$30*$AG119^5+WeightSDS!S$30*$AG119^4+WeightSDS!T$30*$AG119^3+WeightSDS!U$30*$AG119^2+WeightSDS!V$30*$AG119+WeightSDS!W$30-0.010431*(1-1/$AG119),WeightSDS!M$32+WeightSDS!N$32/(1+EXP(WeightSDS!O$32+WeightSDS!P$32*$AG119))-0.010431*(1-$AG119/210))))</f>
        <v>2.9500001032655536</v>
      </c>
      <c r="AK119" s="24">
        <f>IF(D119="M",IF($AG119&lt;162,WeightSDS!P$12*$AG119^7+WeightSDS!Q$12*$AG119^6+WeightSDS!R$12*$AG119^5+WeightSDS!S$12*$AG119^4+WeightSDS!T$12*$AG119^3+WeightSDS!U$12*$AG119^2+WeightSDS!V$12*$AG119+WeightSDS!W$12,WeightSDS!P$14*$AG119^7+WeightSDS!Q$14*$AG119^6+WeightSDS!R$14*$AG119^5+WeightSDS!S$14*$AG119^4+WeightSDS!T$14*$AG119^3+WeightSDS!U$14*$AG119^2+WeightSDS!V$14*$AG119+WeightSDS!W$14),IF($AG119&lt;156,WeightSDS!O$17*$AG119^8+WeightSDS!P$17*$AG119^7+WeightSDS!Q$17*$AG119^6+WeightSDS!R$17*$AG119^5+WeightSDS!S$17*$AG119^4+WeightSDS!T$17*$AG119^3+WeightSDS!U$17*$AG119^2+WeightSDS!V$17*$AG119+WeightSDS!W$17,IF($AG119&lt;186,WeightSDS!$U$18+(WeightSDS!$V$18-WeightSDS!$U$18)/24*($AG119-186)+WeightSDS!$W$18*(-$AG119+186)^2-0.005,WeightSDS!$U$18+(WeightSDS!$V$18-WeightSDS!$U$18)/24*($AG119-186)-0.005)))</f>
        <v>0.14604529399999999</v>
      </c>
    </row>
    <row r="120" spans="1:37">
      <c r="A120" s="4"/>
      <c r="B120" s="21"/>
      <c r="C120" s="21"/>
      <c r="D120" s="21"/>
      <c r="E120" s="22"/>
      <c r="F120" s="22"/>
      <c r="G120" s="23"/>
      <c r="H120" s="23"/>
      <c r="I120" s="8" t="str">
        <f t="shared" si="18"/>
        <v/>
      </c>
      <c r="J120" s="2" t="str">
        <f t="shared" si="25"/>
        <v/>
      </c>
      <c r="K120" s="2" t="str">
        <f t="shared" si="19"/>
        <v/>
      </c>
      <c r="L120" s="2" t="str">
        <f t="shared" si="26"/>
        <v/>
      </c>
      <c r="M120" s="2" t="str">
        <f t="shared" si="31"/>
        <v/>
      </c>
      <c r="N120" s="2" t="str">
        <f t="shared" si="27"/>
        <v/>
      </c>
      <c r="O120" s="8" t="str">
        <f t="shared" si="28"/>
        <v/>
      </c>
      <c r="P120" s="8" t="str">
        <f t="shared" si="29"/>
        <v/>
      </c>
      <c r="Q120" s="40" t="str">
        <f t="shared" si="20"/>
        <v/>
      </c>
      <c r="R120" s="48" t="str">
        <f t="shared" si="30"/>
        <v/>
      </c>
      <c r="S120" s="8"/>
      <c r="U120" s="35">
        <f t="shared" si="21"/>
        <v>0</v>
      </c>
      <c r="V120" s="24">
        <f t="shared" si="22"/>
        <v>0</v>
      </c>
      <c r="W120" s="41">
        <f t="shared" si="33"/>
        <v>0</v>
      </c>
      <c r="X120" s="31"/>
      <c r="Y120" s="31"/>
      <c r="Z120" s="31"/>
      <c r="AA120" s="25">
        <f t="shared" si="23"/>
        <v>9.0359999999999996</v>
      </c>
      <c r="AB120" s="25">
        <f t="shared" si="24"/>
        <v>-184.49199999999999</v>
      </c>
      <c r="AD120" s="24">
        <f>IF(D120="M",IF(AG120&lt;78,BMILMS!$D$5*AG120^3+BMILMS!$E$5*AG120^2+BMILMS!$F$5*AG120+BMILMS!$G$5,IF(AG120&lt;150,BMILMS!$D$6*AG120^3+BMILMS!$E$6*AG120^2+BMILMS!$F$6*AG120+BMILMS!$G$6,BMILMS!$D$7*AG120^3+BMILMS!$E$7*AG120^2+BMILMS!$F$7*AG120+BMILMS!$G$7)),IF(AG120&lt;69,BMILMS!$D$9*AG120^3+BMILMS!$E$9*AG120^2+BMILMS!$F$9*AG120+BMILMS!$G$9,IF(AG120&lt;150,BMILMS!$D$10*AG120^3+BMILMS!$E$10*AG120^2+BMILMS!$F$10*AG120+BMILMS!$G$10,BMILMS!$D$11*AG120^3+BMILMS!$E$11*AG120^2+BMILMS!$F$11*AG120+BMILMS!$G$11)))</f>
        <v>0.79584630099999998</v>
      </c>
      <c r="AE120" s="24">
        <f>IF(D120="M",(IF(AG120&lt;2.5,BMILMS!$D$21*AG120^3+BMILMS!$E$21*AG120^2+BMILMS!$F$21*AG120+BMILMS!$G$21,IF(AG120&lt;9.5,BMILMS!$D$22*AG120^3+BMILMS!$E$22*AG120^2+BMILMS!$F$22*AG120+BMILMS!$G$22,IF(AG120&lt;26.75,BMILMS!$D$23*AG120^3+BMILMS!$E$23*AG120^2+BMILMS!$F$23*AG120+BMILMS!$G$23,IF(AG120&lt;90,BMILMS!$D$24*AG120^3+BMILMS!$E$24*AG120^2+BMILMS!$F$24*AG120+BMILMS!$G$24,BMILMS!$D$25*AG120^3+BMILMS!$E$25*AG120^2+BMILMS!$F$25*AG120+BMILMS!$G$25))))),(IF(AG120&lt;2.5,BMILMS!$D$27*AG120^3+BMILMS!$E$27*AG120^2+BMILMS!$F$27*AG120+BMILMS!$G$27,IF(AG120&lt;9.5,BMILMS!$D$28*AG120^3+BMILMS!$E$28*AG120^2+BMILMS!$F$28*AG120+BMILMS!$G$28,IF(AG120&lt;26.75,BMILMS!$D$29*AG120^3+BMILMS!$E$29*AG120^2+BMILMS!$F$29*AG120+BMILMS!$G$29,IF(AG120&lt;90,BMILMS!$D$30*AG120^3+BMILMS!$E$30*AG120^2+BMILMS!$F$30*AG120+BMILMS!$G$30,IF(AG120&lt;150,BMILMS!$D$31*AG120^3+BMILMS!$E$31*AG120^2+BMILMS!$F$31*AG120+BMILMS!$G$31,BMILMS!$D$32*AG120^3+BMILMS!$E$32*AG120^2+BMILMS!$F$32*AG120+BMILMS!$G$32)))))))</f>
        <v>12.568967990000001</v>
      </c>
      <c r="AF120" s="24">
        <f>IF(D120="M",(IF(AG120&lt;90,BMILMS!$D$14*AG120^3+BMILMS!$E$14*AG120^2+BMILMS!$F$14*AG120+BMILMS!$G$14,BMILMS!$D$15*AG120^3+BMILMS!$E$15*AG120^2+BMILMS!$F$15*AG120+BMILMS!$G$15)),(IF(AG120&lt;90,BMILMS!$D$17*AG120^3+BMILMS!$E$17*AG120^2+BMILMS!$F$17*AG120+BMILMS!$G$17,BMILMS!$D$18*AG120^3+BMILMS!$E$18*AG120^2+BMILMS!$F$18*AG120+BMILMS!$G$18)))</f>
        <v>8.8969350000000003E-2</v>
      </c>
      <c r="AG120" s="24">
        <f t="shared" si="32"/>
        <v>0</v>
      </c>
      <c r="AI120" s="38">
        <f>IF(D120="M",WeightSDS!P$5*$AG120^7+WeightSDS!Q$5*$AG120^6+WeightSDS!R$5*$AG120^5+WeightSDS!S$5*$AG120^4+WeightSDS!T$5*$AG120^3+WeightSDS!U$5*$AG120^2+WeightSDS!V$5*$AG120+WeightSDS!W$5,IF($AG120&lt;186,WeightSDS!P$8*$AG120^7+WeightSDS!Q$8*$AG120^6+WeightSDS!R$8*$AG120^5+WeightSDS!S$8*$AG120^4+WeightSDS!T$8*$AG120^3+WeightSDS!U$8*$AG120^2+WeightSDS!V$8*$AG120+WeightSDS!W$8,WeightSDS!$U$9-WeightSDS!$V$9*($AG120-WeightSDS!$W$9)))</f>
        <v>0.75407122999999998</v>
      </c>
      <c r="AJ120" s="24">
        <f>IF(D120="M",IF($AG120&lt;45,WeightSDS!M$23*$AG120^10+WeightSDS!N$23*$AG120^9+WeightSDS!O$23*$AG120^8+WeightSDS!P$23*$AG120^7+WeightSDS!Q$23*$AG120^6+WeightSDS!R$23*$AG120^5+WeightSDS!S$23*$AG120^4+WeightSDS!T$23*$AG120^3+WeightSDS!U$23*$AG120^2+WeightSDS!V$23*$AG120+WeightSDS!W$23,IF($AG120&lt;153,WeightSDS!M$25*$AG120^10+WeightSDS!N$25*$AG120^9+WeightSDS!O$25*$AG120^8+WeightSDS!P$25*$AG120^7+WeightSDS!Q$25*$AG120^6+WeightSDS!R$25*$AG120^5+WeightSDS!S$25*$AG120^4+WeightSDS!T$25*$AG120^3+WeightSDS!U$25*$AG120^2+WeightSDS!V$25*$AG120+WeightSDS!W$25,WeightSDS!M$27+WeightSDS!N$27/(1+EXP(WeightSDS!O$27+WeightSDS!P$27*$AG120)))),IF($AG120&lt;43.8,WeightSDS!M$29*$AG120^10+WeightSDS!N$29*$AG120^9+WeightSDS!O$29*$AG120^8+WeightSDS!P$29*$AG120^7+WeightSDS!Q$29*$AG120^6+WeightSDS!R$29*$AG120^5+WeightSDS!S$29*$AG120^4+WeightSDS!T$29*$AG120^3+WeightSDS!U$29*$AG120^2+WeightSDS!V$29*$AG120+WeightSDS!W$29-0.010431*(1-$AG120/210),IF($AG120&lt;123,WeightSDS!M$30*$AG120^10+WeightSDS!N$30*$AG120^9+WeightSDS!O$30*$AG120^8+WeightSDS!P$30*$AG120^7+WeightSDS!Q$30*$AG120^6+WeightSDS!R$30*$AG120^5+WeightSDS!S$30*$AG120^4+WeightSDS!T$30*$AG120^3+WeightSDS!U$30*$AG120^2+WeightSDS!V$30*$AG120+WeightSDS!W$30-0.010431*(1-1/$AG120),WeightSDS!M$32+WeightSDS!N$32/(1+EXP(WeightSDS!O$32+WeightSDS!P$32*$AG120))-0.010431*(1-$AG120/210))))</f>
        <v>2.9500001032655536</v>
      </c>
      <c r="AK120" s="24">
        <f>IF(D120="M",IF($AG120&lt;162,WeightSDS!P$12*$AG120^7+WeightSDS!Q$12*$AG120^6+WeightSDS!R$12*$AG120^5+WeightSDS!S$12*$AG120^4+WeightSDS!T$12*$AG120^3+WeightSDS!U$12*$AG120^2+WeightSDS!V$12*$AG120+WeightSDS!W$12,WeightSDS!P$14*$AG120^7+WeightSDS!Q$14*$AG120^6+WeightSDS!R$14*$AG120^5+WeightSDS!S$14*$AG120^4+WeightSDS!T$14*$AG120^3+WeightSDS!U$14*$AG120^2+WeightSDS!V$14*$AG120+WeightSDS!W$14),IF($AG120&lt;156,WeightSDS!O$17*$AG120^8+WeightSDS!P$17*$AG120^7+WeightSDS!Q$17*$AG120^6+WeightSDS!R$17*$AG120^5+WeightSDS!S$17*$AG120^4+WeightSDS!T$17*$AG120^3+WeightSDS!U$17*$AG120^2+WeightSDS!V$17*$AG120+WeightSDS!W$17,IF($AG120&lt;186,WeightSDS!$U$18+(WeightSDS!$V$18-WeightSDS!$U$18)/24*($AG120-186)+WeightSDS!$W$18*(-$AG120+186)^2-0.005,WeightSDS!$U$18+(WeightSDS!$V$18-WeightSDS!$U$18)/24*($AG120-186)-0.005)))</f>
        <v>0.14604529399999999</v>
      </c>
    </row>
    <row r="121" spans="1:37">
      <c r="A121" s="4"/>
      <c r="B121" s="21"/>
      <c r="C121" s="21"/>
      <c r="D121" s="21"/>
      <c r="E121" s="22"/>
      <c r="F121" s="22"/>
      <c r="G121" s="23"/>
      <c r="H121" s="23"/>
      <c r="I121" s="8" t="str">
        <f t="shared" si="18"/>
        <v/>
      </c>
      <c r="J121" s="2" t="str">
        <f t="shared" si="25"/>
        <v/>
      </c>
      <c r="K121" s="2" t="str">
        <f t="shared" si="19"/>
        <v/>
      </c>
      <c r="L121" s="2" t="str">
        <f t="shared" si="26"/>
        <v/>
      </c>
      <c r="M121" s="2" t="str">
        <f t="shared" si="31"/>
        <v/>
      </c>
      <c r="N121" s="2" t="str">
        <f t="shared" si="27"/>
        <v/>
      </c>
      <c r="O121" s="8" t="str">
        <f t="shared" si="28"/>
        <v/>
      </c>
      <c r="P121" s="8" t="str">
        <f t="shared" si="29"/>
        <v/>
      </c>
      <c r="Q121" s="40" t="str">
        <f t="shared" si="20"/>
        <v/>
      </c>
      <c r="R121" s="48" t="str">
        <f t="shared" si="30"/>
        <v/>
      </c>
      <c r="S121" s="8"/>
      <c r="U121" s="35">
        <f t="shared" si="21"/>
        <v>0</v>
      </c>
      <c r="V121" s="24">
        <f t="shared" si="22"/>
        <v>0</v>
      </c>
      <c r="W121" s="41">
        <f t="shared" si="33"/>
        <v>0</v>
      </c>
      <c r="X121" s="31"/>
      <c r="Y121" s="31"/>
      <c r="Z121" s="31"/>
      <c r="AA121" s="25">
        <f t="shared" si="23"/>
        <v>9.0359999999999996</v>
      </c>
      <c r="AB121" s="25">
        <f t="shared" si="24"/>
        <v>-184.49199999999999</v>
      </c>
      <c r="AD121" s="24">
        <f>IF(D121="M",IF(AG121&lt;78,BMILMS!$D$5*AG121^3+BMILMS!$E$5*AG121^2+BMILMS!$F$5*AG121+BMILMS!$G$5,IF(AG121&lt;150,BMILMS!$D$6*AG121^3+BMILMS!$E$6*AG121^2+BMILMS!$F$6*AG121+BMILMS!$G$6,BMILMS!$D$7*AG121^3+BMILMS!$E$7*AG121^2+BMILMS!$F$7*AG121+BMILMS!$G$7)),IF(AG121&lt;69,BMILMS!$D$9*AG121^3+BMILMS!$E$9*AG121^2+BMILMS!$F$9*AG121+BMILMS!$G$9,IF(AG121&lt;150,BMILMS!$D$10*AG121^3+BMILMS!$E$10*AG121^2+BMILMS!$F$10*AG121+BMILMS!$G$10,BMILMS!$D$11*AG121^3+BMILMS!$E$11*AG121^2+BMILMS!$F$11*AG121+BMILMS!$G$11)))</f>
        <v>0.79584630099999998</v>
      </c>
      <c r="AE121" s="24">
        <f>IF(D121="M",(IF(AG121&lt;2.5,BMILMS!$D$21*AG121^3+BMILMS!$E$21*AG121^2+BMILMS!$F$21*AG121+BMILMS!$G$21,IF(AG121&lt;9.5,BMILMS!$D$22*AG121^3+BMILMS!$E$22*AG121^2+BMILMS!$F$22*AG121+BMILMS!$G$22,IF(AG121&lt;26.75,BMILMS!$D$23*AG121^3+BMILMS!$E$23*AG121^2+BMILMS!$F$23*AG121+BMILMS!$G$23,IF(AG121&lt;90,BMILMS!$D$24*AG121^3+BMILMS!$E$24*AG121^2+BMILMS!$F$24*AG121+BMILMS!$G$24,BMILMS!$D$25*AG121^3+BMILMS!$E$25*AG121^2+BMILMS!$F$25*AG121+BMILMS!$G$25))))),(IF(AG121&lt;2.5,BMILMS!$D$27*AG121^3+BMILMS!$E$27*AG121^2+BMILMS!$F$27*AG121+BMILMS!$G$27,IF(AG121&lt;9.5,BMILMS!$D$28*AG121^3+BMILMS!$E$28*AG121^2+BMILMS!$F$28*AG121+BMILMS!$G$28,IF(AG121&lt;26.75,BMILMS!$D$29*AG121^3+BMILMS!$E$29*AG121^2+BMILMS!$F$29*AG121+BMILMS!$G$29,IF(AG121&lt;90,BMILMS!$D$30*AG121^3+BMILMS!$E$30*AG121^2+BMILMS!$F$30*AG121+BMILMS!$G$30,IF(AG121&lt;150,BMILMS!$D$31*AG121^3+BMILMS!$E$31*AG121^2+BMILMS!$F$31*AG121+BMILMS!$G$31,BMILMS!$D$32*AG121^3+BMILMS!$E$32*AG121^2+BMILMS!$F$32*AG121+BMILMS!$G$32)))))))</f>
        <v>12.568967990000001</v>
      </c>
      <c r="AF121" s="24">
        <f>IF(D121="M",(IF(AG121&lt;90,BMILMS!$D$14*AG121^3+BMILMS!$E$14*AG121^2+BMILMS!$F$14*AG121+BMILMS!$G$14,BMILMS!$D$15*AG121^3+BMILMS!$E$15*AG121^2+BMILMS!$F$15*AG121+BMILMS!$G$15)),(IF(AG121&lt;90,BMILMS!$D$17*AG121^3+BMILMS!$E$17*AG121^2+BMILMS!$F$17*AG121+BMILMS!$G$17,BMILMS!$D$18*AG121^3+BMILMS!$E$18*AG121^2+BMILMS!$F$18*AG121+BMILMS!$G$18)))</f>
        <v>8.8969350000000003E-2</v>
      </c>
      <c r="AG121" s="24">
        <f t="shared" si="32"/>
        <v>0</v>
      </c>
      <c r="AI121" s="38">
        <f>IF(D121="M",WeightSDS!P$5*$AG121^7+WeightSDS!Q$5*$AG121^6+WeightSDS!R$5*$AG121^5+WeightSDS!S$5*$AG121^4+WeightSDS!T$5*$AG121^3+WeightSDS!U$5*$AG121^2+WeightSDS!V$5*$AG121+WeightSDS!W$5,IF($AG121&lt;186,WeightSDS!P$8*$AG121^7+WeightSDS!Q$8*$AG121^6+WeightSDS!R$8*$AG121^5+WeightSDS!S$8*$AG121^4+WeightSDS!T$8*$AG121^3+WeightSDS!U$8*$AG121^2+WeightSDS!V$8*$AG121+WeightSDS!W$8,WeightSDS!$U$9-WeightSDS!$V$9*($AG121-WeightSDS!$W$9)))</f>
        <v>0.75407122999999998</v>
      </c>
      <c r="AJ121" s="24">
        <f>IF(D121="M",IF($AG121&lt;45,WeightSDS!M$23*$AG121^10+WeightSDS!N$23*$AG121^9+WeightSDS!O$23*$AG121^8+WeightSDS!P$23*$AG121^7+WeightSDS!Q$23*$AG121^6+WeightSDS!R$23*$AG121^5+WeightSDS!S$23*$AG121^4+WeightSDS!T$23*$AG121^3+WeightSDS!U$23*$AG121^2+WeightSDS!V$23*$AG121+WeightSDS!W$23,IF($AG121&lt;153,WeightSDS!M$25*$AG121^10+WeightSDS!N$25*$AG121^9+WeightSDS!O$25*$AG121^8+WeightSDS!P$25*$AG121^7+WeightSDS!Q$25*$AG121^6+WeightSDS!R$25*$AG121^5+WeightSDS!S$25*$AG121^4+WeightSDS!T$25*$AG121^3+WeightSDS!U$25*$AG121^2+WeightSDS!V$25*$AG121+WeightSDS!W$25,WeightSDS!M$27+WeightSDS!N$27/(1+EXP(WeightSDS!O$27+WeightSDS!P$27*$AG121)))),IF($AG121&lt;43.8,WeightSDS!M$29*$AG121^10+WeightSDS!N$29*$AG121^9+WeightSDS!O$29*$AG121^8+WeightSDS!P$29*$AG121^7+WeightSDS!Q$29*$AG121^6+WeightSDS!R$29*$AG121^5+WeightSDS!S$29*$AG121^4+WeightSDS!T$29*$AG121^3+WeightSDS!U$29*$AG121^2+WeightSDS!V$29*$AG121+WeightSDS!W$29-0.010431*(1-$AG121/210),IF($AG121&lt;123,WeightSDS!M$30*$AG121^10+WeightSDS!N$30*$AG121^9+WeightSDS!O$30*$AG121^8+WeightSDS!P$30*$AG121^7+WeightSDS!Q$30*$AG121^6+WeightSDS!R$30*$AG121^5+WeightSDS!S$30*$AG121^4+WeightSDS!T$30*$AG121^3+WeightSDS!U$30*$AG121^2+WeightSDS!V$30*$AG121+WeightSDS!W$30-0.010431*(1-1/$AG121),WeightSDS!M$32+WeightSDS!N$32/(1+EXP(WeightSDS!O$32+WeightSDS!P$32*$AG121))-0.010431*(1-$AG121/210))))</f>
        <v>2.9500001032655536</v>
      </c>
      <c r="AK121" s="24">
        <f>IF(D121="M",IF($AG121&lt;162,WeightSDS!P$12*$AG121^7+WeightSDS!Q$12*$AG121^6+WeightSDS!R$12*$AG121^5+WeightSDS!S$12*$AG121^4+WeightSDS!T$12*$AG121^3+WeightSDS!U$12*$AG121^2+WeightSDS!V$12*$AG121+WeightSDS!W$12,WeightSDS!P$14*$AG121^7+WeightSDS!Q$14*$AG121^6+WeightSDS!R$14*$AG121^5+WeightSDS!S$14*$AG121^4+WeightSDS!T$14*$AG121^3+WeightSDS!U$14*$AG121^2+WeightSDS!V$14*$AG121+WeightSDS!W$14),IF($AG121&lt;156,WeightSDS!O$17*$AG121^8+WeightSDS!P$17*$AG121^7+WeightSDS!Q$17*$AG121^6+WeightSDS!R$17*$AG121^5+WeightSDS!S$17*$AG121^4+WeightSDS!T$17*$AG121^3+WeightSDS!U$17*$AG121^2+WeightSDS!V$17*$AG121+WeightSDS!W$17,IF($AG121&lt;186,WeightSDS!$U$18+(WeightSDS!$V$18-WeightSDS!$U$18)/24*($AG121-186)+WeightSDS!$W$18*(-$AG121+186)^2-0.005,WeightSDS!$U$18+(WeightSDS!$V$18-WeightSDS!$U$18)/24*($AG121-186)-0.005)))</f>
        <v>0.14604529399999999</v>
      </c>
    </row>
    <row r="122" spans="1:37">
      <c r="A122" s="4"/>
      <c r="B122" s="21"/>
      <c r="C122" s="21"/>
      <c r="D122" s="21"/>
      <c r="E122" s="22"/>
      <c r="F122" s="22"/>
      <c r="G122" s="23"/>
      <c r="H122" s="23"/>
      <c r="I122" s="8" t="str">
        <f t="shared" si="18"/>
        <v/>
      </c>
      <c r="J122" s="2" t="str">
        <f t="shared" si="25"/>
        <v/>
      </c>
      <c r="K122" s="2" t="str">
        <f t="shared" si="19"/>
        <v/>
      </c>
      <c r="L122" s="2" t="str">
        <f t="shared" si="26"/>
        <v/>
      </c>
      <c r="M122" s="2" t="str">
        <f t="shared" si="31"/>
        <v/>
      </c>
      <c r="N122" s="2" t="str">
        <f t="shared" si="27"/>
        <v/>
      </c>
      <c r="O122" s="8" t="str">
        <f t="shared" si="28"/>
        <v/>
      </c>
      <c r="P122" s="8" t="str">
        <f t="shared" si="29"/>
        <v/>
      </c>
      <c r="Q122" s="40" t="str">
        <f t="shared" si="20"/>
        <v/>
      </c>
      <c r="R122" s="48" t="str">
        <f t="shared" si="30"/>
        <v/>
      </c>
      <c r="S122" s="8"/>
      <c r="U122" s="35">
        <f t="shared" si="21"/>
        <v>0</v>
      </c>
      <c r="V122" s="24">
        <f t="shared" si="22"/>
        <v>0</v>
      </c>
      <c r="W122" s="41">
        <f t="shared" si="33"/>
        <v>0</v>
      </c>
      <c r="X122" s="31"/>
      <c r="Y122" s="31"/>
      <c r="Z122" s="31"/>
      <c r="AA122" s="25">
        <f t="shared" si="23"/>
        <v>9.0359999999999996</v>
      </c>
      <c r="AB122" s="25">
        <f t="shared" si="24"/>
        <v>-184.49199999999999</v>
      </c>
      <c r="AD122" s="24">
        <f>IF(D122="M",IF(AG122&lt;78,BMILMS!$D$5*AG122^3+BMILMS!$E$5*AG122^2+BMILMS!$F$5*AG122+BMILMS!$G$5,IF(AG122&lt;150,BMILMS!$D$6*AG122^3+BMILMS!$E$6*AG122^2+BMILMS!$F$6*AG122+BMILMS!$G$6,BMILMS!$D$7*AG122^3+BMILMS!$E$7*AG122^2+BMILMS!$F$7*AG122+BMILMS!$G$7)),IF(AG122&lt;69,BMILMS!$D$9*AG122^3+BMILMS!$E$9*AG122^2+BMILMS!$F$9*AG122+BMILMS!$G$9,IF(AG122&lt;150,BMILMS!$D$10*AG122^3+BMILMS!$E$10*AG122^2+BMILMS!$F$10*AG122+BMILMS!$G$10,BMILMS!$D$11*AG122^3+BMILMS!$E$11*AG122^2+BMILMS!$F$11*AG122+BMILMS!$G$11)))</f>
        <v>0.79584630099999998</v>
      </c>
      <c r="AE122" s="24">
        <f>IF(D122="M",(IF(AG122&lt;2.5,BMILMS!$D$21*AG122^3+BMILMS!$E$21*AG122^2+BMILMS!$F$21*AG122+BMILMS!$G$21,IF(AG122&lt;9.5,BMILMS!$D$22*AG122^3+BMILMS!$E$22*AG122^2+BMILMS!$F$22*AG122+BMILMS!$G$22,IF(AG122&lt;26.75,BMILMS!$D$23*AG122^3+BMILMS!$E$23*AG122^2+BMILMS!$F$23*AG122+BMILMS!$G$23,IF(AG122&lt;90,BMILMS!$D$24*AG122^3+BMILMS!$E$24*AG122^2+BMILMS!$F$24*AG122+BMILMS!$G$24,BMILMS!$D$25*AG122^3+BMILMS!$E$25*AG122^2+BMILMS!$F$25*AG122+BMILMS!$G$25))))),(IF(AG122&lt;2.5,BMILMS!$D$27*AG122^3+BMILMS!$E$27*AG122^2+BMILMS!$F$27*AG122+BMILMS!$G$27,IF(AG122&lt;9.5,BMILMS!$D$28*AG122^3+BMILMS!$E$28*AG122^2+BMILMS!$F$28*AG122+BMILMS!$G$28,IF(AG122&lt;26.75,BMILMS!$D$29*AG122^3+BMILMS!$E$29*AG122^2+BMILMS!$F$29*AG122+BMILMS!$G$29,IF(AG122&lt;90,BMILMS!$D$30*AG122^3+BMILMS!$E$30*AG122^2+BMILMS!$F$30*AG122+BMILMS!$G$30,IF(AG122&lt;150,BMILMS!$D$31*AG122^3+BMILMS!$E$31*AG122^2+BMILMS!$F$31*AG122+BMILMS!$G$31,BMILMS!$D$32*AG122^3+BMILMS!$E$32*AG122^2+BMILMS!$F$32*AG122+BMILMS!$G$32)))))))</f>
        <v>12.568967990000001</v>
      </c>
      <c r="AF122" s="24">
        <f>IF(D122="M",(IF(AG122&lt;90,BMILMS!$D$14*AG122^3+BMILMS!$E$14*AG122^2+BMILMS!$F$14*AG122+BMILMS!$G$14,BMILMS!$D$15*AG122^3+BMILMS!$E$15*AG122^2+BMILMS!$F$15*AG122+BMILMS!$G$15)),(IF(AG122&lt;90,BMILMS!$D$17*AG122^3+BMILMS!$E$17*AG122^2+BMILMS!$F$17*AG122+BMILMS!$G$17,BMILMS!$D$18*AG122^3+BMILMS!$E$18*AG122^2+BMILMS!$F$18*AG122+BMILMS!$G$18)))</f>
        <v>8.8969350000000003E-2</v>
      </c>
      <c r="AG122" s="24">
        <f t="shared" si="32"/>
        <v>0</v>
      </c>
      <c r="AI122" s="38">
        <f>IF(D122="M",WeightSDS!P$5*$AG122^7+WeightSDS!Q$5*$AG122^6+WeightSDS!R$5*$AG122^5+WeightSDS!S$5*$AG122^4+WeightSDS!T$5*$AG122^3+WeightSDS!U$5*$AG122^2+WeightSDS!V$5*$AG122+WeightSDS!W$5,IF($AG122&lt;186,WeightSDS!P$8*$AG122^7+WeightSDS!Q$8*$AG122^6+WeightSDS!R$8*$AG122^5+WeightSDS!S$8*$AG122^4+WeightSDS!T$8*$AG122^3+WeightSDS!U$8*$AG122^2+WeightSDS!V$8*$AG122+WeightSDS!W$8,WeightSDS!$U$9-WeightSDS!$V$9*($AG122-WeightSDS!$W$9)))</f>
        <v>0.75407122999999998</v>
      </c>
      <c r="AJ122" s="24">
        <f>IF(D122="M",IF($AG122&lt;45,WeightSDS!M$23*$AG122^10+WeightSDS!N$23*$AG122^9+WeightSDS!O$23*$AG122^8+WeightSDS!P$23*$AG122^7+WeightSDS!Q$23*$AG122^6+WeightSDS!R$23*$AG122^5+WeightSDS!S$23*$AG122^4+WeightSDS!T$23*$AG122^3+WeightSDS!U$23*$AG122^2+WeightSDS!V$23*$AG122+WeightSDS!W$23,IF($AG122&lt;153,WeightSDS!M$25*$AG122^10+WeightSDS!N$25*$AG122^9+WeightSDS!O$25*$AG122^8+WeightSDS!P$25*$AG122^7+WeightSDS!Q$25*$AG122^6+WeightSDS!R$25*$AG122^5+WeightSDS!S$25*$AG122^4+WeightSDS!T$25*$AG122^3+WeightSDS!U$25*$AG122^2+WeightSDS!V$25*$AG122+WeightSDS!W$25,WeightSDS!M$27+WeightSDS!N$27/(1+EXP(WeightSDS!O$27+WeightSDS!P$27*$AG122)))),IF($AG122&lt;43.8,WeightSDS!M$29*$AG122^10+WeightSDS!N$29*$AG122^9+WeightSDS!O$29*$AG122^8+WeightSDS!P$29*$AG122^7+WeightSDS!Q$29*$AG122^6+WeightSDS!R$29*$AG122^5+WeightSDS!S$29*$AG122^4+WeightSDS!T$29*$AG122^3+WeightSDS!U$29*$AG122^2+WeightSDS!V$29*$AG122+WeightSDS!W$29-0.010431*(1-$AG122/210),IF($AG122&lt;123,WeightSDS!M$30*$AG122^10+WeightSDS!N$30*$AG122^9+WeightSDS!O$30*$AG122^8+WeightSDS!P$30*$AG122^7+WeightSDS!Q$30*$AG122^6+WeightSDS!R$30*$AG122^5+WeightSDS!S$30*$AG122^4+WeightSDS!T$30*$AG122^3+WeightSDS!U$30*$AG122^2+WeightSDS!V$30*$AG122+WeightSDS!W$30-0.010431*(1-1/$AG122),WeightSDS!M$32+WeightSDS!N$32/(1+EXP(WeightSDS!O$32+WeightSDS!P$32*$AG122))-0.010431*(1-$AG122/210))))</f>
        <v>2.9500001032655536</v>
      </c>
      <c r="AK122" s="24">
        <f>IF(D122="M",IF($AG122&lt;162,WeightSDS!P$12*$AG122^7+WeightSDS!Q$12*$AG122^6+WeightSDS!R$12*$AG122^5+WeightSDS!S$12*$AG122^4+WeightSDS!T$12*$AG122^3+WeightSDS!U$12*$AG122^2+WeightSDS!V$12*$AG122+WeightSDS!W$12,WeightSDS!P$14*$AG122^7+WeightSDS!Q$14*$AG122^6+WeightSDS!R$14*$AG122^5+WeightSDS!S$14*$AG122^4+WeightSDS!T$14*$AG122^3+WeightSDS!U$14*$AG122^2+WeightSDS!V$14*$AG122+WeightSDS!W$14),IF($AG122&lt;156,WeightSDS!O$17*$AG122^8+WeightSDS!P$17*$AG122^7+WeightSDS!Q$17*$AG122^6+WeightSDS!R$17*$AG122^5+WeightSDS!S$17*$AG122^4+WeightSDS!T$17*$AG122^3+WeightSDS!U$17*$AG122^2+WeightSDS!V$17*$AG122+WeightSDS!W$17,IF($AG122&lt;186,WeightSDS!$U$18+(WeightSDS!$V$18-WeightSDS!$U$18)/24*($AG122-186)+WeightSDS!$W$18*(-$AG122+186)^2-0.005,WeightSDS!$U$18+(WeightSDS!$V$18-WeightSDS!$U$18)/24*($AG122-186)-0.005)))</f>
        <v>0.14604529399999999</v>
      </c>
    </row>
    <row r="123" spans="1:37">
      <c r="A123" s="4"/>
      <c r="B123" s="21"/>
      <c r="C123" s="21"/>
      <c r="D123" s="21"/>
      <c r="E123" s="22"/>
      <c r="F123" s="22"/>
      <c r="G123" s="23"/>
      <c r="H123" s="23"/>
      <c r="I123" s="8" t="str">
        <f t="shared" si="18"/>
        <v/>
      </c>
      <c r="J123" s="2" t="str">
        <f t="shared" si="25"/>
        <v/>
      </c>
      <c r="K123" s="2" t="str">
        <f t="shared" si="19"/>
        <v/>
      </c>
      <c r="L123" s="2" t="str">
        <f t="shared" si="26"/>
        <v/>
      </c>
      <c r="M123" s="2" t="str">
        <f t="shared" si="31"/>
        <v/>
      </c>
      <c r="N123" s="2" t="str">
        <f t="shared" si="27"/>
        <v/>
      </c>
      <c r="O123" s="8" t="str">
        <f t="shared" si="28"/>
        <v/>
      </c>
      <c r="P123" s="8" t="str">
        <f t="shared" si="29"/>
        <v/>
      </c>
      <c r="Q123" s="40" t="str">
        <f t="shared" si="20"/>
        <v/>
      </c>
      <c r="R123" s="48" t="str">
        <f t="shared" si="30"/>
        <v/>
      </c>
      <c r="S123" s="8"/>
      <c r="U123" s="35">
        <f t="shared" si="21"/>
        <v>0</v>
      </c>
      <c r="V123" s="24">
        <f t="shared" si="22"/>
        <v>0</v>
      </c>
      <c r="W123" s="41">
        <f t="shared" si="33"/>
        <v>0</v>
      </c>
      <c r="X123" s="31"/>
      <c r="Y123" s="31"/>
      <c r="Z123" s="31"/>
      <c r="AA123" s="25">
        <f t="shared" si="23"/>
        <v>9.0359999999999996</v>
      </c>
      <c r="AB123" s="25">
        <f t="shared" si="24"/>
        <v>-184.49199999999999</v>
      </c>
      <c r="AD123" s="24">
        <f>IF(D123="M",IF(AG123&lt;78,BMILMS!$D$5*AG123^3+BMILMS!$E$5*AG123^2+BMILMS!$F$5*AG123+BMILMS!$G$5,IF(AG123&lt;150,BMILMS!$D$6*AG123^3+BMILMS!$E$6*AG123^2+BMILMS!$F$6*AG123+BMILMS!$G$6,BMILMS!$D$7*AG123^3+BMILMS!$E$7*AG123^2+BMILMS!$F$7*AG123+BMILMS!$G$7)),IF(AG123&lt;69,BMILMS!$D$9*AG123^3+BMILMS!$E$9*AG123^2+BMILMS!$F$9*AG123+BMILMS!$G$9,IF(AG123&lt;150,BMILMS!$D$10*AG123^3+BMILMS!$E$10*AG123^2+BMILMS!$F$10*AG123+BMILMS!$G$10,BMILMS!$D$11*AG123^3+BMILMS!$E$11*AG123^2+BMILMS!$F$11*AG123+BMILMS!$G$11)))</f>
        <v>0.79584630099999998</v>
      </c>
      <c r="AE123" s="24">
        <f>IF(D123="M",(IF(AG123&lt;2.5,BMILMS!$D$21*AG123^3+BMILMS!$E$21*AG123^2+BMILMS!$F$21*AG123+BMILMS!$G$21,IF(AG123&lt;9.5,BMILMS!$D$22*AG123^3+BMILMS!$E$22*AG123^2+BMILMS!$F$22*AG123+BMILMS!$G$22,IF(AG123&lt;26.75,BMILMS!$D$23*AG123^3+BMILMS!$E$23*AG123^2+BMILMS!$F$23*AG123+BMILMS!$G$23,IF(AG123&lt;90,BMILMS!$D$24*AG123^3+BMILMS!$E$24*AG123^2+BMILMS!$F$24*AG123+BMILMS!$G$24,BMILMS!$D$25*AG123^3+BMILMS!$E$25*AG123^2+BMILMS!$F$25*AG123+BMILMS!$G$25))))),(IF(AG123&lt;2.5,BMILMS!$D$27*AG123^3+BMILMS!$E$27*AG123^2+BMILMS!$F$27*AG123+BMILMS!$G$27,IF(AG123&lt;9.5,BMILMS!$D$28*AG123^3+BMILMS!$E$28*AG123^2+BMILMS!$F$28*AG123+BMILMS!$G$28,IF(AG123&lt;26.75,BMILMS!$D$29*AG123^3+BMILMS!$E$29*AG123^2+BMILMS!$F$29*AG123+BMILMS!$G$29,IF(AG123&lt;90,BMILMS!$D$30*AG123^3+BMILMS!$E$30*AG123^2+BMILMS!$F$30*AG123+BMILMS!$G$30,IF(AG123&lt;150,BMILMS!$D$31*AG123^3+BMILMS!$E$31*AG123^2+BMILMS!$F$31*AG123+BMILMS!$G$31,BMILMS!$D$32*AG123^3+BMILMS!$E$32*AG123^2+BMILMS!$F$32*AG123+BMILMS!$G$32)))))))</f>
        <v>12.568967990000001</v>
      </c>
      <c r="AF123" s="24">
        <f>IF(D123="M",(IF(AG123&lt;90,BMILMS!$D$14*AG123^3+BMILMS!$E$14*AG123^2+BMILMS!$F$14*AG123+BMILMS!$G$14,BMILMS!$D$15*AG123^3+BMILMS!$E$15*AG123^2+BMILMS!$F$15*AG123+BMILMS!$G$15)),(IF(AG123&lt;90,BMILMS!$D$17*AG123^3+BMILMS!$E$17*AG123^2+BMILMS!$F$17*AG123+BMILMS!$G$17,BMILMS!$D$18*AG123^3+BMILMS!$E$18*AG123^2+BMILMS!$F$18*AG123+BMILMS!$G$18)))</f>
        <v>8.8969350000000003E-2</v>
      </c>
      <c r="AG123" s="24">
        <f t="shared" si="32"/>
        <v>0</v>
      </c>
      <c r="AI123" s="38">
        <f>IF(D123="M",WeightSDS!P$5*$AG123^7+WeightSDS!Q$5*$AG123^6+WeightSDS!R$5*$AG123^5+WeightSDS!S$5*$AG123^4+WeightSDS!T$5*$AG123^3+WeightSDS!U$5*$AG123^2+WeightSDS!V$5*$AG123+WeightSDS!W$5,IF($AG123&lt;186,WeightSDS!P$8*$AG123^7+WeightSDS!Q$8*$AG123^6+WeightSDS!R$8*$AG123^5+WeightSDS!S$8*$AG123^4+WeightSDS!T$8*$AG123^3+WeightSDS!U$8*$AG123^2+WeightSDS!V$8*$AG123+WeightSDS!W$8,WeightSDS!$U$9-WeightSDS!$V$9*($AG123-WeightSDS!$W$9)))</f>
        <v>0.75407122999999998</v>
      </c>
      <c r="AJ123" s="24">
        <f>IF(D123="M",IF($AG123&lt;45,WeightSDS!M$23*$AG123^10+WeightSDS!N$23*$AG123^9+WeightSDS!O$23*$AG123^8+WeightSDS!P$23*$AG123^7+WeightSDS!Q$23*$AG123^6+WeightSDS!R$23*$AG123^5+WeightSDS!S$23*$AG123^4+WeightSDS!T$23*$AG123^3+WeightSDS!U$23*$AG123^2+WeightSDS!V$23*$AG123+WeightSDS!W$23,IF($AG123&lt;153,WeightSDS!M$25*$AG123^10+WeightSDS!N$25*$AG123^9+WeightSDS!O$25*$AG123^8+WeightSDS!P$25*$AG123^7+WeightSDS!Q$25*$AG123^6+WeightSDS!R$25*$AG123^5+WeightSDS!S$25*$AG123^4+WeightSDS!T$25*$AG123^3+WeightSDS!U$25*$AG123^2+WeightSDS!V$25*$AG123+WeightSDS!W$25,WeightSDS!M$27+WeightSDS!N$27/(1+EXP(WeightSDS!O$27+WeightSDS!P$27*$AG123)))),IF($AG123&lt;43.8,WeightSDS!M$29*$AG123^10+WeightSDS!N$29*$AG123^9+WeightSDS!O$29*$AG123^8+WeightSDS!P$29*$AG123^7+WeightSDS!Q$29*$AG123^6+WeightSDS!R$29*$AG123^5+WeightSDS!S$29*$AG123^4+WeightSDS!T$29*$AG123^3+WeightSDS!U$29*$AG123^2+WeightSDS!V$29*$AG123+WeightSDS!W$29-0.010431*(1-$AG123/210),IF($AG123&lt;123,WeightSDS!M$30*$AG123^10+WeightSDS!N$30*$AG123^9+WeightSDS!O$30*$AG123^8+WeightSDS!P$30*$AG123^7+WeightSDS!Q$30*$AG123^6+WeightSDS!R$30*$AG123^5+WeightSDS!S$30*$AG123^4+WeightSDS!T$30*$AG123^3+WeightSDS!U$30*$AG123^2+WeightSDS!V$30*$AG123+WeightSDS!W$30-0.010431*(1-1/$AG123),WeightSDS!M$32+WeightSDS!N$32/(1+EXP(WeightSDS!O$32+WeightSDS!P$32*$AG123))-0.010431*(1-$AG123/210))))</f>
        <v>2.9500001032655536</v>
      </c>
      <c r="AK123" s="24">
        <f>IF(D123="M",IF($AG123&lt;162,WeightSDS!P$12*$AG123^7+WeightSDS!Q$12*$AG123^6+WeightSDS!R$12*$AG123^5+WeightSDS!S$12*$AG123^4+WeightSDS!T$12*$AG123^3+WeightSDS!U$12*$AG123^2+WeightSDS!V$12*$AG123+WeightSDS!W$12,WeightSDS!P$14*$AG123^7+WeightSDS!Q$14*$AG123^6+WeightSDS!R$14*$AG123^5+WeightSDS!S$14*$AG123^4+WeightSDS!T$14*$AG123^3+WeightSDS!U$14*$AG123^2+WeightSDS!V$14*$AG123+WeightSDS!W$14),IF($AG123&lt;156,WeightSDS!O$17*$AG123^8+WeightSDS!P$17*$AG123^7+WeightSDS!Q$17*$AG123^6+WeightSDS!R$17*$AG123^5+WeightSDS!S$17*$AG123^4+WeightSDS!T$17*$AG123^3+WeightSDS!U$17*$AG123^2+WeightSDS!V$17*$AG123+WeightSDS!W$17,IF($AG123&lt;186,WeightSDS!$U$18+(WeightSDS!$V$18-WeightSDS!$U$18)/24*($AG123-186)+WeightSDS!$W$18*(-$AG123+186)^2-0.005,WeightSDS!$U$18+(WeightSDS!$V$18-WeightSDS!$U$18)/24*($AG123-186)-0.005)))</f>
        <v>0.14604529399999999</v>
      </c>
    </row>
    <row r="124" spans="1:37">
      <c r="A124" s="4"/>
      <c r="B124" s="21"/>
      <c r="C124" s="21"/>
      <c r="D124" s="21"/>
      <c r="E124" s="22"/>
      <c r="F124" s="22"/>
      <c r="G124" s="23"/>
      <c r="H124" s="23"/>
      <c r="I124" s="8" t="str">
        <f t="shared" si="18"/>
        <v/>
      </c>
      <c r="J124" s="2" t="str">
        <f t="shared" si="25"/>
        <v/>
      </c>
      <c r="K124" s="2" t="str">
        <f t="shared" si="19"/>
        <v/>
      </c>
      <c r="L124" s="2" t="str">
        <f t="shared" si="26"/>
        <v/>
      </c>
      <c r="M124" s="2" t="str">
        <f t="shared" si="31"/>
        <v/>
      </c>
      <c r="N124" s="2" t="str">
        <f t="shared" si="27"/>
        <v/>
      </c>
      <c r="O124" s="8" t="str">
        <f t="shared" si="28"/>
        <v/>
      </c>
      <c r="P124" s="8" t="str">
        <f t="shared" si="29"/>
        <v/>
      </c>
      <c r="Q124" s="40" t="str">
        <f t="shared" si="20"/>
        <v/>
      </c>
      <c r="R124" s="48" t="str">
        <f t="shared" si="30"/>
        <v/>
      </c>
      <c r="S124" s="8"/>
      <c r="U124" s="35">
        <f t="shared" si="21"/>
        <v>0</v>
      </c>
      <c r="V124" s="24">
        <f t="shared" si="22"/>
        <v>0</v>
      </c>
      <c r="W124" s="41">
        <f t="shared" si="33"/>
        <v>0</v>
      </c>
      <c r="X124" s="31"/>
      <c r="Y124" s="31"/>
      <c r="Z124" s="31"/>
      <c r="AA124" s="25">
        <f t="shared" si="23"/>
        <v>9.0359999999999996</v>
      </c>
      <c r="AB124" s="25">
        <f t="shared" si="24"/>
        <v>-184.49199999999999</v>
      </c>
      <c r="AD124" s="24">
        <f>IF(D124="M",IF(AG124&lt;78,BMILMS!$D$5*AG124^3+BMILMS!$E$5*AG124^2+BMILMS!$F$5*AG124+BMILMS!$G$5,IF(AG124&lt;150,BMILMS!$D$6*AG124^3+BMILMS!$E$6*AG124^2+BMILMS!$F$6*AG124+BMILMS!$G$6,BMILMS!$D$7*AG124^3+BMILMS!$E$7*AG124^2+BMILMS!$F$7*AG124+BMILMS!$G$7)),IF(AG124&lt;69,BMILMS!$D$9*AG124^3+BMILMS!$E$9*AG124^2+BMILMS!$F$9*AG124+BMILMS!$G$9,IF(AG124&lt;150,BMILMS!$D$10*AG124^3+BMILMS!$E$10*AG124^2+BMILMS!$F$10*AG124+BMILMS!$G$10,BMILMS!$D$11*AG124^3+BMILMS!$E$11*AG124^2+BMILMS!$F$11*AG124+BMILMS!$G$11)))</f>
        <v>0.79584630099999998</v>
      </c>
      <c r="AE124" s="24">
        <f>IF(D124="M",(IF(AG124&lt;2.5,BMILMS!$D$21*AG124^3+BMILMS!$E$21*AG124^2+BMILMS!$F$21*AG124+BMILMS!$G$21,IF(AG124&lt;9.5,BMILMS!$D$22*AG124^3+BMILMS!$E$22*AG124^2+BMILMS!$F$22*AG124+BMILMS!$G$22,IF(AG124&lt;26.75,BMILMS!$D$23*AG124^3+BMILMS!$E$23*AG124^2+BMILMS!$F$23*AG124+BMILMS!$G$23,IF(AG124&lt;90,BMILMS!$D$24*AG124^3+BMILMS!$E$24*AG124^2+BMILMS!$F$24*AG124+BMILMS!$G$24,BMILMS!$D$25*AG124^3+BMILMS!$E$25*AG124^2+BMILMS!$F$25*AG124+BMILMS!$G$25))))),(IF(AG124&lt;2.5,BMILMS!$D$27*AG124^3+BMILMS!$E$27*AG124^2+BMILMS!$F$27*AG124+BMILMS!$G$27,IF(AG124&lt;9.5,BMILMS!$D$28*AG124^3+BMILMS!$E$28*AG124^2+BMILMS!$F$28*AG124+BMILMS!$G$28,IF(AG124&lt;26.75,BMILMS!$D$29*AG124^3+BMILMS!$E$29*AG124^2+BMILMS!$F$29*AG124+BMILMS!$G$29,IF(AG124&lt;90,BMILMS!$D$30*AG124^3+BMILMS!$E$30*AG124^2+BMILMS!$F$30*AG124+BMILMS!$G$30,IF(AG124&lt;150,BMILMS!$D$31*AG124^3+BMILMS!$E$31*AG124^2+BMILMS!$F$31*AG124+BMILMS!$G$31,BMILMS!$D$32*AG124^3+BMILMS!$E$32*AG124^2+BMILMS!$F$32*AG124+BMILMS!$G$32)))))))</f>
        <v>12.568967990000001</v>
      </c>
      <c r="AF124" s="24">
        <f>IF(D124="M",(IF(AG124&lt;90,BMILMS!$D$14*AG124^3+BMILMS!$E$14*AG124^2+BMILMS!$F$14*AG124+BMILMS!$G$14,BMILMS!$D$15*AG124^3+BMILMS!$E$15*AG124^2+BMILMS!$F$15*AG124+BMILMS!$G$15)),(IF(AG124&lt;90,BMILMS!$D$17*AG124^3+BMILMS!$E$17*AG124^2+BMILMS!$F$17*AG124+BMILMS!$G$17,BMILMS!$D$18*AG124^3+BMILMS!$E$18*AG124^2+BMILMS!$F$18*AG124+BMILMS!$G$18)))</f>
        <v>8.8969350000000003E-2</v>
      </c>
      <c r="AG124" s="24">
        <f t="shared" si="32"/>
        <v>0</v>
      </c>
      <c r="AI124" s="38">
        <f>IF(D124="M",WeightSDS!P$5*$AG124^7+WeightSDS!Q$5*$AG124^6+WeightSDS!R$5*$AG124^5+WeightSDS!S$5*$AG124^4+WeightSDS!T$5*$AG124^3+WeightSDS!U$5*$AG124^2+WeightSDS!V$5*$AG124+WeightSDS!W$5,IF($AG124&lt;186,WeightSDS!P$8*$AG124^7+WeightSDS!Q$8*$AG124^6+WeightSDS!R$8*$AG124^5+WeightSDS!S$8*$AG124^4+WeightSDS!T$8*$AG124^3+WeightSDS!U$8*$AG124^2+WeightSDS!V$8*$AG124+WeightSDS!W$8,WeightSDS!$U$9-WeightSDS!$V$9*($AG124-WeightSDS!$W$9)))</f>
        <v>0.75407122999999998</v>
      </c>
      <c r="AJ124" s="24">
        <f>IF(D124="M",IF($AG124&lt;45,WeightSDS!M$23*$AG124^10+WeightSDS!N$23*$AG124^9+WeightSDS!O$23*$AG124^8+WeightSDS!P$23*$AG124^7+WeightSDS!Q$23*$AG124^6+WeightSDS!R$23*$AG124^5+WeightSDS!S$23*$AG124^4+WeightSDS!T$23*$AG124^3+WeightSDS!U$23*$AG124^2+WeightSDS!V$23*$AG124+WeightSDS!W$23,IF($AG124&lt;153,WeightSDS!M$25*$AG124^10+WeightSDS!N$25*$AG124^9+WeightSDS!O$25*$AG124^8+WeightSDS!P$25*$AG124^7+WeightSDS!Q$25*$AG124^6+WeightSDS!R$25*$AG124^5+WeightSDS!S$25*$AG124^4+WeightSDS!T$25*$AG124^3+WeightSDS!U$25*$AG124^2+WeightSDS!V$25*$AG124+WeightSDS!W$25,WeightSDS!M$27+WeightSDS!N$27/(1+EXP(WeightSDS!O$27+WeightSDS!P$27*$AG124)))),IF($AG124&lt;43.8,WeightSDS!M$29*$AG124^10+WeightSDS!N$29*$AG124^9+WeightSDS!O$29*$AG124^8+WeightSDS!P$29*$AG124^7+WeightSDS!Q$29*$AG124^6+WeightSDS!R$29*$AG124^5+WeightSDS!S$29*$AG124^4+WeightSDS!T$29*$AG124^3+WeightSDS!U$29*$AG124^2+WeightSDS!V$29*$AG124+WeightSDS!W$29-0.010431*(1-$AG124/210),IF($AG124&lt;123,WeightSDS!M$30*$AG124^10+WeightSDS!N$30*$AG124^9+WeightSDS!O$30*$AG124^8+WeightSDS!P$30*$AG124^7+WeightSDS!Q$30*$AG124^6+WeightSDS!R$30*$AG124^5+WeightSDS!S$30*$AG124^4+WeightSDS!T$30*$AG124^3+WeightSDS!U$30*$AG124^2+WeightSDS!V$30*$AG124+WeightSDS!W$30-0.010431*(1-1/$AG124),WeightSDS!M$32+WeightSDS!N$32/(1+EXP(WeightSDS!O$32+WeightSDS!P$32*$AG124))-0.010431*(1-$AG124/210))))</f>
        <v>2.9500001032655536</v>
      </c>
      <c r="AK124" s="24">
        <f>IF(D124="M",IF($AG124&lt;162,WeightSDS!P$12*$AG124^7+WeightSDS!Q$12*$AG124^6+WeightSDS!R$12*$AG124^5+WeightSDS!S$12*$AG124^4+WeightSDS!T$12*$AG124^3+WeightSDS!U$12*$AG124^2+WeightSDS!V$12*$AG124+WeightSDS!W$12,WeightSDS!P$14*$AG124^7+WeightSDS!Q$14*$AG124^6+WeightSDS!R$14*$AG124^5+WeightSDS!S$14*$AG124^4+WeightSDS!T$14*$AG124^3+WeightSDS!U$14*$AG124^2+WeightSDS!V$14*$AG124+WeightSDS!W$14),IF($AG124&lt;156,WeightSDS!O$17*$AG124^8+WeightSDS!P$17*$AG124^7+WeightSDS!Q$17*$AG124^6+WeightSDS!R$17*$AG124^5+WeightSDS!S$17*$AG124^4+WeightSDS!T$17*$AG124^3+WeightSDS!U$17*$AG124^2+WeightSDS!V$17*$AG124+WeightSDS!W$17,IF($AG124&lt;186,WeightSDS!$U$18+(WeightSDS!$V$18-WeightSDS!$U$18)/24*($AG124-186)+WeightSDS!$W$18*(-$AG124+186)^2-0.005,WeightSDS!$U$18+(WeightSDS!$V$18-WeightSDS!$U$18)/24*($AG124-186)-0.005)))</f>
        <v>0.14604529399999999</v>
      </c>
    </row>
    <row r="125" spans="1:37">
      <c r="A125" s="4"/>
      <c r="B125" s="21"/>
      <c r="C125" s="21"/>
      <c r="D125" s="21"/>
      <c r="E125" s="22"/>
      <c r="F125" s="22"/>
      <c r="G125" s="23"/>
      <c r="H125" s="23"/>
      <c r="I125" s="8" t="str">
        <f t="shared" si="18"/>
        <v/>
      </c>
      <c r="J125" s="2" t="str">
        <f t="shared" si="25"/>
        <v/>
      </c>
      <c r="K125" s="2" t="str">
        <f t="shared" si="19"/>
        <v/>
      </c>
      <c r="L125" s="2" t="str">
        <f t="shared" si="26"/>
        <v/>
      </c>
      <c r="M125" s="2" t="str">
        <f t="shared" si="31"/>
        <v/>
      </c>
      <c r="N125" s="2" t="str">
        <f t="shared" si="27"/>
        <v/>
      </c>
      <c r="O125" s="8" t="str">
        <f t="shared" si="28"/>
        <v/>
      </c>
      <c r="P125" s="8" t="str">
        <f t="shared" si="29"/>
        <v/>
      </c>
      <c r="Q125" s="40" t="str">
        <f t="shared" si="20"/>
        <v/>
      </c>
      <c r="R125" s="48" t="str">
        <f t="shared" si="30"/>
        <v/>
      </c>
      <c r="S125" s="8"/>
      <c r="U125" s="35">
        <f t="shared" si="21"/>
        <v>0</v>
      </c>
      <c r="V125" s="24">
        <f t="shared" si="22"/>
        <v>0</v>
      </c>
      <c r="W125" s="41">
        <f t="shared" si="33"/>
        <v>0</v>
      </c>
      <c r="X125" s="31"/>
      <c r="Y125" s="31"/>
      <c r="Z125" s="31"/>
      <c r="AA125" s="25">
        <f t="shared" si="23"/>
        <v>9.0359999999999996</v>
      </c>
      <c r="AB125" s="25">
        <f t="shared" si="24"/>
        <v>-184.49199999999999</v>
      </c>
      <c r="AD125" s="24">
        <f>IF(D125="M",IF(AG125&lt;78,BMILMS!$D$5*AG125^3+BMILMS!$E$5*AG125^2+BMILMS!$F$5*AG125+BMILMS!$G$5,IF(AG125&lt;150,BMILMS!$D$6*AG125^3+BMILMS!$E$6*AG125^2+BMILMS!$F$6*AG125+BMILMS!$G$6,BMILMS!$D$7*AG125^3+BMILMS!$E$7*AG125^2+BMILMS!$F$7*AG125+BMILMS!$G$7)),IF(AG125&lt;69,BMILMS!$D$9*AG125^3+BMILMS!$E$9*AG125^2+BMILMS!$F$9*AG125+BMILMS!$G$9,IF(AG125&lt;150,BMILMS!$D$10*AG125^3+BMILMS!$E$10*AG125^2+BMILMS!$F$10*AG125+BMILMS!$G$10,BMILMS!$D$11*AG125^3+BMILMS!$E$11*AG125^2+BMILMS!$F$11*AG125+BMILMS!$G$11)))</f>
        <v>0.79584630099999998</v>
      </c>
      <c r="AE125" s="24">
        <f>IF(D125="M",(IF(AG125&lt;2.5,BMILMS!$D$21*AG125^3+BMILMS!$E$21*AG125^2+BMILMS!$F$21*AG125+BMILMS!$G$21,IF(AG125&lt;9.5,BMILMS!$D$22*AG125^3+BMILMS!$E$22*AG125^2+BMILMS!$F$22*AG125+BMILMS!$G$22,IF(AG125&lt;26.75,BMILMS!$D$23*AG125^3+BMILMS!$E$23*AG125^2+BMILMS!$F$23*AG125+BMILMS!$G$23,IF(AG125&lt;90,BMILMS!$D$24*AG125^3+BMILMS!$E$24*AG125^2+BMILMS!$F$24*AG125+BMILMS!$G$24,BMILMS!$D$25*AG125^3+BMILMS!$E$25*AG125^2+BMILMS!$F$25*AG125+BMILMS!$G$25))))),(IF(AG125&lt;2.5,BMILMS!$D$27*AG125^3+BMILMS!$E$27*AG125^2+BMILMS!$F$27*AG125+BMILMS!$G$27,IF(AG125&lt;9.5,BMILMS!$D$28*AG125^3+BMILMS!$E$28*AG125^2+BMILMS!$F$28*AG125+BMILMS!$G$28,IF(AG125&lt;26.75,BMILMS!$D$29*AG125^3+BMILMS!$E$29*AG125^2+BMILMS!$F$29*AG125+BMILMS!$G$29,IF(AG125&lt;90,BMILMS!$D$30*AG125^3+BMILMS!$E$30*AG125^2+BMILMS!$F$30*AG125+BMILMS!$G$30,IF(AG125&lt;150,BMILMS!$D$31*AG125^3+BMILMS!$E$31*AG125^2+BMILMS!$F$31*AG125+BMILMS!$G$31,BMILMS!$D$32*AG125^3+BMILMS!$E$32*AG125^2+BMILMS!$F$32*AG125+BMILMS!$G$32)))))))</f>
        <v>12.568967990000001</v>
      </c>
      <c r="AF125" s="24">
        <f>IF(D125="M",(IF(AG125&lt;90,BMILMS!$D$14*AG125^3+BMILMS!$E$14*AG125^2+BMILMS!$F$14*AG125+BMILMS!$G$14,BMILMS!$D$15*AG125^3+BMILMS!$E$15*AG125^2+BMILMS!$F$15*AG125+BMILMS!$G$15)),(IF(AG125&lt;90,BMILMS!$D$17*AG125^3+BMILMS!$E$17*AG125^2+BMILMS!$F$17*AG125+BMILMS!$G$17,BMILMS!$D$18*AG125^3+BMILMS!$E$18*AG125^2+BMILMS!$F$18*AG125+BMILMS!$G$18)))</f>
        <v>8.8969350000000003E-2</v>
      </c>
      <c r="AG125" s="24">
        <f t="shared" si="32"/>
        <v>0</v>
      </c>
      <c r="AI125" s="38">
        <f>IF(D125="M",WeightSDS!P$5*$AG125^7+WeightSDS!Q$5*$AG125^6+WeightSDS!R$5*$AG125^5+WeightSDS!S$5*$AG125^4+WeightSDS!T$5*$AG125^3+WeightSDS!U$5*$AG125^2+WeightSDS!V$5*$AG125+WeightSDS!W$5,IF($AG125&lt;186,WeightSDS!P$8*$AG125^7+WeightSDS!Q$8*$AG125^6+WeightSDS!R$8*$AG125^5+WeightSDS!S$8*$AG125^4+WeightSDS!T$8*$AG125^3+WeightSDS!U$8*$AG125^2+WeightSDS!V$8*$AG125+WeightSDS!W$8,WeightSDS!$U$9-WeightSDS!$V$9*($AG125-WeightSDS!$W$9)))</f>
        <v>0.75407122999999998</v>
      </c>
      <c r="AJ125" s="24">
        <f>IF(D125="M",IF($AG125&lt;45,WeightSDS!M$23*$AG125^10+WeightSDS!N$23*$AG125^9+WeightSDS!O$23*$AG125^8+WeightSDS!P$23*$AG125^7+WeightSDS!Q$23*$AG125^6+WeightSDS!R$23*$AG125^5+WeightSDS!S$23*$AG125^4+WeightSDS!T$23*$AG125^3+WeightSDS!U$23*$AG125^2+WeightSDS!V$23*$AG125+WeightSDS!W$23,IF($AG125&lt;153,WeightSDS!M$25*$AG125^10+WeightSDS!N$25*$AG125^9+WeightSDS!O$25*$AG125^8+WeightSDS!P$25*$AG125^7+WeightSDS!Q$25*$AG125^6+WeightSDS!R$25*$AG125^5+WeightSDS!S$25*$AG125^4+WeightSDS!T$25*$AG125^3+WeightSDS!U$25*$AG125^2+WeightSDS!V$25*$AG125+WeightSDS!W$25,WeightSDS!M$27+WeightSDS!N$27/(1+EXP(WeightSDS!O$27+WeightSDS!P$27*$AG125)))),IF($AG125&lt;43.8,WeightSDS!M$29*$AG125^10+WeightSDS!N$29*$AG125^9+WeightSDS!O$29*$AG125^8+WeightSDS!P$29*$AG125^7+WeightSDS!Q$29*$AG125^6+WeightSDS!R$29*$AG125^5+WeightSDS!S$29*$AG125^4+WeightSDS!T$29*$AG125^3+WeightSDS!U$29*$AG125^2+WeightSDS!V$29*$AG125+WeightSDS!W$29-0.010431*(1-$AG125/210),IF($AG125&lt;123,WeightSDS!M$30*$AG125^10+WeightSDS!N$30*$AG125^9+WeightSDS!O$30*$AG125^8+WeightSDS!P$30*$AG125^7+WeightSDS!Q$30*$AG125^6+WeightSDS!R$30*$AG125^5+WeightSDS!S$30*$AG125^4+WeightSDS!T$30*$AG125^3+WeightSDS!U$30*$AG125^2+WeightSDS!V$30*$AG125+WeightSDS!W$30-0.010431*(1-1/$AG125),WeightSDS!M$32+WeightSDS!N$32/(1+EXP(WeightSDS!O$32+WeightSDS!P$32*$AG125))-0.010431*(1-$AG125/210))))</f>
        <v>2.9500001032655536</v>
      </c>
      <c r="AK125" s="24">
        <f>IF(D125="M",IF($AG125&lt;162,WeightSDS!P$12*$AG125^7+WeightSDS!Q$12*$AG125^6+WeightSDS!R$12*$AG125^5+WeightSDS!S$12*$AG125^4+WeightSDS!T$12*$AG125^3+WeightSDS!U$12*$AG125^2+WeightSDS!V$12*$AG125+WeightSDS!W$12,WeightSDS!P$14*$AG125^7+WeightSDS!Q$14*$AG125^6+WeightSDS!R$14*$AG125^5+WeightSDS!S$14*$AG125^4+WeightSDS!T$14*$AG125^3+WeightSDS!U$14*$AG125^2+WeightSDS!V$14*$AG125+WeightSDS!W$14),IF($AG125&lt;156,WeightSDS!O$17*$AG125^8+WeightSDS!P$17*$AG125^7+WeightSDS!Q$17*$AG125^6+WeightSDS!R$17*$AG125^5+WeightSDS!S$17*$AG125^4+WeightSDS!T$17*$AG125^3+WeightSDS!U$17*$AG125^2+WeightSDS!V$17*$AG125+WeightSDS!W$17,IF($AG125&lt;186,WeightSDS!$U$18+(WeightSDS!$V$18-WeightSDS!$U$18)/24*($AG125-186)+WeightSDS!$W$18*(-$AG125+186)^2-0.005,WeightSDS!$U$18+(WeightSDS!$V$18-WeightSDS!$U$18)/24*($AG125-186)-0.005)))</f>
        <v>0.14604529399999999</v>
      </c>
    </row>
    <row r="126" spans="1:37">
      <c r="A126" s="4"/>
      <c r="B126" s="21"/>
      <c r="C126" s="21"/>
      <c r="D126" s="21"/>
      <c r="E126" s="22"/>
      <c r="F126" s="22"/>
      <c r="G126" s="23"/>
      <c r="H126" s="23"/>
      <c r="I126" s="8" t="str">
        <f t="shared" si="18"/>
        <v/>
      </c>
      <c r="J126" s="2" t="str">
        <f t="shared" si="25"/>
        <v/>
      </c>
      <c r="K126" s="2" t="str">
        <f t="shared" si="19"/>
        <v/>
      </c>
      <c r="L126" s="2" t="str">
        <f t="shared" si="26"/>
        <v/>
      </c>
      <c r="M126" s="2" t="str">
        <f t="shared" si="31"/>
        <v/>
      </c>
      <c r="N126" s="2" t="str">
        <f t="shared" si="27"/>
        <v/>
      </c>
      <c r="O126" s="8" t="str">
        <f t="shared" si="28"/>
        <v/>
      </c>
      <c r="P126" s="8" t="str">
        <f t="shared" si="29"/>
        <v/>
      </c>
      <c r="Q126" s="40" t="str">
        <f t="shared" si="20"/>
        <v/>
      </c>
      <c r="R126" s="48" t="str">
        <f t="shared" si="30"/>
        <v/>
      </c>
      <c r="S126" s="8"/>
      <c r="U126" s="35">
        <f t="shared" si="21"/>
        <v>0</v>
      </c>
      <c r="V126" s="24">
        <f t="shared" si="22"/>
        <v>0</v>
      </c>
      <c r="W126" s="41">
        <f t="shared" si="33"/>
        <v>0</v>
      </c>
      <c r="X126" s="31"/>
      <c r="Y126" s="31"/>
      <c r="Z126" s="31"/>
      <c r="AA126" s="25">
        <f t="shared" si="23"/>
        <v>9.0359999999999996</v>
      </c>
      <c r="AB126" s="25">
        <f t="shared" si="24"/>
        <v>-184.49199999999999</v>
      </c>
      <c r="AD126" s="24">
        <f>IF(D126="M",IF(AG126&lt;78,BMILMS!$D$5*AG126^3+BMILMS!$E$5*AG126^2+BMILMS!$F$5*AG126+BMILMS!$G$5,IF(AG126&lt;150,BMILMS!$D$6*AG126^3+BMILMS!$E$6*AG126^2+BMILMS!$F$6*AG126+BMILMS!$G$6,BMILMS!$D$7*AG126^3+BMILMS!$E$7*AG126^2+BMILMS!$F$7*AG126+BMILMS!$G$7)),IF(AG126&lt;69,BMILMS!$D$9*AG126^3+BMILMS!$E$9*AG126^2+BMILMS!$F$9*AG126+BMILMS!$G$9,IF(AG126&lt;150,BMILMS!$D$10*AG126^3+BMILMS!$E$10*AG126^2+BMILMS!$F$10*AG126+BMILMS!$G$10,BMILMS!$D$11*AG126^3+BMILMS!$E$11*AG126^2+BMILMS!$F$11*AG126+BMILMS!$G$11)))</f>
        <v>0.79584630099999998</v>
      </c>
      <c r="AE126" s="24">
        <f>IF(D126="M",(IF(AG126&lt;2.5,BMILMS!$D$21*AG126^3+BMILMS!$E$21*AG126^2+BMILMS!$F$21*AG126+BMILMS!$G$21,IF(AG126&lt;9.5,BMILMS!$D$22*AG126^3+BMILMS!$E$22*AG126^2+BMILMS!$F$22*AG126+BMILMS!$G$22,IF(AG126&lt;26.75,BMILMS!$D$23*AG126^3+BMILMS!$E$23*AG126^2+BMILMS!$F$23*AG126+BMILMS!$G$23,IF(AG126&lt;90,BMILMS!$D$24*AG126^3+BMILMS!$E$24*AG126^2+BMILMS!$F$24*AG126+BMILMS!$G$24,BMILMS!$D$25*AG126^3+BMILMS!$E$25*AG126^2+BMILMS!$F$25*AG126+BMILMS!$G$25))))),(IF(AG126&lt;2.5,BMILMS!$D$27*AG126^3+BMILMS!$E$27*AG126^2+BMILMS!$F$27*AG126+BMILMS!$G$27,IF(AG126&lt;9.5,BMILMS!$D$28*AG126^3+BMILMS!$E$28*AG126^2+BMILMS!$F$28*AG126+BMILMS!$G$28,IF(AG126&lt;26.75,BMILMS!$D$29*AG126^3+BMILMS!$E$29*AG126^2+BMILMS!$F$29*AG126+BMILMS!$G$29,IF(AG126&lt;90,BMILMS!$D$30*AG126^3+BMILMS!$E$30*AG126^2+BMILMS!$F$30*AG126+BMILMS!$G$30,IF(AG126&lt;150,BMILMS!$D$31*AG126^3+BMILMS!$E$31*AG126^2+BMILMS!$F$31*AG126+BMILMS!$G$31,BMILMS!$D$32*AG126^3+BMILMS!$E$32*AG126^2+BMILMS!$F$32*AG126+BMILMS!$G$32)))))))</f>
        <v>12.568967990000001</v>
      </c>
      <c r="AF126" s="24">
        <f>IF(D126="M",(IF(AG126&lt;90,BMILMS!$D$14*AG126^3+BMILMS!$E$14*AG126^2+BMILMS!$F$14*AG126+BMILMS!$G$14,BMILMS!$D$15*AG126^3+BMILMS!$E$15*AG126^2+BMILMS!$F$15*AG126+BMILMS!$G$15)),(IF(AG126&lt;90,BMILMS!$D$17*AG126^3+BMILMS!$E$17*AG126^2+BMILMS!$F$17*AG126+BMILMS!$G$17,BMILMS!$D$18*AG126^3+BMILMS!$E$18*AG126^2+BMILMS!$F$18*AG126+BMILMS!$G$18)))</f>
        <v>8.8969350000000003E-2</v>
      </c>
      <c r="AG126" s="24">
        <f t="shared" si="32"/>
        <v>0</v>
      </c>
      <c r="AI126" s="38">
        <f>IF(D126="M",WeightSDS!P$5*$AG126^7+WeightSDS!Q$5*$AG126^6+WeightSDS!R$5*$AG126^5+WeightSDS!S$5*$AG126^4+WeightSDS!T$5*$AG126^3+WeightSDS!U$5*$AG126^2+WeightSDS!V$5*$AG126+WeightSDS!W$5,IF($AG126&lt;186,WeightSDS!P$8*$AG126^7+WeightSDS!Q$8*$AG126^6+WeightSDS!R$8*$AG126^5+WeightSDS!S$8*$AG126^4+WeightSDS!T$8*$AG126^3+WeightSDS!U$8*$AG126^2+WeightSDS!V$8*$AG126+WeightSDS!W$8,WeightSDS!$U$9-WeightSDS!$V$9*($AG126-WeightSDS!$W$9)))</f>
        <v>0.75407122999999998</v>
      </c>
      <c r="AJ126" s="24">
        <f>IF(D126="M",IF($AG126&lt;45,WeightSDS!M$23*$AG126^10+WeightSDS!N$23*$AG126^9+WeightSDS!O$23*$AG126^8+WeightSDS!P$23*$AG126^7+WeightSDS!Q$23*$AG126^6+WeightSDS!R$23*$AG126^5+WeightSDS!S$23*$AG126^4+WeightSDS!T$23*$AG126^3+WeightSDS!U$23*$AG126^2+WeightSDS!V$23*$AG126+WeightSDS!W$23,IF($AG126&lt;153,WeightSDS!M$25*$AG126^10+WeightSDS!N$25*$AG126^9+WeightSDS!O$25*$AG126^8+WeightSDS!P$25*$AG126^7+WeightSDS!Q$25*$AG126^6+WeightSDS!R$25*$AG126^5+WeightSDS!S$25*$AG126^4+WeightSDS!T$25*$AG126^3+WeightSDS!U$25*$AG126^2+WeightSDS!V$25*$AG126+WeightSDS!W$25,WeightSDS!M$27+WeightSDS!N$27/(1+EXP(WeightSDS!O$27+WeightSDS!P$27*$AG126)))),IF($AG126&lt;43.8,WeightSDS!M$29*$AG126^10+WeightSDS!N$29*$AG126^9+WeightSDS!O$29*$AG126^8+WeightSDS!P$29*$AG126^7+WeightSDS!Q$29*$AG126^6+WeightSDS!R$29*$AG126^5+WeightSDS!S$29*$AG126^4+WeightSDS!T$29*$AG126^3+WeightSDS!U$29*$AG126^2+WeightSDS!V$29*$AG126+WeightSDS!W$29-0.010431*(1-$AG126/210),IF($AG126&lt;123,WeightSDS!M$30*$AG126^10+WeightSDS!N$30*$AG126^9+WeightSDS!O$30*$AG126^8+WeightSDS!P$30*$AG126^7+WeightSDS!Q$30*$AG126^6+WeightSDS!R$30*$AG126^5+WeightSDS!S$30*$AG126^4+WeightSDS!T$30*$AG126^3+WeightSDS!U$30*$AG126^2+WeightSDS!V$30*$AG126+WeightSDS!W$30-0.010431*(1-1/$AG126),WeightSDS!M$32+WeightSDS!N$32/(1+EXP(WeightSDS!O$32+WeightSDS!P$32*$AG126))-0.010431*(1-$AG126/210))))</f>
        <v>2.9500001032655536</v>
      </c>
      <c r="AK126" s="24">
        <f>IF(D126="M",IF($AG126&lt;162,WeightSDS!P$12*$AG126^7+WeightSDS!Q$12*$AG126^6+WeightSDS!R$12*$AG126^5+WeightSDS!S$12*$AG126^4+WeightSDS!T$12*$AG126^3+WeightSDS!U$12*$AG126^2+WeightSDS!V$12*$AG126+WeightSDS!W$12,WeightSDS!P$14*$AG126^7+WeightSDS!Q$14*$AG126^6+WeightSDS!R$14*$AG126^5+WeightSDS!S$14*$AG126^4+WeightSDS!T$14*$AG126^3+WeightSDS!U$14*$AG126^2+WeightSDS!V$14*$AG126+WeightSDS!W$14),IF($AG126&lt;156,WeightSDS!O$17*$AG126^8+WeightSDS!P$17*$AG126^7+WeightSDS!Q$17*$AG126^6+WeightSDS!R$17*$AG126^5+WeightSDS!S$17*$AG126^4+WeightSDS!T$17*$AG126^3+WeightSDS!U$17*$AG126^2+WeightSDS!V$17*$AG126+WeightSDS!W$17,IF($AG126&lt;186,WeightSDS!$U$18+(WeightSDS!$V$18-WeightSDS!$U$18)/24*($AG126-186)+WeightSDS!$W$18*(-$AG126+186)^2-0.005,WeightSDS!$U$18+(WeightSDS!$V$18-WeightSDS!$U$18)/24*($AG126-186)-0.005)))</f>
        <v>0.14604529399999999</v>
      </c>
    </row>
    <row r="127" spans="1:37">
      <c r="A127" s="4"/>
      <c r="B127" s="21"/>
      <c r="C127" s="21"/>
      <c r="D127" s="21"/>
      <c r="E127" s="22"/>
      <c r="F127" s="22"/>
      <c r="G127" s="23"/>
      <c r="H127" s="23"/>
      <c r="I127" s="8" t="str">
        <f t="shared" si="18"/>
        <v/>
      </c>
      <c r="J127" s="2" t="str">
        <f t="shared" si="25"/>
        <v/>
      </c>
      <c r="K127" s="2" t="str">
        <f t="shared" si="19"/>
        <v/>
      </c>
      <c r="L127" s="2" t="str">
        <f t="shared" si="26"/>
        <v/>
      </c>
      <c r="M127" s="2" t="str">
        <f t="shared" si="31"/>
        <v/>
      </c>
      <c r="N127" s="2" t="str">
        <f t="shared" si="27"/>
        <v/>
      </c>
      <c r="O127" s="8" t="str">
        <f t="shared" si="28"/>
        <v/>
      </c>
      <c r="P127" s="8" t="str">
        <f t="shared" si="29"/>
        <v/>
      </c>
      <c r="Q127" s="40" t="str">
        <f t="shared" si="20"/>
        <v/>
      </c>
      <c r="R127" s="48" t="str">
        <f t="shared" si="30"/>
        <v/>
      </c>
      <c r="S127" s="8"/>
      <c r="U127" s="35">
        <f t="shared" si="21"/>
        <v>0</v>
      </c>
      <c r="V127" s="24">
        <f t="shared" si="22"/>
        <v>0</v>
      </c>
      <c r="W127" s="41">
        <f t="shared" si="33"/>
        <v>0</v>
      </c>
      <c r="X127" s="31"/>
      <c r="Y127" s="31"/>
      <c r="Z127" s="31"/>
      <c r="AA127" s="25">
        <f t="shared" si="23"/>
        <v>9.0359999999999996</v>
      </c>
      <c r="AB127" s="25">
        <f t="shared" si="24"/>
        <v>-184.49199999999999</v>
      </c>
      <c r="AD127" s="24">
        <f>IF(D127="M",IF(AG127&lt;78,BMILMS!$D$5*AG127^3+BMILMS!$E$5*AG127^2+BMILMS!$F$5*AG127+BMILMS!$G$5,IF(AG127&lt;150,BMILMS!$D$6*AG127^3+BMILMS!$E$6*AG127^2+BMILMS!$F$6*AG127+BMILMS!$G$6,BMILMS!$D$7*AG127^3+BMILMS!$E$7*AG127^2+BMILMS!$F$7*AG127+BMILMS!$G$7)),IF(AG127&lt;69,BMILMS!$D$9*AG127^3+BMILMS!$E$9*AG127^2+BMILMS!$F$9*AG127+BMILMS!$G$9,IF(AG127&lt;150,BMILMS!$D$10*AG127^3+BMILMS!$E$10*AG127^2+BMILMS!$F$10*AG127+BMILMS!$G$10,BMILMS!$D$11*AG127^3+BMILMS!$E$11*AG127^2+BMILMS!$F$11*AG127+BMILMS!$G$11)))</f>
        <v>0.79584630099999998</v>
      </c>
      <c r="AE127" s="24">
        <f>IF(D127="M",(IF(AG127&lt;2.5,BMILMS!$D$21*AG127^3+BMILMS!$E$21*AG127^2+BMILMS!$F$21*AG127+BMILMS!$G$21,IF(AG127&lt;9.5,BMILMS!$D$22*AG127^3+BMILMS!$E$22*AG127^2+BMILMS!$F$22*AG127+BMILMS!$G$22,IF(AG127&lt;26.75,BMILMS!$D$23*AG127^3+BMILMS!$E$23*AG127^2+BMILMS!$F$23*AG127+BMILMS!$G$23,IF(AG127&lt;90,BMILMS!$D$24*AG127^3+BMILMS!$E$24*AG127^2+BMILMS!$F$24*AG127+BMILMS!$G$24,BMILMS!$D$25*AG127^3+BMILMS!$E$25*AG127^2+BMILMS!$F$25*AG127+BMILMS!$G$25))))),(IF(AG127&lt;2.5,BMILMS!$D$27*AG127^3+BMILMS!$E$27*AG127^2+BMILMS!$F$27*AG127+BMILMS!$G$27,IF(AG127&lt;9.5,BMILMS!$D$28*AG127^3+BMILMS!$E$28*AG127^2+BMILMS!$F$28*AG127+BMILMS!$G$28,IF(AG127&lt;26.75,BMILMS!$D$29*AG127^3+BMILMS!$E$29*AG127^2+BMILMS!$F$29*AG127+BMILMS!$G$29,IF(AG127&lt;90,BMILMS!$D$30*AG127^3+BMILMS!$E$30*AG127^2+BMILMS!$F$30*AG127+BMILMS!$G$30,IF(AG127&lt;150,BMILMS!$D$31*AG127^3+BMILMS!$E$31*AG127^2+BMILMS!$F$31*AG127+BMILMS!$G$31,BMILMS!$D$32*AG127^3+BMILMS!$E$32*AG127^2+BMILMS!$F$32*AG127+BMILMS!$G$32)))))))</f>
        <v>12.568967990000001</v>
      </c>
      <c r="AF127" s="24">
        <f>IF(D127="M",(IF(AG127&lt;90,BMILMS!$D$14*AG127^3+BMILMS!$E$14*AG127^2+BMILMS!$F$14*AG127+BMILMS!$G$14,BMILMS!$D$15*AG127^3+BMILMS!$E$15*AG127^2+BMILMS!$F$15*AG127+BMILMS!$G$15)),(IF(AG127&lt;90,BMILMS!$D$17*AG127^3+BMILMS!$E$17*AG127^2+BMILMS!$F$17*AG127+BMILMS!$G$17,BMILMS!$D$18*AG127^3+BMILMS!$E$18*AG127^2+BMILMS!$F$18*AG127+BMILMS!$G$18)))</f>
        <v>8.8969350000000003E-2</v>
      </c>
      <c r="AG127" s="24">
        <f t="shared" si="32"/>
        <v>0</v>
      </c>
      <c r="AI127" s="38">
        <f>IF(D127="M",WeightSDS!P$5*$AG127^7+WeightSDS!Q$5*$AG127^6+WeightSDS!R$5*$AG127^5+WeightSDS!S$5*$AG127^4+WeightSDS!T$5*$AG127^3+WeightSDS!U$5*$AG127^2+WeightSDS!V$5*$AG127+WeightSDS!W$5,IF($AG127&lt;186,WeightSDS!P$8*$AG127^7+WeightSDS!Q$8*$AG127^6+WeightSDS!R$8*$AG127^5+WeightSDS!S$8*$AG127^4+WeightSDS!T$8*$AG127^3+WeightSDS!U$8*$AG127^2+WeightSDS!V$8*$AG127+WeightSDS!W$8,WeightSDS!$U$9-WeightSDS!$V$9*($AG127-WeightSDS!$W$9)))</f>
        <v>0.75407122999999998</v>
      </c>
      <c r="AJ127" s="24">
        <f>IF(D127="M",IF($AG127&lt;45,WeightSDS!M$23*$AG127^10+WeightSDS!N$23*$AG127^9+WeightSDS!O$23*$AG127^8+WeightSDS!P$23*$AG127^7+WeightSDS!Q$23*$AG127^6+WeightSDS!R$23*$AG127^5+WeightSDS!S$23*$AG127^4+WeightSDS!T$23*$AG127^3+WeightSDS!U$23*$AG127^2+WeightSDS!V$23*$AG127+WeightSDS!W$23,IF($AG127&lt;153,WeightSDS!M$25*$AG127^10+WeightSDS!N$25*$AG127^9+WeightSDS!O$25*$AG127^8+WeightSDS!P$25*$AG127^7+WeightSDS!Q$25*$AG127^6+WeightSDS!R$25*$AG127^5+WeightSDS!S$25*$AG127^4+WeightSDS!T$25*$AG127^3+WeightSDS!U$25*$AG127^2+WeightSDS!V$25*$AG127+WeightSDS!W$25,WeightSDS!M$27+WeightSDS!N$27/(1+EXP(WeightSDS!O$27+WeightSDS!P$27*$AG127)))),IF($AG127&lt;43.8,WeightSDS!M$29*$AG127^10+WeightSDS!N$29*$AG127^9+WeightSDS!O$29*$AG127^8+WeightSDS!P$29*$AG127^7+WeightSDS!Q$29*$AG127^6+WeightSDS!R$29*$AG127^5+WeightSDS!S$29*$AG127^4+WeightSDS!T$29*$AG127^3+WeightSDS!U$29*$AG127^2+WeightSDS!V$29*$AG127+WeightSDS!W$29-0.010431*(1-$AG127/210),IF($AG127&lt;123,WeightSDS!M$30*$AG127^10+WeightSDS!N$30*$AG127^9+WeightSDS!O$30*$AG127^8+WeightSDS!P$30*$AG127^7+WeightSDS!Q$30*$AG127^6+WeightSDS!R$30*$AG127^5+WeightSDS!S$30*$AG127^4+WeightSDS!T$30*$AG127^3+WeightSDS!U$30*$AG127^2+WeightSDS!V$30*$AG127+WeightSDS!W$30-0.010431*(1-1/$AG127),WeightSDS!M$32+WeightSDS!N$32/(1+EXP(WeightSDS!O$32+WeightSDS!P$32*$AG127))-0.010431*(1-$AG127/210))))</f>
        <v>2.9500001032655536</v>
      </c>
      <c r="AK127" s="24">
        <f>IF(D127="M",IF($AG127&lt;162,WeightSDS!P$12*$AG127^7+WeightSDS!Q$12*$AG127^6+WeightSDS!R$12*$AG127^5+WeightSDS!S$12*$AG127^4+WeightSDS!T$12*$AG127^3+WeightSDS!U$12*$AG127^2+WeightSDS!V$12*$AG127+WeightSDS!W$12,WeightSDS!P$14*$AG127^7+WeightSDS!Q$14*$AG127^6+WeightSDS!R$14*$AG127^5+WeightSDS!S$14*$AG127^4+WeightSDS!T$14*$AG127^3+WeightSDS!U$14*$AG127^2+WeightSDS!V$14*$AG127+WeightSDS!W$14),IF($AG127&lt;156,WeightSDS!O$17*$AG127^8+WeightSDS!P$17*$AG127^7+WeightSDS!Q$17*$AG127^6+WeightSDS!R$17*$AG127^5+WeightSDS!S$17*$AG127^4+WeightSDS!T$17*$AG127^3+WeightSDS!U$17*$AG127^2+WeightSDS!V$17*$AG127+WeightSDS!W$17,IF($AG127&lt;186,WeightSDS!$U$18+(WeightSDS!$V$18-WeightSDS!$U$18)/24*($AG127-186)+WeightSDS!$W$18*(-$AG127+186)^2-0.005,WeightSDS!$U$18+(WeightSDS!$V$18-WeightSDS!$U$18)/24*($AG127-186)-0.005)))</f>
        <v>0.14604529399999999</v>
      </c>
    </row>
    <row r="128" spans="1:37">
      <c r="A128" s="4"/>
      <c r="B128" s="21"/>
      <c r="C128" s="21"/>
      <c r="D128" s="21"/>
      <c r="E128" s="22"/>
      <c r="F128" s="22"/>
      <c r="G128" s="23"/>
      <c r="H128" s="23"/>
      <c r="I128" s="8" t="str">
        <f t="shared" si="18"/>
        <v/>
      </c>
      <c r="J128" s="2" t="str">
        <f t="shared" si="25"/>
        <v/>
      </c>
      <c r="K128" s="2" t="str">
        <f t="shared" si="19"/>
        <v/>
      </c>
      <c r="L128" s="2" t="str">
        <f t="shared" si="26"/>
        <v/>
      </c>
      <c r="M128" s="2" t="str">
        <f t="shared" si="31"/>
        <v/>
      </c>
      <c r="N128" s="2" t="str">
        <f t="shared" si="27"/>
        <v/>
      </c>
      <c r="O128" s="8" t="str">
        <f t="shared" si="28"/>
        <v/>
      </c>
      <c r="P128" s="8" t="str">
        <f t="shared" si="29"/>
        <v/>
      </c>
      <c r="Q128" s="40" t="str">
        <f t="shared" si="20"/>
        <v/>
      </c>
      <c r="R128" s="48" t="str">
        <f t="shared" si="30"/>
        <v/>
      </c>
      <c r="S128" s="8"/>
      <c r="U128" s="35">
        <f t="shared" si="21"/>
        <v>0</v>
      </c>
      <c r="V128" s="24">
        <f t="shared" si="22"/>
        <v>0</v>
      </c>
      <c r="W128" s="41">
        <f t="shared" si="33"/>
        <v>0</v>
      </c>
      <c r="X128" s="31"/>
      <c r="Y128" s="31"/>
      <c r="Z128" s="31"/>
      <c r="AA128" s="25">
        <f t="shared" si="23"/>
        <v>9.0359999999999996</v>
      </c>
      <c r="AB128" s="25">
        <f t="shared" si="24"/>
        <v>-184.49199999999999</v>
      </c>
      <c r="AD128" s="24">
        <f>IF(D128="M",IF(AG128&lt;78,BMILMS!$D$5*AG128^3+BMILMS!$E$5*AG128^2+BMILMS!$F$5*AG128+BMILMS!$G$5,IF(AG128&lt;150,BMILMS!$D$6*AG128^3+BMILMS!$E$6*AG128^2+BMILMS!$F$6*AG128+BMILMS!$G$6,BMILMS!$D$7*AG128^3+BMILMS!$E$7*AG128^2+BMILMS!$F$7*AG128+BMILMS!$G$7)),IF(AG128&lt;69,BMILMS!$D$9*AG128^3+BMILMS!$E$9*AG128^2+BMILMS!$F$9*AG128+BMILMS!$G$9,IF(AG128&lt;150,BMILMS!$D$10*AG128^3+BMILMS!$E$10*AG128^2+BMILMS!$F$10*AG128+BMILMS!$G$10,BMILMS!$D$11*AG128^3+BMILMS!$E$11*AG128^2+BMILMS!$F$11*AG128+BMILMS!$G$11)))</f>
        <v>0.79584630099999998</v>
      </c>
      <c r="AE128" s="24">
        <f>IF(D128="M",(IF(AG128&lt;2.5,BMILMS!$D$21*AG128^3+BMILMS!$E$21*AG128^2+BMILMS!$F$21*AG128+BMILMS!$G$21,IF(AG128&lt;9.5,BMILMS!$D$22*AG128^3+BMILMS!$E$22*AG128^2+BMILMS!$F$22*AG128+BMILMS!$G$22,IF(AG128&lt;26.75,BMILMS!$D$23*AG128^3+BMILMS!$E$23*AG128^2+BMILMS!$F$23*AG128+BMILMS!$G$23,IF(AG128&lt;90,BMILMS!$D$24*AG128^3+BMILMS!$E$24*AG128^2+BMILMS!$F$24*AG128+BMILMS!$G$24,BMILMS!$D$25*AG128^3+BMILMS!$E$25*AG128^2+BMILMS!$F$25*AG128+BMILMS!$G$25))))),(IF(AG128&lt;2.5,BMILMS!$D$27*AG128^3+BMILMS!$E$27*AG128^2+BMILMS!$F$27*AG128+BMILMS!$G$27,IF(AG128&lt;9.5,BMILMS!$D$28*AG128^3+BMILMS!$E$28*AG128^2+BMILMS!$F$28*AG128+BMILMS!$G$28,IF(AG128&lt;26.75,BMILMS!$D$29*AG128^3+BMILMS!$E$29*AG128^2+BMILMS!$F$29*AG128+BMILMS!$G$29,IF(AG128&lt;90,BMILMS!$D$30*AG128^3+BMILMS!$E$30*AG128^2+BMILMS!$F$30*AG128+BMILMS!$G$30,IF(AG128&lt;150,BMILMS!$D$31*AG128^3+BMILMS!$E$31*AG128^2+BMILMS!$F$31*AG128+BMILMS!$G$31,BMILMS!$D$32*AG128^3+BMILMS!$E$32*AG128^2+BMILMS!$F$32*AG128+BMILMS!$G$32)))))))</f>
        <v>12.568967990000001</v>
      </c>
      <c r="AF128" s="24">
        <f>IF(D128="M",(IF(AG128&lt;90,BMILMS!$D$14*AG128^3+BMILMS!$E$14*AG128^2+BMILMS!$F$14*AG128+BMILMS!$G$14,BMILMS!$D$15*AG128^3+BMILMS!$E$15*AG128^2+BMILMS!$F$15*AG128+BMILMS!$G$15)),(IF(AG128&lt;90,BMILMS!$D$17*AG128^3+BMILMS!$E$17*AG128^2+BMILMS!$F$17*AG128+BMILMS!$G$17,BMILMS!$D$18*AG128^3+BMILMS!$E$18*AG128^2+BMILMS!$F$18*AG128+BMILMS!$G$18)))</f>
        <v>8.8969350000000003E-2</v>
      </c>
      <c r="AG128" s="24">
        <f t="shared" si="32"/>
        <v>0</v>
      </c>
      <c r="AI128" s="38">
        <f>IF(D128="M",WeightSDS!P$5*$AG128^7+WeightSDS!Q$5*$AG128^6+WeightSDS!R$5*$AG128^5+WeightSDS!S$5*$AG128^4+WeightSDS!T$5*$AG128^3+WeightSDS!U$5*$AG128^2+WeightSDS!V$5*$AG128+WeightSDS!W$5,IF($AG128&lt;186,WeightSDS!P$8*$AG128^7+WeightSDS!Q$8*$AG128^6+WeightSDS!R$8*$AG128^5+WeightSDS!S$8*$AG128^4+WeightSDS!T$8*$AG128^3+WeightSDS!U$8*$AG128^2+WeightSDS!V$8*$AG128+WeightSDS!W$8,WeightSDS!$U$9-WeightSDS!$V$9*($AG128-WeightSDS!$W$9)))</f>
        <v>0.75407122999999998</v>
      </c>
      <c r="AJ128" s="24">
        <f>IF(D128="M",IF($AG128&lt;45,WeightSDS!M$23*$AG128^10+WeightSDS!N$23*$AG128^9+WeightSDS!O$23*$AG128^8+WeightSDS!P$23*$AG128^7+WeightSDS!Q$23*$AG128^6+WeightSDS!R$23*$AG128^5+WeightSDS!S$23*$AG128^4+WeightSDS!T$23*$AG128^3+WeightSDS!U$23*$AG128^2+WeightSDS!V$23*$AG128+WeightSDS!W$23,IF($AG128&lt;153,WeightSDS!M$25*$AG128^10+WeightSDS!N$25*$AG128^9+WeightSDS!O$25*$AG128^8+WeightSDS!P$25*$AG128^7+WeightSDS!Q$25*$AG128^6+WeightSDS!R$25*$AG128^5+WeightSDS!S$25*$AG128^4+WeightSDS!T$25*$AG128^3+WeightSDS!U$25*$AG128^2+WeightSDS!V$25*$AG128+WeightSDS!W$25,WeightSDS!M$27+WeightSDS!N$27/(1+EXP(WeightSDS!O$27+WeightSDS!P$27*$AG128)))),IF($AG128&lt;43.8,WeightSDS!M$29*$AG128^10+WeightSDS!N$29*$AG128^9+WeightSDS!O$29*$AG128^8+WeightSDS!P$29*$AG128^7+WeightSDS!Q$29*$AG128^6+WeightSDS!R$29*$AG128^5+WeightSDS!S$29*$AG128^4+WeightSDS!T$29*$AG128^3+WeightSDS!U$29*$AG128^2+WeightSDS!V$29*$AG128+WeightSDS!W$29-0.010431*(1-$AG128/210),IF($AG128&lt;123,WeightSDS!M$30*$AG128^10+WeightSDS!N$30*$AG128^9+WeightSDS!O$30*$AG128^8+WeightSDS!P$30*$AG128^7+WeightSDS!Q$30*$AG128^6+WeightSDS!R$30*$AG128^5+WeightSDS!S$30*$AG128^4+WeightSDS!T$30*$AG128^3+WeightSDS!U$30*$AG128^2+WeightSDS!V$30*$AG128+WeightSDS!W$30-0.010431*(1-1/$AG128),WeightSDS!M$32+WeightSDS!N$32/(1+EXP(WeightSDS!O$32+WeightSDS!P$32*$AG128))-0.010431*(1-$AG128/210))))</f>
        <v>2.9500001032655536</v>
      </c>
      <c r="AK128" s="24">
        <f>IF(D128="M",IF($AG128&lt;162,WeightSDS!P$12*$AG128^7+WeightSDS!Q$12*$AG128^6+WeightSDS!R$12*$AG128^5+WeightSDS!S$12*$AG128^4+WeightSDS!T$12*$AG128^3+WeightSDS!U$12*$AG128^2+WeightSDS!V$12*$AG128+WeightSDS!W$12,WeightSDS!P$14*$AG128^7+WeightSDS!Q$14*$AG128^6+WeightSDS!R$14*$AG128^5+WeightSDS!S$14*$AG128^4+WeightSDS!T$14*$AG128^3+WeightSDS!U$14*$AG128^2+WeightSDS!V$14*$AG128+WeightSDS!W$14),IF($AG128&lt;156,WeightSDS!O$17*$AG128^8+WeightSDS!P$17*$AG128^7+WeightSDS!Q$17*$AG128^6+WeightSDS!R$17*$AG128^5+WeightSDS!S$17*$AG128^4+WeightSDS!T$17*$AG128^3+WeightSDS!U$17*$AG128^2+WeightSDS!V$17*$AG128+WeightSDS!W$17,IF($AG128&lt;186,WeightSDS!$U$18+(WeightSDS!$V$18-WeightSDS!$U$18)/24*($AG128-186)+WeightSDS!$W$18*(-$AG128+186)^2-0.005,WeightSDS!$U$18+(WeightSDS!$V$18-WeightSDS!$U$18)/24*($AG128-186)-0.005)))</f>
        <v>0.14604529399999999</v>
      </c>
    </row>
    <row r="129" spans="1:37">
      <c r="A129" s="4"/>
      <c r="B129" s="21"/>
      <c r="C129" s="21"/>
      <c r="D129" s="21"/>
      <c r="E129" s="22"/>
      <c r="F129" s="22"/>
      <c r="G129" s="23"/>
      <c r="H129" s="23"/>
      <c r="I129" s="8" t="str">
        <f t="shared" si="18"/>
        <v/>
      </c>
      <c r="J129" s="2" t="str">
        <f t="shared" si="25"/>
        <v/>
      </c>
      <c r="K129" s="2" t="str">
        <f t="shared" si="19"/>
        <v/>
      </c>
      <c r="L129" s="2" t="str">
        <f t="shared" si="26"/>
        <v/>
      </c>
      <c r="M129" s="2" t="str">
        <f t="shared" si="31"/>
        <v/>
      </c>
      <c r="N129" s="2" t="str">
        <f t="shared" si="27"/>
        <v/>
      </c>
      <c r="O129" s="8" t="str">
        <f t="shared" si="28"/>
        <v/>
      </c>
      <c r="P129" s="8" t="str">
        <f t="shared" si="29"/>
        <v/>
      </c>
      <c r="Q129" s="40" t="str">
        <f t="shared" si="20"/>
        <v/>
      </c>
      <c r="R129" s="48" t="str">
        <f t="shared" si="30"/>
        <v/>
      </c>
      <c r="S129" s="8"/>
      <c r="U129" s="35">
        <f t="shared" si="21"/>
        <v>0</v>
      </c>
      <c r="V129" s="24">
        <f t="shared" si="22"/>
        <v>0</v>
      </c>
      <c r="W129" s="41">
        <f t="shared" si="33"/>
        <v>0</v>
      </c>
      <c r="X129" s="31"/>
      <c r="Y129" s="31"/>
      <c r="Z129" s="31"/>
      <c r="AA129" s="25">
        <f t="shared" si="23"/>
        <v>9.0359999999999996</v>
      </c>
      <c r="AB129" s="25">
        <f t="shared" si="24"/>
        <v>-184.49199999999999</v>
      </c>
      <c r="AD129" s="24">
        <f>IF(D129="M",IF(AG129&lt;78,BMILMS!$D$5*AG129^3+BMILMS!$E$5*AG129^2+BMILMS!$F$5*AG129+BMILMS!$G$5,IF(AG129&lt;150,BMILMS!$D$6*AG129^3+BMILMS!$E$6*AG129^2+BMILMS!$F$6*AG129+BMILMS!$G$6,BMILMS!$D$7*AG129^3+BMILMS!$E$7*AG129^2+BMILMS!$F$7*AG129+BMILMS!$G$7)),IF(AG129&lt;69,BMILMS!$D$9*AG129^3+BMILMS!$E$9*AG129^2+BMILMS!$F$9*AG129+BMILMS!$G$9,IF(AG129&lt;150,BMILMS!$D$10*AG129^3+BMILMS!$E$10*AG129^2+BMILMS!$F$10*AG129+BMILMS!$G$10,BMILMS!$D$11*AG129^3+BMILMS!$E$11*AG129^2+BMILMS!$F$11*AG129+BMILMS!$G$11)))</f>
        <v>0.79584630099999998</v>
      </c>
      <c r="AE129" s="24">
        <f>IF(D129="M",(IF(AG129&lt;2.5,BMILMS!$D$21*AG129^3+BMILMS!$E$21*AG129^2+BMILMS!$F$21*AG129+BMILMS!$G$21,IF(AG129&lt;9.5,BMILMS!$D$22*AG129^3+BMILMS!$E$22*AG129^2+BMILMS!$F$22*AG129+BMILMS!$G$22,IF(AG129&lt;26.75,BMILMS!$D$23*AG129^3+BMILMS!$E$23*AG129^2+BMILMS!$F$23*AG129+BMILMS!$G$23,IF(AG129&lt;90,BMILMS!$D$24*AG129^3+BMILMS!$E$24*AG129^2+BMILMS!$F$24*AG129+BMILMS!$G$24,BMILMS!$D$25*AG129^3+BMILMS!$E$25*AG129^2+BMILMS!$F$25*AG129+BMILMS!$G$25))))),(IF(AG129&lt;2.5,BMILMS!$D$27*AG129^3+BMILMS!$E$27*AG129^2+BMILMS!$F$27*AG129+BMILMS!$G$27,IF(AG129&lt;9.5,BMILMS!$D$28*AG129^3+BMILMS!$E$28*AG129^2+BMILMS!$F$28*AG129+BMILMS!$G$28,IF(AG129&lt;26.75,BMILMS!$D$29*AG129^3+BMILMS!$E$29*AG129^2+BMILMS!$F$29*AG129+BMILMS!$G$29,IF(AG129&lt;90,BMILMS!$D$30*AG129^3+BMILMS!$E$30*AG129^2+BMILMS!$F$30*AG129+BMILMS!$G$30,IF(AG129&lt;150,BMILMS!$D$31*AG129^3+BMILMS!$E$31*AG129^2+BMILMS!$F$31*AG129+BMILMS!$G$31,BMILMS!$D$32*AG129^3+BMILMS!$E$32*AG129^2+BMILMS!$F$32*AG129+BMILMS!$G$32)))))))</f>
        <v>12.568967990000001</v>
      </c>
      <c r="AF129" s="24">
        <f>IF(D129="M",(IF(AG129&lt;90,BMILMS!$D$14*AG129^3+BMILMS!$E$14*AG129^2+BMILMS!$F$14*AG129+BMILMS!$G$14,BMILMS!$D$15*AG129^3+BMILMS!$E$15*AG129^2+BMILMS!$F$15*AG129+BMILMS!$G$15)),(IF(AG129&lt;90,BMILMS!$D$17*AG129^3+BMILMS!$E$17*AG129^2+BMILMS!$F$17*AG129+BMILMS!$G$17,BMILMS!$D$18*AG129^3+BMILMS!$E$18*AG129^2+BMILMS!$F$18*AG129+BMILMS!$G$18)))</f>
        <v>8.8969350000000003E-2</v>
      </c>
      <c r="AG129" s="24">
        <f t="shared" si="32"/>
        <v>0</v>
      </c>
      <c r="AI129" s="38">
        <f>IF(D129="M",WeightSDS!P$5*$AG129^7+WeightSDS!Q$5*$AG129^6+WeightSDS!R$5*$AG129^5+WeightSDS!S$5*$AG129^4+WeightSDS!T$5*$AG129^3+WeightSDS!U$5*$AG129^2+WeightSDS!V$5*$AG129+WeightSDS!W$5,IF($AG129&lt;186,WeightSDS!P$8*$AG129^7+WeightSDS!Q$8*$AG129^6+WeightSDS!R$8*$AG129^5+WeightSDS!S$8*$AG129^4+WeightSDS!T$8*$AG129^3+WeightSDS!U$8*$AG129^2+WeightSDS!V$8*$AG129+WeightSDS!W$8,WeightSDS!$U$9-WeightSDS!$V$9*($AG129-WeightSDS!$W$9)))</f>
        <v>0.75407122999999998</v>
      </c>
      <c r="AJ129" s="24">
        <f>IF(D129="M",IF($AG129&lt;45,WeightSDS!M$23*$AG129^10+WeightSDS!N$23*$AG129^9+WeightSDS!O$23*$AG129^8+WeightSDS!P$23*$AG129^7+WeightSDS!Q$23*$AG129^6+WeightSDS!R$23*$AG129^5+WeightSDS!S$23*$AG129^4+WeightSDS!T$23*$AG129^3+WeightSDS!U$23*$AG129^2+WeightSDS!V$23*$AG129+WeightSDS!W$23,IF($AG129&lt;153,WeightSDS!M$25*$AG129^10+WeightSDS!N$25*$AG129^9+WeightSDS!O$25*$AG129^8+WeightSDS!P$25*$AG129^7+WeightSDS!Q$25*$AG129^6+WeightSDS!R$25*$AG129^5+WeightSDS!S$25*$AG129^4+WeightSDS!T$25*$AG129^3+WeightSDS!U$25*$AG129^2+WeightSDS!V$25*$AG129+WeightSDS!W$25,WeightSDS!M$27+WeightSDS!N$27/(1+EXP(WeightSDS!O$27+WeightSDS!P$27*$AG129)))),IF($AG129&lt;43.8,WeightSDS!M$29*$AG129^10+WeightSDS!N$29*$AG129^9+WeightSDS!O$29*$AG129^8+WeightSDS!P$29*$AG129^7+WeightSDS!Q$29*$AG129^6+WeightSDS!R$29*$AG129^5+WeightSDS!S$29*$AG129^4+WeightSDS!T$29*$AG129^3+WeightSDS!U$29*$AG129^2+WeightSDS!V$29*$AG129+WeightSDS!W$29-0.010431*(1-$AG129/210),IF($AG129&lt;123,WeightSDS!M$30*$AG129^10+WeightSDS!N$30*$AG129^9+WeightSDS!O$30*$AG129^8+WeightSDS!P$30*$AG129^7+WeightSDS!Q$30*$AG129^6+WeightSDS!R$30*$AG129^5+WeightSDS!S$30*$AG129^4+WeightSDS!T$30*$AG129^3+WeightSDS!U$30*$AG129^2+WeightSDS!V$30*$AG129+WeightSDS!W$30-0.010431*(1-1/$AG129),WeightSDS!M$32+WeightSDS!N$32/(1+EXP(WeightSDS!O$32+WeightSDS!P$32*$AG129))-0.010431*(1-$AG129/210))))</f>
        <v>2.9500001032655536</v>
      </c>
      <c r="AK129" s="24">
        <f>IF(D129="M",IF($AG129&lt;162,WeightSDS!P$12*$AG129^7+WeightSDS!Q$12*$AG129^6+WeightSDS!R$12*$AG129^5+WeightSDS!S$12*$AG129^4+WeightSDS!T$12*$AG129^3+WeightSDS!U$12*$AG129^2+WeightSDS!V$12*$AG129+WeightSDS!W$12,WeightSDS!P$14*$AG129^7+WeightSDS!Q$14*$AG129^6+WeightSDS!R$14*$AG129^5+WeightSDS!S$14*$AG129^4+WeightSDS!T$14*$AG129^3+WeightSDS!U$14*$AG129^2+WeightSDS!V$14*$AG129+WeightSDS!W$14),IF($AG129&lt;156,WeightSDS!O$17*$AG129^8+WeightSDS!P$17*$AG129^7+WeightSDS!Q$17*$AG129^6+WeightSDS!R$17*$AG129^5+WeightSDS!S$17*$AG129^4+WeightSDS!T$17*$AG129^3+WeightSDS!U$17*$AG129^2+WeightSDS!V$17*$AG129+WeightSDS!W$17,IF($AG129&lt;186,WeightSDS!$U$18+(WeightSDS!$V$18-WeightSDS!$U$18)/24*($AG129-186)+WeightSDS!$W$18*(-$AG129+186)^2-0.005,WeightSDS!$U$18+(WeightSDS!$V$18-WeightSDS!$U$18)/24*($AG129-186)-0.005)))</f>
        <v>0.14604529399999999</v>
      </c>
    </row>
    <row r="130" spans="1:37">
      <c r="A130" s="4"/>
      <c r="B130" s="21"/>
      <c r="C130" s="21"/>
      <c r="D130" s="21"/>
      <c r="E130" s="22"/>
      <c r="F130" s="22"/>
      <c r="G130" s="23"/>
      <c r="H130" s="23"/>
      <c r="I130" s="8" t="str">
        <f t="shared" si="18"/>
        <v/>
      </c>
      <c r="J130" s="2" t="str">
        <f t="shared" si="25"/>
        <v/>
      </c>
      <c r="K130" s="2" t="str">
        <f t="shared" si="19"/>
        <v/>
      </c>
      <c r="L130" s="2" t="str">
        <f t="shared" si="26"/>
        <v/>
      </c>
      <c r="M130" s="2" t="str">
        <f t="shared" si="31"/>
        <v/>
      </c>
      <c r="N130" s="2" t="str">
        <f t="shared" si="27"/>
        <v/>
      </c>
      <c r="O130" s="8" t="str">
        <f t="shared" si="28"/>
        <v/>
      </c>
      <c r="P130" s="8" t="str">
        <f t="shared" si="29"/>
        <v/>
      </c>
      <c r="Q130" s="40" t="str">
        <f t="shared" si="20"/>
        <v/>
      </c>
      <c r="R130" s="48" t="str">
        <f t="shared" si="30"/>
        <v/>
      </c>
      <c r="S130" s="8"/>
      <c r="U130" s="35">
        <f t="shared" si="21"/>
        <v>0</v>
      </c>
      <c r="V130" s="24">
        <f t="shared" si="22"/>
        <v>0</v>
      </c>
      <c r="W130" s="41">
        <f t="shared" si="33"/>
        <v>0</v>
      </c>
      <c r="X130" s="31"/>
      <c r="Y130" s="31"/>
      <c r="Z130" s="31"/>
      <c r="AA130" s="25">
        <f t="shared" si="23"/>
        <v>9.0359999999999996</v>
      </c>
      <c r="AB130" s="25">
        <f t="shared" si="24"/>
        <v>-184.49199999999999</v>
      </c>
      <c r="AD130" s="24">
        <f>IF(D130="M",IF(AG130&lt;78,BMILMS!$D$5*AG130^3+BMILMS!$E$5*AG130^2+BMILMS!$F$5*AG130+BMILMS!$G$5,IF(AG130&lt;150,BMILMS!$D$6*AG130^3+BMILMS!$E$6*AG130^2+BMILMS!$F$6*AG130+BMILMS!$G$6,BMILMS!$D$7*AG130^3+BMILMS!$E$7*AG130^2+BMILMS!$F$7*AG130+BMILMS!$G$7)),IF(AG130&lt;69,BMILMS!$D$9*AG130^3+BMILMS!$E$9*AG130^2+BMILMS!$F$9*AG130+BMILMS!$G$9,IF(AG130&lt;150,BMILMS!$D$10*AG130^3+BMILMS!$E$10*AG130^2+BMILMS!$F$10*AG130+BMILMS!$G$10,BMILMS!$D$11*AG130^3+BMILMS!$E$11*AG130^2+BMILMS!$F$11*AG130+BMILMS!$G$11)))</f>
        <v>0.79584630099999998</v>
      </c>
      <c r="AE130" s="24">
        <f>IF(D130="M",(IF(AG130&lt;2.5,BMILMS!$D$21*AG130^3+BMILMS!$E$21*AG130^2+BMILMS!$F$21*AG130+BMILMS!$G$21,IF(AG130&lt;9.5,BMILMS!$D$22*AG130^3+BMILMS!$E$22*AG130^2+BMILMS!$F$22*AG130+BMILMS!$G$22,IF(AG130&lt;26.75,BMILMS!$D$23*AG130^3+BMILMS!$E$23*AG130^2+BMILMS!$F$23*AG130+BMILMS!$G$23,IF(AG130&lt;90,BMILMS!$D$24*AG130^3+BMILMS!$E$24*AG130^2+BMILMS!$F$24*AG130+BMILMS!$G$24,BMILMS!$D$25*AG130^3+BMILMS!$E$25*AG130^2+BMILMS!$F$25*AG130+BMILMS!$G$25))))),(IF(AG130&lt;2.5,BMILMS!$D$27*AG130^3+BMILMS!$E$27*AG130^2+BMILMS!$F$27*AG130+BMILMS!$G$27,IF(AG130&lt;9.5,BMILMS!$D$28*AG130^3+BMILMS!$E$28*AG130^2+BMILMS!$F$28*AG130+BMILMS!$G$28,IF(AG130&lt;26.75,BMILMS!$D$29*AG130^3+BMILMS!$E$29*AG130^2+BMILMS!$F$29*AG130+BMILMS!$G$29,IF(AG130&lt;90,BMILMS!$D$30*AG130^3+BMILMS!$E$30*AG130^2+BMILMS!$F$30*AG130+BMILMS!$G$30,IF(AG130&lt;150,BMILMS!$D$31*AG130^3+BMILMS!$E$31*AG130^2+BMILMS!$F$31*AG130+BMILMS!$G$31,BMILMS!$D$32*AG130^3+BMILMS!$E$32*AG130^2+BMILMS!$F$32*AG130+BMILMS!$G$32)))))))</f>
        <v>12.568967990000001</v>
      </c>
      <c r="AF130" s="24">
        <f>IF(D130="M",(IF(AG130&lt;90,BMILMS!$D$14*AG130^3+BMILMS!$E$14*AG130^2+BMILMS!$F$14*AG130+BMILMS!$G$14,BMILMS!$D$15*AG130^3+BMILMS!$E$15*AG130^2+BMILMS!$F$15*AG130+BMILMS!$G$15)),(IF(AG130&lt;90,BMILMS!$D$17*AG130^3+BMILMS!$E$17*AG130^2+BMILMS!$F$17*AG130+BMILMS!$G$17,BMILMS!$D$18*AG130^3+BMILMS!$E$18*AG130^2+BMILMS!$F$18*AG130+BMILMS!$G$18)))</f>
        <v>8.8969350000000003E-2</v>
      </c>
      <c r="AG130" s="24">
        <f t="shared" si="32"/>
        <v>0</v>
      </c>
      <c r="AI130" s="38">
        <f>IF(D130="M",WeightSDS!P$5*$AG130^7+WeightSDS!Q$5*$AG130^6+WeightSDS!R$5*$AG130^5+WeightSDS!S$5*$AG130^4+WeightSDS!T$5*$AG130^3+WeightSDS!U$5*$AG130^2+WeightSDS!V$5*$AG130+WeightSDS!W$5,IF($AG130&lt;186,WeightSDS!P$8*$AG130^7+WeightSDS!Q$8*$AG130^6+WeightSDS!R$8*$AG130^5+WeightSDS!S$8*$AG130^4+WeightSDS!T$8*$AG130^3+WeightSDS!U$8*$AG130^2+WeightSDS!V$8*$AG130+WeightSDS!W$8,WeightSDS!$U$9-WeightSDS!$V$9*($AG130-WeightSDS!$W$9)))</f>
        <v>0.75407122999999998</v>
      </c>
      <c r="AJ130" s="24">
        <f>IF(D130="M",IF($AG130&lt;45,WeightSDS!M$23*$AG130^10+WeightSDS!N$23*$AG130^9+WeightSDS!O$23*$AG130^8+WeightSDS!P$23*$AG130^7+WeightSDS!Q$23*$AG130^6+WeightSDS!R$23*$AG130^5+WeightSDS!S$23*$AG130^4+WeightSDS!T$23*$AG130^3+WeightSDS!U$23*$AG130^2+WeightSDS!V$23*$AG130+WeightSDS!W$23,IF($AG130&lt;153,WeightSDS!M$25*$AG130^10+WeightSDS!N$25*$AG130^9+WeightSDS!O$25*$AG130^8+WeightSDS!P$25*$AG130^7+WeightSDS!Q$25*$AG130^6+WeightSDS!R$25*$AG130^5+WeightSDS!S$25*$AG130^4+WeightSDS!T$25*$AG130^3+WeightSDS!U$25*$AG130^2+WeightSDS!V$25*$AG130+WeightSDS!W$25,WeightSDS!M$27+WeightSDS!N$27/(1+EXP(WeightSDS!O$27+WeightSDS!P$27*$AG130)))),IF($AG130&lt;43.8,WeightSDS!M$29*$AG130^10+WeightSDS!N$29*$AG130^9+WeightSDS!O$29*$AG130^8+WeightSDS!P$29*$AG130^7+WeightSDS!Q$29*$AG130^6+WeightSDS!R$29*$AG130^5+WeightSDS!S$29*$AG130^4+WeightSDS!T$29*$AG130^3+WeightSDS!U$29*$AG130^2+WeightSDS!V$29*$AG130+WeightSDS!W$29-0.010431*(1-$AG130/210),IF($AG130&lt;123,WeightSDS!M$30*$AG130^10+WeightSDS!N$30*$AG130^9+WeightSDS!O$30*$AG130^8+WeightSDS!P$30*$AG130^7+WeightSDS!Q$30*$AG130^6+WeightSDS!R$30*$AG130^5+WeightSDS!S$30*$AG130^4+WeightSDS!T$30*$AG130^3+WeightSDS!U$30*$AG130^2+WeightSDS!V$30*$AG130+WeightSDS!W$30-0.010431*(1-1/$AG130),WeightSDS!M$32+WeightSDS!N$32/(1+EXP(WeightSDS!O$32+WeightSDS!P$32*$AG130))-0.010431*(1-$AG130/210))))</f>
        <v>2.9500001032655536</v>
      </c>
      <c r="AK130" s="24">
        <f>IF(D130="M",IF($AG130&lt;162,WeightSDS!P$12*$AG130^7+WeightSDS!Q$12*$AG130^6+WeightSDS!R$12*$AG130^5+WeightSDS!S$12*$AG130^4+WeightSDS!T$12*$AG130^3+WeightSDS!U$12*$AG130^2+WeightSDS!V$12*$AG130+WeightSDS!W$12,WeightSDS!P$14*$AG130^7+WeightSDS!Q$14*$AG130^6+WeightSDS!R$14*$AG130^5+WeightSDS!S$14*$AG130^4+WeightSDS!T$14*$AG130^3+WeightSDS!U$14*$AG130^2+WeightSDS!V$14*$AG130+WeightSDS!W$14),IF($AG130&lt;156,WeightSDS!O$17*$AG130^8+WeightSDS!P$17*$AG130^7+WeightSDS!Q$17*$AG130^6+WeightSDS!R$17*$AG130^5+WeightSDS!S$17*$AG130^4+WeightSDS!T$17*$AG130^3+WeightSDS!U$17*$AG130^2+WeightSDS!V$17*$AG130+WeightSDS!W$17,IF($AG130&lt;186,WeightSDS!$U$18+(WeightSDS!$V$18-WeightSDS!$U$18)/24*($AG130-186)+WeightSDS!$W$18*(-$AG130+186)^2-0.005,WeightSDS!$U$18+(WeightSDS!$V$18-WeightSDS!$U$18)/24*($AG130-186)-0.005)))</f>
        <v>0.14604529399999999</v>
      </c>
    </row>
    <row r="131" spans="1:37">
      <c r="A131" s="4"/>
      <c r="B131" s="21"/>
      <c r="C131" s="21"/>
      <c r="D131" s="21"/>
      <c r="E131" s="22"/>
      <c r="F131" s="22"/>
      <c r="G131" s="23"/>
      <c r="H131" s="23"/>
      <c r="I131" s="8" t="str">
        <f t="shared" ref="I131:I194" si="34">IF(COUNTA(D131,E131,F131,G131,H131)=5,IF(Q131&gt;17.583,"       *",(G131-(INDEX(IF(D131="F",Hfemalemean,Hmalemean),V131+1,U131+1)))/(INDEX(IF(D131="F",Hfemalesd,Hmalesd),V131+1,U131+1))),"")</f>
        <v/>
      </c>
      <c r="J131" s="2" t="str">
        <f t="shared" si="25"/>
        <v/>
      </c>
      <c r="K131" s="2" t="str">
        <f t="shared" ref="K131:K194" si="35">IF(COUNTA(D131,E131,F131,G131,H131)&lt;5,"",IF(Q131&lt;6,"       *",IF(Q131&gt;=17.583,"       *",(H131-G131*INDEX(IF(D131="F",muratafemale,muratamale),U131-4,1)-INDEX(IF(D131="F",muratafemale,muratamale),U131-4,2))/(G131*INDEX(IF(D131="F",muratafemale,muratamale),U131-4,1)+INDEX(IF(D131="F",muratafemale,muratamale),U131-4,2))*100)))</f>
        <v/>
      </c>
      <c r="L131" s="2" t="str">
        <f t="shared" si="26"/>
        <v/>
      </c>
      <c r="M131" s="2" t="str">
        <f t="shared" si="31"/>
        <v/>
      </c>
      <c r="N131" s="2" t="str">
        <f t="shared" si="27"/>
        <v/>
      </c>
      <c r="O131" s="8" t="str">
        <f t="shared" si="28"/>
        <v/>
      </c>
      <c r="P131" s="8" t="str">
        <f t="shared" si="29"/>
        <v/>
      </c>
      <c r="Q131" s="40" t="str">
        <f t="shared" ref="Q131:Q194" si="36">IF(COUNTA(D131,E131,F131,G131,H131)=5,W131,"")</f>
        <v/>
      </c>
      <c r="R131" s="48" t="str">
        <f t="shared" si="30"/>
        <v/>
      </c>
      <c r="S131" s="8"/>
      <c r="U131" s="35">
        <f t="shared" ref="U131:U194" si="37">DATEDIF(E131,F131,"Y")</f>
        <v>0</v>
      </c>
      <c r="V131" s="24">
        <f t="shared" ref="V131:V194" si="38">DATEDIF(E131,F131,"YM")</f>
        <v>0</v>
      </c>
      <c r="W131" s="41">
        <f t="shared" si="33"/>
        <v>0</v>
      </c>
      <c r="X131" s="31"/>
      <c r="Y131" s="31"/>
      <c r="Z131" s="31"/>
      <c r="AA131" s="25">
        <f t="shared" ref="AA131:AA194" si="39">IF(D131="M",2.06*10^-3*G131^2-0.1166*G131+6.5273,2.49*10^-3*G131^2-0.1858*G131+9.036)</f>
        <v>9.0359999999999996</v>
      </c>
      <c r="AB131" s="25">
        <f t="shared" ref="AB131:AB194" si="40">((G131/100)^3*INDEX(itoOI,IF(D131="M",0,3)+IF(G131&lt;140,1,IF(G131&lt;=149,2,3)),1)+(G131/100)^2*INDEX(itoOI,IF(D131="M",0,3)+IF(G131&lt;140,1,IF(G131&lt;=149,2,3)),2)+(G131/100)*INDEX(itoOI,IF(D131="M",0,3)+IF(G131&lt;140,1,IF(G131&lt;=149,2,3)),3)+INDEX(itoOI,IF(D131="M",0,3)+IF(G131&lt;140,1,IF(G131&lt;=149,2,3)),4))</f>
        <v>-184.49199999999999</v>
      </c>
      <c r="AD131" s="24">
        <f>IF(D131="M",IF(AG131&lt;78,BMILMS!$D$5*AG131^3+BMILMS!$E$5*AG131^2+BMILMS!$F$5*AG131+BMILMS!$G$5,IF(AG131&lt;150,BMILMS!$D$6*AG131^3+BMILMS!$E$6*AG131^2+BMILMS!$F$6*AG131+BMILMS!$G$6,BMILMS!$D$7*AG131^3+BMILMS!$E$7*AG131^2+BMILMS!$F$7*AG131+BMILMS!$G$7)),IF(AG131&lt;69,BMILMS!$D$9*AG131^3+BMILMS!$E$9*AG131^2+BMILMS!$F$9*AG131+BMILMS!$G$9,IF(AG131&lt;150,BMILMS!$D$10*AG131^3+BMILMS!$E$10*AG131^2+BMILMS!$F$10*AG131+BMILMS!$G$10,BMILMS!$D$11*AG131^3+BMILMS!$E$11*AG131^2+BMILMS!$F$11*AG131+BMILMS!$G$11)))</f>
        <v>0.79584630099999998</v>
      </c>
      <c r="AE131" s="24">
        <f>IF(D131="M",(IF(AG131&lt;2.5,BMILMS!$D$21*AG131^3+BMILMS!$E$21*AG131^2+BMILMS!$F$21*AG131+BMILMS!$G$21,IF(AG131&lt;9.5,BMILMS!$D$22*AG131^3+BMILMS!$E$22*AG131^2+BMILMS!$F$22*AG131+BMILMS!$G$22,IF(AG131&lt;26.75,BMILMS!$D$23*AG131^3+BMILMS!$E$23*AG131^2+BMILMS!$F$23*AG131+BMILMS!$G$23,IF(AG131&lt;90,BMILMS!$D$24*AG131^3+BMILMS!$E$24*AG131^2+BMILMS!$F$24*AG131+BMILMS!$G$24,BMILMS!$D$25*AG131^3+BMILMS!$E$25*AG131^2+BMILMS!$F$25*AG131+BMILMS!$G$25))))),(IF(AG131&lt;2.5,BMILMS!$D$27*AG131^3+BMILMS!$E$27*AG131^2+BMILMS!$F$27*AG131+BMILMS!$G$27,IF(AG131&lt;9.5,BMILMS!$D$28*AG131^3+BMILMS!$E$28*AG131^2+BMILMS!$F$28*AG131+BMILMS!$G$28,IF(AG131&lt;26.75,BMILMS!$D$29*AG131^3+BMILMS!$E$29*AG131^2+BMILMS!$F$29*AG131+BMILMS!$G$29,IF(AG131&lt;90,BMILMS!$D$30*AG131^3+BMILMS!$E$30*AG131^2+BMILMS!$F$30*AG131+BMILMS!$G$30,IF(AG131&lt;150,BMILMS!$D$31*AG131^3+BMILMS!$E$31*AG131^2+BMILMS!$F$31*AG131+BMILMS!$G$31,BMILMS!$D$32*AG131^3+BMILMS!$E$32*AG131^2+BMILMS!$F$32*AG131+BMILMS!$G$32)))))))</f>
        <v>12.568967990000001</v>
      </c>
      <c r="AF131" s="24">
        <f>IF(D131="M",(IF(AG131&lt;90,BMILMS!$D$14*AG131^3+BMILMS!$E$14*AG131^2+BMILMS!$F$14*AG131+BMILMS!$G$14,BMILMS!$D$15*AG131^3+BMILMS!$E$15*AG131^2+BMILMS!$F$15*AG131+BMILMS!$G$15)),(IF(AG131&lt;90,BMILMS!$D$17*AG131^3+BMILMS!$E$17*AG131^2+BMILMS!$F$17*AG131+BMILMS!$G$17,BMILMS!$D$18*AG131^3+BMILMS!$E$18*AG131^2+BMILMS!$F$18*AG131+BMILMS!$G$18)))</f>
        <v>8.8969350000000003E-2</v>
      </c>
      <c r="AG131" s="24">
        <f t="shared" si="32"/>
        <v>0</v>
      </c>
      <c r="AI131" s="38">
        <f>IF(D131="M",WeightSDS!P$5*$AG131^7+WeightSDS!Q$5*$AG131^6+WeightSDS!R$5*$AG131^5+WeightSDS!S$5*$AG131^4+WeightSDS!T$5*$AG131^3+WeightSDS!U$5*$AG131^2+WeightSDS!V$5*$AG131+WeightSDS!W$5,IF($AG131&lt;186,WeightSDS!P$8*$AG131^7+WeightSDS!Q$8*$AG131^6+WeightSDS!R$8*$AG131^5+WeightSDS!S$8*$AG131^4+WeightSDS!T$8*$AG131^3+WeightSDS!U$8*$AG131^2+WeightSDS!V$8*$AG131+WeightSDS!W$8,WeightSDS!$U$9-WeightSDS!$V$9*($AG131-WeightSDS!$W$9)))</f>
        <v>0.75407122999999998</v>
      </c>
      <c r="AJ131" s="24">
        <f>IF(D131="M",IF($AG131&lt;45,WeightSDS!M$23*$AG131^10+WeightSDS!N$23*$AG131^9+WeightSDS!O$23*$AG131^8+WeightSDS!P$23*$AG131^7+WeightSDS!Q$23*$AG131^6+WeightSDS!R$23*$AG131^5+WeightSDS!S$23*$AG131^4+WeightSDS!T$23*$AG131^3+WeightSDS!U$23*$AG131^2+WeightSDS!V$23*$AG131+WeightSDS!W$23,IF($AG131&lt;153,WeightSDS!M$25*$AG131^10+WeightSDS!N$25*$AG131^9+WeightSDS!O$25*$AG131^8+WeightSDS!P$25*$AG131^7+WeightSDS!Q$25*$AG131^6+WeightSDS!R$25*$AG131^5+WeightSDS!S$25*$AG131^4+WeightSDS!T$25*$AG131^3+WeightSDS!U$25*$AG131^2+WeightSDS!V$25*$AG131+WeightSDS!W$25,WeightSDS!M$27+WeightSDS!N$27/(1+EXP(WeightSDS!O$27+WeightSDS!P$27*$AG131)))),IF($AG131&lt;43.8,WeightSDS!M$29*$AG131^10+WeightSDS!N$29*$AG131^9+WeightSDS!O$29*$AG131^8+WeightSDS!P$29*$AG131^7+WeightSDS!Q$29*$AG131^6+WeightSDS!R$29*$AG131^5+WeightSDS!S$29*$AG131^4+WeightSDS!T$29*$AG131^3+WeightSDS!U$29*$AG131^2+WeightSDS!V$29*$AG131+WeightSDS!W$29-0.010431*(1-$AG131/210),IF($AG131&lt;123,WeightSDS!M$30*$AG131^10+WeightSDS!N$30*$AG131^9+WeightSDS!O$30*$AG131^8+WeightSDS!P$30*$AG131^7+WeightSDS!Q$30*$AG131^6+WeightSDS!R$30*$AG131^5+WeightSDS!S$30*$AG131^4+WeightSDS!T$30*$AG131^3+WeightSDS!U$30*$AG131^2+WeightSDS!V$30*$AG131+WeightSDS!W$30-0.010431*(1-1/$AG131),WeightSDS!M$32+WeightSDS!N$32/(1+EXP(WeightSDS!O$32+WeightSDS!P$32*$AG131))-0.010431*(1-$AG131/210))))</f>
        <v>2.9500001032655536</v>
      </c>
      <c r="AK131" s="24">
        <f>IF(D131="M",IF($AG131&lt;162,WeightSDS!P$12*$AG131^7+WeightSDS!Q$12*$AG131^6+WeightSDS!R$12*$AG131^5+WeightSDS!S$12*$AG131^4+WeightSDS!T$12*$AG131^3+WeightSDS!U$12*$AG131^2+WeightSDS!V$12*$AG131+WeightSDS!W$12,WeightSDS!P$14*$AG131^7+WeightSDS!Q$14*$AG131^6+WeightSDS!R$14*$AG131^5+WeightSDS!S$14*$AG131^4+WeightSDS!T$14*$AG131^3+WeightSDS!U$14*$AG131^2+WeightSDS!V$14*$AG131+WeightSDS!W$14),IF($AG131&lt;156,WeightSDS!O$17*$AG131^8+WeightSDS!P$17*$AG131^7+WeightSDS!Q$17*$AG131^6+WeightSDS!R$17*$AG131^5+WeightSDS!S$17*$AG131^4+WeightSDS!T$17*$AG131^3+WeightSDS!U$17*$AG131^2+WeightSDS!V$17*$AG131+WeightSDS!W$17,IF($AG131&lt;186,WeightSDS!$U$18+(WeightSDS!$V$18-WeightSDS!$U$18)/24*($AG131-186)+WeightSDS!$W$18*(-$AG131+186)^2-0.005,WeightSDS!$U$18+(WeightSDS!$V$18-WeightSDS!$U$18)/24*($AG131-186)-0.005)))</f>
        <v>0.14604529399999999</v>
      </c>
    </row>
    <row r="132" spans="1:37">
      <c r="A132" s="4"/>
      <c r="B132" s="21"/>
      <c r="C132" s="21"/>
      <c r="D132" s="21"/>
      <c r="E132" s="22"/>
      <c r="F132" s="22"/>
      <c r="G132" s="23"/>
      <c r="H132" s="23"/>
      <c r="I132" s="8" t="str">
        <f t="shared" si="34"/>
        <v/>
      </c>
      <c r="J132" s="2" t="str">
        <f t="shared" ref="J132:J195" si="41">IF(COUNTA(D132,E132,F132,G132,H132)=5,IF(Q132&lt;1,"       *",IF(Q132&gt;=6,"       *",IF(G132&gt;=120,"       *",IF(G132&lt;70,"       *",(H132-AA132)/AA132*100)))),"")</f>
        <v/>
      </c>
      <c r="K132" s="2" t="str">
        <f t="shared" si="35"/>
        <v/>
      </c>
      <c r="L132" s="2" t="str">
        <f t="shared" ref="L132:L195" si="42">IF(COUNTA(D132,E132,F132,G132,H132)=5,IF(G132&gt;=IF(D132="M",181,174),"*",IF(G132&lt;101,"       *",IF(Q132&lt;6,"       *",IF(Q132&gt;=17.583,"*",(H132-AB132)/AB132*100)))),"")</f>
        <v/>
      </c>
      <c r="M132" s="2" t="str">
        <f t="shared" si="31"/>
        <v/>
      </c>
      <c r="N132" s="2" t="str">
        <f t="shared" ref="N132:N195" si="43">IF(COUNTA(D132,E132,F132,G132,H132)=5,IF(Q132&gt;17.583,"   *",NORMSDIST(((M132/AE132)^(AD132)-1)/AD132/AF132)*100),"")</f>
        <v/>
      </c>
      <c r="O132" s="8" t="str">
        <f t="shared" ref="O132:O195" si="44">IF(COUNTA(D132,E132,F132,G132,H132)=5,IF(Q132&gt;17.583,"   *",((M132/AE132)^(AD132)-1)/AD132/AF132),"")</f>
        <v/>
      </c>
      <c r="P132" s="8" t="str">
        <f t="shared" ref="P132:P195" si="45">IF(COUNTA(D132,E132,F132,G132,H132)=5,IF(Q132&gt;17.583,"   *",((H132/AJ132)^(AI132)-1)/AI132/AK132),"")</f>
        <v/>
      </c>
      <c r="Q132" s="40" t="str">
        <f t="shared" si="36"/>
        <v/>
      </c>
      <c r="R132" s="48" t="str">
        <f t="shared" ref="R132:R195" si="46">IF(COUNTA(D132,E132,F132,G132,H132)=5,U132&amp;"歳"&amp;V132&amp;"か月","")</f>
        <v/>
      </c>
      <c r="S132" s="8"/>
      <c r="U132" s="35">
        <f t="shared" si="37"/>
        <v>0</v>
      </c>
      <c r="V132" s="24">
        <f t="shared" si="38"/>
        <v>0</v>
      </c>
      <c r="W132" s="41">
        <f t="shared" si="33"/>
        <v>0</v>
      </c>
      <c r="X132" s="31"/>
      <c r="Y132" s="31"/>
      <c r="Z132" s="31"/>
      <c r="AA132" s="25">
        <f t="shared" si="39"/>
        <v>9.0359999999999996</v>
      </c>
      <c r="AB132" s="25">
        <f t="shared" si="40"/>
        <v>-184.49199999999999</v>
      </c>
      <c r="AD132" s="24">
        <f>IF(D132="M",IF(AG132&lt;78,BMILMS!$D$5*AG132^3+BMILMS!$E$5*AG132^2+BMILMS!$F$5*AG132+BMILMS!$G$5,IF(AG132&lt;150,BMILMS!$D$6*AG132^3+BMILMS!$E$6*AG132^2+BMILMS!$F$6*AG132+BMILMS!$G$6,BMILMS!$D$7*AG132^3+BMILMS!$E$7*AG132^2+BMILMS!$F$7*AG132+BMILMS!$G$7)),IF(AG132&lt;69,BMILMS!$D$9*AG132^3+BMILMS!$E$9*AG132^2+BMILMS!$F$9*AG132+BMILMS!$G$9,IF(AG132&lt;150,BMILMS!$D$10*AG132^3+BMILMS!$E$10*AG132^2+BMILMS!$F$10*AG132+BMILMS!$G$10,BMILMS!$D$11*AG132^3+BMILMS!$E$11*AG132^2+BMILMS!$F$11*AG132+BMILMS!$G$11)))</f>
        <v>0.79584630099999998</v>
      </c>
      <c r="AE132" s="24">
        <f>IF(D132="M",(IF(AG132&lt;2.5,BMILMS!$D$21*AG132^3+BMILMS!$E$21*AG132^2+BMILMS!$F$21*AG132+BMILMS!$G$21,IF(AG132&lt;9.5,BMILMS!$D$22*AG132^3+BMILMS!$E$22*AG132^2+BMILMS!$F$22*AG132+BMILMS!$G$22,IF(AG132&lt;26.75,BMILMS!$D$23*AG132^3+BMILMS!$E$23*AG132^2+BMILMS!$F$23*AG132+BMILMS!$G$23,IF(AG132&lt;90,BMILMS!$D$24*AG132^3+BMILMS!$E$24*AG132^2+BMILMS!$F$24*AG132+BMILMS!$G$24,BMILMS!$D$25*AG132^3+BMILMS!$E$25*AG132^2+BMILMS!$F$25*AG132+BMILMS!$G$25))))),(IF(AG132&lt;2.5,BMILMS!$D$27*AG132^3+BMILMS!$E$27*AG132^2+BMILMS!$F$27*AG132+BMILMS!$G$27,IF(AG132&lt;9.5,BMILMS!$D$28*AG132^3+BMILMS!$E$28*AG132^2+BMILMS!$F$28*AG132+BMILMS!$G$28,IF(AG132&lt;26.75,BMILMS!$D$29*AG132^3+BMILMS!$E$29*AG132^2+BMILMS!$F$29*AG132+BMILMS!$G$29,IF(AG132&lt;90,BMILMS!$D$30*AG132^3+BMILMS!$E$30*AG132^2+BMILMS!$F$30*AG132+BMILMS!$G$30,IF(AG132&lt;150,BMILMS!$D$31*AG132^3+BMILMS!$E$31*AG132^2+BMILMS!$F$31*AG132+BMILMS!$G$31,BMILMS!$D$32*AG132^3+BMILMS!$E$32*AG132^2+BMILMS!$F$32*AG132+BMILMS!$G$32)))))))</f>
        <v>12.568967990000001</v>
      </c>
      <c r="AF132" s="24">
        <f>IF(D132="M",(IF(AG132&lt;90,BMILMS!$D$14*AG132^3+BMILMS!$E$14*AG132^2+BMILMS!$F$14*AG132+BMILMS!$G$14,BMILMS!$D$15*AG132^3+BMILMS!$E$15*AG132^2+BMILMS!$F$15*AG132+BMILMS!$G$15)),(IF(AG132&lt;90,BMILMS!$D$17*AG132^3+BMILMS!$E$17*AG132^2+BMILMS!$F$17*AG132+BMILMS!$G$17,BMILMS!$D$18*AG132^3+BMILMS!$E$18*AG132^2+BMILMS!$F$18*AG132+BMILMS!$G$18)))</f>
        <v>8.8969350000000003E-2</v>
      </c>
      <c r="AG132" s="24">
        <f t="shared" si="32"/>
        <v>0</v>
      </c>
      <c r="AI132" s="38">
        <f>IF(D132="M",WeightSDS!P$5*$AG132^7+WeightSDS!Q$5*$AG132^6+WeightSDS!R$5*$AG132^5+WeightSDS!S$5*$AG132^4+WeightSDS!T$5*$AG132^3+WeightSDS!U$5*$AG132^2+WeightSDS!V$5*$AG132+WeightSDS!W$5,IF($AG132&lt;186,WeightSDS!P$8*$AG132^7+WeightSDS!Q$8*$AG132^6+WeightSDS!R$8*$AG132^5+WeightSDS!S$8*$AG132^4+WeightSDS!T$8*$AG132^3+WeightSDS!U$8*$AG132^2+WeightSDS!V$8*$AG132+WeightSDS!W$8,WeightSDS!$U$9-WeightSDS!$V$9*($AG132-WeightSDS!$W$9)))</f>
        <v>0.75407122999999998</v>
      </c>
      <c r="AJ132" s="24">
        <f>IF(D132="M",IF($AG132&lt;45,WeightSDS!M$23*$AG132^10+WeightSDS!N$23*$AG132^9+WeightSDS!O$23*$AG132^8+WeightSDS!P$23*$AG132^7+WeightSDS!Q$23*$AG132^6+WeightSDS!R$23*$AG132^5+WeightSDS!S$23*$AG132^4+WeightSDS!T$23*$AG132^3+WeightSDS!U$23*$AG132^2+WeightSDS!V$23*$AG132+WeightSDS!W$23,IF($AG132&lt;153,WeightSDS!M$25*$AG132^10+WeightSDS!N$25*$AG132^9+WeightSDS!O$25*$AG132^8+WeightSDS!P$25*$AG132^7+WeightSDS!Q$25*$AG132^6+WeightSDS!R$25*$AG132^5+WeightSDS!S$25*$AG132^4+WeightSDS!T$25*$AG132^3+WeightSDS!U$25*$AG132^2+WeightSDS!V$25*$AG132+WeightSDS!W$25,WeightSDS!M$27+WeightSDS!N$27/(1+EXP(WeightSDS!O$27+WeightSDS!P$27*$AG132)))),IF($AG132&lt;43.8,WeightSDS!M$29*$AG132^10+WeightSDS!N$29*$AG132^9+WeightSDS!O$29*$AG132^8+WeightSDS!P$29*$AG132^7+WeightSDS!Q$29*$AG132^6+WeightSDS!R$29*$AG132^5+WeightSDS!S$29*$AG132^4+WeightSDS!T$29*$AG132^3+WeightSDS!U$29*$AG132^2+WeightSDS!V$29*$AG132+WeightSDS!W$29-0.010431*(1-$AG132/210),IF($AG132&lt;123,WeightSDS!M$30*$AG132^10+WeightSDS!N$30*$AG132^9+WeightSDS!O$30*$AG132^8+WeightSDS!P$30*$AG132^7+WeightSDS!Q$30*$AG132^6+WeightSDS!R$30*$AG132^5+WeightSDS!S$30*$AG132^4+WeightSDS!T$30*$AG132^3+WeightSDS!U$30*$AG132^2+WeightSDS!V$30*$AG132+WeightSDS!W$30-0.010431*(1-1/$AG132),WeightSDS!M$32+WeightSDS!N$32/(1+EXP(WeightSDS!O$32+WeightSDS!P$32*$AG132))-0.010431*(1-$AG132/210))))</f>
        <v>2.9500001032655536</v>
      </c>
      <c r="AK132" s="24">
        <f>IF(D132="M",IF($AG132&lt;162,WeightSDS!P$12*$AG132^7+WeightSDS!Q$12*$AG132^6+WeightSDS!R$12*$AG132^5+WeightSDS!S$12*$AG132^4+WeightSDS!T$12*$AG132^3+WeightSDS!U$12*$AG132^2+WeightSDS!V$12*$AG132+WeightSDS!W$12,WeightSDS!P$14*$AG132^7+WeightSDS!Q$14*$AG132^6+WeightSDS!R$14*$AG132^5+WeightSDS!S$14*$AG132^4+WeightSDS!T$14*$AG132^3+WeightSDS!U$14*$AG132^2+WeightSDS!V$14*$AG132+WeightSDS!W$14),IF($AG132&lt;156,WeightSDS!O$17*$AG132^8+WeightSDS!P$17*$AG132^7+WeightSDS!Q$17*$AG132^6+WeightSDS!R$17*$AG132^5+WeightSDS!S$17*$AG132^4+WeightSDS!T$17*$AG132^3+WeightSDS!U$17*$AG132^2+WeightSDS!V$17*$AG132+WeightSDS!W$17,IF($AG132&lt;186,WeightSDS!$U$18+(WeightSDS!$V$18-WeightSDS!$U$18)/24*($AG132-186)+WeightSDS!$W$18*(-$AG132+186)^2-0.005,WeightSDS!$U$18+(WeightSDS!$V$18-WeightSDS!$U$18)/24*($AG132-186)-0.005)))</f>
        <v>0.14604529399999999</v>
      </c>
    </row>
    <row r="133" spans="1:37">
      <c r="A133" s="4"/>
      <c r="B133" s="21"/>
      <c r="C133" s="21"/>
      <c r="D133" s="21"/>
      <c r="E133" s="22"/>
      <c r="F133" s="22"/>
      <c r="G133" s="23"/>
      <c r="H133" s="23"/>
      <c r="I133" s="8" t="str">
        <f t="shared" si="34"/>
        <v/>
      </c>
      <c r="J133" s="2" t="str">
        <f t="shared" si="41"/>
        <v/>
      </c>
      <c r="K133" s="2" t="str">
        <f t="shared" si="35"/>
        <v/>
      </c>
      <c r="L133" s="2" t="str">
        <f t="shared" si="42"/>
        <v/>
      </c>
      <c r="M133" s="2" t="str">
        <f t="shared" si="31"/>
        <v/>
      </c>
      <c r="N133" s="2" t="str">
        <f t="shared" si="43"/>
        <v/>
      </c>
      <c r="O133" s="8" t="str">
        <f t="shared" si="44"/>
        <v/>
      </c>
      <c r="P133" s="8" t="str">
        <f t="shared" si="45"/>
        <v/>
      </c>
      <c r="Q133" s="40" t="str">
        <f t="shared" si="36"/>
        <v/>
      </c>
      <c r="R133" s="48" t="str">
        <f t="shared" si="46"/>
        <v/>
      </c>
      <c r="S133" s="8"/>
      <c r="U133" s="35">
        <f t="shared" si="37"/>
        <v>0</v>
      </c>
      <c r="V133" s="24">
        <f t="shared" si="38"/>
        <v>0</v>
      </c>
      <c r="W133" s="41">
        <f t="shared" si="33"/>
        <v>0</v>
      </c>
      <c r="X133" s="31"/>
      <c r="Y133" s="31"/>
      <c r="Z133" s="31"/>
      <c r="AA133" s="25">
        <f t="shared" si="39"/>
        <v>9.0359999999999996</v>
      </c>
      <c r="AB133" s="25">
        <f t="shared" si="40"/>
        <v>-184.49199999999999</v>
      </c>
      <c r="AD133" s="24">
        <f>IF(D133="M",IF(AG133&lt;78,BMILMS!$D$5*AG133^3+BMILMS!$E$5*AG133^2+BMILMS!$F$5*AG133+BMILMS!$G$5,IF(AG133&lt;150,BMILMS!$D$6*AG133^3+BMILMS!$E$6*AG133^2+BMILMS!$F$6*AG133+BMILMS!$G$6,BMILMS!$D$7*AG133^3+BMILMS!$E$7*AG133^2+BMILMS!$F$7*AG133+BMILMS!$G$7)),IF(AG133&lt;69,BMILMS!$D$9*AG133^3+BMILMS!$E$9*AG133^2+BMILMS!$F$9*AG133+BMILMS!$G$9,IF(AG133&lt;150,BMILMS!$D$10*AG133^3+BMILMS!$E$10*AG133^2+BMILMS!$F$10*AG133+BMILMS!$G$10,BMILMS!$D$11*AG133^3+BMILMS!$E$11*AG133^2+BMILMS!$F$11*AG133+BMILMS!$G$11)))</f>
        <v>0.79584630099999998</v>
      </c>
      <c r="AE133" s="24">
        <f>IF(D133="M",(IF(AG133&lt;2.5,BMILMS!$D$21*AG133^3+BMILMS!$E$21*AG133^2+BMILMS!$F$21*AG133+BMILMS!$G$21,IF(AG133&lt;9.5,BMILMS!$D$22*AG133^3+BMILMS!$E$22*AG133^2+BMILMS!$F$22*AG133+BMILMS!$G$22,IF(AG133&lt;26.75,BMILMS!$D$23*AG133^3+BMILMS!$E$23*AG133^2+BMILMS!$F$23*AG133+BMILMS!$G$23,IF(AG133&lt;90,BMILMS!$D$24*AG133^3+BMILMS!$E$24*AG133^2+BMILMS!$F$24*AG133+BMILMS!$G$24,BMILMS!$D$25*AG133^3+BMILMS!$E$25*AG133^2+BMILMS!$F$25*AG133+BMILMS!$G$25))))),(IF(AG133&lt;2.5,BMILMS!$D$27*AG133^3+BMILMS!$E$27*AG133^2+BMILMS!$F$27*AG133+BMILMS!$G$27,IF(AG133&lt;9.5,BMILMS!$D$28*AG133^3+BMILMS!$E$28*AG133^2+BMILMS!$F$28*AG133+BMILMS!$G$28,IF(AG133&lt;26.75,BMILMS!$D$29*AG133^3+BMILMS!$E$29*AG133^2+BMILMS!$F$29*AG133+BMILMS!$G$29,IF(AG133&lt;90,BMILMS!$D$30*AG133^3+BMILMS!$E$30*AG133^2+BMILMS!$F$30*AG133+BMILMS!$G$30,IF(AG133&lt;150,BMILMS!$D$31*AG133^3+BMILMS!$E$31*AG133^2+BMILMS!$F$31*AG133+BMILMS!$G$31,BMILMS!$D$32*AG133^3+BMILMS!$E$32*AG133^2+BMILMS!$F$32*AG133+BMILMS!$G$32)))))))</f>
        <v>12.568967990000001</v>
      </c>
      <c r="AF133" s="24">
        <f>IF(D133="M",(IF(AG133&lt;90,BMILMS!$D$14*AG133^3+BMILMS!$E$14*AG133^2+BMILMS!$F$14*AG133+BMILMS!$G$14,BMILMS!$D$15*AG133^3+BMILMS!$E$15*AG133^2+BMILMS!$F$15*AG133+BMILMS!$G$15)),(IF(AG133&lt;90,BMILMS!$D$17*AG133^3+BMILMS!$E$17*AG133^2+BMILMS!$F$17*AG133+BMILMS!$G$17,BMILMS!$D$18*AG133^3+BMILMS!$E$18*AG133^2+BMILMS!$F$18*AG133+BMILMS!$G$18)))</f>
        <v>8.8969350000000003E-2</v>
      </c>
      <c r="AG133" s="24">
        <f t="shared" si="32"/>
        <v>0</v>
      </c>
      <c r="AI133" s="38">
        <f>IF(D133="M",WeightSDS!P$5*$AG133^7+WeightSDS!Q$5*$AG133^6+WeightSDS!R$5*$AG133^5+WeightSDS!S$5*$AG133^4+WeightSDS!T$5*$AG133^3+WeightSDS!U$5*$AG133^2+WeightSDS!V$5*$AG133+WeightSDS!W$5,IF($AG133&lt;186,WeightSDS!P$8*$AG133^7+WeightSDS!Q$8*$AG133^6+WeightSDS!R$8*$AG133^5+WeightSDS!S$8*$AG133^4+WeightSDS!T$8*$AG133^3+WeightSDS!U$8*$AG133^2+WeightSDS!V$8*$AG133+WeightSDS!W$8,WeightSDS!$U$9-WeightSDS!$V$9*($AG133-WeightSDS!$W$9)))</f>
        <v>0.75407122999999998</v>
      </c>
      <c r="AJ133" s="24">
        <f>IF(D133="M",IF($AG133&lt;45,WeightSDS!M$23*$AG133^10+WeightSDS!N$23*$AG133^9+WeightSDS!O$23*$AG133^8+WeightSDS!P$23*$AG133^7+WeightSDS!Q$23*$AG133^6+WeightSDS!R$23*$AG133^5+WeightSDS!S$23*$AG133^4+WeightSDS!T$23*$AG133^3+WeightSDS!U$23*$AG133^2+WeightSDS!V$23*$AG133+WeightSDS!W$23,IF($AG133&lt;153,WeightSDS!M$25*$AG133^10+WeightSDS!N$25*$AG133^9+WeightSDS!O$25*$AG133^8+WeightSDS!P$25*$AG133^7+WeightSDS!Q$25*$AG133^6+WeightSDS!R$25*$AG133^5+WeightSDS!S$25*$AG133^4+WeightSDS!T$25*$AG133^3+WeightSDS!U$25*$AG133^2+WeightSDS!V$25*$AG133+WeightSDS!W$25,WeightSDS!M$27+WeightSDS!N$27/(1+EXP(WeightSDS!O$27+WeightSDS!P$27*$AG133)))),IF($AG133&lt;43.8,WeightSDS!M$29*$AG133^10+WeightSDS!N$29*$AG133^9+WeightSDS!O$29*$AG133^8+WeightSDS!P$29*$AG133^7+WeightSDS!Q$29*$AG133^6+WeightSDS!R$29*$AG133^5+WeightSDS!S$29*$AG133^4+WeightSDS!T$29*$AG133^3+WeightSDS!U$29*$AG133^2+WeightSDS!V$29*$AG133+WeightSDS!W$29-0.010431*(1-$AG133/210),IF($AG133&lt;123,WeightSDS!M$30*$AG133^10+WeightSDS!N$30*$AG133^9+WeightSDS!O$30*$AG133^8+WeightSDS!P$30*$AG133^7+WeightSDS!Q$30*$AG133^6+WeightSDS!R$30*$AG133^5+WeightSDS!S$30*$AG133^4+WeightSDS!T$30*$AG133^3+WeightSDS!U$30*$AG133^2+WeightSDS!V$30*$AG133+WeightSDS!W$30-0.010431*(1-1/$AG133),WeightSDS!M$32+WeightSDS!N$32/(1+EXP(WeightSDS!O$32+WeightSDS!P$32*$AG133))-0.010431*(1-$AG133/210))))</f>
        <v>2.9500001032655536</v>
      </c>
      <c r="AK133" s="24">
        <f>IF(D133="M",IF($AG133&lt;162,WeightSDS!P$12*$AG133^7+WeightSDS!Q$12*$AG133^6+WeightSDS!R$12*$AG133^5+WeightSDS!S$12*$AG133^4+WeightSDS!T$12*$AG133^3+WeightSDS!U$12*$AG133^2+WeightSDS!V$12*$AG133+WeightSDS!W$12,WeightSDS!P$14*$AG133^7+WeightSDS!Q$14*$AG133^6+WeightSDS!R$14*$AG133^5+WeightSDS!S$14*$AG133^4+WeightSDS!T$14*$AG133^3+WeightSDS!U$14*$AG133^2+WeightSDS!V$14*$AG133+WeightSDS!W$14),IF($AG133&lt;156,WeightSDS!O$17*$AG133^8+WeightSDS!P$17*$AG133^7+WeightSDS!Q$17*$AG133^6+WeightSDS!R$17*$AG133^5+WeightSDS!S$17*$AG133^4+WeightSDS!T$17*$AG133^3+WeightSDS!U$17*$AG133^2+WeightSDS!V$17*$AG133+WeightSDS!W$17,IF($AG133&lt;186,WeightSDS!$U$18+(WeightSDS!$V$18-WeightSDS!$U$18)/24*($AG133-186)+WeightSDS!$W$18*(-$AG133+186)^2-0.005,WeightSDS!$U$18+(WeightSDS!$V$18-WeightSDS!$U$18)/24*($AG133-186)-0.005)))</f>
        <v>0.14604529399999999</v>
      </c>
    </row>
    <row r="134" spans="1:37">
      <c r="A134" s="4"/>
      <c r="B134" s="21"/>
      <c r="C134" s="21"/>
      <c r="D134" s="21"/>
      <c r="E134" s="22"/>
      <c r="F134" s="22"/>
      <c r="G134" s="23"/>
      <c r="H134" s="23"/>
      <c r="I134" s="8" t="str">
        <f t="shared" si="34"/>
        <v/>
      </c>
      <c r="J134" s="2" t="str">
        <f t="shared" si="41"/>
        <v/>
      </c>
      <c r="K134" s="2" t="str">
        <f t="shared" si="35"/>
        <v/>
      </c>
      <c r="L134" s="2" t="str">
        <f t="shared" si="42"/>
        <v/>
      </c>
      <c r="M134" s="2" t="str">
        <f t="shared" si="31"/>
        <v/>
      </c>
      <c r="N134" s="2" t="str">
        <f t="shared" si="43"/>
        <v/>
      </c>
      <c r="O134" s="8" t="str">
        <f t="shared" si="44"/>
        <v/>
      </c>
      <c r="P134" s="8" t="str">
        <f t="shared" si="45"/>
        <v/>
      </c>
      <c r="Q134" s="40" t="str">
        <f t="shared" si="36"/>
        <v/>
      </c>
      <c r="R134" s="48" t="str">
        <f t="shared" si="46"/>
        <v/>
      </c>
      <c r="S134" s="8"/>
      <c r="U134" s="35">
        <f t="shared" si="37"/>
        <v>0</v>
      </c>
      <c r="V134" s="24">
        <f t="shared" si="38"/>
        <v>0</v>
      </c>
      <c r="W134" s="41">
        <f t="shared" si="33"/>
        <v>0</v>
      </c>
      <c r="X134" s="31"/>
      <c r="Y134" s="31"/>
      <c r="Z134" s="31"/>
      <c r="AA134" s="25">
        <f t="shared" si="39"/>
        <v>9.0359999999999996</v>
      </c>
      <c r="AB134" s="25">
        <f t="shared" si="40"/>
        <v>-184.49199999999999</v>
      </c>
      <c r="AD134" s="24">
        <f>IF(D134="M",IF(AG134&lt;78,BMILMS!$D$5*AG134^3+BMILMS!$E$5*AG134^2+BMILMS!$F$5*AG134+BMILMS!$G$5,IF(AG134&lt;150,BMILMS!$D$6*AG134^3+BMILMS!$E$6*AG134^2+BMILMS!$F$6*AG134+BMILMS!$G$6,BMILMS!$D$7*AG134^3+BMILMS!$E$7*AG134^2+BMILMS!$F$7*AG134+BMILMS!$G$7)),IF(AG134&lt;69,BMILMS!$D$9*AG134^3+BMILMS!$E$9*AG134^2+BMILMS!$F$9*AG134+BMILMS!$G$9,IF(AG134&lt;150,BMILMS!$D$10*AG134^3+BMILMS!$E$10*AG134^2+BMILMS!$F$10*AG134+BMILMS!$G$10,BMILMS!$D$11*AG134^3+BMILMS!$E$11*AG134^2+BMILMS!$F$11*AG134+BMILMS!$G$11)))</f>
        <v>0.79584630099999998</v>
      </c>
      <c r="AE134" s="24">
        <f>IF(D134="M",(IF(AG134&lt;2.5,BMILMS!$D$21*AG134^3+BMILMS!$E$21*AG134^2+BMILMS!$F$21*AG134+BMILMS!$G$21,IF(AG134&lt;9.5,BMILMS!$D$22*AG134^3+BMILMS!$E$22*AG134^2+BMILMS!$F$22*AG134+BMILMS!$G$22,IF(AG134&lt;26.75,BMILMS!$D$23*AG134^3+BMILMS!$E$23*AG134^2+BMILMS!$F$23*AG134+BMILMS!$G$23,IF(AG134&lt;90,BMILMS!$D$24*AG134^3+BMILMS!$E$24*AG134^2+BMILMS!$F$24*AG134+BMILMS!$G$24,BMILMS!$D$25*AG134^3+BMILMS!$E$25*AG134^2+BMILMS!$F$25*AG134+BMILMS!$G$25))))),(IF(AG134&lt;2.5,BMILMS!$D$27*AG134^3+BMILMS!$E$27*AG134^2+BMILMS!$F$27*AG134+BMILMS!$G$27,IF(AG134&lt;9.5,BMILMS!$D$28*AG134^3+BMILMS!$E$28*AG134^2+BMILMS!$F$28*AG134+BMILMS!$G$28,IF(AG134&lt;26.75,BMILMS!$D$29*AG134^3+BMILMS!$E$29*AG134^2+BMILMS!$F$29*AG134+BMILMS!$G$29,IF(AG134&lt;90,BMILMS!$D$30*AG134^3+BMILMS!$E$30*AG134^2+BMILMS!$F$30*AG134+BMILMS!$G$30,IF(AG134&lt;150,BMILMS!$D$31*AG134^3+BMILMS!$E$31*AG134^2+BMILMS!$F$31*AG134+BMILMS!$G$31,BMILMS!$D$32*AG134^3+BMILMS!$E$32*AG134^2+BMILMS!$F$32*AG134+BMILMS!$G$32)))))))</f>
        <v>12.568967990000001</v>
      </c>
      <c r="AF134" s="24">
        <f>IF(D134="M",(IF(AG134&lt;90,BMILMS!$D$14*AG134^3+BMILMS!$E$14*AG134^2+BMILMS!$F$14*AG134+BMILMS!$G$14,BMILMS!$D$15*AG134^3+BMILMS!$E$15*AG134^2+BMILMS!$F$15*AG134+BMILMS!$G$15)),(IF(AG134&lt;90,BMILMS!$D$17*AG134^3+BMILMS!$E$17*AG134^2+BMILMS!$F$17*AG134+BMILMS!$G$17,BMILMS!$D$18*AG134^3+BMILMS!$E$18*AG134^2+BMILMS!$F$18*AG134+BMILMS!$G$18)))</f>
        <v>8.8969350000000003E-2</v>
      </c>
      <c r="AG134" s="24">
        <f t="shared" si="32"/>
        <v>0</v>
      </c>
      <c r="AI134" s="38">
        <f>IF(D134="M",WeightSDS!P$5*$AG134^7+WeightSDS!Q$5*$AG134^6+WeightSDS!R$5*$AG134^5+WeightSDS!S$5*$AG134^4+WeightSDS!T$5*$AG134^3+WeightSDS!U$5*$AG134^2+WeightSDS!V$5*$AG134+WeightSDS!W$5,IF($AG134&lt;186,WeightSDS!P$8*$AG134^7+WeightSDS!Q$8*$AG134^6+WeightSDS!R$8*$AG134^5+WeightSDS!S$8*$AG134^4+WeightSDS!T$8*$AG134^3+WeightSDS!U$8*$AG134^2+WeightSDS!V$8*$AG134+WeightSDS!W$8,WeightSDS!$U$9-WeightSDS!$V$9*($AG134-WeightSDS!$W$9)))</f>
        <v>0.75407122999999998</v>
      </c>
      <c r="AJ134" s="24">
        <f>IF(D134="M",IF($AG134&lt;45,WeightSDS!M$23*$AG134^10+WeightSDS!N$23*$AG134^9+WeightSDS!O$23*$AG134^8+WeightSDS!P$23*$AG134^7+WeightSDS!Q$23*$AG134^6+WeightSDS!R$23*$AG134^5+WeightSDS!S$23*$AG134^4+WeightSDS!T$23*$AG134^3+WeightSDS!U$23*$AG134^2+WeightSDS!V$23*$AG134+WeightSDS!W$23,IF($AG134&lt;153,WeightSDS!M$25*$AG134^10+WeightSDS!N$25*$AG134^9+WeightSDS!O$25*$AG134^8+WeightSDS!P$25*$AG134^7+WeightSDS!Q$25*$AG134^6+WeightSDS!R$25*$AG134^5+WeightSDS!S$25*$AG134^4+WeightSDS!T$25*$AG134^3+WeightSDS!U$25*$AG134^2+WeightSDS!V$25*$AG134+WeightSDS!W$25,WeightSDS!M$27+WeightSDS!N$27/(1+EXP(WeightSDS!O$27+WeightSDS!P$27*$AG134)))),IF($AG134&lt;43.8,WeightSDS!M$29*$AG134^10+WeightSDS!N$29*$AG134^9+WeightSDS!O$29*$AG134^8+WeightSDS!P$29*$AG134^7+WeightSDS!Q$29*$AG134^6+WeightSDS!R$29*$AG134^5+WeightSDS!S$29*$AG134^4+WeightSDS!T$29*$AG134^3+WeightSDS!U$29*$AG134^2+WeightSDS!V$29*$AG134+WeightSDS!W$29-0.010431*(1-$AG134/210),IF($AG134&lt;123,WeightSDS!M$30*$AG134^10+WeightSDS!N$30*$AG134^9+WeightSDS!O$30*$AG134^8+WeightSDS!P$30*$AG134^7+WeightSDS!Q$30*$AG134^6+WeightSDS!R$30*$AG134^5+WeightSDS!S$30*$AG134^4+WeightSDS!T$30*$AG134^3+WeightSDS!U$30*$AG134^2+WeightSDS!V$30*$AG134+WeightSDS!W$30-0.010431*(1-1/$AG134),WeightSDS!M$32+WeightSDS!N$32/(1+EXP(WeightSDS!O$32+WeightSDS!P$32*$AG134))-0.010431*(1-$AG134/210))))</f>
        <v>2.9500001032655536</v>
      </c>
      <c r="AK134" s="24">
        <f>IF(D134="M",IF($AG134&lt;162,WeightSDS!P$12*$AG134^7+WeightSDS!Q$12*$AG134^6+WeightSDS!R$12*$AG134^5+WeightSDS!S$12*$AG134^4+WeightSDS!T$12*$AG134^3+WeightSDS!U$12*$AG134^2+WeightSDS!V$12*$AG134+WeightSDS!W$12,WeightSDS!P$14*$AG134^7+WeightSDS!Q$14*$AG134^6+WeightSDS!R$14*$AG134^5+WeightSDS!S$14*$AG134^4+WeightSDS!T$14*$AG134^3+WeightSDS!U$14*$AG134^2+WeightSDS!V$14*$AG134+WeightSDS!W$14),IF($AG134&lt;156,WeightSDS!O$17*$AG134^8+WeightSDS!P$17*$AG134^7+WeightSDS!Q$17*$AG134^6+WeightSDS!R$17*$AG134^5+WeightSDS!S$17*$AG134^4+WeightSDS!T$17*$AG134^3+WeightSDS!U$17*$AG134^2+WeightSDS!V$17*$AG134+WeightSDS!W$17,IF($AG134&lt;186,WeightSDS!$U$18+(WeightSDS!$V$18-WeightSDS!$U$18)/24*($AG134-186)+WeightSDS!$W$18*(-$AG134+186)^2-0.005,WeightSDS!$U$18+(WeightSDS!$V$18-WeightSDS!$U$18)/24*($AG134-186)-0.005)))</f>
        <v>0.14604529399999999</v>
      </c>
    </row>
    <row r="135" spans="1:37">
      <c r="A135" s="4"/>
      <c r="B135" s="21"/>
      <c r="C135" s="21"/>
      <c r="D135" s="21"/>
      <c r="E135" s="22"/>
      <c r="F135" s="22"/>
      <c r="G135" s="23"/>
      <c r="H135" s="23"/>
      <c r="I135" s="8" t="str">
        <f t="shared" si="34"/>
        <v/>
      </c>
      <c r="J135" s="2" t="str">
        <f t="shared" si="41"/>
        <v/>
      </c>
      <c r="K135" s="2" t="str">
        <f t="shared" si="35"/>
        <v/>
      </c>
      <c r="L135" s="2" t="str">
        <f t="shared" si="42"/>
        <v/>
      </c>
      <c r="M135" s="2" t="str">
        <f t="shared" si="31"/>
        <v/>
      </c>
      <c r="N135" s="2" t="str">
        <f t="shared" si="43"/>
        <v/>
      </c>
      <c r="O135" s="8" t="str">
        <f t="shared" si="44"/>
        <v/>
      </c>
      <c r="P135" s="8" t="str">
        <f t="shared" si="45"/>
        <v/>
      </c>
      <c r="Q135" s="40" t="str">
        <f t="shared" si="36"/>
        <v/>
      </c>
      <c r="R135" s="48" t="str">
        <f t="shared" si="46"/>
        <v/>
      </c>
      <c r="S135" s="8"/>
      <c r="U135" s="35">
        <f t="shared" si="37"/>
        <v>0</v>
      </c>
      <c r="V135" s="24">
        <f t="shared" si="38"/>
        <v>0</v>
      </c>
      <c r="W135" s="41">
        <f t="shared" si="33"/>
        <v>0</v>
      </c>
      <c r="X135" s="31"/>
      <c r="Y135" s="31"/>
      <c r="Z135" s="31"/>
      <c r="AA135" s="25">
        <f t="shared" si="39"/>
        <v>9.0359999999999996</v>
      </c>
      <c r="AB135" s="25">
        <f t="shared" si="40"/>
        <v>-184.49199999999999</v>
      </c>
      <c r="AD135" s="24">
        <f>IF(D135="M",IF(AG135&lt;78,BMILMS!$D$5*AG135^3+BMILMS!$E$5*AG135^2+BMILMS!$F$5*AG135+BMILMS!$G$5,IF(AG135&lt;150,BMILMS!$D$6*AG135^3+BMILMS!$E$6*AG135^2+BMILMS!$F$6*AG135+BMILMS!$G$6,BMILMS!$D$7*AG135^3+BMILMS!$E$7*AG135^2+BMILMS!$F$7*AG135+BMILMS!$G$7)),IF(AG135&lt;69,BMILMS!$D$9*AG135^3+BMILMS!$E$9*AG135^2+BMILMS!$F$9*AG135+BMILMS!$G$9,IF(AG135&lt;150,BMILMS!$D$10*AG135^3+BMILMS!$E$10*AG135^2+BMILMS!$F$10*AG135+BMILMS!$G$10,BMILMS!$D$11*AG135^3+BMILMS!$E$11*AG135^2+BMILMS!$F$11*AG135+BMILMS!$G$11)))</f>
        <v>0.79584630099999998</v>
      </c>
      <c r="AE135" s="24">
        <f>IF(D135="M",(IF(AG135&lt;2.5,BMILMS!$D$21*AG135^3+BMILMS!$E$21*AG135^2+BMILMS!$F$21*AG135+BMILMS!$G$21,IF(AG135&lt;9.5,BMILMS!$D$22*AG135^3+BMILMS!$E$22*AG135^2+BMILMS!$F$22*AG135+BMILMS!$G$22,IF(AG135&lt;26.75,BMILMS!$D$23*AG135^3+BMILMS!$E$23*AG135^2+BMILMS!$F$23*AG135+BMILMS!$G$23,IF(AG135&lt;90,BMILMS!$D$24*AG135^3+BMILMS!$E$24*AG135^2+BMILMS!$F$24*AG135+BMILMS!$G$24,BMILMS!$D$25*AG135^3+BMILMS!$E$25*AG135^2+BMILMS!$F$25*AG135+BMILMS!$G$25))))),(IF(AG135&lt;2.5,BMILMS!$D$27*AG135^3+BMILMS!$E$27*AG135^2+BMILMS!$F$27*AG135+BMILMS!$G$27,IF(AG135&lt;9.5,BMILMS!$D$28*AG135^3+BMILMS!$E$28*AG135^2+BMILMS!$F$28*AG135+BMILMS!$G$28,IF(AG135&lt;26.75,BMILMS!$D$29*AG135^3+BMILMS!$E$29*AG135^2+BMILMS!$F$29*AG135+BMILMS!$G$29,IF(AG135&lt;90,BMILMS!$D$30*AG135^3+BMILMS!$E$30*AG135^2+BMILMS!$F$30*AG135+BMILMS!$G$30,IF(AG135&lt;150,BMILMS!$D$31*AG135^3+BMILMS!$E$31*AG135^2+BMILMS!$F$31*AG135+BMILMS!$G$31,BMILMS!$D$32*AG135^3+BMILMS!$E$32*AG135^2+BMILMS!$F$32*AG135+BMILMS!$G$32)))))))</f>
        <v>12.568967990000001</v>
      </c>
      <c r="AF135" s="24">
        <f>IF(D135="M",(IF(AG135&lt;90,BMILMS!$D$14*AG135^3+BMILMS!$E$14*AG135^2+BMILMS!$F$14*AG135+BMILMS!$G$14,BMILMS!$D$15*AG135^3+BMILMS!$E$15*AG135^2+BMILMS!$F$15*AG135+BMILMS!$G$15)),(IF(AG135&lt;90,BMILMS!$D$17*AG135^3+BMILMS!$E$17*AG135^2+BMILMS!$F$17*AG135+BMILMS!$G$17,BMILMS!$D$18*AG135^3+BMILMS!$E$18*AG135^2+BMILMS!$F$18*AG135+BMILMS!$G$18)))</f>
        <v>8.8969350000000003E-2</v>
      </c>
      <c r="AG135" s="24">
        <f t="shared" si="32"/>
        <v>0</v>
      </c>
      <c r="AI135" s="38">
        <f>IF(D135="M",WeightSDS!P$5*$AG135^7+WeightSDS!Q$5*$AG135^6+WeightSDS!R$5*$AG135^5+WeightSDS!S$5*$AG135^4+WeightSDS!T$5*$AG135^3+WeightSDS!U$5*$AG135^2+WeightSDS!V$5*$AG135+WeightSDS!W$5,IF($AG135&lt;186,WeightSDS!P$8*$AG135^7+WeightSDS!Q$8*$AG135^6+WeightSDS!R$8*$AG135^5+WeightSDS!S$8*$AG135^4+WeightSDS!T$8*$AG135^3+WeightSDS!U$8*$AG135^2+WeightSDS!V$8*$AG135+WeightSDS!W$8,WeightSDS!$U$9-WeightSDS!$V$9*($AG135-WeightSDS!$W$9)))</f>
        <v>0.75407122999999998</v>
      </c>
      <c r="AJ135" s="24">
        <f>IF(D135="M",IF($AG135&lt;45,WeightSDS!M$23*$AG135^10+WeightSDS!N$23*$AG135^9+WeightSDS!O$23*$AG135^8+WeightSDS!P$23*$AG135^7+WeightSDS!Q$23*$AG135^6+WeightSDS!R$23*$AG135^5+WeightSDS!S$23*$AG135^4+WeightSDS!T$23*$AG135^3+WeightSDS!U$23*$AG135^2+WeightSDS!V$23*$AG135+WeightSDS!W$23,IF($AG135&lt;153,WeightSDS!M$25*$AG135^10+WeightSDS!N$25*$AG135^9+WeightSDS!O$25*$AG135^8+WeightSDS!P$25*$AG135^7+WeightSDS!Q$25*$AG135^6+WeightSDS!R$25*$AG135^5+WeightSDS!S$25*$AG135^4+WeightSDS!T$25*$AG135^3+WeightSDS!U$25*$AG135^2+WeightSDS!V$25*$AG135+WeightSDS!W$25,WeightSDS!M$27+WeightSDS!N$27/(1+EXP(WeightSDS!O$27+WeightSDS!P$27*$AG135)))),IF($AG135&lt;43.8,WeightSDS!M$29*$AG135^10+WeightSDS!N$29*$AG135^9+WeightSDS!O$29*$AG135^8+WeightSDS!P$29*$AG135^7+WeightSDS!Q$29*$AG135^6+WeightSDS!R$29*$AG135^5+WeightSDS!S$29*$AG135^4+WeightSDS!T$29*$AG135^3+WeightSDS!U$29*$AG135^2+WeightSDS!V$29*$AG135+WeightSDS!W$29-0.010431*(1-$AG135/210),IF($AG135&lt;123,WeightSDS!M$30*$AG135^10+WeightSDS!N$30*$AG135^9+WeightSDS!O$30*$AG135^8+WeightSDS!P$30*$AG135^7+WeightSDS!Q$30*$AG135^6+WeightSDS!R$30*$AG135^5+WeightSDS!S$30*$AG135^4+WeightSDS!T$30*$AG135^3+WeightSDS!U$30*$AG135^2+WeightSDS!V$30*$AG135+WeightSDS!W$30-0.010431*(1-1/$AG135),WeightSDS!M$32+WeightSDS!N$32/(1+EXP(WeightSDS!O$32+WeightSDS!P$32*$AG135))-0.010431*(1-$AG135/210))))</f>
        <v>2.9500001032655536</v>
      </c>
      <c r="AK135" s="24">
        <f>IF(D135="M",IF($AG135&lt;162,WeightSDS!P$12*$AG135^7+WeightSDS!Q$12*$AG135^6+WeightSDS!R$12*$AG135^5+WeightSDS!S$12*$AG135^4+WeightSDS!T$12*$AG135^3+WeightSDS!U$12*$AG135^2+WeightSDS!V$12*$AG135+WeightSDS!W$12,WeightSDS!P$14*$AG135^7+WeightSDS!Q$14*$AG135^6+WeightSDS!R$14*$AG135^5+WeightSDS!S$14*$AG135^4+WeightSDS!T$14*$AG135^3+WeightSDS!U$14*$AG135^2+WeightSDS!V$14*$AG135+WeightSDS!W$14),IF($AG135&lt;156,WeightSDS!O$17*$AG135^8+WeightSDS!P$17*$AG135^7+WeightSDS!Q$17*$AG135^6+WeightSDS!R$17*$AG135^5+WeightSDS!S$17*$AG135^4+WeightSDS!T$17*$AG135^3+WeightSDS!U$17*$AG135^2+WeightSDS!V$17*$AG135+WeightSDS!W$17,IF($AG135&lt;186,WeightSDS!$U$18+(WeightSDS!$V$18-WeightSDS!$U$18)/24*($AG135-186)+WeightSDS!$W$18*(-$AG135+186)^2-0.005,WeightSDS!$U$18+(WeightSDS!$V$18-WeightSDS!$U$18)/24*($AG135-186)-0.005)))</f>
        <v>0.14604529399999999</v>
      </c>
    </row>
    <row r="136" spans="1:37">
      <c r="A136" s="4"/>
      <c r="B136" s="21"/>
      <c r="C136" s="21"/>
      <c r="D136" s="21"/>
      <c r="E136" s="22"/>
      <c r="F136" s="22"/>
      <c r="G136" s="23"/>
      <c r="H136" s="23"/>
      <c r="I136" s="8" t="str">
        <f t="shared" si="34"/>
        <v/>
      </c>
      <c r="J136" s="2" t="str">
        <f t="shared" si="41"/>
        <v/>
      </c>
      <c r="K136" s="2" t="str">
        <f t="shared" si="35"/>
        <v/>
      </c>
      <c r="L136" s="2" t="str">
        <f t="shared" si="42"/>
        <v/>
      </c>
      <c r="M136" s="2" t="str">
        <f t="shared" ref="M136:M199" si="47">IF(COUNTA(D136,E136,F136,G136,H136)=5,H136/G136^2*10000,"")</f>
        <v/>
      </c>
      <c r="N136" s="2" t="str">
        <f t="shared" si="43"/>
        <v/>
      </c>
      <c r="O136" s="8" t="str">
        <f t="shared" si="44"/>
        <v/>
      </c>
      <c r="P136" s="8" t="str">
        <f t="shared" si="45"/>
        <v/>
      </c>
      <c r="Q136" s="40" t="str">
        <f t="shared" si="36"/>
        <v/>
      </c>
      <c r="R136" s="48" t="str">
        <f t="shared" si="46"/>
        <v/>
      </c>
      <c r="S136" s="8"/>
      <c r="U136" s="35">
        <f t="shared" si="37"/>
        <v>0</v>
      </c>
      <c r="V136" s="24">
        <f t="shared" si="38"/>
        <v>0</v>
      </c>
      <c r="W136" s="41">
        <f t="shared" si="33"/>
        <v>0</v>
      </c>
      <c r="X136" s="31"/>
      <c r="Y136" s="31"/>
      <c r="Z136" s="31"/>
      <c r="AA136" s="25">
        <f t="shared" si="39"/>
        <v>9.0359999999999996</v>
      </c>
      <c r="AB136" s="25">
        <f t="shared" si="40"/>
        <v>-184.49199999999999</v>
      </c>
      <c r="AD136" s="24">
        <f>IF(D136="M",IF(AG136&lt;78,BMILMS!$D$5*AG136^3+BMILMS!$E$5*AG136^2+BMILMS!$F$5*AG136+BMILMS!$G$5,IF(AG136&lt;150,BMILMS!$D$6*AG136^3+BMILMS!$E$6*AG136^2+BMILMS!$F$6*AG136+BMILMS!$G$6,BMILMS!$D$7*AG136^3+BMILMS!$E$7*AG136^2+BMILMS!$F$7*AG136+BMILMS!$G$7)),IF(AG136&lt;69,BMILMS!$D$9*AG136^3+BMILMS!$E$9*AG136^2+BMILMS!$F$9*AG136+BMILMS!$G$9,IF(AG136&lt;150,BMILMS!$D$10*AG136^3+BMILMS!$E$10*AG136^2+BMILMS!$F$10*AG136+BMILMS!$G$10,BMILMS!$D$11*AG136^3+BMILMS!$E$11*AG136^2+BMILMS!$F$11*AG136+BMILMS!$G$11)))</f>
        <v>0.79584630099999998</v>
      </c>
      <c r="AE136" s="24">
        <f>IF(D136="M",(IF(AG136&lt;2.5,BMILMS!$D$21*AG136^3+BMILMS!$E$21*AG136^2+BMILMS!$F$21*AG136+BMILMS!$G$21,IF(AG136&lt;9.5,BMILMS!$D$22*AG136^3+BMILMS!$E$22*AG136^2+BMILMS!$F$22*AG136+BMILMS!$G$22,IF(AG136&lt;26.75,BMILMS!$D$23*AG136^3+BMILMS!$E$23*AG136^2+BMILMS!$F$23*AG136+BMILMS!$G$23,IF(AG136&lt;90,BMILMS!$D$24*AG136^3+BMILMS!$E$24*AG136^2+BMILMS!$F$24*AG136+BMILMS!$G$24,BMILMS!$D$25*AG136^3+BMILMS!$E$25*AG136^2+BMILMS!$F$25*AG136+BMILMS!$G$25))))),(IF(AG136&lt;2.5,BMILMS!$D$27*AG136^3+BMILMS!$E$27*AG136^2+BMILMS!$F$27*AG136+BMILMS!$G$27,IF(AG136&lt;9.5,BMILMS!$D$28*AG136^3+BMILMS!$E$28*AG136^2+BMILMS!$F$28*AG136+BMILMS!$G$28,IF(AG136&lt;26.75,BMILMS!$D$29*AG136^3+BMILMS!$E$29*AG136^2+BMILMS!$F$29*AG136+BMILMS!$G$29,IF(AG136&lt;90,BMILMS!$D$30*AG136^3+BMILMS!$E$30*AG136^2+BMILMS!$F$30*AG136+BMILMS!$G$30,IF(AG136&lt;150,BMILMS!$D$31*AG136^3+BMILMS!$E$31*AG136^2+BMILMS!$F$31*AG136+BMILMS!$G$31,BMILMS!$D$32*AG136^3+BMILMS!$E$32*AG136^2+BMILMS!$F$32*AG136+BMILMS!$G$32)))))))</f>
        <v>12.568967990000001</v>
      </c>
      <c r="AF136" s="24">
        <f>IF(D136="M",(IF(AG136&lt;90,BMILMS!$D$14*AG136^3+BMILMS!$E$14*AG136^2+BMILMS!$F$14*AG136+BMILMS!$G$14,BMILMS!$D$15*AG136^3+BMILMS!$E$15*AG136^2+BMILMS!$F$15*AG136+BMILMS!$G$15)),(IF(AG136&lt;90,BMILMS!$D$17*AG136^3+BMILMS!$E$17*AG136^2+BMILMS!$F$17*AG136+BMILMS!$G$17,BMILMS!$D$18*AG136^3+BMILMS!$E$18*AG136^2+BMILMS!$F$18*AG136+BMILMS!$G$18)))</f>
        <v>8.8969350000000003E-2</v>
      </c>
      <c r="AG136" s="24">
        <f t="shared" ref="AG136:AG199" si="48">U136*12+V136</f>
        <v>0</v>
      </c>
      <c r="AI136" s="38">
        <f>IF(D136="M",WeightSDS!P$5*$AG136^7+WeightSDS!Q$5*$AG136^6+WeightSDS!R$5*$AG136^5+WeightSDS!S$5*$AG136^4+WeightSDS!T$5*$AG136^3+WeightSDS!U$5*$AG136^2+WeightSDS!V$5*$AG136+WeightSDS!W$5,IF($AG136&lt;186,WeightSDS!P$8*$AG136^7+WeightSDS!Q$8*$AG136^6+WeightSDS!R$8*$AG136^5+WeightSDS!S$8*$AG136^4+WeightSDS!T$8*$AG136^3+WeightSDS!U$8*$AG136^2+WeightSDS!V$8*$AG136+WeightSDS!W$8,WeightSDS!$U$9-WeightSDS!$V$9*($AG136-WeightSDS!$W$9)))</f>
        <v>0.75407122999999998</v>
      </c>
      <c r="AJ136" s="24">
        <f>IF(D136="M",IF($AG136&lt;45,WeightSDS!M$23*$AG136^10+WeightSDS!N$23*$AG136^9+WeightSDS!O$23*$AG136^8+WeightSDS!P$23*$AG136^7+WeightSDS!Q$23*$AG136^6+WeightSDS!R$23*$AG136^5+WeightSDS!S$23*$AG136^4+WeightSDS!T$23*$AG136^3+WeightSDS!U$23*$AG136^2+WeightSDS!V$23*$AG136+WeightSDS!W$23,IF($AG136&lt;153,WeightSDS!M$25*$AG136^10+WeightSDS!N$25*$AG136^9+WeightSDS!O$25*$AG136^8+WeightSDS!P$25*$AG136^7+WeightSDS!Q$25*$AG136^6+WeightSDS!R$25*$AG136^5+WeightSDS!S$25*$AG136^4+WeightSDS!T$25*$AG136^3+WeightSDS!U$25*$AG136^2+WeightSDS!V$25*$AG136+WeightSDS!W$25,WeightSDS!M$27+WeightSDS!N$27/(1+EXP(WeightSDS!O$27+WeightSDS!P$27*$AG136)))),IF($AG136&lt;43.8,WeightSDS!M$29*$AG136^10+WeightSDS!N$29*$AG136^9+WeightSDS!O$29*$AG136^8+WeightSDS!P$29*$AG136^7+WeightSDS!Q$29*$AG136^6+WeightSDS!R$29*$AG136^5+WeightSDS!S$29*$AG136^4+WeightSDS!T$29*$AG136^3+WeightSDS!U$29*$AG136^2+WeightSDS!V$29*$AG136+WeightSDS!W$29-0.010431*(1-$AG136/210),IF($AG136&lt;123,WeightSDS!M$30*$AG136^10+WeightSDS!N$30*$AG136^9+WeightSDS!O$30*$AG136^8+WeightSDS!P$30*$AG136^7+WeightSDS!Q$30*$AG136^6+WeightSDS!R$30*$AG136^5+WeightSDS!S$30*$AG136^4+WeightSDS!T$30*$AG136^3+WeightSDS!U$30*$AG136^2+WeightSDS!V$30*$AG136+WeightSDS!W$30-0.010431*(1-1/$AG136),WeightSDS!M$32+WeightSDS!N$32/(1+EXP(WeightSDS!O$32+WeightSDS!P$32*$AG136))-0.010431*(1-$AG136/210))))</f>
        <v>2.9500001032655536</v>
      </c>
      <c r="AK136" s="24">
        <f>IF(D136="M",IF($AG136&lt;162,WeightSDS!P$12*$AG136^7+WeightSDS!Q$12*$AG136^6+WeightSDS!R$12*$AG136^5+WeightSDS!S$12*$AG136^4+WeightSDS!T$12*$AG136^3+WeightSDS!U$12*$AG136^2+WeightSDS!V$12*$AG136+WeightSDS!W$12,WeightSDS!P$14*$AG136^7+WeightSDS!Q$14*$AG136^6+WeightSDS!R$14*$AG136^5+WeightSDS!S$14*$AG136^4+WeightSDS!T$14*$AG136^3+WeightSDS!U$14*$AG136^2+WeightSDS!V$14*$AG136+WeightSDS!W$14),IF($AG136&lt;156,WeightSDS!O$17*$AG136^8+WeightSDS!P$17*$AG136^7+WeightSDS!Q$17*$AG136^6+WeightSDS!R$17*$AG136^5+WeightSDS!S$17*$AG136^4+WeightSDS!T$17*$AG136^3+WeightSDS!U$17*$AG136^2+WeightSDS!V$17*$AG136+WeightSDS!W$17,IF($AG136&lt;186,WeightSDS!$U$18+(WeightSDS!$V$18-WeightSDS!$U$18)/24*($AG136-186)+WeightSDS!$W$18*(-$AG136+186)^2-0.005,WeightSDS!$U$18+(WeightSDS!$V$18-WeightSDS!$U$18)/24*($AG136-186)-0.005)))</f>
        <v>0.14604529399999999</v>
      </c>
    </row>
    <row r="137" spans="1:37">
      <c r="A137" s="4"/>
      <c r="B137" s="21"/>
      <c r="C137" s="21"/>
      <c r="D137" s="21"/>
      <c r="E137" s="22"/>
      <c r="F137" s="22"/>
      <c r="G137" s="23"/>
      <c r="H137" s="23"/>
      <c r="I137" s="8" t="str">
        <f t="shared" si="34"/>
        <v/>
      </c>
      <c r="J137" s="2" t="str">
        <f t="shared" si="41"/>
        <v/>
      </c>
      <c r="K137" s="2" t="str">
        <f t="shared" si="35"/>
        <v/>
      </c>
      <c r="L137" s="2" t="str">
        <f t="shared" si="42"/>
        <v/>
      </c>
      <c r="M137" s="2" t="str">
        <f t="shared" si="47"/>
        <v/>
      </c>
      <c r="N137" s="2" t="str">
        <f t="shared" si="43"/>
        <v/>
      </c>
      <c r="O137" s="8" t="str">
        <f t="shared" si="44"/>
        <v/>
      </c>
      <c r="P137" s="8" t="str">
        <f t="shared" si="45"/>
        <v/>
      </c>
      <c r="Q137" s="40" t="str">
        <f t="shared" si="36"/>
        <v/>
      </c>
      <c r="R137" s="48" t="str">
        <f t="shared" si="46"/>
        <v/>
      </c>
      <c r="S137" s="8"/>
      <c r="U137" s="35">
        <f t="shared" si="37"/>
        <v>0</v>
      </c>
      <c r="V137" s="24">
        <f t="shared" si="38"/>
        <v>0</v>
      </c>
      <c r="W137" s="41">
        <f t="shared" si="33"/>
        <v>0</v>
      </c>
      <c r="X137" s="31"/>
      <c r="Y137" s="31"/>
      <c r="Z137" s="31"/>
      <c r="AA137" s="25">
        <f t="shared" si="39"/>
        <v>9.0359999999999996</v>
      </c>
      <c r="AB137" s="25">
        <f t="shared" si="40"/>
        <v>-184.49199999999999</v>
      </c>
      <c r="AD137" s="24">
        <f>IF(D137="M",IF(AG137&lt;78,BMILMS!$D$5*AG137^3+BMILMS!$E$5*AG137^2+BMILMS!$F$5*AG137+BMILMS!$G$5,IF(AG137&lt;150,BMILMS!$D$6*AG137^3+BMILMS!$E$6*AG137^2+BMILMS!$F$6*AG137+BMILMS!$G$6,BMILMS!$D$7*AG137^3+BMILMS!$E$7*AG137^2+BMILMS!$F$7*AG137+BMILMS!$G$7)),IF(AG137&lt;69,BMILMS!$D$9*AG137^3+BMILMS!$E$9*AG137^2+BMILMS!$F$9*AG137+BMILMS!$G$9,IF(AG137&lt;150,BMILMS!$D$10*AG137^3+BMILMS!$E$10*AG137^2+BMILMS!$F$10*AG137+BMILMS!$G$10,BMILMS!$D$11*AG137^3+BMILMS!$E$11*AG137^2+BMILMS!$F$11*AG137+BMILMS!$G$11)))</f>
        <v>0.79584630099999998</v>
      </c>
      <c r="AE137" s="24">
        <f>IF(D137="M",(IF(AG137&lt;2.5,BMILMS!$D$21*AG137^3+BMILMS!$E$21*AG137^2+BMILMS!$F$21*AG137+BMILMS!$G$21,IF(AG137&lt;9.5,BMILMS!$D$22*AG137^3+BMILMS!$E$22*AG137^2+BMILMS!$F$22*AG137+BMILMS!$G$22,IF(AG137&lt;26.75,BMILMS!$D$23*AG137^3+BMILMS!$E$23*AG137^2+BMILMS!$F$23*AG137+BMILMS!$G$23,IF(AG137&lt;90,BMILMS!$D$24*AG137^3+BMILMS!$E$24*AG137^2+BMILMS!$F$24*AG137+BMILMS!$G$24,BMILMS!$D$25*AG137^3+BMILMS!$E$25*AG137^2+BMILMS!$F$25*AG137+BMILMS!$G$25))))),(IF(AG137&lt;2.5,BMILMS!$D$27*AG137^3+BMILMS!$E$27*AG137^2+BMILMS!$F$27*AG137+BMILMS!$G$27,IF(AG137&lt;9.5,BMILMS!$D$28*AG137^3+BMILMS!$E$28*AG137^2+BMILMS!$F$28*AG137+BMILMS!$G$28,IF(AG137&lt;26.75,BMILMS!$D$29*AG137^3+BMILMS!$E$29*AG137^2+BMILMS!$F$29*AG137+BMILMS!$G$29,IF(AG137&lt;90,BMILMS!$D$30*AG137^3+BMILMS!$E$30*AG137^2+BMILMS!$F$30*AG137+BMILMS!$G$30,IF(AG137&lt;150,BMILMS!$D$31*AG137^3+BMILMS!$E$31*AG137^2+BMILMS!$F$31*AG137+BMILMS!$G$31,BMILMS!$D$32*AG137^3+BMILMS!$E$32*AG137^2+BMILMS!$F$32*AG137+BMILMS!$G$32)))))))</f>
        <v>12.568967990000001</v>
      </c>
      <c r="AF137" s="24">
        <f>IF(D137="M",(IF(AG137&lt;90,BMILMS!$D$14*AG137^3+BMILMS!$E$14*AG137^2+BMILMS!$F$14*AG137+BMILMS!$G$14,BMILMS!$D$15*AG137^3+BMILMS!$E$15*AG137^2+BMILMS!$F$15*AG137+BMILMS!$G$15)),(IF(AG137&lt;90,BMILMS!$D$17*AG137^3+BMILMS!$E$17*AG137^2+BMILMS!$F$17*AG137+BMILMS!$G$17,BMILMS!$D$18*AG137^3+BMILMS!$E$18*AG137^2+BMILMS!$F$18*AG137+BMILMS!$G$18)))</f>
        <v>8.8969350000000003E-2</v>
      </c>
      <c r="AG137" s="24">
        <f t="shared" si="48"/>
        <v>0</v>
      </c>
      <c r="AI137" s="38">
        <f>IF(D137="M",WeightSDS!P$5*$AG137^7+WeightSDS!Q$5*$AG137^6+WeightSDS!R$5*$AG137^5+WeightSDS!S$5*$AG137^4+WeightSDS!T$5*$AG137^3+WeightSDS!U$5*$AG137^2+WeightSDS!V$5*$AG137+WeightSDS!W$5,IF($AG137&lt;186,WeightSDS!P$8*$AG137^7+WeightSDS!Q$8*$AG137^6+WeightSDS!R$8*$AG137^5+WeightSDS!S$8*$AG137^4+WeightSDS!T$8*$AG137^3+WeightSDS!U$8*$AG137^2+WeightSDS!V$8*$AG137+WeightSDS!W$8,WeightSDS!$U$9-WeightSDS!$V$9*($AG137-WeightSDS!$W$9)))</f>
        <v>0.75407122999999998</v>
      </c>
      <c r="AJ137" s="24">
        <f>IF(D137="M",IF($AG137&lt;45,WeightSDS!M$23*$AG137^10+WeightSDS!N$23*$AG137^9+WeightSDS!O$23*$AG137^8+WeightSDS!P$23*$AG137^7+WeightSDS!Q$23*$AG137^6+WeightSDS!R$23*$AG137^5+WeightSDS!S$23*$AG137^4+WeightSDS!T$23*$AG137^3+WeightSDS!U$23*$AG137^2+WeightSDS!V$23*$AG137+WeightSDS!W$23,IF($AG137&lt;153,WeightSDS!M$25*$AG137^10+WeightSDS!N$25*$AG137^9+WeightSDS!O$25*$AG137^8+WeightSDS!P$25*$AG137^7+WeightSDS!Q$25*$AG137^6+WeightSDS!R$25*$AG137^5+WeightSDS!S$25*$AG137^4+WeightSDS!T$25*$AG137^3+WeightSDS!U$25*$AG137^2+WeightSDS!V$25*$AG137+WeightSDS!W$25,WeightSDS!M$27+WeightSDS!N$27/(1+EXP(WeightSDS!O$27+WeightSDS!P$27*$AG137)))),IF($AG137&lt;43.8,WeightSDS!M$29*$AG137^10+WeightSDS!N$29*$AG137^9+WeightSDS!O$29*$AG137^8+WeightSDS!P$29*$AG137^7+WeightSDS!Q$29*$AG137^6+WeightSDS!R$29*$AG137^5+WeightSDS!S$29*$AG137^4+WeightSDS!T$29*$AG137^3+WeightSDS!U$29*$AG137^2+WeightSDS!V$29*$AG137+WeightSDS!W$29-0.010431*(1-$AG137/210),IF($AG137&lt;123,WeightSDS!M$30*$AG137^10+WeightSDS!N$30*$AG137^9+WeightSDS!O$30*$AG137^8+WeightSDS!P$30*$AG137^7+WeightSDS!Q$30*$AG137^6+WeightSDS!R$30*$AG137^5+WeightSDS!S$30*$AG137^4+WeightSDS!T$30*$AG137^3+WeightSDS!U$30*$AG137^2+WeightSDS!V$30*$AG137+WeightSDS!W$30-0.010431*(1-1/$AG137),WeightSDS!M$32+WeightSDS!N$32/(1+EXP(WeightSDS!O$32+WeightSDS!P$32*$AG137))-0.010431*(1-$AG137/210))))</f>
        <v>2.9500001032655536</v>
      </c>
      <c r="AK137" s="24">
        <f>IF(D137="M",IF($AG137&lt;162,WeightSDS!P$12*$AG137^7+WeightSDS!Q$12*$AG137^6+WeightSDS!R$12*$AG137^5+WeightSDS!S$12*$AG137^4+WeightSDS!T$12*$AG137^3+WeightSDS!U$12*$AG137^2+WeightSDS!V$12*$AG137+WeightSDS!W$12,WeightSDS!P$14*$AG137^7+WeightSDS!Q$14*$AG137^6+WeightSDS!R$14*$AG137^5+WeightSDS!S$14*$AG137^4+WeightSDS!T$14*$AG137^3+WeightSDS!U$14*$AG137^2+WeightSDS!V$14*$AG137+WeightSDS!W$14),IF($AG137&lt;156,WeightSDS!O$17*$AG137^8+WeightSDS!P$17*$AG137^7+WeightSDS!Q$17*$AG137^6+WeightSDS!R$17*$AG137^5+WeightSDS!S$17*$AG137^4+WeightSDS!T$17*$AG137^3+WeightSDS!U$17*$AG137^2+WeightSDS!V$17*$AG137+WeightSDS!W$17,IF($AG137&lt;186,WeightSDS!$U$18+(WeightSDS!$V$18-WeightSDS!$U$18)/24*($AG137-186)+WeightSDS!$W$18*(-$AG137+186)^2-0.005,WeightSDS!$U$18+(WeightSDS!$V$18-WeightSDS!$U$18)/24*($AG137-186)-0.005)))</f>
        <v>0.14604529399999999</v>
      </c>
    </row>
    <row r="138" spans="1:37">
      <c r="A138" s="4"/>
      <c r="B138" s="21"/>
      <c r="C138" s="21"/>
      <c r="D138" s="21"/>
      <c r="E138" s="22"/>
      <c r="F138" s="22"/>
      <c r="G138" s="23"/>
      <c r="H138" s="23"/>
      <c r="I138" s="8" t="str">
        <f t="shared" si="34"/>
        <v/>
      </c>
      <c r="J138" s="2" t="str">
        <f t="shared" si="41"/>
        <v/>
      </c>
      <c r="K138" s="2" t="str">
        <f t="shared" si="35"/>
        <v/>
      </c>
      <c r="L138" s="2" t="str">
        <f t="shared" si="42"/>
        <v/>
      </c>
      <c r="M138" s="2" t="str">
        <f t="shared" si="47"/>
        <v/>
      </c>
      <c r="N138" s="2" t="str">
        <f t="shared" si="43"/>
        <v/>
      </c>
      <c r="O138" s="8" t="str">
        <f t="shared" si="44"/>
        <v/>
      </c>
      <c r="P138" s="8" t="str">
        <f t="shared" si="45"/>
        <v/>
      </c>
      <c r="Q138" s="40" t="str">
        <f t="shared" si="36"/>
        <v/>
      </c>
      <c r="R138" s="48" t="str">
        <f t="shared" si="46"/>
        <v/>
      </c>
      <c r="S138" s="8"/>
      <c r="U138" s="35">
        <f t="shared" si="37"/>
        <v>0</v>
      </c>
      <c r="V138" s="24">
        <f t="shared" si="38"/>
        <v>0</v>
      </c>
      <c r="W138" s="41">
        <f t="shared" si="33"/>
        <v>0</v>
      </c>
      <c r="X138" s="31"/>
      <c r="Y138" s="31"/>
      <c r="Z138" s="31"/>
      <c r="AA138" s="25">
        <f t="shared" si="39"/>
        <v>9.0359999999999996</v>
      </c>
      <c r="AB138" s="25">
        <f t="shared" si="40"/>
        <v>-184.49199999999999</v>
      </c>
      <c r="AD138" s="24">
        <f>IF(D138="M",IF(AG138&lt;78,BMILMS!$D$5*AG138^3+BMILMS!$E$5*AG138^2+BMILMS!$F$5*AG138+BMILMS!$G$5,IF(AG138&lt;150,BMILMS!$D$6*AG138^3+BMILMS!$E$6*AG138^2+BMILMS!$F$6*AG138+BMILMS!$G$6,BMILMS!$D$7*AG138^3+BMILMS!$E$7*AG138^2+BMILMS!$F$7*AG138+BMILMS!$G$7)),IF(AG138&lt;69,BMILMS!$D$9*AG138^3+BMILMS!$E$9*AG138^2+BMILMS!$F$9*AG138+BMILMS!$G$9,IF(AG138&lt;150,BMILMS!$D$10*AG138^3+BMILMS!$E$10*AG138^2+BMILMS!$F$10*AG138+BMILMS!$G$10,BMILMS!$D$11*AG138^3+BMILMS!$E$11*AG138^2+BMILMS!$F$11*AG138+BMILMS!$G$11)))</f>
        <v>0.79584630099999998</v>
      </c>
      <c r="AE138" s="24">
        <f>IF(D138="M",(IF(AG138&lt;2.5,BMILMS!$D$21*AG138^3+BMILMS!$E$21*AG138^2+BMILMS!$F$21*AG138+BMILMS!$G$21,IF(AG138&lt;9.5,BMILMS!$D$22*AG138^3+BMILMS!$E$22*AG138^2+BMILMS!$F$22*AG138+BMILMS!$G$22,IF(AG138&lt;26.75,BMILMS!$D$23*AG138^3+BMILMS!$E$23*AG138^2+BMILMS!$F$23*AG138+BMILMS!$G$23,IF(AG138&lt;90,BMILMS!$D$24*AG138^3+BMILMS!$E$24*AG138^2+BMILMS!$F$24*AG138+BMILMS!$G$24,BMILMS!$D$25*AG138^3+BMILMS!$E$25*AG138^2+BMILMS!$F$25*AG138+BMILMS!$G$25))))),(IF(AG138&lt;2.5,BMILMS!$D$27*AG138^3+BMILMS!$E$27*AG138^2+BMILMS!$F$27*AG138+BMILMS!$G$27,IF(AG138&lt;9.5,BMILMS!$D$28*AG138^3+BMILMS!$E$28*AG138^2+BMILMS!$F$28*AG138+BMILMS!$G$28,IF(AG138&lt;26.75,BMILMS!$D$29*AG138^3+BMILMS!$E$29*AG138^2+BMILMS!$F$29*AG138+BMILMS!$G$29,IF(AG138&lt;90,BMILMS!$D$30*AG138^3+BMILMS!$E$30*AG138^2+BMILMS!$F$30*AG138+BMILMS!$G$30,IF(AG138&lt;150,BMILMS!$D$31*AG138^3+BMILMS!$E$31*AG138^2+BMILMS!$F$31*AG138+BMILMS!$G$31,BMILMS!$D$32*AG138^3+BMILMS!$E$32*AG138^2+BMILMS!$F$32*AG138+BMILMS!$G$32)))))))</f>
        <v>12.568967990000001</v>
      </c>
      <c r="AF138" s="24">
        <f>IF(D138="M",(IF(AG138&lt;90,BMILMS!$D$14*AG138^3+BMILMS!$E$14*AG138^2+BMILMS!$F$14*AG138+BMILMS!$G$14,BMILMS!$D$15*AG138^3+BMILMS!$E$15*AG138^2+BMILMS!$F$15*AG138+BMILMS!$G$15)),(IF(AG138&lt;90,BMILMS!$D$17*AG138^3+BMILMS!$E$17*AG138^2+BMILMS!$F$17*AG138+BMILMS!$G$17,BMILMS!$D$18*AG138^3+BMILMS!$E$18*AG138^2+BMILMS!$F$18*AG138+BMILMS!$G$18)))</f>
        <v>8.8969350000000003E-2</v>
      </c>
      <c r="AG138" s="24">
        <f t="shared" si="48"/>
        <v>0</v>
      </c>
      <c r="AI138" s="38">
        <f>IF(D138="M",WeightSDS!P$5*$AG138^7+WeightSDS!Q$5*$AG138^6+WeightSDS!R$5*$AG138^5+WeightSDS!S$5*$AG138^4+WeightSDS!T$5*$AG138^3+WeightSDS!U$5*$AG138^2+WeightSDS!V$5*$AG138+WeightSDS!W$5,IF($AG138&lt;186,WeightSDS!P$8*$AG138^7+WeightSDS!Q$8*$AG138^6+WeightSDS!R$8*$AG138^5+WeightSDS!S$8*$AG138^4+WeightSDS!T$8*$AG138^3+WeightSDS!U$8*$AG138^2+WeightSDS!V$8*$AG138+WeightSDS!W$8,WeightSDS!$U$9-WeightSDS!$V$9*($AG138-WeightSDS!$W$9)))</f>
        <v>0.75407122999999998</v>
      </c>
      <c r="AJ138" s="24">
        <f>IF(D138="M",IF($AG138&lt;45,WeightSDS!M$23*$AG138^10+WeightSDS!N$23*$AG138^9+WeightSDS!O$23*$AG138^8+WeightSDS!P$23*$AG138^7+WeightSDS!Q$23*$AG138^6+WeightSDS!R$23*$AG138^5+WeightSDS!S$23*$AG138^4+WeightSDS!T$23*$AG138^3+WeightSDS!U$23*$AG138^2+WeightSDS!V$23*$AG138+WeightSDS!W$23,IF($AG138&lt;153,WeightSDS!M$25*$AG138^10+WeightSDS!N$25*$AG138^9+WeightSDS!O$25*$AG138^8+WeightSDS!P$25*$AG138^7+WeightSDS!Q$25*$AG138^6+WeightSDS!R$25*$AG138^5+WeightSDS!S$25*$AG138^4+WeightSDS!T$25*$AG138^3+WeightSDS!U$25*$AG138^2+WeightSDS!V$25*$AG138+WeightSDS!W$25,WeightSDS!M$27+WeightSDS!N$27/(1+EXP(WeightSDS!O$27+WeightSDS!P$27*$AG138)))),IF($AG138&lt;43.8,WeightSDS!M$29*$AG138^10+WeightSDS!N$29*$AG138^9+WeightSDS!O$29*$AG138^8+WeightSDS!P$29*$AG138^7+WeightSDS!Q$29*$AG138^6+WeightSDS!R$29*$AG138^5+WeightSDS!S$29*$AG138^4+WeightSDS!T$29*$AG138^3+WeightSDS!U$29*$AG138^2+WeightSDS!V$29*$AG138+WeightSDS!W$29-0.010431*(1-$AG138/210),IF($AG138&lt;123,WeightSDS!M$30*$AG138^10+WeightSDS!N$30*$AG138^9+WeightSDS!O$30*$AG138^8+WeightSDS!P$30*$AG138^7+WeightSDS!Q$30*$AG138^6+WeightSDS!R$30*$AG138^5+WeightSDS!S$30*$AG138^4+WeightSDS!T$30*$AG138^3+WeightSDS!U$30*$AG138^2+WeightSDS!V$30*$AG138+WeightSDS!W$30-0.010431*(1-1/$AG138),WeightSDS!M$32+WeightSDS!N$32/(1+EXP(WeightSDS!O$32+WeightSDS!P$32*$AG138))-0.010431*(1-$AG138/210))))</f>
        <v>2.9500001032655536</v>
      </c>
      <c r="AK138" s="24">
        <f>IF(D138="M",IF($AG138&lt;162,WeightSDS!P$12*$AG138^7+WeightSDS!Q$12*$AG138^6+WeightSDS!R$12*$AG138^5+WeightSDS!S$12*$AG138^4+WeightSDS!T$12*$AG138^3+WeightSDS!U$12*$AG138^2+WeightSDS!V$12*$AG138+WeightSDS!W$12,WeightSDS!P$14*$AG138^7+WeightSDS!Q$14*$AG138^6+WeightSDS!R$14*$AG138^5+WeightSDS!S$14*$AG138^4+WeightSDS!T$14*$AG138^3+WeightSDS!U$14*$AG138^2+WeightSDS!V$14*$AG138+WeightSDS!W$14),IF($AG138&lt;156,WeightSDS!O$17*$AG138^8+WeightSDS!P$17*$AG138^7+WeightSDS!Q$17*$AG138^6+WeightSDS!R$17*$AG138^5+WeightSDS!S$17*$AG138^4+WeightSDS!T$17*$AG138^3+WeightSDS!U$17*$AG138^2+WeightSDS!V$17*$AG138+WeightSDS!W$17,IF($AG138&lt;186,WeightSDS!$U$18+(WeightSDS!$V$18-WeightSDS!$U$18)/24*($AG138-186)+WeightSDS!$W$18*(-$AG138+186)^2-0.005,WeightSDS!$U$18+(WeightSDS!$V$18-WeightSDS!$U$18)/24*($AG138-186)-0.005)))</f>
        <v>0.14604529399999999</v>
      </c>
    </row>
    <row r="139" spans="1:37">
      <c r="A139" s="4"/>
      <c r="B139" s="21"/>
      <c r="C139" s="21"/>
      <c r="D139" s="21"/>
      <c r="E139" s="22"/>
      <c r="F139" s="22"/>
      <c r="G139" s="23"/>
      <c r="H139" s="23"/>
      <c r="I139" s="8" t="str">
        <f t="shared" si="34"/>
        <v/>
      </c>
      <c r="J139" s="2" t="str">
        <f t="shared" si="41"/>
        <v/>
      </c>
      <c r="K139" s="2" t="str">
        <f t="shared" si="35"/>
        <v/>
      </c>
      <c r="L139" s="2" t="str">
        <f t="shared" si="42"/>
        <v/>
      </c>
      <c r="M139" s="2" t="str">
        <f t="shared" si="47"/>
        <v/>
      </c>
      <c r="N139" s="2" t="str">
        <f t="shared" si="43"/>
        <v/>
      </c>
      <c r="O139" s="8" t="str">
        <f t="shared" si="44"/>
        <v/>
      </c>
      <c r="P139" s="8" t="str">
        <f t="shared" si="45"/>
        <v/>
      </c>
      <c r="Q139" s="40" t="str">
        <f t="shared" si="36"/>
        <v/>
      </c>
      <c r="R139" s="48" t="str">
        <f t="shared" si="46"/>
        <v/>
      </c>
      <c r="S139" s="8"/>
      <c r="U139" s="35">
        <f t="shared" si="37"/>
        <v>0</v>
      </c>
      <c r="V139" s="24">
        <f t="shared" si="38"/>
        <v>0</v>
      </c>
      <c r="W139" s="41">
        <f t="shared" si="33"/>
        <v>0</v>
      </c>
      <c r="X139" s="31"/>
      <c r="Y139" s="31"/>
      <c r="Z139" s="31"/>
      <c r="AA139" s="25">
        <f t="shared" si="39"/>
        <v>9.0359999999999996</v>
      </c>
      <c r="AB139" s="25">
        <f t="shared" si="40"/>
        <v>-184.49199999999999</v>
      </c>
      <c r="AD139" s="24">
        <f>IF(D139="M",IF(AG139&lt;78,BMILMS!$D$5*AG139^3+BMILMS!$E$5*AG139^2+BMILMS!$F$5*AG139+BMILMS!$G$5,IF(AG139&lt;150,BMILMS!$D$6*AG139^3+BMILMS!$E$6*AG139^2+BMILMS!$F$6*AG139+BMILMS!$G$6,BMILMS!$D$7*AG139^3+BMILMS!$E$7*AG139^2+BMILMS!$F$7*AG139+BMILMS!$G$7)),IF(AG139&lt;69,BMILMS!$D$9*AG139^3+BMILMS!$E$9*AG139^2+BMILMS!$F$9*AG139+BMILMS!$G$9,IF(AG139&lt;150,BMILMS!$D$10*AG139^3+BMILMS!$E$10*AG139^2+BMILMS!$F$10*AG139+BMILMS!$G$10,BMILMS!$D$11*AG139^3+BMILMS!$E$11*AG139^2+BMILMS!$F$11*AG139+BMILMS!$G$11)))</f>
        <v>0.79584630099999998</v>
      </c>
      <c r="AE139" s="24">
        <f>IF(D139="M",(IF(AG139&lt;2.5,BMILMS!$D$21*AG139^3+BMILMS!$E$21*AG139^2+BMILMS!$F$21*AG139+BMILMS!$G$21,IF(AG139&lt;9.5,BMILMS!$D$22*AG139^3+BMILMS!$E$22*AG139^2+BMILMS!$F$22*AG139+BMILMS!$G$22,IF(AG139&lt;26.75,BMILMS!$D$23*AG139^3+BMILMS!$E$23*AG139^2+BMILMS!$F$23*AG139+BMILMS!$G$23,IF(AG139&lt;90,BMILMS!$D$24*AG139^3+BMILMS!$E$24*AG139^2+BMILMS!$F$24*AG139+BMILMS!$G$24,BMILMS!$D$25*AG139^3+BMILMS!$E$25*AG139^2+BMILMS!$F$25*AG139+BMILMS!$G$25))))),(IF(AG139&lt;2.5,BMILMS!$D$27*AG139^3+BMILMS!$E$27*AG139^2+BMILMS!$F$27*AG139+BMILMS!$G$27,IF(AG139&lt;9.5,BMILMS!$D$28*AG139^3+BMILMS!$E$28*AG139^2+BMILMS!$F$28*AG139+BMILMS!$G$28,IF(AG139&lt;26.75,BMILMS!$D$29*AG139^3+BMILMS!$E$29*AG139^2+BMILMS!$F$29*AG139+BMILMS!$G$29,IF(AG139&lt;90,BMILMS!$D$30*AG139^3+BMILMS!$E$30*AG139^2+BMILMS!$F$30*AG139+BMILMS!$G$30,IF(AG139&lt;150,BMILMS!$D$31*AG139^3+BMILMS!$E$31*AG139^2+BMILMS!$F$31*AG139+BMILMS!$G$31,BMILMS!$D$32*AG139^3+BMILMS!$E$32*AG139^2+BMILMS!$F$32*AG139+BMILMS!$G$32)))))))</f>
        <v>12.568967990000001</v>
      </c>
      <c r="AF139" s="24">
        <f>IF(D139="M",(IF(AG139&lt;90,BMILMS!$D$14*AG139^3+BMILMS!$E$14*AG139^2+BMILMS!$F$14*AG139+BMILMS!$G$14,BMILMS!$D$15*AG139^3+BMILMS!$E$15*AG139^2+BMILMS!$F$15*AG139+BMILMS!$G$15)),(IF(AG139&lt;90,BMILMS!$D$17*AG139^3+BMILMS!$E$17*AG139^2+BMILMS!$F$17*AG139+BMILMS!$G$17,BMILMS!$D$18*AG139^3+BMILMS!$E$18*AG139^2+BMILMS!$F$18*AG139+BMILMS!$G$18)))</f>
        <v>8.8969350000000003E-2</v>
      </c>
      <c r="AG139" s="24">
        <f t="shared" si="48"/>
        <v>0</v>
      </c>
      <c r="AI139" s="38">
        <f>IF(D139="M",WeightSDS!P$5*$AG139^7+WeightSDS!Q$5*$AG139^6+WeightSDS!R$5*$AG139^5+WeightSDS!S$5*$AG139^4+WeightSDS!T$5*$AG139^3+WeightSDS!U$5*$AG139^2+WeightSDS!V$5*$AG139+WeightSDS!W$5,IF($AG139&lt;186,WeightSDS!P$8*$AG139^7+WeightSDS!Q$8*$AG139^6+WeightSDS!R$8*$AG139^5+WeightSDS!S$8*$AG139^4+WeightSDS!T$8*$AG139^3+WeightSDS!U$8*$AG139^2+WeightSDS!V$8*$AG139+WeightSDS!W$8,WeightSDS!$U$9-WeightSDS!$V$9*($AG139-WeightSDS!$W$9)))</f>
        <v>0.75407122999999998</v>
      </c>
      <c r="AJ139" s="24">
        <f>IF(D139="M",IF($AG139&lt;45,WeightSDS!M$23*$AG139^10+WeightSDS!N$23*$AG139^9+WeightSDS!O$23*$AG139^8+WeightSDS!P$23*$AG139^7+WeightSDS!Q$23*$AG139^6+WeightSDS!R$23*$AG139^5+WeightSDS!S$23*$AG139^4+WeightSDS!T$23*$AG139^3+WeightSDS!U$23*$AG139^2+WeightSDS!V$23*$AG139+WeightSDS!W$23,IF($AG139&lt;153,WeightSDS!M$25*$AG139^10+WeightSDS!N$25*$AG139^9+WeightSDS!O$25*$AG139^8+WeightSDS!P$25*$AG139^7+WeightSDS!Q$25*$AG139^6+WeightSDS!R$25*$AG139^5+WeightSDS!S$25*$AG139^4+WeightSDS!T$25*$AG139^3+WeightSDS!U$25*$AG139^2+WeightSDS!V$25*$AG139+WeightSDS!W$25,WeightSDS!M$27+WeightSDS!N$27/(1+EXP(WeightSDS!O$27+WeightSDS!P$27*$AG139)))),IF($AG139&lt;43.8,WeightSDS!M$29*$AG139^10+WeightSDS!N$29*$AG139^9+WeightSDS!O$29*$AG139^8+WeightSDS!P$29*$AG139^7+WeightSDS!Q$29*$AG139^6+WeightSDS!R$29*$AG139^5+WeightSDS!S$29*$AG139^4+WeightSDS!T$29*$AG139^3+WeightSDS!U$29*$AG139^2+WeightSDS!V$29*$AG139+WeightSDS!W$29-0.010431*(1-$AG139/210),IF($AG139&lt;123,WeightSDS!M$30*$AG139^10+WeightSDS!N$30*$AG139^9+WeightSDS!O$30*$AG139^8+WeightSDS!P$30*$AG139^7+WeightSDS!Q$30*$AG139^6+WeightSDS!R$30*$AG139^5+WeightSDS!S$30*$AG139^4+WeightSDS!T$30*$AG139^3+WeightSDS!U$30*$AG139^2+WeightSDS!V$30*$AG139+WeightSDS!W$30-0.010431*(1-1/$AG139),WeightSDS!M$32+WeightSDS!N$32/(1+EXP(WeightSDS!O$32+WeightSDS!P$32*$AG139))-0.010431*(1-$AG139/210))))</f>
        <v>2.9500001032655536</v>
      </c>
      <c r="AK139" s="24">
        <f>IF(D139="M",IF($AG139&lt;162,WeightSDS!P$12*$AG139^7+WeightSDS!Q$12*$AG139^6+WeightSDS!R$12*$AG139^5+WeightSDS!S$12*$AG139^4+WeightSDS!T$12*$AG139^3+WeightSDS!U$12*$AG139^2+WeightSDS!V$12*$AG139+WeightSDS!W$12,WeightSDS!P$14*$AG139^7+WeightSDS!Q$14*$AG139^6+WeightSDS!R$14*$AG139^5+WeightSDS!S$14*$AG139^4+WeightSDS!T$14*$AG139^3+WeightSDS!U$14*$AG139^2+WeightSDS!V$14*$AG139+WeightSDS!W$14),IF($AG139&lt;156,WeightSDS!O$17*$AG139^8+WeightSDS!P$17*$AG139^7+WeightSDS!Q$17*$AG139^6+WeightSDS!R$17*$AG139^5+WeightSDS!S$17*$AG139^4+WeightSDS!T$17*$AG139^3+WeightSDS!U$17*$AG139^2+WeightSDS!V$17*$AG139+WeightSDS!W$17,IF($AG139&lt;186,WeightSDS!$U$18+(WeightSDS!$V$18-WeightSDS!$U$18)/24*($AG139-186)+WeightSDS!$W$18*(-$AG139+186)^2-0.005,WeightSDS!$U$18+(WeightSDS!$V$18-WeightSDS!$U$18)/24*($AG139-186)-0.005)))</f>
        <v>0.14604529399999999</v>
      </c>
    </row>
    <row r="140" spans="1:37">
      <c r="A140" s="4"/>
      <c r="B140" s="21"/>
      <c r="C140" s="21"/>
      <c r="D140" s="21"/>
      <c r="E140" s="22"/>
      <c r="F140" s="22"/>
      <c r="G140" s="23"/>
      <c r="H140" s="23"/>
      <c r="I140" s="8" t="str">
        <f t="shared" si="34"/>
        <v/>
      </c>
      <c r="J140" s="2" t="str">
        <f t="shared" si="41"/>
        <v/>
      </c>
      <c r="K140" s="2" t="str">
        <f t="shared" si="35"/>
        <v/>
      </c>
      <c r="L140" s="2" t="str">
        <f t="shared" si="42"/>
        <v/>
      </c>
      <c r="M140" s="2" t="str">
        <f t="shared" si="47"/>
        <v/>
      </c>
      <c r="N140" s="2" t="str">
        <f t="shared" si="43"/>
        <v/>
      </c>
      <c r="O140" s="8" t="str">
        <f t="shared" si="44"/>
        <v/>
      </c>
      <c r="P140" s="8" t="str">
        <f t="shared" si="45"/>
        <v/>
      </c>
      <c r="Q140" s="40" t="str">
        <f t="shared" si="36"/>
        <v/>
      </c>
      <c r="R140" s="48" t="str">
        <f t="shared" si="46"/>
        <v/>
      </c>
      <c r="S140" s="8"/>
      <c r="U140" s="35">
        <f t="shared" si="37"/>
        <v>0</v>
      </c>
      <c r="V140" s="24">
        <f t="shared" si="38"/>
        <v>0</v>
      </c>
      <c r="W140" s="41">
        <f t="shared" si="33"/>
        <v>0</v>
      </c>
      <c r="X140" s="31"/>
      <c r="Y140" s="31"/>
      <c r="Z140" s="31"/>
      <c r="AA140" s="25">
        <f t="shared" si="39"/>
        <v>9.0359999999999996</v>
      </c>
      <c r="AB140" s="25">
        <f t="shared" si="40"/>
        <v>-184.49199999999999</v>
      </c>
      <c r="AD140" s="24">
        <f>IF(D140="M",IF(AG140&lt;78,BMILMS!$D$5*AG140^3+BMILMS!$E$5*AG140^2+BMILMS!$F$5*AG140+BMILMS!$G$5,IF(AG140&lt;150,BMILMS!$D$6*AG140^3+BMILMS!$E$6*AG140^2+BMILMS!$F$6*AG140+BMILMS!$G$6,BMILMS!$D$7*AG140^3+BMILMS!$E$7*AG140^2+BMILMS!$F$7*AG140+BMILMS!$G$7)),IF(AG140&lt;69,BMILMS!$D$9*AG140^3+BMILMS!$E$9*AG140^2+BMILMS!$F$9*AG140+BMILMS!$G$9,IF(AG140&lt;150,BMILMS!$D$10*AG140^3+BMILMS!$E$10*AG140^2+BMILMS!$F$10*AG140+BMILMS!$G$10,BMILMS!$D$11*AG140^3+BMILMS!$E$11*AG140^2+BMILMS!$F$11*AG140+BMILMS!$G$11)))</f>
        <v>0.79584630099999998</v>
      </c>
      <c r="AE140" s="24">
        <f>IF(D140="M",(IF(AG140&lt;2.5,BMILMS!$D$21*AG140^3+BMILMS!$E$21*AG140^2+BMILMS!$F$21*AG140+BMILMS!$G$21,IF(AG140&lt;9.5,BMILMS!$D$22*AG140^3+BMILMS!$E$22*AG140^2+BMILMS!$F$22*AG140+BMILMS!$G$22,IF(AG140&lt;26.75,BMILMS!$D$23*AG140^3+BMILMS!$E$23*AG140^2+BMILMS!$F$23*AG140+BMILMS!$G$23,IF(AG140&lt;90,BMILMS!$D$24*AG140^3+BMILMS!$E$24*AG140^2+BMILMS!$F$24*AG140+BMILMS!$G$24,BMILMS!$D$25*AG140^3+BMILMS!$E$25*AG140^2+BMILMS!$F$25*AG140+BMILMS!$G$25))))),(IF(AG140&lt;2.5,BMILMS!$D$27*AG140^3+BMILMS!$E$27*AG140^2+BMILMS!$F$27*AG140+BMILMS!$G$27,IF(AG140&lt;9.5,BMILMS!$D$28*AG140^3+BMILMS!$E$28*AG140^2+BMILMS!$F$28*AG140+BMILMS!$G$28,IF(AG140&lt;26.75,BMILMS!$D$29*AG140^3+BMILMS!$E$29*AG140^2+BMILMS!$F$29*AG140+BMILMS!$G$29,IF(AG140&lt;90,BMILMS!$D$30*AG140^3+BMILMS!$E$30*AG140^2+BMILMS!$F$30*AG140+BMILMS!$G$30,IF(AG140&lt;150,BMILMS!$D$31*AG140^3+BMILMS!$E$31*AG140^2+BMILMS!$F$31*AG140+BMILMS!$G$31,BMILMS!$D$32*AG140^3+BMILMS!$E$32*AG140^2+BMILMS!$F$32*AG140+BMILMS!$G$32)))))))</f>
        <v>12.568967990000001</v>
      </c>
      <c r="AF140" s="24">
        <f>IF(D140="M",(IF(AG140&lt;90,BMILMS!$D$14*AG140^3+BMILMS!$E$14*AG140^2+BMILMS!$F$14*AG140+BMILMS!$G$14,BMILMS!$D$15*AG140^3+BMILMS!$E$15*AG140^2+BMILMS!$F$15*AG140+BMILMS!$G$15)),(IF(AG140&lt;90,BMILMS!$D$17*AG140^3+BMILMS!$E$17*AG140^2+BMILMS!$F$17*AG140+BMILMS!$G$17,BMILMS!$D$18*AG140^3+BMILMS!$E$18*AG140^2+BMILMS!$F$18*AG140+BMILMS!$G$18)))</f>
        <v>8.8969350000000003E-2</v>
      </c>
      <c r="AG140" s="24">
        <f t="shared" si="48"/>
        <v>0</v>
      </c>
      <c r="AI140" s="38">
        <f>IF(D140="M",WeightSDS!P$5*$AG140^7+WeightSDS!Q$5*$AG140^6+WeightSDS!R$5*$AG140^5+WeightSDS!S$5*$AG140^4+WeightSDS!T$5*$AG140^3+WeightSDS!U$5*$AG140^2+WeightSDS!V$5*$AG140+WeightSDS!W$5,IF($AG140&lt;186,WeightSDS!P$8*$AG140^7+WeightSDS!Q$8*$AG140^6+WeightSDS!R$8*$AG140^5+WeightSDS!S$8*$AG140^4+WeightSDS!T$8*$AG140^3+WeightSDS!U$8*$AG140^2+WeightSDS!V$8*$AG140+WeightSDS!W$8,WeightSDS!$U$9-WeightSDS!$V$9*($AG140-WeightSDS!$W$9)))</f>
        <v>0.75407122999999998</v>
      </c>
      <c r="AJ140" s="24">
        <f>IF(D140="M",IF($AG140&lt;45,WeightSDS!M$23*$AG140^10+WeightSDS!N$23*$AG140^9+WeightSDS!O$23*$AG140^8+WeightSDS!P$23*$AG140^7+WeightSDS!Q$23*$AG140^6+WeightSDS!R$23*$AG140^5+WeightSDS!S$23*$AG140^4+WeightSDS!T$23*$AG140^3+WeightSDS!U$23*$AG140^2+WeightSDS!V$23*$AG140+WeightSDS!W$23,IF($AG140&lt;153,WeightSDS!M$25*$AG140^10+WeightSDS!N$25*$AG140^9+WeightSDS!O$25*$AG140^8+WeightSDS!P$25*$AG140^7+WeightSDS!Q$25*$AG140^6+WeightSDS!R$25*$AG140^5+WeightSDS!S$25*$AG140^4+WeightSDS!T$25*$AG140^3+WeightSDS!U$25*$AG140^2+WeightSDS!V$25*$AG140+WeightSDS!W$25,WeightSDS!M$27+WeightSDS!N$27/(1+EXP(WeightSDS!O$27+WeightSDS!P$27*$AG140)))),IF($AG140&lt;43.8,WeightSDS!M$29*$AG140^10+WeightSDS!N$29*$AG140^9+WeightSDS!O$29*$AG140^8+WeightSDS!P$29*$AG140^7+WeightSDS!Q$29*$AG140^6+WeightSDS!R$29*$AG140^5+WeightSDS!S$29*$AG140^4+WeightSDS!T$29*$AG140^3+WeightSDS!U$29*$AG140^2+WeightSDS!V$29*$AG140+WeightSDS!W$29-0.010431*(1-$AG140/210),IF($AG140&lt;123,WeightSDS!M$30*$AG140^10+WeightSDS!N$30*$AG140^9+WeightSDS!O$30*$AG140^8+WeightSDS!P$30*$AG140^7+WeightSDS!Q$30*$AG140^6+WeightSDS!R$30*$AG140^5+WeightSDS!S$30*$AG140^4+WeightSDS!T$30*$AG140^3+WeightSDS!U$30*$AG140^2+WeightSDS!V$30*$AG140+WeightSDS!W$30-0.010431*(1-1/$AG140),WeightSDS!M$32+WeightSDS!N$32/(1+EXP(WeightSDS!O$32+WeightSDS!P$32*$AG140))-0.010431*(1-$AG140/210))))</f>
        <v>2.9500001032655536</v>
      </c>
      <c r="AK140" s="24">
        <f>IF(D140="M",IF($AG140&lt;162,WeightSDS!P$12*$AG140^7+WeightSDS!Q$12*$AG140^6+WeightSDS!R$12*$AG140^5+WeightSDS!S$12*$AG140^4+WeightSDS!T$12*$AG140^3+WeightSDS!U$12*$AG140^2+WeightSDS!V$12*$AG140+WeightSDS!W$12,WeightSDS!P$14*$AG140^7+WeightSDS!Q$14*$AG140^6+WeightSDS!R$14*$AG140^5+WeightSDS!S$14*$AG140^4+WeightSDS!T$14*$AG140^3+WeightSDS!U$14*$AG140^2+WeightSDS!V$14*$AG140+WeightSDS!W$14),IF($AG140&lt;156,WeightSDS!O$17*$AG140^8+WeightSDS!P$17*$AG140^7+WeightSDS!Q$17*$AG140^6+WeightSDS!R$17*$AG140^5+WeightSDS!S$17*$AG140^4+WeightSDS!T$17*$AG140^3+WeightSDS!U$17*$AG140^2+WeightSDS!V$17*$AG140+WeightSDS!W$17,IF($AG140&lt;186,WeightSDS!$U$18+(WeightSDS!$V$18-WeightSDS!$U$18)/24*($AG140-186)+WeightSDS!$W$18*(-$AG140+186)^2-0.005,WeightSDS!$U$18+(WeightSDS!$V$18-WeightSDS!$U$18)/24*($AG140-186)-0.005)))</f>
        <v>0.14604529399999999</v>
      </c>
    </row>
    <row r="141" spans="1:37">
      <c r="A141" s="4"/>
      <c r="B141" s="21"/>
      <c r="C141" s="21"/>
      <c r="D141" s="21"/>
      <c r="E141" s="22"/>
      <c r="F141" s="22"/>
      <c r="G141" s="23"/>
      <c r="H141" s="23"/>
      <c r="I141" s="8" t="str">
        <f t="shared" si="34"/>
        <v/>
      </c>
      <c r="J141" s="2" t="str">
        <f t="shared" si="41"/>
        <v/>
      </c>
      <c r="K141" s="2" t="str">
        <f t="shared" si="35"/>
        <v/>
      </c>
      <c r="L141" s="2" t="str">
        <f t="shared" si="42"/>
        <v/>
      </c>
      <c r="M141" s="2" t="str">
        <f t="shared" si="47"/>
        <v/>
      </c>
      <c r="N141" s="2" t="str">
        <f t="shared" si="43"/>
        <v/>
      </c>
      <c r="O141" s="8" t="str">
        <f t="shared" si="44"/>
        <v/>
      </c>
      <c r="P141" s="8" t="str">
        <f t="shared" si="45"/>
        <v/>
      </c>
      <c r="Q141" s="40" t="str">
        <f t="shared" si="36"/>
        <v/>
      </c>
      <c r="R141" s="48" t="str">
        <f t="shared" si="46"/>
        <v/>
      </c>
      <c r="S141" s="8"/>
      <c r="U141" s="35">
        <f t="shared" si="37"/>
        <v>0</v>
      </c>
      <c r="V141" s="24">
        <f t="shared" si="38"/>
        <v>0</v>
      </c>
      <c r="W141" s="41">
        <f t="shared" si="33"/>
        <v>0</v>
      </c>
      <c r="X141" s="31"/>
      <c r="Y141" s="31"/>
      <c r="Z141" s="31"/>
      <c r="AA141" s="25">
        <f t="shared" si="39"/>
        <v>9.0359999999999996</v>
      </c>
      <c r="AB141" s="25">
        <f t="shared" si="40"/>
        <v>-184.49199999999999</v>
      </c>
      <c r="AD141" s="24">
        <f>IF(D141="M",IF(AG141&lt;78,BMILMS!$D$5*AG141^3+BMILMS!$E$5*AG141^2+BMILMS!$F$5*AG141+BMILMS!$G$5,IF(AG141&lt;150,BMILMS!$D$6*AG141^3+BMILMS!$E$6*AG141^2+BMILMS!$F$6*AG141+BMILMS!$G$6,BMILMS!$D$7*AG141^3+BMILMS!$E$7*AG141^2+BMILMS!$F$7*AG141+BMILMS!$G$7)),IF(AG141&lt;69,BMILMS!$D$9*AG141^3+BMILMS!$E$9*AG141^2+BMILMS!$F$9*AG141+BMILMS!$G$9,IF(AG141&lt;150,BMILMS!$D$10*AG141^3+BMILMS!$E$10*AG141^2+BMILMS!$F$10*AG141+BMILMS!$G$10,BMILMS!$D$11*AG141^3+BMILMS!$E$11*AG141^2+BMILMS!$F$11*AG141+BMILMS!$G$11)))</f>
        <v>0.79584630099999998</v>
      </c>
      <c r="AE141" s="24">
        <f>IF(D141="M",(IF(AG141&lt;2.5,BMILMS!$D$21*AG141^3+BMILMS!$E$21*AG141^2+BMILMS!$F$21*AG141+BMILMS!$G$21,IF(AG141&lt;9.5,BMILMS!$D$22*AG141^3+BMILMS!$E$22*AG141^2+BMILMS!$F$22*AG141+BMILMS!$G$22,IF(AG141&lt;26.75,BMILMS!$D$23*AG141^3+BMILMS!$E$23*AG141^2+BMILMS!$F$23*AG141+BMILMS!$G$23,IF(AG141&lt;90,BMILMS!$D$24*AG141^3+BMILMS!$E$24*AG141^2+BMILMS!$F$24*AG141+BMILMS!$G$24,BMILMS!$D$25*AG141^3+BMILMS!$E$25*AG141^2+BMILMS!$F$25*AG141+BMILMS!$G$25))))),(IF(AG141&lt;2.5,BMILMS!$D$27*AG141^3+BMILMS!$E$27*AG141^2+BMILMS!$F$27*AG141+BMILMS!$G$27,IF(AG141&lt;9.5,BMILMS!$D$28*AG141^3+BMILMS!$E$28*AG141^2+BMILMS!$F$28*AG141+BMILMS!$G$28,IF(AG141&lt;26.75,BMILMS!$D$29*AG141^3+BMILMS!$E$29*AG141^2+BMILMS!$F$29*AG141+BMILMS!$G$29,IF(AG141&lt;90,BMILMS!$D$30*AG141^3+BMILMS!$E$30*AG141^2+BMILMS!$F$30*AG141+BMILMS!$G$30,IF(AG141&lt;150,BMILMS!$D$31*AG141^3+BMILMS!$E$31*AG141^2+BMILMS!$F$31*AG141+BMILMS!$G$31,BMILMS!$D$32*AG141^3+BMILMS!$E$32*AG141^2+BMILMS!$F$32*AG141+BMILMS!$G$32)))))))</f>
        <v>12.568967990000001</v>
      </c>
      <c r="AF141" s="24">
        <f>IF(D141="M",(IF(AG141&lt;90,BMILMS!$D$14*AG141^3+BMILMS!$E$14*AG141^2+BMILMS!$F$14*AG141+BMILMS!$G$14,BMILMS!$D$15*AG141^3+BMILMS!$E$15*AG141^2+BMILMS!$F$15*AG141+BMILMS!$G$15)),(IF(AG141&lt;90,BMILMS!$D$17*AG141^3+BMILMS!$E$17*AG141^2+BMILMS!$F$17*AG141+BMILMS!$G$17,BMILMS!$D$18*AG141^3+BMILMS!$E$18*AG141^2+BMILMS!$F$18*AG141+BMILMS!$G$18)))</f>
        <v>8.8969350000000003E-2</v>
      </c>
      <c r="AG141" s="24">
        <f t="shared" si="48"/>
        <v>0</v>
      </c>
      <c r="AI141" s="38">
        <f>IF(D141="M",WeightSDS!P$5*$AG141^7+WeightSDS!Q$5*$AG141^6+WeightSDS!R$5*$AG141^5+WeightSDS!S$5*$AG141^4+WeightSDS!T$5*$AG141^3+WeightSDS!U$5*$AG141^2+WeightSDS!V$5*$AG141+WeightSDS!W$5,IF($AG141&lt;186,WeightSDS!P$8*$AG141^7+WeightSDS!Q$8*$AG141^6+WeightSDS!R$8*$AG141^5+WeightSDS!S$8*$AG141^4+WeightSDS!T$8*$AG141^3+WeightSDS!U$8*$AG141^2+WeightSDS!V$8*$AG141+WeightSDS!W$8,WeightSDS!$U$9-WeightSDS!$V$9*($AG141-WeightSDS!$W$9)))</f>
        <v>0.75407122999999998</v>
      </c>
      <c r="AJ141" s="24">
        <f>IF(D141="M",IF($AG141&lt;45,WeightSDS!M$23*$AG141^10+WeightSDS!N$23*$AG141^9+WeightSDS!O$23*$AG141^8+WeightSDS!P$23*$AG141^7+WeightSDS!Q$23*$AG141^6+WeightSDS!R$23*$AG141^5+WeightSDS!S$23*$AG141^4+WeightSDS!T$23*$AG141^3+WeightSDS!U$23*$AG141^2+WeightSDS!V$23*$AG141+WeightSDS!W$23,IF($AG141&lt;153,WeightSDS!M$25*$AG141^10+WeightSDS!N$25*$AG141^9+WeightSDS!O$25*$AG141^8+WeightSDS!P$25*$AG141^7+WeightSDS!Q$25*$AG141^6+WeightSDS!R$25*$AG141^5+WeightSDS!S$25*$AG141^4+WeightSDS!T$25*$AG141^3+WeightSDS!U$25*$AG141^2+WeightSDS!V$25*$AG141+WeightSDS!W$25,WeightSDS!M$27+WeightSDS!N$27/(1+EXP(WeightSDS!O$27+WeightSDS!P$27*$AG141)))),IF($AG141&lt;43.8,WeightSDS!M$29*$AG141^10+WeightSDS!N$29*$AG141^9+WeightSDS!O$29*$AG141^8+WeightSDS!P$29*$AG141^7+WeightSDS!Q$29*$AG141^6+WeightSDS!R$29*$AG141^5+WeightSDS!S$29*$AG141^4+WeightSDS!T$29*$AG141^3+WeightSDS!U$29*$AG141^2+WeightSDS!V$29*$AG141+WeightSDS!W$29-0.010431*(1-$AG141/210),IF($AG141&lt;123,WeightSDS!M$30*$AG141^10+WeightSDS!N$30*$AG141^9+WeightSDS!O$30*$AG141^8+WeightSDS!P$30*$AG141^7+WeightSDS!Q$30*$AG141^6+WeightSDS!R$30*$AG141^5+WeightSDS!S$30*$AG141^4+WeightSDS!T$30*$AG141^3+WeightSDS!U$30*$AG141^2+WeightSDS!V$30*$AG141+WeightSDS!W$30-0.010431*(1-1/$AG141),WeightSDS!M$32+WeightSDS!N$32/(1+EXP(WeightSDS!O$32+WeightSDS!P$32*$AG141))-0.010431*(1-$AG141/210))))</f>
        <v>2.9500001032655536</v>
      </c>
      <c r="AK141" s="24">
        <f>IF(D141="M",IF($AG141&lt;162,WeightSDS!P$12*$AG141^7+WeightSDS!Q$12*$AG141^6+WeightSDS!R$12*$AG141^5+WeightSDS!S$12*$AG141^4+WeightSDS!T$12*$AG141^3+WeightSDS!U$12*$AG141^2+WeightSDS!V$12*$AG141+WeightSDS!W$12,WeightSDS!P$14*$AG141^7+WeightSDS!Q$14*$AG141^6+WeightSDS!R$14*$AG141^5+WeightSDS!S$14*$AG141^4+WeightSDS!T$14*$AG141^3+WeightSDS!U$14*$AG141^2+WeightSDS!V$14*$AG141+WeightSDS!W$14),IF($AG141&lt;156,WeightSDS!O$17*$AG141^8+WeightSDS!P$17*$AG141^7+WeightSDS!Q$17*$AG141^6+WeightSDS!R$17*$AG141^5+WeightSDS!S$17*$AG141^4+WeightSDS!T$17*$AG141^3+WeightSDS!U$17*$AG141^2+WeightSDS!V$17*$AG141+WeightSDS!W$17,IF($AG141&lt;186,WeightSDS!$U$18+(WeightSDS!$V$18-WeightSDS!$U$18)/24*($AG141-186)+WeightSDS!$W$18*(-$AG141+186)^2-0.005,WeightSDS!$U$18+(WeightSDS!$V$18-WeightSDS!$U$18)/24*($AG141-186)-0.005)))</f>
        <v>0.14604529399999999</v>
      </c>
    </row>
    <row r="142" spans="1:37">
      <c r="A142" s="4"/>
      <c r="B142" s="21"/>
      <c r="C142" s="21"/>
      <c r="D142" s="21"/>
      <c r="E142" s="22"/>
      <c r="F142" s="22"/>
      <c r="G142" s="23"/>
      <c r="H142" s="23"/>
      <c r="I142" s="8" t="str">
        <f t="shared" si="34"/>
        <v/>
      </c>
      <c r="J142" s="2" t="str">
        <f t="shared" si="41"/>
        <v/>
      </c>
      <c r="K142" s="2" t="str">
        <f t="shared" si="35"/>
        <v/>
      </c>
      <c r="L142" s="2" t="str">
        <f t="shared" si="42"/>
        <v/>
      </c>
      <c r="M142" s="2" t="str">
        <f t="shared" si="47"/>
        <v/>
      </c>
      <c r="N142" s="2" t="str">
        <f t="shared" si="43"/>
        <v/>
      </c>
      <c r="O142" s="8" t="str">
        <f t="shared" si="44"/>
        <v/>
      </c>
      <c r="P142" s="8" t="str">
        <f t="shared" si="45"/>
        <v/>
      </c>
      <c r="Q142" s="40" t="str">
        <f t="shared" si="36"/>
        <v/>
      </c>
      <c r="R142" s="48" t="str">
        <f t="shared" si="46"/>
        <v/>
      </c>
      <c r="S142" s="8"/>
      <c r="U142" s="35">
        <f t="shared" si="37"/>
        <v>0</v>
      </c>
      <c r="V142" s="24">
        <f t="shared" si="38"/>
        <v>0</v>
      </c>
      <c r="W142" s="41">
        <f t="shared" si="33"/>
        <v>0</v>
      </c>
      <c r="X142" s="31"/>
      <c r="Y142" s="31"/>
      <c r="Z142" s="31"/>
      <c r="AA142" s="25">
        <f t="shared" si="39"/>
        <v>9.0359999999999996</v>
      </c>
      <c r="AB142" s="25">
        <f t="shared" si="40"/>
        <v>-184.49199999999999</v>
      </c>
      <c r="AD142" s="24">
        <f>IF(D142="M",IF(AG142&lt;78,BMILMS!$D$5*AG142^3+BMILMS!$E$5*AG142^2+BMILMS!$F$5*AG142+BMILMS!$G$5,IF(AG142&lt;150,BMILMS!$D$6*AG142^3+BMILMS!$E$6*AG142^2+BMILMS!$F$6*AG142+BMILMS!$G$6,BMILMS!$D$7*AG142^3+BMILMS!$E$7*AG142^2+BMILMS!$F$7*AG142+BMILMS!$G$7)),IF(AG142&lt;69,BMILMS!$D$9*AG142^3+BMILMS!$E$9*AG142^2+BMILMS!$F$9*AG142+BMILMS!$G$9,IF(AG142&lt;150,BMILMS!$D$10*AG142^3+BMILMS!$E$10*AG142^2+BMILMS!$F$10*AG142+BMILMS!$G$10,BMILMS!$D$11*AG142^3+BMILMS!$E$11*AG142^2+BMILMS!$F$11*AG142+BMILMS!$G$11)))</f>
        <v>0.79584630099999998</v>
      </c>
      <c r="AE142" s="24">
        <f>IF(D142="M",(IF(AG142&lt;2.5,BMILMS!$D$21*AG142^3+BMILMS!$E$21*AG142^2+BMILMS!$F$21*AG142+BMILMS!$G$21,IF(AG142&lt;9.5,BMILMS!$D$22*AG142^3+BMILMS!$E$22*AG142^2+BMILMS!$F$22*AG142+BMILMS!$G$22,IF(AG142&lt;26.75,BMILMS!$D$23*AG142^3+BMILMS!$E$23*AG142^2+BMILMS!$F$23*AG142+BMILMS!$G$23,IF(AG142&lt;90,BMILMS!$D$24*AG142^3+BMILMS!$E$24*AG142^2+BMILMS!$F$24*AG142+BMILMS!$G$24,BMILMS!$D$25*AG142^3+BMILMS!$E$25*AG142^2+BMILMS!$F$25*AG142+BMILMS!$G$25))))),(IF(AG142&lt;2.5,BMILMS!$D$27*AG142^3+BMILMS!$E$27*AG142^2+BMILMS!$F$27*AG142+BMILMS!$G$27,IF(AG142&lt;9.5,BMILMS!$D$28*AG142^3+BMILMS!$E$28*AG142^2+BMILMS!$F$28*AG142+BMILMS!$G$28,IF(AG142&lt;26.75,BMILMS!$D$29*AG142^3+BMILMS!$E$29*AG142^2+BMILMS!$F$29*AG142+BMILMS!$G$29,IF(AG142&lt;90,BMILMS!$D$30*AG142^3+BMILMS!$E$30*AG142^2+BMILMS!$F$30*AG142+BMILMS!$G$30,IF(AG142&lt;150,BMILMS!$D$31*AG142^3+BMILMS!$E$31*AG142^2+BMILMS!$F$31*AG142+BMILMS!$G$31,BMILMS!$D$32*AG142^3+BMILMS!$E$32*AG142^2+BMILMS!$F$32*AG142+BMILMS!$G$32)))))))</f>
        <v>12.568967990000001</v>
      </c>
      <c r="AF142" s="24">
        <f>IF(D142="M",(IF(AG142&lt;90,BMILMS!$D$14*AG142^3+BMILMS!$E$14*AG142^2+BMILMS!$F$14*AG142+BMILMS!$G$14,BMILMS!$D$15*AG142^3+BMILMS!$E$15*AG142^2+BMILMS!$F$15*AG142+BMILMS!$G$15)),(IF(AG142&lt;90,BMILMS!$D$17*AG142^3+BMILMS!$E$17*AG142^2+BMILMS!$F$17*AG142+BMILMS!$G$17,BMILMS!$D$18*AG142^3+BMILMS!$E$18*AG142^2+BMILMS!$F$18*AG142+BMILMS!$G$18)))</f>
        <v>8.8969350000000003E-2</v>
      </c>
      <c r="AG142" s="24">
        <f t="shared" si="48"/>
        <v>0</v>
      </c>
      <c r="AI142" s="38">
        <f>IF(D142="M",WeightSDS!P$5*$AG142^7+WeightSDS!Q$5*$AG142^6+WeightSDS!R$5*$AG142^5+WeightSDS!S$5*$AG142^4+WeightSDS!T$5*$AG142^3+WeightSDS!U$5*$AG142^2+WeightSDS!V$5*$AG142+WeightSDS!W$5,IF($AG142&lt;186,WeightSDS!P$8*$AG142^7+WeightSDS!Q$8*$AG142^6+WeightSDS!R$8*$AG142^5+WeightSDS!S$8*$AG142^4+WeightSDS!T$8*$AG142^3+WeightSDS!U$8*$AG142^2+WeightSDS!V$8*$AG142+WeightSDS!W$8,WeightSDS!$U$9-WeightSDS!$V$9*($AG142-WeightSDS!$W$9)))</f>
        <v>0.75407122999999998</v>
      </c>
      <c r="AJ142" s="24">
        <f>IF(D142="M",IF($AG142&lt;45,WeightSDS!M$23*$AG142^10+WeightSDS!N$23*$AG142^9+WeightSDS!O$23*$AG142^8+WeightSDS!P$23*$AG142^7+WeightSDS!Q$23*$AG142^6+WeightSDS!R$23*$AG142^5+WeightSDS!S$23*$AG142^4+WeightSDS!T$23*$AG142^3+WeightSDS!U$23*$AG142^2+WeightSDS!V$23*$AG142+WeightSDS!W$23,IF($AG142&lt;153,WeightSDS!M$25*$AG142^10+WeightSDS!N$25*$AG142^9+WeightSDS!O$25*$AG142^8+WeightSDS!P$25*$AG142^7+WeightSDS!Q$25*$AG142^6+WeightSDS!R$25*$AG142^5+WeightSDS!S$25*$AG142^4+WeightSDS!T$25*$AG142^3+WeightSDS!U$25*$AG142^2+WeightSDS!V$25*$AG142+WeightSDS!W$25,WeightSDS!M$27+WeightSDS!N$27/(1+EXP(WeightSDS!O$27+WeightSDS!P$27*$AG142)))),IF($AG142&lt;43.8,WeightSDS!M$29*$AG142^10+WeightSDS!N$29*$AG142^9+WeightSDS!O$29*$AG142^8+WeightSDS!P$29*$AG142^7+WeightSDS!Q$29*$AG142^6+WeightSDS!R$29*$AG142^5+WeightSDS!S$29*$AG142^4+WeightSDS!T$29*$AG142^3+WeightSDS!U$29*$AG142^2+WeightSDS!V$29*$AG142+WeightSDS!W$29-0.010431*(1-$AG142/210),IF($AG142&lt;123,WeightSDS!M$30*$AG142^10+WeightSDS!N$30*$AG142^9+WeightSDS!O$30*$AG142^8+WeightSDS!P$30*$AG142^7+WeightSDS!Q$30*$AG142^6+WeightSDS!R$30*$AG142^5+WeightSDS!S$30*$AG142^4+WeightSDS!T$30*$AG142^3+WeightSDS!U$30*$AG142^2+WeightSDS!V$30*$AG142+WeightSDS!W$30-0.010431*(1-1/$AG142),WeightSDS!M$32+WeightSDS!N$32/(1+EXP(WeightSDS!O$32+WeightSDS!P$32*$AG142))-0.010431*(1-$AG142/210))))</f>
        <v>2.9500001032655536</v>
      </c>
      <c r="AK142" s="24">
        <f>IF(D142="M",IF($AG142&lt;162,WeightSDS!P$12*$AG142^7+WeightSDS!Q$12*$AG142^6+WeightSDS!R$12*$AG142^5+WeightSDS!S$12*$AG142^4+WeightSDS!T$12*$AG142^3+WeightSDS!U$12*$AG142^2+WeightSDS!V$12*$AG142+WeightSDS!W$12,WeightSDS!P$14*$AG142^7+WeightSDS!Q$14*$AG142^6+WeightSDS!R$14*$AG142^5+WeightSDS!S$14*$AG142^4+WeightSDS!T$14*$AG142^3+WeightSDS!U$14*$AG142^2+WeightSDS!V$14*$AG142+WeightSDS!W$14),IF($AG142&lt;156,WeightSDS!O$17*$AG142^8+WeightSDS!P$17*$AG142^7+WeightSDS!Q$17*$AG142^6+WeightSDS!R$17*$AG142^5+WeightSDS!S$17*$AG142^4+WeightSDS!T$17*$AG142^3+WeightSDS!U$17*$AG142^2+WeightSDS!V$17*$AG142+WeightSDS!W$17,IF($AG142&lt;186,WeightSDS!$U$18+(WeightSDS!$V$18-WeightSDS!$U$18)/24*($AG142-186)+WeightSDS!$W$18*(-$AG142+186)^2-0.005,WeightSDS!$U$18+(WeightSDS!$V$18-WeightSDS!$U$18)/24*($AG142-186)-0.005)))</f>
        <v>0.14604529399999999</v>
      </c>
    </row>
    <row r="143" spans="1:37">
      <c r="A143" s="4"/>
      <c r="B143" s="21"/>
      <c r="C143" s="21"/>
      <c r="D143" s="21"/>
      <c r="E143" s="22"/>
      <c r="F143" s="22"/>
      <c r="G143" s="23"/>
      <c r="H143" s="23"/>
      <c r="I143" s="8" t="str">
        <f t="shared" si="34"/>
        <v/>
      </c>
      <c r="J143" s="2" t="str">
        <f t="shared" si="41"/>
        <v/>
      </c>
      <c r="K143" s="2" t="str">
        <f t="shared" si="35"/>
        <v/>
      </c>
      <c r="L143" s="2" t="str">
        <f t="shared" si="42"/>
        <v/>
      </c>
      <c r="M143" s="2" t="str">
        <f t="shared" si="47"/>
        <v/>
      </c>
      <c r="N143" s="2" t="str">
        <f t="shared" si="43"/>
        <v/>
      </c>
      <c r="O143" s="8" t="str">
        <f t="shared" si="44"/>
        <v/>
      </c>
      <c r="P143" s="8" t="str">
        <f t="shared" si="45"/>
        <v/>
      </c>
      <c r="Q143" s="40" t="str">
        <f t="shared" si="36"/>
        <v/>
      </c>
      <c r="R143" s="48" t="str">
        <f t="shared" si="46"/>
        <v/>
      </c>
      <c r="S143" s="8"/>
      <c r="U143" s="35">
        <f t="shared" si="37"/>
        <v>0</v>
      </c>
      <c r="V143" s="24">
        <f t="shared" si="38"/>
        <v>0</v>
      </c>
      <c r="W143" s="41">
        <f t="shared" si="33"/>
        <v>0</v>
      </c>
      <c r="X143" s="31"/>
      <c r="Y143" s="31"/>
      <c r="Z143" s="31"/>
      <c r="AA143" s="25">
        <f t="shared" si="39"/>
        <v>9.0359999999999996</v>
      </c>
      <c r="AB143" s="25">
        <f t="shared" si="40"/>
        <v>-184.49199999999999</v>
      </c>
      <c r="AD143" s="24">
        <f>IF(D143="M",IF(AG143&lt;78,BMILMS!$D$5*AG143^3+BMILMS!$E$5*AG143^2+BMILMS!$F$5*AG143+BMILMS!$G$5,IF(AG143&lt;150,BMILMS!$D$6*AG143^3+BMILMS!$E$6*AG143^2+BMILMS!$F$6*AG143+BMILMS!$G$6,BMILMS!$D$7*AG143^3+BMILMS!$E$7*AG143^2+BMILMS!$F$7*AG143+BMILMS!$G$7)),IF(AG143&lt;69,BMILMS!$D$9*AG143^3+BMILMS!$E$9*AG143^2+BMILMS!$F$9*AG143+BMILMS!$G$9,IF(AG143&lt;150,BMILMS!$D$10*AG143^3+BMILMS!$E$10*AG143^2+BMILMS!$F$10*AG143+BMILMS!$G$10,BMILMS!$D$11*AG143^3+BMILMS!$E$11*AG143^2+BMILMS!$F$11*AG143+BMILMS!$G$11)))</f>
        <v>0.79584630099999998</v>
      </c>
      <c r="AE143" s="24">
        <f>IF(D143="M",(IF(AG143&lt;2.5,BMILMS!$D$21*AG143^3+BMILMS!$E$21*AG143^2+BMILMS!$F$21*AG143+BMILMS!$G$21,IF(AG143&lt;9.5,BMILMS!$D$22*AG143^3+BMILMS!$E$22*AG143^2+BMILMS!$F$22*AG143+BMILMS!$G$22,IF(AG143&lt;26.75,BMILMS!$D$23*AG143^3+BMILMS!$E$23*AG143^2+BMILMS!$F$23*AG143+BMILMS!$G$23,IF(AG143&lt;90,BMILMS!$D$24*AG143^3+BMILMS!$E$24*AG143^2+BMILMS!$F$24*AG143+BMILMS!$G$24,BMILMS!$D$25*AG143^3+BMILMS!$E$25*AG143^2+BMILMS!$F$25*AG143+BMILMS!$G$25))))),(IF(AG143&lt;2.5,BMILMS!$D$27*AG143^3+BMILMS!$E$27*AG143^2+BMILMS!$F$27*AG143+BMILMS!$G$27,IF(AG143&lt;9.5,BMILMS!$D$28*AG143^3+BMILMS!$E$28*AG143^2+BMILMS!$F$28*AG143+BMILMS!$G$28,IF(AG143&lt;26.75,BMILMS!$D$29*AG143^3+BMILMS!$E$29*AG143^2+BMILMS!$F$29*AG143+BMILMS!$G$29,IF(AG143&lt;90,BMILMS!$D$30*AG143^3+BMILMS!$E$30*AG143^2+BMILMS!$F$30*AG143+BMILMS!$G$30,IF(AG143&lt;150,BMILMS!$D$31*AG143^3+BMILMS!$E$31*AG143^2+BMILMS!$F$31*AG143+BMILMS!$G$31,BMILMS!$D$32*AG143^3+BMILMS!$E$32*AG143^2+BMILMS!$F$32*AG143+BMILMS!$G$32)))))))</f>
        <v>12.568967990000001</v>
      </c>
      <c r="AF143" s="24">
        <f>IF(D143="M",(IF(AG143&lt;90,BMILMS!$D$14*AG143^3+BMILMS!$E$14*AG143^2+BMILMS!$F$14*AG143+BMILMS!$G$14,BMILMS!$D$15*AG143^3+BMILMS!$E$15*AG143^2+BMILMS!$F$15*AG143+BMILMS!$G$15)),(IF(AG143&lt;90,BMILMS!$D$17*AG143^3+BMILMS!$E$17*AG143^2+BMILMS!$F$17*AG143+BMILMS!$G$17,BMILMS!$D$18*AG143^3+BMILMS!$E$18*AG143^2+BMILMS!$F$18*AG143+BMILMS!$G$18)))</f>
        <v>8.8969350000000003E-2</v>
      </c>
      <c r="AG143" s="24">
        <f t="shared" si="48"/>
        <v>0</v>
      </c>
      <c r="AI143" s="38">
        <f>IF(D143="M",WeightSDS!P$5*$AG143^7+WeightSDS!Q$5*$AG143^6+WeightSDS!R$5*$AG143^5+WeightSDS!S$5*$AG143^4+WeightSDS!T$5*$AG143^3+WeightSDS!U$5*$AG143^2+WeightSDS!V$5*$AG143+WeightSDS!W$5,IF($AG143&lt;186,WeightSDS!P$8*$AG143^7+WeightSDS!Q$8*$AG143^6+WeightSDS!R$8*$AG143^5+WeightSDS!S$8*$AG143^4+WeightSDS!T$8*$AG143^3+WeightSDS!U$8*$AG143^2+WeightSDS!V$8*$AG143+WeightSDS!W$8,WeightSDS!$U$9-WeightSDS!$V$9*($AG143-WeightSDS!$W$9)))</f>
        <v>0.75407122999999998</v>
      </c>
      <c r="AJ143" s="24">
        <f>IF(D143="M",IF($AG143&lt;45,WeightSDS!M$23*$AG143^10+WeightSDS!N$23*$AG143^9+WeightSDS!O$23*$AG143^8+WeightSDS!P$23*$AG143^7+WeightSDS!Q$23*$AG143^6+WeightSDS!R$23*$AG143^5+WeightSDS!S$23*$AG143^4+WeightSDS!T$23*$AG143^3+WeightSDS!U$23*$AG143^2+WeightSDS!V$23*$AG143+WeightSDS!W$23,IF($AG143&lt;153,WeightSDS!M$25*$AG143^10+WeightSDS!N$25*$AG143^9+WeightSDS!O$25*$AG143^8+WeightSDS!P$25*$AG143^7+WeightSDS!Q$25*$AG143^6+WeightSDS!R$25*$AG143^5+WeightSDS!S$25*$AG143^4+WeightSDS!T$25*$AG143^3+WeightSDS!U$25*$AG143^2+WeightSDS!V$25*$AG143+WeightSDS!W$25,WeightSDS!M$27+WeightSDS!N$27/(1+EXP(WeightSDS!O$27+WeightSDS!P$27*$AG143)))),IF($AG143&lt;43.8,WeightSDS!M$29*$AG143^10+WeightSDS!N$29*$AG143^9+WeightSDS!O$29*$AG143^8+WeightSDS!P$29*$AG143^7+WeightSDS!Q$29*$AG143^6+WeightSDS!R$29*$AG143^5+WeightSDS!S$29*$AG143^4+WeightSDS!T$29*$AG143^3+WeightSDS!U$29*$AG143^2+WeightSDS!V$29*$AG143+WeightSDS!W$29-0.010431*(1-$AG143/210),IF($AG143&lt;123,WeightSDS!M$30*$AG143^10+WeightSDS!N$30*$AG143^9+WeightSDS!O$30*$AG143^8+WeightSDS!P$30*$AG143^7+WeightSDS!Q$30*$AG143^6+WeightSDS!R$30*$AG143^5+WeightSDS!S$30*$AG143^4+WeightSDS!T$30*$AG143^3+WeightSDS!U$30*$AG143^2+WeightSDS!V$30*$AG143+WeightSDS!W$30-0.010431*(1-1/$AG143),WeightSDS!M$32+WeightSDS!N$32/(1+EXP(WeightSDS!O$32+WeightSDS!P$32*$AG143))-0.010431*(1-$AG143/210))))</f>
        <v>2.9500001032655536</v>
      </c>
      <c r="AK143" s="24">
        <f>IF(D143="M",IF($AG143&lt;162,WeightSDS!P$12*$AG143^7+WeightSDS!Q$12*$AG143^6+WeightSDS!R$12*$AG143^5+WeightSDS!S$12*$AG143^4+WeightSDS!T$12*$AG143^3+WeightSDS!U$12*$AG143^2+WeightSDS!V$12*$AG143+WeightSDS!W$12,WeightSDS!P$14*$AG143^7+WeightSDS!Q$14*$AG143^6+WeightSDS!R$14*$AG143^5+WeightSDS!S$14*$AG143^4+WeightSDS!T$14*$AG143^3+WeightSDS!U$14*$AG143^2+WeightSDS!V$14*$AG143+WeightSDS!W$14),IF($AG143&lt;156,WeightSDS!O$17*$AG143^8+WeightSDS!P$17*$AG143^7+WeightSDS!Q$17*$AG143^6+WeightSDS!R$17*$AG143^5+WeightSDS!S$17*$AG143^4+WeightSDS!T$17*$AG143^3+WeightSDS!U$17*$AG143^2+WeightSDS!V$17*$AG143+WeightSDS!W$17,IF($AG143&lt;186,WeightSDS!$U$18+(WeightSDS!$V$18-WeightSDS!$U$18)/24*($AG143-186)+WeightSDS!$W$18*(-$AG143+186)^2-0.005,WeightSDS!$U$18+(WeightSDS!$V$18-WeightSDS!$U$18)/24*($AG143-186)-0.005)))</f>
        <v>0.14604529399999999</v>
      </c>
    </row>
    <row r="144" spans="1:37">
      <c r="A144" s="4"/>
      <c r="B144" s="21"/>
      <c r="C144" s="21"/>
      <c r="D144" s="21"/>
      <c r="E144" s="22"/>
      <c r="F144" s="22"/>
      <c r="G144" s="23"/>
      <c r="H144" s="23"/>
      <c r="I144" s="8" t="str">
        <f t="shared" si="34"/>
        <v/>
      </c>
      <c r="J144" s="2" t="str">
        <f t="shared" si="41"/>
        <v/>
      </c>
      <c r="K144" s="2" t="str">
        <f t="shared" si="35"/>
        <v/>
      </c>
      <c r="L144" s="2" t="str">
        <f t="shared" si="42"/>
        <v/>
      </c>
      <c r="M144" s="2" t="str">
        <f t="shared" si="47"/>
        <v/>
      </c>
      <c r="N144" s="2" t="str">
        <f t="shared" si="43"/>
        <v/>
      </c>
      <c r="O144" s="8" t="str">
        <f t="shared" si="44"/>
        <v/>
      </c>
      <c r="P144" s="8" t="str">
        <f t="shared" si="45"/>
        <v/>
      </c>
      <c r="Q144" s="40" t="str">
        <f t="shared" si="36"/>
        <v/>
      </c>
      <c r="R144" s="48" t="str">
        <f t="shared" si="46"/>
        <v/>
      </c>
      <c r="S144" s="8"/>
      <c r="U144" s="35">
        <f t="shared" si="37"/>
        <v>0</v>
      </c>
      <c r="V144" s="24">
        <f t="shared" si="38"/>
        <v>0</v>
      </c>
      <c r="W144" s="41">
        <f t="shared" si="33"/>
        <v>0</v>
      </c>
      <c r="X144" s="31"/>
      <c r="Y144" s="31"/>
      <c r="Z144" s="31"/>
      <c r="AA144" s="25">
        <f t="shared" si="39"/>
        <v>9.0359999999999996</v>
      </c>
      <c r="AB144" s="25">
        <f t="shared" si="40"/>
        <v>-184.49199999999999</v>
      </c>
      <c r="AD144" s="24">
        <f>IF(D144="M",IF(AG144&lt;78,BMILMS!$D$5*AG144^3+BMILMS!$E$5*AG144^2+BMILMS!$F$5*AG144+BMILMS!$G$5,IF(AG144&lt;150,BMILMS!$D$6*AG144^3+BMILMS!$E$6*AG144^2+BMILMS!$F$6*AG144+BMILMS!$G$6,BMILMS!$D$7*AG144^3+BMILMS!$E$7*AG144^2+BMILMS!$F$7*AG144+BMILMS!$G$7)),IF(AG144&lt;69,BMILMS!$D$9*AG144^3+BMILMS!$E$9*AG144^2+BMILMS!$F$9*AG144+BMILMS!$G$9,IF(AG144&lt;150,BMILMS!$D$10*AG144^3+BMILMS!$E$10*AG144^2+BMILMS!$F$10*AG144+BMILMS!$G$10,BMILMS!$D$11*AG144^3+BMILMS!$E$11*AG144^2+BMILMS!$F$11*AG144+BMILMS!$G$11)))</f>
        <v>0.79584630099999998</v>
      </c>
      <c r="AE144" s="24">
        <f>IF(D144="M",(IF(AG144&lt;2.5,BMILMS!$D$21*AG144^3+BMILMS!$E$21*AG144^2+BMILMS!$F$21*AG144+BMILMS!$G$21,IF(AG144&lt;9.5,BMILMS!$D$22*AG144^3+BMILMS!$E$22*AG144^2+BMILMS!$F$22*AG144+BMILMS!$G$22,IF(AG144&lt;26.75,BMILMS!$D$23*AG144^3+BMILMS!$E$23*AG144^2+BMILMS!$F$23*AG144+BMILMS!$G$23,IF(AG144&lt;90,BMILMS!$D$24*AG144^3+BMILMS!$E$24*AG144^2+BMILMS!$F$24*AG144+BMILMS!$G$24,BMILMS!$D$25*AG144^3+BMILMS!$E$25*AG144^2+BMILMS!$F$25*AG144+BMILMS!$G$25))))),(IF(AG144&lt;2.5,BMILMS!$D$27*AG144^3+BMILMS!$E$27*AG144^2+BMILMS!$F$27*AG144+BMILMS!$G$27,IF(AG144&lt;9.5,BMILMS!$D$28*AG144^3+BMILMS!$E$28*AG144^2+BMILMS!$F$28*AG144+BMILMS!$G$28,IF(AG144&lt;26.75,BMILMS!$D$29*AG144^3+BMILMS!$E$29*AG144^2+BMILMS!$F$29*AG144+BMILMS!$G$29,IF(AG144&lt;90,BMILMS!$D$30*AG144^3+BMILMS!$E$30*AG144^2+BMILMS!$F$30*AG144+BMILMS!$G$30,IF(AG144&lt;150,BMILMS!$D$31*AG144^3+BMILMS!$E$31*AG144^2+BMILMS!$F$31*AG144+BMILMS!$G$31,BMILMS!$D$32*AG144^3+BMILMS!$E$32*AG144^2+BMILMS!$F$32*AG144+BMILMS!$G$32)))))))</f>
        <v>12.568967990000001</v>
      </c>
      <c r="AF144" s="24">
        <f>IF(D144="M",(IF(AG144&lt;90,BMILMS!$D$14*AG144^3+BMILMS!$E$14*AG144^2+BMILMS!$F$14*AG144+BMILMS!$G$14,BMILMS!$D$15*AG144^3+BMILMS!$E$15*AG144^2+BMILMS!$F$15*AG144+BMILMS!$G$15)),(IF(AG144&lt;90,BMILMS!$D$17*AG144^3+BMILMS!$E$17*AG144^2+BMILMS!$F$17*AG144+BMILMS!$G$17,BMILMS!$D$18*AG144^3+BMILMS!$E$18*AG144^2+BMILMS!$F$18*AG144+BMILMS!$G$18)))</f>
        <v>8.8969350000000003E-2</v>
      </c>
      <c r="AG144" s="24">
        <f t="shared" si="48"/>
        <v>0</v>
      </c>
      <c r="AI144" s="38">
        <f>IF(D144="M",WeightSDS!P$5*$AG144^7+WeightSDS!Q$5*$AG144^6+WeightSDS!R$5*$AG144^5+WeightSDS!S$5*$AG144^4+WeightSDS!T$5*$AG144^3+WeightSDS!U$5*$AG144^2+WeightSDS!V$5*$AG144+WeightSDS!W$5,IF($AG144&lt;186,WeightSDS!P$8*$AG144^7+WeightSDS!Q$8*$AG144^6+WeightSDS!R$8*$AG144^5+WeightSDS!S$8*$AG144^4+WeightSDS!T$8*$AG144^3+WeightSDS!U$8*$AG144^2+WeightSDS!V$8*$AG144+WeightSDS!W$8,WeightSDS!$U$9-WeightSDS!$V$9*($AG144-WeightSDS!$W$9)))</f>
        <v>0.75407122999999998</v>
      </c>
      <c r="AJ144" s="24">
        <f>IF(D144="M",IF($AG144&lt;45,WeightSDS!M$23*$AG144^10+WeightSDS!N$23*$AG144^9+WeightSDS!O$23*$AG144^8+WeightSDS!P$23*$AG144^7+WeightSDS!Q$23*$AG144^6+WeightSDS!R$23*$AG144^5+WeightSDS!S$23*$AG144^4+WeightSDS!T$23*$AG144^3+WeightSDS!U$23*$AG144^2+WeightSDS!V$23*$AG144+WeightSDS!W$23,IF($AG144&lt;153,WeightSDS!M$25*$AG144^10+WeightSDS!N$25*$AG144^9+WeightSDS!O$25*$AG144^8+WeightSDS!P$25*$AG144^7+WeightSDS!Q$25*$AG144^6+WeightSDS!R$25*$AG144^5+WeightSDS!S$25*$AG144^4+WeightSDS!T$25*$AG144^3+WeightSDS!U$25*$AG144^2+WeightSDS!V$25*$AG144+WeightSDS!W$25,WeightSDS!M$27+WeightSDS!N$27/(1+EXP(WeightSDS!O$27+WeightSDS!P$27*$AG144)))),IF($AG144&lt;43.8,WeightSDS!M$29*$AG144^10+WeightSDS!N$29*$AG144^9+WeightSDS!O$29*$AG144^8+WeightSDS!P$29*$AG144^7+WeightSDS!Q$29*$AG144^6+WeightSDS!R$29*$AG144^5+WeightSDS!S$29*$AG144^4+WeightSDS!T$29*$AG144^3+WeightSDS!U$29*$AG144^2+WeightSDS!V$29*$AG144+WeightSDS!W$29-0.010431*(1-$AG144/210),IF($AG144&lt;123,WeightSDS!M$30*$AG144^10+WeightSDS!N$30*$AG144^9+WeightSDS!O$30*$AG144^8+WeightSDS!P$30*$AG144^7+WeightSDS!Q$30*$AG144^6+WeightSDS!R$30*$AG144^5+WeightSDS!S$30*$AG144^4+WeightSDS!T$30*$AG144^3+WeightSDS!U$30*$AG144^2+WeightSDS!V$30*$AG144+WeightSDS!W$30-0.010431*(1-1/$AG144),WeightSDS!M$32+WeightSDS!N$32/(1+EXP(WeightSDS!O$32+WeightSDS!P$32*$AG144))-0.010431*(1-$AG144/210))))</f>
        <v>2.9500001032655536</v>
      </c>
      <c r="AK144" s="24">
        <f>IF(D144="M",IF($AG144&lt;162,WeightSDS!P$12*$AG144^7+WeightSDS!Q$12*$AG144^6+WeightSDS!R$12*$AG144^5+WeightSDS!S$12*$AG144^4+WeightSDS!T$12*$AG144^3+WeightSDS!U$12*$AG144^2+WeightSDS!V$12*$AG144+WeightSDS!W$12,WeightSDS!P$14*$AG144^7+WeightSDS!Q$14*$AG144^6+WeightSDS!R$14*$AG144^5+WeightSDS!S$14*$AG144^4+WeightSDS!T$14*$AG144^3+WeightSDS!U$14*$AG144^2+WeightSDS!V$14*$AG144+WeightSDS!W$14),IF($AG144&lt;156,WeightSDS!O$17*$AG144^8+WeightSDS!P$17*$AG144^7+WeightSDS!Q$17*$AG144^6+WeightSDS!R$17*$AG144^5+WeightSDS!S$17*$AG144^4+WeightSDS!T$17*$AG144^3+WeightSDS!U$17*$AG144^2+WeightSDS!V$17*$AG144+WeightSDS!W$17,IF($AG144&lt;186,WeightSDS!$U$18+(WeightSDS!$V$18-WeightSDS!$U$18)/24*($AG144-186)+WeightSDS!$W$18*(-$AG144+186)^2-0.005,WeightSDS!$U$18+(WeightSDS!$V$18-WeightSDS!$U$18)/24*($AG144-186)-0.005)))</f>
        <v>0.14604529399999999</v>
      </c>
    </row>
    <row r="145" spans="1:37">
      <c r="A145" s="4"/>
      <c r="B145" s="21"/>
      <c r="C145" s="21"/>
      <c r="D145" s="21"/>
      <c r="E145" s="22"/>
      <c r="F145" s="22"/>
      <c r="G145" s="23"/>
      <c r="H145" s="23"/>
      <c r="I145" s="8" t="str">
        <f t="shared" si="34"/>
        <v/>
      </c>
      <c r="J145" s="2" t="str">
        <f t="shared" si="41"/>
        <v/>
      </c>
      <c r="K145" s="2" t="str">
        <f t="shared" si="35"/>
        <v/>
      </c>
      <c r="L145" s="2" t="str">
        <f t="shared" si="42"/>
        <v/>
      </c>
      <c r="M145" s="2" t="str">
        <f t="shared" si="47"/>
        <v/>
      </c>
      <c r="N145" s="2" t="str">
        <f t="shared" si="43"/>
        <v/>
      </c>
      <c r="O145" s="8" t="str">
        <f t="shared" si="44"/>
        <v/>
      </c>
      <c r="P145" s="8" t="str">
        <f t="shared" si="45"/>
        <v/>
      </c>
      <c r="Q145" s="40" t="str">
        <f t="shared" si="36"/>
        <v/>
      </c>
      <c r="R145" s="48" t="str">
        <f t="shared" si="46"/>
        <v/>
      </c>
      <c r="S145" s="8"/>
      <c r="U145" s="35">
        <f t="shared" si="37"/>
        <v>0</v>
      </c>
      <c r="V145" s="24">
        <f t="shared" si="38"/>
        <v>0</v>
      </c>
      <c r="W145" s="41">
        <f t="shared" si="33"/>
        <v>0</v>
      </c>
      <c r="X145" s="31"/>
      <c r="Y145" s="31"/>
      <c r="Z145" s="31"/>
      <c r="AA145" s="25">
        <f t="shared" si="39"/>
        <v>9.0359999999999996</v>
      </c>
      <c r="AB145" s="25">
        <f t="shared" si="40"/>
        <v>-184.49199999999999</v>
      </c>
      <c r="AD145" s="24">
        <f>IF(D145="M",IF(AG145&lt;78,BMILMS!$D$5*AG145^3+BMILMS!$E$5*AG145^2+BMILMS!$F$5*AG145+BMILMS!$G$5,IF(AG145&lt;150,BMILMS!$D$6*AG145^3+BMILMS!$E$6*AG145^2+BMILMS!$F$6*AG145+BMILMS!$G$6,BMILMS!$D$7*AG145^3+BMILMS!$E$7*AG145^2+BMILMS!$F$7*AG145+BMILMS!$G$7)),IF(AG145&lt;69,BMILMS!$D$9*AG145^3+BMILMS!$E$9*AG145^2+BMILMS!$F$9*AG145+BMILMS!$G$9,IF(AG145&lt;150,BMILMS!$D$10*AG145^3+BMILMS!$E$10*AG145^2+BMILMS!$F$10*AG145+BMILMS!$G$10,BMILMS!$D$11*AG145^3+BMILMS!$E$11*AG145^2+BMILMS!$F$11*AG145+BMILMS!$G$11)))</f>
        <v>0.79584630099999998</v>
      </c>
      <c r="AE145" s="24">
        <f>IF(D145="M",(IF(AG145&lt;2.5,BMILMS!$D$21*AG145^3+BMILMS!$E$21*AG145^2+BMILMS!$F$21*AG145+BMILMS!$G$21,IF(AG145&lt;9.5,BMILMS!$D$22*AG145^3+BMILMS!$E$22*AG145^2+BMILMS!$F$22*AG145+BMILMS!$G$22,IF(AG145&lt;26.75,BMILMS!$D$23*AG145^3+BMILMS!$E$23*AG145^2+BMILMS!$F$23*AG145+BMILMS!$G$23,IF(AG145&lt;90,BMILMS!$D$24*AG145^3+BMILMS!$E$24*AG145^2+BMILMS!$F$24*AG145+BMILMS!$G$24,BMILMS!$D$25*AG145^3+BMILMS!$E$25*AG145^2+BMILMS!$F$25*AG145+BMILMS!$G$25))))),(IF(AG145&lt;2.5,BMILMS!$D$27*AG145^3+BMILMS!$E$27*AG145^2+BMILMS!$F$27*AG145+BMILMS!$G$27,IF(AG145&lt;9.5,BMILMS!$D$28*AG145^3+BMILMS!$E$28*AG145^2+BMILMS!$F$28*AG145+BMILMS!$G$28,IF(AG145&lt;26.75,BMILMS!$D$29*AG145^3+BMILMS!$E$29*AG145^2+BMILMS!$F$29*AG145+BMILMS!$G$29,IF(AG145&lt;90,BMILMS!$D$30*AG145^3+BMILMS!$E$30*AG145^2+BMILMS!$F$30*AG145+BMILMS!$G$30,IF(AG145&lt;150,BMILMS!$D$31*AG145^3+BMILMS!$E$31*AG145^2+BMILMS!$F$31*AG145+BMILMS!$G$31,BMILMS!$D$32*AG145^3+BMILMS!$E$32*AG145^2+BMILMS!$F$32*AG145+BMILMS!$G$32)))))))</f>
        <v>12.568967990000001</v>
      </c>
      <c r="AF145" s="24">
        <f>IF(D145="M",(IF(AG145&lt;90,BMILMS!$D$14*AG145^3+BMILMS!$E$14*AG145^2+BMILMS!$F$14*AG145+BMILMS!$G$14,BMILMS!$D$15*AG145^3+BMILMS!$E$15*AG145^2+BMILMS!$F$15*AG145+BMILMS!$G$15)),(IF(AG145&lt;90,BMILMS!$D$17*AG145^3+BMILMS!$E$17*AG145^2+BMILMS!$F$17*AG145+BMILMS!$G$17,BMILMS!$D$18*AG145^3+BMILMS!$E$18*AG145^2+BMILMS!$F$18*AG145+BMILMS!$G$18)))</f>
        <v>8.8969350000000003E-2</v>
      </c>
      <c r="AG145" s="24">
        <f t="shared" si="48"/>
        <v>0</v>
      </c>
      <c r="AI145" s="38">
        <f>IF(D145="M",WeightSDS!P$5*$AG145^7+WeightSDS!Q$5*$AG145^6+WeightSDS!R$5*$AG145^5+WeightSDS!S$5*$AG145^4+WeightSDS!T$5*$AG145^3+WeightSDS!U$5*$AG145^2+WeightSDS!V$5*$AG145+WeightSDS!W$5,IF($AG145&lt;186,WeightSDS!P$8*$AG145^7+WeightSDS!Q$8*$AG145^6+WeightSDS!R$8*$AG145^5+WeightSDS!S$8*$AG145^4+WeightSDS!T$8*$AG145^3+WeightSDS!U$8*$AG145^2+WeightSDS!V$8*$AG145+WeightSDS!W$8,WeightSDS!$U$9-WeightSDS!$V$9*($AG145-WeightSDS!$W$9)))</f>
        <v>0.75407122999999998</v>
      </c>
      <c r="AJ145" s="24">
        <f>IF(D145="M",IF($AG145&lt;45,WeightSDS!M$23*$AG145^10+WeightSDS!N$23*$AG145^9+WeightSDS!O$23*$AG145^8+WeightSDS!P$23*$AG145^7+WeightSDS!Q$23*$AG145^6+WeightSDS!R$23*$AG145^5+WeightSDS!S$23*$AG145^4+WeightSDS!T$23*$AG145^3+WeightSDS!U$23*$AG145^2+WeightSDS!V$23*$AG145+WeightSDS!W$23,IF($AG145&lt;153,WeightSDS!M$25*$AG145^10+WeightSDS!N$25*$AG145^9+WeightSDS!O$25*$AG145^8+WeightSDS!P$25*$AG145^7+WeightSDS!Q$25*$AG145^6+WeightSDS!R$25*$AG145^5+WeightSDS!S$25*$AG145^4+WeightSDS!T$25*$AG145^3+WeightSDS!U$25*$AG145^2+WeightSDS!V$25*$AG145+WeightSDS!W$25,WeightSDS!M$27+WeightSDS!N$27/(1+EXP(WeightSDS!O$27+WeightSDS!P$27*$AG145)))),IF($AG145&lt;43.8,WeightSDS!M$29*$AG145^10+WeightSDS!N$29*$AG145^9+WeightSDS!O$29*$AG145^8+WeightSDS!P$29*$AG145^7+WeightSDS!Q$29*$AG145^6+WeightSDS!R$29*$AG145^5+WeightSDS!S$29*$AG145^4+WeightSDS!T$29*$AG145^3+WeightSDS!U$29*$AG145^2+WeightSDS!V$29*$AG145+WeightSDS!W$29-0.010431*(1-$AG145/210),IF($AG145&lt;123,WeightSDS!M$30*$AG145^10+WeightSDS!N$30*$AG145^9+WeightSDS!O$30*$AG145^8+WeightSDS!P$30*$AG145^7+WeightSDS!Q$30*$AG145^6+WeightSDS!R$30*$AG145^5+WeightSDS!S$30*$AG145^4+WeightSDS!T$30*$AG145^3+WeightSDS!U$30*$AG145^2+WeightSDS!V$30*$AG145+WeightSDS!W$30-0.010431*(1-1/$AG145),WeightSDS!M$32+WeightSDS!N$32/(1+EXP(WeightSDS!O$32+WeightSDS!P$32*$AG145))-0.010431*(1-$AG145/210))))</f>
        <v>2.9500001032655536</v>
      </c>
      <c r="AK145" s="24">
        <f>IF(D145="M",IF($AG145&lt;162,WeightSDS!P$12*$AG145^7+WeightSDS!Q$12*$AG145^6+WeightSDS!R$12*$AG145^5+WeightSDS!S$12*$AG145^4+WeightSDS!T$12*$AG145^3+WeightSDS!U$12*$AG145^2+WeightSDS!V$12*$AG145+WeightSDS!W$12,WeightSDS!P$14*$AG145^7+WeightSDS!Q$14*$AG145^6+WeightSDS!R$14*$AG145^5+WeightSDS!S$14*$AG145^4+WeightSDS!T$14*$AG145^3+WeightSDS!U$14*$AG145^2+WeightSDS!V$14*$AG145+WeightSDS!W$14),IF($AG145&lt;156,WeightSDS!O$17*$AG145^8+WeightSDS!P$17*$AG145^7+WeightSDS!Q$17*$AG145^6+WeightSDS!R$17*$AG145^5+WeightSDS!S$17*$AG145^4+WeightSDS!T$17*$AG145^3+WeightSDS!U$17*$AG145^2+WeightSDS!V$17*$AG145+WeightSDS!W$17,IF($AG145&lt;186,WeightSDS!$U$18+(WeightSDS!$V$18-WeightSDS!$U$18)/24*($AG145-186)+WeightSDS!$W$18*(-$AG145+186)^2-0.005,WeightSDS!$U$18+(WeightSDS!$V$18-WeightSDS!$U$18)/24*($AG145-186)-0.005)))</f>
        <v>0.14604529399999999</v>
      </c>
    </row>
    <row r="146" spans="1:37">
      <c r="A146" s="4"/>
      <c r="B146" s="21"/>
      <c r="C146" s="21"/>
      <c r="D146" s="21"/>
      <c r="E146" s="22"/>
      <c r="F146" s="22"/>
      <c r="G146" s="23"/>
      <c r="H146" s="23"/>
      <c r="I146" s="8" t="str">
        <f t="shared" si="34"/>
        <v/>
      </c>
      <c r="J146" s="2" t="str">
        <f t="shared" si="41"/>
        <v/>
      </c>
      <c r="K146" s="2" t="str">
        <f t="shared" si="35"/>
        <v/>
      </c>
      <c r="L146" s="2" t="str">
        <f t="shared" si="42"/>
        <v/>
      </c>
      <c r="M146" s="2" t="str">
        <f t="shared" si="47"/>
        <v/>
      </c>
      <c r="N146" s="2" t="str">
        <f t="shared" si="43"/>
        <v/>
      </c>
      <c r="O146" s="8" t="str">
        <f t="shared" si="44"/>
        <v/>
      </c>
      <c r="P146" s="8" t="str">
        <f t="shared" si="45"/>
        <v/>
      </c>
      <c r="Q146" s="40" t="str">
        <f t="shared" si="36"/>
        <v/>
      </c>
      <c r="R146" s="48" t="str">
        <f t="shared" si="46"/>
        <v/>
      </c>
      <c r="S146" s="8"/>
      <c r="U146" s="35">
        <f t="shared" si="37"/>
        <v>0</v>
      </c>
      <c r="V146" s="24">
        <f t="shared" si="38"/>
        <v>0</v>
      </c>
      <c r="W146" s="41">
        <f t="shared" si="33"/>
        <v>0</v>
      </c>
      <c r="X146" s="31"/>
      <c r="Y146" s="31"/>
      <c r="Z146" s="31"/>
      <c r="AA146" s="25">
        <f t="shared" si="39"/>
        <v>9.0359999999999996</v>
      </c>
      <c r="AB146" s="25">
        <f t="shared" si="40"/>
        <v>-184.49199999999999</v>
      </c>
      <c r="AD146" s="24">
        <f>IF(D146="M",IF(AG146&lt;78,BMILMS!$D$5*AG146^3+BMILMS!$E$5*AG146^2+BMILMS!$F$5*AG146+BMILMS!$G$5,IF(AG146&lt;150,BMILMS!$D$6*AG146^3+BMILMS!$E$6*AG146^2+BMILMS!$F$6*AG146+BMILMS!$G$6,BMILMS!$D$7*AG146^3+BMILMS!$E$7*AG146^2+BMILMS!$F$7*AG146+BMILMS!$G$7)),IF(AG146&lt;69,BMILMS!$D$9*AG146^3+BMILMS!$E$9*AG146^2+BMILMS!$F$9*AG146+BMILMS!$G$9,IF(AG146&lt;150,BMILMS!$D$10*AG146^3+BMILMS!$E$10*AG146^2+BMILMS!$F$10*AG146+BMILMS!$G$10,BMILMS!$D$11*AG146^3+BMILMS!$E$11*AG146^2+BMILMS!$F$11*AG146+BMILMS!$G$11)))</f>
        <v>0.79584630099999998</v>
      </c>
      <c r="AE146" s="24">
        <f>IF(D146="M",(IF(AG146&lt;2.5,BMILMS!$D$21*AG146^3+BMILMS!$E$21*AG146^2+BMILMS!$F$21*AG146+BMILMS!$G$21,IF(AG146&lt;9.5,BMILMS!$D$22*AG146^3+BMILMS!$E$22*AG146^2+BMILMS!$F$22*AG146+BMILMS!$G$22,IF(AG146&lt;26.75,BMILMS!$D$23*AG146^3+BMILMS!$E$23*AG146^2+BMILMS!$F$23*AG146+BMILMS!$G$23,IF(AG146&lt;90,BMILMS!$D$24*AG146^3+BMILMS!$E$24*AG146^2+BMILMS!$F$24*AG146+BMILMS!$G$24,BMILMS!$D$25*AG146^3+BMILMS!$E$25*AG146^2+BMILMS!$F$25*AG146+BMILMS!$G$25))))),(IF(AG146&lt;2.5,BMILMS!$D$27*AG146^3+BMILMS!$E$27*AG146^2+BMILMS!$F$27*AG146+BMILMS!$G$27,IF(AG146&lt;9.5,BMILMS!$D$28*AG146^3+BMILMS!$E$28*AG146^2+BMILMS!$F$28*AG146+BMILMS!$G$28,IF(AG146&lt;26.75,BMILMS!$D$29*AG146^3+BMILMS!$E$29*AG146^2+BMILMS!$F$29*AG146+BMILMS!$G$29,IF(AG146&lt;90,BMILMS!$D$30*AG146^3+BMILMS!$E$30*AG146^2+BMILMS!$F$30*AG146+BMILMS!$G$30,IF(AG146&lt;150,BMILMS!$D$31*AG146^3+BMILMS!$E$31*AG146^2+BMILMS!$F$31*AG146+BMILMS!$G$31,BMILMS!$D$32*AG146^3+BMILMS!$E$32*AG146^2+BMILMS!$F$32*AG146+BMILMS!$G$32)))))))</f>
        <v>12.568967990000001</v>
      </c>
      <c r="AF146" s="24">
        <f>IF(D146="M",(IF(AG146&lt;90,BMILMS!$D$14*AG146^3+BMILMS!$E$14*AG146^2+BMILMS!$F$14*AG146+BMILMS!$G$14,BMILMS!$D$15*AG146^3+BMILMS!$E$15*AG146^2+BMILMS!$F$15*AG146+BMILMS!$G$15)),(IF(AG146&lt;90,BMILMS!$D$17*AG146^3+BMILMS!$E$17*AG146^2+BMILMS!$F$17*AG146+BMILMS!$G$17,BMILMS!$D$18*AG146^3+BMILMS!$E$18*AG146^2+BMILMS!$F$18*AG146+BMILMS!$G$18)))</f>
        <v>8.8969350000000003E-2</v>
      </c>
      <c r="AG146" s="24">
        <f t="shared" si="48"/>
        <v>0</v>
      </c>
      <c r="AI146" s="38">
        <f>IF(D146="M",WeightSDS!P$5*$AG146^7+WeightSDS!Q$5*$AG146^6+WeightSDS!R$5*$AG146^5+WeightSDS!S$5*$AG146^4+WeightSDS!T$5*$AG146^3+WeightSDS!U$5*$AG146^2+WeightSDS!V$5*$AG146+WeightSDS!W$5,IF($AG146&lt;186,WeightSDS!P$8*$AG146^7+WeightSDS!Q$8*$AG146^6+WeightSDS!R$8*$AG146^5+WeightSDS!S$8*$AG146^4+WeightSDS!T$8*$AG146^3+WeightSDS!U$8*$AG146^2+WeightSDS!V$8*$AG146+WeightSDS!W$8,WeightSDS!$U$9-WeightSDS!$V$9*($AG146-WeightSDS!$W$9)))</f>
        <v>0.75407122999999998</v>
      </c>
      <c r="AJ146" s="24">
        <f>IF(D146="M",IF($AG146&lt;45,WeightSDS!M$23*$AG146^10+WeightSDS!N$23*$AG146^9+WeightSDS!O$23*$AG146^8+WeightSDS!P$23*$AG146^7+WeightSDS!Q$23*$AG146^6+WeightSDS!R$23*$AG146^5+WeightSDS!S$23*$AG146^4+WeightSDS!T$23*$AG146^3+WeightSDS!U$23*$AG146^2+WeightSDS!V$23*$AG146+WeightSDS!W$23,IF($AG146&lt;153,WeightSDS!M$25*$AG146^10+WeightSDS!N$25*$AG146^9+WeightSDS!O$25*$AG146^8+WeightSDS!P$25*$AG146^7+WeightSDS!Q$25*$AG146^6+WeightSDS!R$25*$AG146^5+WeightSDS!S$25*$AG146^4+WeightSDS!T$25*$AG146^3+WeightSDS!U$25*$AG146^2+WeightSDS!V$25*$AG146+WeightSDS!W$25,WeightSDS!M$27+WeightSDS!N$27/(1+EXP(WeightSDS!O$27+WeightSDS!P$27*$AG146)))),IF($AG146&lt;43.8,WeightSDS!M$29*$AG146^10+WeightSDS!N$29*$AG146^9+WeightSDS!O$29*$AG146^8+WeightSDS!P$29*$AG146^7+WeightSDS!Q$29*$AG146^6+WeightSDS!R$29*$AG146^5+WeightSDS!S$29*$AG146^4+WeightSDS!T$29*$AG146^3+WeightSDS!U$29*$AG146^2+WeightSDS!V$29*$AG146+WeightSDS!W$29-0.010431*(1-$AG146/210),IF($AG146&lt;123,WeightSDS!M$30*$AG146^10+WeightSDS!N$30*$AG146^9+WeightSDS!O$30*$AG146^8+WeightSDS!P$30*$AG146^7+WeightSDS!Q$30*$AG146^6+WeightSDS!R$30*$AG146^5+WeightSDS!S$30*$AG146^4+WeightSDS!T$30*$AG146^3+WeightSDS!U$30*$AG146^2+WeightSDS!V$30*$AG146+WeightSDS!W$30-0.010431*(1-1/$AG146),WeightSDS!M$32+WeightSDS!N$32/(1+EXP(WeightSDS!O$32+WeightSDS!P$32*$AG146))-0.010431*(1-$AG146/210))))</f>
        <v>2.9500001032655536</v>
      </c>
      <c r="AK146" s="24">
        <f>IF(D146="M",IF($AG146&lt;162,WeightSDS!P$12*$AG146^7+WeightSDS!Q$12*$AG146^6+WeightSDS!R$12*$AG146^5+WeightSDS!S$12*$AG146^4+WeightSDS!T$12*$AG146^3+WeightSDS!U$12*$AG146^2+WeightSDS!V$12*$AG146+WeightSDS!W$12,WeightSDS!P$14*$AG146^7+WeightSDS!Q$14*$AG146^6+WeightSDS!R$14*$AG146^5+WeightSDS!S$14*$AG146^4+WeightSDS!T$14*$AG146^3+WeightSDS!U$14*$AG146^2+WeightSDS!V$14*$AG146+WeightSDS!W$14),IF($AG146&lt;156,WeightSDS!O$17*$AG146^8+WeightSDS!P$17*$AG146^7+WeightSDS!Q$17*$AG146^6+WeightSDS!R$17*$AG146^5+WeightSDS!S$17*$AG146^4+WeightSDS!T$17*$AG146^3+WeightSDS!U$17*$AG146^2+WeightSDS!V$17*$AG146+WeightSDS!W$17,IF($AG146&lt;186,WeightSDS!$U$18+(WeightSDS!$V$18-WeightSDS!$U$18)/24*($AG146-186)+WeightSDS!$W$18*(-$AG146+186)^2-0.005,WeightSDS!$U$18+(WeightSDS!$V$18-WeightSDS!$U$18)/24*($AG146-186)-0.005)))</f>
        <v>0.14604529399999999</v>
      </c>
    </row>
    <row r="147" spans="1:37">
      <c r="A147" s="4"/>
      <c r="B147" s="21"/>
      <c r="C147" s="21"/>
      <c r="D147" s="21"/>
      <c r="E147" s="22"/>
      <c r="F147" s="22"/>
      <c r="G147" s="23"/>
      <c r="H147" s="23"/>
      <c r="I147" s="8" t="str">
        <f t="shared" si="34"/>
        <v/>
      </c>
      <c r="J147" s="2" t="str">
        <f t="shared" si="41"/>
        <v/>
      </c>
      <c r="K147" s="2" t="str">
        <f t="shared" si="35"/>
        <v/>
      </c>
      <c r="L147" s="2" t="str">
        <f t="shared" si="42"/>
        <v/>
      </c>
      <c r="M147" s="2" t="str">
        <f t="shared" si="47"/>
        <v/>
      </c>
      <c r="N147" s="2" t="str">
        <f t="shared" si="43"/>
        <v/>
      </c>
      <c r="O147" s="8" t="str">
        <f t="shared" si="44"/>
        <v/>
      </c>
      <c r="P147" s="8" t="str">
        <f t="shared" si="45"/>
        <v/>
      </c>
      <c r="Q147" s="40" t="str">
        <f t="shared" si="36"/>
        <v/>
      </c>
      <c r="R147" s="48" t="str">
        <f t="shared" si="46"/>
        <v/>
      </c>
      <c r="S147" s="8"/>
      <c r="U147" s="35">
        <f t="shared" si="37"/>
        <v>0</v>
      </c>
      <c r="V147" s="24">
        <f t="shared" si="38"/>
        <v>0</v>
      </c>
      <c r="W147" s="41">
        <f t="shared" si="33"/>
        <v>0</v>
      </c>
      <c r="X147" s="31"/>
      <c r="Y147" s="31"/>
      <c r="Z147" s="31"/>
      <c r="AA147" s="25">
        <f t="shared" si="39"/>
        <v>9.0359999999999996</v>
      </c>
      <c r="AB147" s="25">
        <f t="shared" si="40"/>
        <v>-184.49199999999999</v>
      </c>
      <c r="AD147" s="24">
        <f>IF(D147="M",IF(AG147&lt;78,BMILMS!$D$5*AG147^3+BMILMS!$E$5*AG147^2+BMILMS!$F$5*AG147+BMILMS!$G$5,IF(AG147&lt;150,BMILMS!$D$6*AG147^3+BMILMS!$E$6*AG147^2+BMILMS!$F$6*AG147+BMILMS!$G$6,BMILMS!$D$7*AG147^3+BMILMS!$E$7*AG147^2+BMILMS!$F$7*AG147+BMILMS!$G$7)),IF(AG147&lt;69,BMILMS!$D$9*AG147^3+BMILMS!$E$9*AG147^2+BMILMS!$F$9*AG147+BMILMS!$G$9,IF(AG147&lt;150,BMILMS!$D$10*AG147^3+BMILMS!$E$10*AG147^2+BMILMS!$F$10*AG147+BMILMS!$G$10,BMILMS!$D$11*AG147^3+BMILMS!$E$11*AG147^2+BMILMS!$F$11*AG147+BMILMS!$G$11)))</f>
        <v>0.79584630099999998</v>
      </c>
      <c r="AE147" s="24">
        <f>IF(D147="M",(IF(AG147&lt;2.5,BMILMS!$D$21*AG147^3+BMILMS!$E$21*AG147^2+BMILMS!$F$21*AG147+BMILMS!$G$21,IF(AG147&lt;9.5,BMILMS!$D$22*AG147^3+BMILMS!$E$22*AG147^2+BMILMS!$F$22*AG147+BMILMS!$G$22,IF(AG147&lt;26.75,BMILMS!$D$23*AG147^3+BMILMS!$E$23*AG147^2+BMILMS!$F$23*AG147+BMILMS!$G$23,IF(AG147&lt;90,BMILMS!$D$24*AG147^3+BMILMS!$E$24*AG147^2+BMILMS!$F$24*AG147+BMILMS!$G$24,BMILMS!$D$25*AG147^3+BMILMS!$E$25*AG147^2+BMILMS!$F$25*AG147+BMILMS!$G$25))))),(IF(AG147&lt;2.5,BMILMS!$D$27*AG147^3+BMILMS!$E$27*AG147^2+BMILMS!$F$27*AG147+BMILMS!$G$27,IF(AG147&lt;9.5,BMILMS!$D$28*AG147^3+BMILMS!$E$28*AG147^2+BMILMS!$F$28*AG147+BMILMS!$G$28,IF(AG147&lt;26.75,BMILMS!$D$29*AG147^3+BMILMS!$E$29*AG147^2+BMILMS!$F$29*AG147+BMILMS!$G$29,IF(AG147&lt;90,BMILMS!$D$30*AG147^3+BMILMS!$E$30*AG147^2+BMILMS!$F$30*AG147+BMILMS!$G$30,IF(AG147&lt;150,BMILMS!$D$31*AG147^3+BMILMS!$E$31*AG147^2+BMILMS!$F$31*AG147+BMILMS!$G$31,BMILMS!$D$32*AG147^3+BMILMS!$E$32*AG147^2+BMILMS!$F$32*AG147+BMILMS!$G$32)))))))</f>
        <v>12.568967990000001</v>
      </c>
      <c r="AF147" s="24">
        <f>IF(D147="M",(IF(AG147&lt;90,BMILMS!$D$14*AG147^3+BMILMS!$E$14*AG147^2+BMILMS!$F$14*AG147+BMILMS!$G$14,BMILMS!$D$15*AG147^3+BMILMS!$E$15*AG147^2+BMILMS!$F$15*AG147+BMILMS!$G$15)),(IF(AG147&lt;90,BMILMS!$D$17*AG147^3+BMILMS!$E$17*AG147^2+BMILMS!$F$17*AG147+BMILMS!$G$17,BMILMS!$D$18*AG147^3+BMILMS!$E$18*AG147^2+BMILMS!$F$18*AG147+BMILMS!$G$18)))</f>
        <v>8.8969350000000003E-2</v>
      </c>
      <c r="AG147" s="24">
        <f t="shared" si="48"/>
        <v>0</v>
      </c>
      <c r="AI147" s="38">
        <f>IF(D147="M",WeightSDS!P$5*$AG147^7+WeightSDS!Q$5*$AG147^6+WeightSDS!R$5*$AG147^5+WeightSDS!S$5*$AG147^4+WeightSDS!T$5*$AG147^3+WeightSDS!U$5*$AG147^2+WeightSDS!V$5*$AG147+WeightSDS!W$5,IF($AG147&lt;186,WeightSDS!P$8*$AG147^7+WeightSDS!Q$8*$AG147^6+WeightSDS!R$8*$AG147^5+WeightSDS!S$8*$AG147^4+WeightSDS!T$8*$AG147^3+WeightSDS!U$8*$AG147^2+WeightSDS!V$8*$AG147+WeightSDS!W$8,WeightSDS!$U$9-WeightSDS!$V$9*($AG147-WeightSDS!$W$9)))</f>
        <v>0.75407122999999998</v>
      </c>
      <c r="AJ147" s="24">
        <f>IF(D147="M",IF($AG147&lt;45,WeightSDS!M$23*$AG147^10+WeightSDS!N$23*$AG147^9+WeightSDS!O$23*$AG147^8+WeightSDS!P$23*$AG147^7+WeightSDS!Q$23*$AG147^6+WeightSDS!R$23*$AG147^5+WeightSDS!S$23*$AG147^4+WeightSDS!T$23*$AG147^3+WeightSDS!U$23*$AG147^2+WeightSDS!V$23*$AG147+WeightSDS!W$23,IF($AG147&lt;153,WeightSDS!M$25*$AG147^10+WeightSDS!N$25*$AG147^9+WeightSDS!O$25*$AG147^8+WeightSDS!P$25*$AG147^7+WeightSDS!Q$25*$AG147^6+WeightSDS!R$25*$AG147^5+WeightSDS!S$25*$AG147^4+WeightSDS!T$25*$AG147^3+WeightSDS!U$25*$AG147^2+WeightSDS!V$25*$AG147+WeightSDS!W$25,WeightSDS!M$27+WeightSDS!N$27/(1+EXP(WeightSDS!O$27+WeightSDS!P$27*$AG147)))),IF($AG147&lt;43.8,WeightSDS!M$29*$AG147^10+WeightSDS!N$29*$AG147^9+WeightSDS!O$29*$AG147^8+WeightSDS!P$29*$AG147^7+WeightSDS!Q$29*$AG147^6+WeightSDS!R$29*$AG147^5+WeightSDS!S$29*$AG147^4+WeightSDS!T$29*$AG147^3+WeightSDS!U$29*$AG147^2+WeightSDS!V$29*$AG147+WeightSDS!W$29-0.010431*(1-$AG147/210),IF($AG147&lt;123,WeightSDS!M$30*$AG147^10+WeightSDS!N$30*$AG147^9+WeightSDS!O$30*$AG147^8+WeightSDS!P$30*$AG147^7+WeightSDS!Q$30*$AG147^6+WeightSDS!R$30*$AG147^5+WeightSDS!S$30*$AG147^4+WeightSDS!T$30*$AG147^3+WeightSDS!U$30*$AG147^2+WeightSDS!V$30*$AG147+WeightSDS!W$30-0.010431*(1-1/$AG147),WeightSDS!M$32+WeightSDS!N$32/(1+EXP(WeightSDS!O$32+WeightSDS!P$32*$AG147))-0.010431*(1-$AG147/210))))</f>
        <v>2.9500001032655536</v>
      </c>
      <c r="AK147" s="24">
        <f>IF(D147="M",IF($AG147&lt;162,WeightSDS!P$12*$AG147^7+WeightSDS!Q$12*$AG147^6+WeightSDS!R$12*$AG147^5+WeightSDS!S$12*$AG147^4+WeightSDS!T$12*$AG147^3+WeightSDS!U$12*$AG147^2+WeightSDS!V$12*$AG147+WeightSDS!W$12,WeightSDS!P$14*$AG147^7+WeightSDS!Q$14*$AG147^6+WeightSDS!R$14*$AG147^5+WeightSDS!S$14*$AG147^4+WeightSDS!T$14*$AG147^3+WeightSDS!U$14*$AG147^2+WeightSDS!V$14*$AG147+WeightSDS!W$14),IF($AG147&lt;156,WeightSDS!O$17*$AG147^8+WeightSDS!P$17*$AG147^7+WeightSDS!Q$17*$AG147^6+WeightSDS!R$17*$AG147^5+WeightSDS!S$17*$AG147^4+WeightSDS!T$17*$AG147^3+WeightSDS!U$17*$AG147^2+WeightSDS!V$17*$AG147+WeightSDS!W$17,IF($AG147&lt;186,WeightSDS!$U$18+(WeightSDS!$V$18-WeightSDS!$U$18)/24*($AG147-186)+WeightSDS!$W$18*(-$AG147+186)^2-0.005,WeightSDS!$U$18+(WeightSDS!$V$18-WeightSDS!$U$18)/24*($AG147-186)-0.005)))</f>
        <v>0.14604529399999999</v>
      </c>
    </row>
    <row r="148" spans="1:37">
      <c r="A148" s="4"/>
      <c r="B148" s="21"/>
      <c r="C148" s="21"/>
      <c r="D148" s="21"/>
      <c r="E148" s="22"/>
      <c r="F148" s="22"/>
      <c r="G148" s="23"/>
      <c r="H148" s="23"/>
      <c r="I148" s="8" t="str">
        <f t="shared" si="34"/>
        <v/>
      </c>
      <c r="J148" s="2" t="str">
        <f t="shared" si="41"/>
        <v/>
      </c>
      <c r="K148" s="2" t="str">
        <f t="shared" si="35"/>
        <v/>
      </c>
      <c r="L148" s="2" t="str">
        <f t="shared" si="42"/>
        <v/>
      </c>
      <c r="M148" s="2" t="str">
        <f t="shared" si="47"/>
        <v/>
      </c>
      <c r="N148" s="2" t="str">
        <f t="shared" si="43"/>
        <v/>
      </c>
      <c r="O148" s="8" t="str">
        <f t="shared" si="44"/>
        <v/>
      </c>
      <c r="P148" s="8" t="str">
        <f t="shared" si="45"/>
        <v/>
      </c>
      <c r="Q148" s="40" t="str">
        <f t="shared" si="36"/>
        <v/>
      </c>
      <c r="R148" s="48" t="str">
        <f t="shared" si="46"/>
        <v/>
      </c>
      <c r="S148" s="8"/>
      <c r="U148" s="35">
        <f t="shared" si="37"/>
        <v>0</v>
      </c>
      <c r="V148" s="24">
        <f t="shared" si="38"/>
        <v>0</v>
      </c>
      <c r="W148" s="41">
        <f t="shared" si="33"/>
        <v>0</v>
      </c>
      <c r="X148" s="31"/>
      <c r="Y148" s="31"/>
      <c r="Z148" s="31"/>
      <c r="AA148" s="25">
        <f t="shared" si="39"/>
        <v>9.0359999999999996</v>
      </c>
      <c r="AB148" s="25">
        <f t="shared" si="40"/>
        <v>-184.49199999999999</v>
      </c>
      <c r="AD148" s="24">
        <f>IF(D148="M",IF(AG148&lt;78,BMILMS!$D$5*AG148^3+BMILMS!$E$5*AG148^2+BMILMS!$F$5*AG148+BMILMS!$G$5,IF(AG148&lt;150,BMILMS!$D$6*AG148^3+BMILMS!$E$6*AG148^2+BMILMS!$F$6*AG148+BMILMS!$G$6,BMILMS!$D$7*AG148^3+BMILMS!$E$7*AG148^2+BMILMS!$F$7*AG148+BMILMS!$G$7)),IF(AG148&lt;69,BMILMS!$D$9*AG148^3+BMILMS!$E$9*AG148^2+BMILMS!$F$9*AG148+BMILMS!$G$9,IF(AG148&lt;150,BMILMS!$D$10*AG148^3+BMILMS!$E$10*AG148^2+BMILMS!$F$10*AG148+BMILMS!$G$10,BMILMS!$D$11*AG148^3+BMILMS!$E$11*AG148^2+BMILMS!$F$11*AG148+BMILMS!$G$11)))</f>
        <v>0.79584630099999998</v>
      </c>
      <c r="AE148" s="24">
        <f>IF(D148="M",(IF(AG148&lt;2.5,BMILMS!$D$21*AG148^3+BMILMS!$E$21*AG148^2+BMILMS!$F$21*AG148+BMILMS!$G$21,IF(AG148&lt;9.5,BMILMS!$D$22*AG148^3+BMILMS!$E$22*AG148^2+BMILMS!$F$22*AG148+BMILMS!$G$22,IF(AG148&lt;26.75,BMILMS!$D$23*AG148^3+BMILMS!$E$23*AG148^2+BMILMS!$F$23*AG148+BMILMS!$G$23,IF(AG148&lt;90,BMILMS!$D$24*AG148^3+BMILMS!$E$24*AG148^2+BMILMS!$F$24*AG148+BMILMS!$G$24,BMILMS!$D$25*AG148^3+BMILMS!$E$25*AG148^2+BMILMS!$F$25*AG148+BMILMS!$G$25))))),(IF(AG148&lt;2.5,BMILMS!$D$27*AG148^3+BMILMS!$E$27*AG148^2+BMILMS!$F$27*AG148+BMILMS!$G$27,IF(AG148&lt;9.5,BMILMS!$D$28*AG148^3+BMILMS!$E$28*AG148^2+BMILMS!$F$28*AG148+BMILMS!$G$28,IF(AG148&lt;26.75,BMILMS!$D$29*AG148^3+BMILMS!$E$29*AG148^2+BMILMS!$F$29*AG148+BMILMS!$G$29,IF(AG148&lt;90,BMILMS!$D$30*AG148^3+BMILMS!$E$30*AG148^2+BMILMS!$F$30*AG148+BMILMS!$G$30,IF(AG148&lt;150,BMILMS!$D$31*AG148^3+BMILMS!$E$31*AG148^2+BMILMS!$F$31*AG148+BMILMS!$G$31,BMILMS!$D$32*AG148^3+BMILMS!$E$32*AG148^2+BMILMS!$F$32*AG148+BMILMS!$G$32)))))))</f>
        <v>12.568967990000001</v>
      </c>
      <c r="AF148" s="24">
        <f>IF(D148="M",(IF(AG148&lt;90,BMILMS!$D$14*AG148^3+BMILMS!$E$14*AG148^2+BMILMS!$F$14*AG148+BMILMS!$G$14,BMILMS!$D$15*AG148^3+BMILMS!$E$15*AG148^2+BMILMS!$F$15*AG148+BMILMS!$G$15)),(IF(AG148&lt;90,BMILMS!$D$17*AG148^3+BMILMS!$E$17*AG148^2+BMILMS!$F$17*AG148+BMILMS!$G$17,BMILMS!$D$18*AG148^3+BMILMS!$E$18*AG148^2+BMILMS!$F$18*AG148+BMILMS!$G$18)))</f>
        <v>8.8969350000000003E-2</v>
      </c>
      <c r="AG148" s="24">
        <f t="shared" si="48"/>
        <v>0</v>
      </c>
      <c r="AI148" s="38">
        <f>IF(D148="M",WeightSDS!P$5*$AG148^7+WeightSDS!Q$5*$AG148^6+WeightSDS!R$5*$AG148^5+WeightSDS!S$5*$AG148^4+WeightSDS!T$5*$AG148^3+WeightSDS!U$5*$AG148^2+WeightSDS!V$5*$AG148+WeightSDS!W$5,IF($AG148&lt;186,WeightSDS!P$8*$AG148^7+WeightSDS!Q$8*$AG148^6+WeightSDS!R$8*$AG148^5+WeightSDS!S$8*$AG148^4+WeightSDS!T$8*$AG148^3+WeightSDS!U$8*$AG148^2+WeightSDS!V$8*$AG148+WeightSDS!W$8,WeightSDS!$U$9-WeightSDS!$V$9*($AG148-WeightSDS!$W$9)))</f>
        <v>0.75407122999999998</v>
      </c>
      <c r="AJ148" s="24">
        <f>IF(D148="M",IF($AG148&lt;45,WeightSDS!M$23*$AG148^10+WeightSDS!N$23*$AG148^9+WeightSDS!O$23*$AG148^8+WeightSDS!P$23*$AG148^7+WeightSDS!Q$23*$AG148^6+WeightSDS!R$23*$AG148^5+WeightSDS!S$23*$AG148^4+WeightSDS!T$23*$AG148^3+WeightSDS!U$23*$AG148^2+WeightSDS!V$23*$AG148+WeightSDS!W$23,IF($AG148&lt;153,WeightSDS!M$25*$AG148^10+WeightSDS!N$25*$AG148^9+WeightSDS!O$25*$AG148^8+WeightSDS!P$25*$AG148^7+WeightSDS!Q$25*$AG148^6+WeightSDS!R$25*$AG148^5+WeightSDS!S$25*$AG148^4+WeightSDS!T$25*$AG148^3+WeightSDS!U$25*$AG148^2+WeightSDS!V$25*$AG148+WeightSDS!W$25,WeightSDS!M$27+WeightSDS!N$27/(1+EXP(WeightSDS!O$27+WeightSDS!P$27*$AG148)))),IF($AG148&lt;43.8,WeightSDS!M$29*$AG148^10+WeightSDS!N$29*$AG148^9+WeightSDS!O$29*$AG148^8+WeightSDS!P$29*$AG148^7+WeightSDS!Q$29*$AG148^6+WeightSDS!R$29*$AG148^5+WeightSDS!S$29*$AG148^4+WeightSDS!T$29*$AG148^3+WeightSDS!U$29*$AG148^2+WeightSDS!V$29*$AG148+WeightSDS!W$29-0.010431*(1-$AG148/210),IF($AG148&lt;123,WeightSDS!M$30*$AG148^10+WeightSDS!N$30*$AG148^9+WeightSDS!O$30*$AG148^8+WeightSDS!P$30*$AG148^7+WeightSDS!Q$30*$AG148^6+WeightSDS!R$30*$AG148^5+WeightSDS!S$30*$AG148^4+WeightSDS!T$30*$AG148^3+WeightSDS!U$30*$AG148^2+WeightSDS!V$30*$AG148+WeightSDS!W$30-0.010431*(1-1/$AG148),WeightSDS!M$32+WeightSDS!N$32/(1+EXP(WeightSDS!O$32+WeightSDS!P$32*$AG148))-0.010431*(1-$AG148/210))))</f>
        <v>2.9500001032655536</v>
      </c>
      <c r="AK148" s="24">
        <f>IF(D148="M",IF($AG148&lt;162,WeightSDS!P$12*$AG148^7+WeightSDS!Q$12*$AG148^6+WeightSDS!R$12*$AG148^5+WeightSDS!S$12*$AG148^4+WeightSDS!T$12*$AG148^3+WeightSDS!U$12*$AG148^2+WeightSDS!V$12*$AG148+WeightSDS!W$12,WeightSDS!P$14*$AG148^7+WeightSDS!Q$14*$AG148^6+WeightSDS!R$14*$AG148^5+WeightSDS!S$14*$AG148^4+WeightSDS!T$14*$AG148^3+WeightSDS!U$14*$AG148^2+WeightSDS!V$14*$AG148+WeightSDS!W$14),IF($AG148&lt;156,WeightSDS!O$17*$AG148^8+WeightSDS!P$17*$AG148^7+WeightSDS!Q$17*$AG148^6+WeightSDS!R$17*$AG148^5+WeightSDS!S$17*$AG148^4+WeightSDS!T$17*$AG148^3+WeightSDS!U$17*$AG148^2+WeightSDS!V$17*$AG148+WeightSDS!W$17,IF($AG148&lt;186,WeightSDS!$U$18+(WeightSDS!$V$18-WeightSDS!$U$18)/24*($AG148-186)+WeightSDS!$W$18*(-$AG148+186)^2-0.005,WeightSDS!$U$18+(WeightSDS!$V$18-WeightSDS!$U$18)/24*($AG148-186)-0.005)))</f>
        <v>0.14604529399999999</v>
      </c>
    </row>
    <row r="149" spans="1:37">
      <c r="A149" s="4"/>
      <c r="B149" s="21"/>
      <c r="C149" s="21"/>
      <c r="D149" s="21"/>
      <c r="E149" s="22"/>
      <c r="F149" s="22"/>
      <c r="G149" s="23"/>
      <c r="H149" s="23"/>
      <c r="I149" s="8" t="str">
        <f t="shared" si="34"/>
        <v/>
      </c>
      <c r="J149" s="2" t="str">
        <f t="shared" si="41"/>
        <v/>
      </c>
      <c r="K149" s="2" t="str">
        <f t="shared" si="35"/>
        <v/>
      </c>
      <c r="L149" s="2" t="str">
        <f t="shared" si="42"/>
        <v/>
      </c>
      <c r="M149" s="2" t="str">
        <f t="shared" si="47"/>
        <v/>
      </c>
      <c r="N149" s="2" t="str">
        <f t="shared" si="43"/>
        <v/>
      </c>
      <c r="O149" s="8" t="str">
        <f t="shared" si="44"/>
        <v/>
      </c>
      <c r="P149" s="8" t="str">
        <f t="shared" si="45"/>
        <v/>
      </c>
      <c r="Q149" s="40" t="str">
        <f t="shared" si="36"/>
        <v/>
      </c>
      <c r="R149" s="48" t="str">
        <f t="shared" si="46"/>
        <v/>
      </c>
      <c r="S149" s="8"/>
      <c r="U149" s="35">
        <f t="shared" si="37"/>
        <v>0</v>
      </c>
      <c r="V149" s="24">
        <f t="shared" si="38"/>
        <v>0</v>
      </c>
      <c r="W149" s="41">
        <f t="shared" si="33"/>
        <v>0</v>
      </c>
      <c r="X149" s="31"/>
      <c r="Y149" s="31"/>
      <c r="Z149" s="31"/>
      <c r="AA149" s="25">
        <f t="shared" si="39"/>
        <v>9.0359999999999996</v>
      </c>
      <c r="AB149" s="25">
        <f t="shared" si="40"/>
        <v>-184.49199999999999</v>
      </c>
      <c r="AD149" s="24">
        <f>IF(D149="M",IF(AG149&lt;78,BMILMS!$D$5*AG149^3+BMILMS!$E$5*AG149^2+BMILMS!$F$5*AG149+BMILMS!$G$5,IF(AG149&lt;150,BMILMS!$D$6*AG149^3+BMILMS!$E$6*AG149^2+BMILMS!$F$6*AG149+BMILMS!$G$6,BMILMS!$D$7*AG149^3+BMILMS!$E$7*AG149^2+BMILMS!$F$7*AG149+BMILMS!$G$7)),IF(AG149&lt;69,BMILMS!$D$9*AG149^3+BMILMS!$E$9*AG149^2+BMILMS!$F$9*AG149+BMILMS!$G$9,IF(AG149&lt;150,BMILMS!$D$10*AG149^3+BMILMS!$E$10*AG149^2+BMILMS!$F$10*AG149+BMILMS!$G$10,BMILMS!$D$11*AG149^3+BMILMS!$E$11*AG149^2+BMILMS!$F$11*AG149+BMILMS!$G$11)))</f>
        <v>0.79584630099999998</v>
      </c>
      <c r="AE149" s="24">
        <f>IF(D149="M",(IF(AG149&lt;2.5,BMILMS!$D$21*AG149^3+BMILMS!$E$21*AG149^2+BMILMS!$F$21*AG149+BMILMS!$G$21,IF(AG149&lt;9.5,BMILMS!$D$22*AG149^3+BMILMS!$E$22*AG149^2+BMILMS!$F$22*AG149+BMILMS!$G$22,IF(AG149&lt;26.75,BMILMS!$D$23*AG149^3+BMILMS!$E$23*AG149^2+BMILMS!$F$23*AG149+BMILMS!$G$23,IF(AG149&lt;90,BMILMS!$D$24*AG149^3+BMILMS!$E$24*AG149^2+BMILMS!$F$24*AG149+BMILMS!$G$24,BMILMS!$D$25*AG149^3+BMILMS!$E$25*AG149^2+BMILMS!$F$25*AG149+BMILMS!$G$25))))),(IF(AG149&lt;2.5,BMILMS!$D$27*AG149^3+BMILMS!$E$27*AG149^2+BMILMS!$F$27*AG149+BMILMS!$G$27,IF(AG149&lt;9.5,BMILMS!$D$28*AG149^3+BMILMS!$E$28*AG149^2+BMILMS!$F$28*AG149+BMILMS!$G$28,IF(AG149&lt;26.75,BMILMS!$D$29*AG149^3+BMILMS!$E$29*AG149^2+BMILMS!$F$29*AG149+BMILMS!$G$29,IF(AG149&lt;90,BMILMS!$D$30*AG149^3+BMILMS!$E$30*AG149^2+BMILMS!$F$30*AG149+BMILMS!$G$30,IF(AG149&lt;150,BMILMS!$D$31*AG149^3+BMILMS!$E$31*AG149^2+BMILMS!$F$31*AG149+BMILMS!$G$31,BMILMS!$D$32*AG149^3+BMILMS!$E$32*AG149^2+BMILMS!$F$32*AG149+BMILMS!$G$32)))))))</f>
        <v>12.568967990000001</v>
      </c>
      <c r="AF149" s="24">
        <f>IF(D149="M",(IF(AG149&lt;90,BMILMS!$D$14*AG149^3+BMILMS!$E$14*AG149^2+BMILMS!$F$14*AG149+BMILMS!$G$14,BMILMS!$D$15*AG149^3+BMILMS!$E$15*AG149^2+BMILMS!$F$15*AG149+BMILMS!$G$15)),(IF(AG149&lt;90,BMILMS!$D$17*AG149^3+BMILMS!$E$17*AG149^2+BMILMS!$F$17*AG149+BMILMS!$G$17,BMILMS!$D$18*AG149^3+BMILMS!$E$18*AG149^2+BMILMS!$F$18*AG149+BMILMS!$G$18)))</f>
        <v>8.8969350000000003E-2</v>
      </c>
      <c r="AG149" s="24">
        <f t="shared" si="48"/>
        <v>0</v>
      </c>
      <c r="AI149" s="38">
        <f>IF(D149="M",WeightSDS!P$5*$AG149^7+WeightSDS!Q$5*$AG149^6+WeightSDS!R$5*$AG149^5+WeightSDS!S$5*$AG149^4+WeightSDS!T$5*$AG149^3+WeightSDS!U$5*$AG149^2+WeightSDS!V$5*$AG149+WeightSDS!W$5,IF($AG149&lt;186,WeightSDS!P$8*$AG149^7+WeightSDS!Q$8*$AG149^6+WeightSDS!R$8*$AG149^5+WeightSDS!S$8*$AG149^4+WeightSDS!T$8*$AG149^3+WeightSDS!U$8*$AG149^2+WeightSDS!V$8*$AG149+WeightSDS!W$8,WeightSDS!$U$9-WeightSDS!$V$9*($AG149-WeightSDS!$W$9)))</f>
        <v>0.75407122999999998</v>
      </c>
      <c r="AJ149" s="24">
        <f>IF(D149="M",IF($AG149&lt;45,WeightSDS!M$23*$AG149^10+WeightSDS!N$23*$AG149^9+WeightSDS!O$23*$AG149^8+WeightSDS!P$23*$AG149^7+WeightSDS!Q$23*$AG149^6+WeightSDS!R$23*$AG149^5+WeightSDS!S$23*$AG149^4+WeightSDS!T$23*$AG149^3+WeightSDS!U$23*$AG149^2+WeightSDS!V$23*$AG149+WeightSDS!W$23,IF($AG149&lt;153,WeightSDS!M$25*$AG149^10+WeightSDS!N$25*$AG149^9+WeightSDS!O$25*$AG149^8+WeightSDS!P$25*$AG149^7+WeightSDS!Q$25*$AG149^6+WeightSDS!R$25*$AG149^5+WeightSDS!S$25*$AG149^4+WeightSDS!T$25*$AG149^3+WeightSDS!U$25*$AG149^2+WeightSDS!V$25*$AG149+WeightSDS!W$25,WeightSDS!M$27+WeightSDS!N$27/(1+EXP(WeightSDS!O$27+WeightSDS!P$27*$AG149)))),IF($AG149&lt;43.8,WeightSDS!M$29*$AG149^10+WeightSDS!N$29*$AG149^9+WeightSDS!O$29*$AG149^8+WeightSDS!P$29*$AG149^7+WeightSDS!Q$29*$AG149^6+WeightSDS!R$29*$AG149^5+WeightSDS!S$29*$AG149^4+WeightSDS!T$29*$AG149^3+WeightSDS!U$29*$AG149^2+WeightSDS!V$29*$AG149+WeightSDS!W$29-0.010431*(1-$AG149/210),IF($AG149&lt;123,WeightSDS!M$30*$AG149^10+WeightSDS!N$30*$AG149^9+WeightSDS!O$30*$AG149^8+WeightSDS!P$30*$AG149^7+WeightSDS!Q$30*$AG149^6+WeightSDS!R$30*$AG149^5+WeightSDS!S$30*$AG149^4+WeightSDS!T$30*$AG149^3+WeightSDS!U$30*$AG149^2+WeightSDS!V$30*$AG149+WeightSDS!W$30-0.010431*(1-1/$AG149),WeightSDS!M$32+WeightSDS!N$32/(1+EXP(WeightSDS!O$32+WeightSDS!P$32*$AG149))-0.010431*(1-$AG149/210))))</f>
        <v>2.9500001032655536</v>
      </c>
      <c r="AK149" s="24">
        <f>IF(D149="M",IF($AG149&lt;162,WeightSDS!P$12*$AG149^7+WeightSDS!Q$12*$AG149^6+WeightSDS!R$12*$AG149^5+WeightSDS!S$12*$AG149^4+WeightSDS!T$12*$AG149^3+WeightSDS!U$12*$AG149^2+WeightSDS!V$12*$AG149+WeightSDS!W$12,WeightSDS!P$14*$AG149^7+WeightSDS!Q$14*$AG149^6+WeightSDS!R$14*$AG149^5+WeightSDS!S$14*$AG149^4+WeightSDS!T$14*$AG149^3+WeightSDS!U$14*$AG149^2+WeightSDS!V$14*$AG149+WeightSDS!W$14),IF($AG149&lt;156,WeightSDS!O$17*$AG149^8+WeightSDS!P$17*$AG149^7+WeightSDS!Q$17*$AG149^6+WeightSDS!R$17*$AG149^5+WeightSDS!S$17*$AG149^4+WeightSDS!T$17*$AG149^3+WeightSDS!U$17*$AG149^2+WeightSDS!V$17*$AG149+WeightSDS!W$17,IF($AG149&lt;186,WeightSDS!$U$18+(WeightSDS!$V$18-WeightSDS!$U$18)/24*($AG149-186)+WeightSDS!$W$18*(-$AG149+186)^2-0.005,WeightSDS!$U$18+(WeightSDS!$V$18-WeightSDS!$U$18)/24*($AG149-186)-0.005)))</f>
        <v>0.14604529399999999</v>
      </c>
    </row>
    <row r="150" spans="1:37">
      <c r="A150" s="4"/>
      <c r="B150" s="21"/>
      <c r="C150" s="21"/>
      <c r="D150" s="21"/>
      <c r="E150" s="22"/>
      <c r="F150" s="22"/>
      <c r="G150" s="23"/>
      <c r="H150" s="23"/>
      <c r="I150" s="8" t="str">
        <f t="shared" si="34"/>
        <v/>
      </c>
      <c r="J150" s="2" t="str">
        <f t="shared" si="41"/>
        <v/>
      </c>
      <c r="K150" s="2" t="str">
        <f t="shared" si="35"/>
        <v/>
      </c>
      <c r="L150" s="2" t="str">
        <f t="shared" si="42"/>
        <v/>
      </c>
      <c r="M150" s="2" t="str">
        <f t="shared" si="47"/>
        <v/>
      </c>
      <c r="N150" s="2" t="str">
        <f t="shared" si="43"/>
        <v/>
      </c>
      <c r="O150" s="8" t="str">
        <f t="shared" si="44"/>
        <v/>
      </c>
      <c r="P150" s="8" t="str">
        <f t="shared" si="45"/>
        <v/>
      </c>
      <c r="Q150" s="40" t="str">
        <f t="shared" si="36"/>
        <v/>
      </c>
      <c r="R150" s="48" t="str">
        <f t="shared" si="46"/>
        <v/>
      </c>
      <c r="S150" s="8"/>
      <c r="U150" s="35">
        <f t="shared" si="37"/>
        <v>0</v>
      </c>
      <c r="V150" s="24">
        <f t="shared" si="38"/>
        <v>0</v>
      </c>
      <c r="W150" s="41">
        <f t="shared" si="33"/>
        <v>0</v>
      </c>
      <c r="X150" s="31"/>
      <c r="Y150" s="31"/>
      <c r="Z150" s="31"/>
      <c r="AA150" s="25">
        <f t="shared" si="39"/>
        <v>9.0359999999999996</v>
      </c>
      <c r="AB150" s="25">
        <f t="shared" si="40"/>
        <v>-184.49199999999999</v>
      </c>
      <c r="AD150" s="24">
        <f>IF(D150="M",IF(AG150&lt;78,BMILMS!$D$5*AG150^3+BMILMS!$E$5*AG150^2+BMILMS!$F$5*AG150+BMILMS!$G$5,IF(AG150&lt;150,BMILMS!$D$6*AG150^3+BMILMS!$E$6*AG150^2+BMILMS!$F$6*AG150+BMILMS!$G$6,BMILMS!$D$7*AG150^3+BMILMS!$E$7*AG150^2+BMILMS!$F$7*AG150+BMILMS!$G$7)),IF(AG150&lt;69,BMILMS!$D$9*AG150^3+BMILMS!$E$9*AG150^2+BMILMS!$F$9*AG150+BMILMS!$G$9,IF(AG150&lt;150,BMILMS!$D$10*AG150^3+BMILMS!$E$10*AG150^2+BMILMS!$F$10*AG150+BMILMS!$G$10,BMILMS!$D$11*AG150^3+BMILMS!$E$11*AG150^2+BMILMS!$F$11*AG150+BMILMS!$G$11)))</f>
        <v>0.79584630099999998</v>
      </c>
      <c r="AE150" s="24">
        <f>IF(D150="M",(IF(AG150&lt;2.5,BMILMS!$D$21*AG150^3+BMILMS!$E$21*AG150^2+BMILMS!$F$21*AG150+BMILMS!$G$21,IF(AG150&lt;9.5,BMILMS!$D$22*AG150^3+BMILMS!$E$22*AG150^2+BMILMS!$F$22*AG150+BMILMS!$G$22,IF(AG150&lt;26.75,BMILMS!$D$23*AG150^3+BMILMS!$E$23*AG150^2+BMILMS!$F$23*AG150+BMILMS!$G$23,IF(AG150&lt;90,BMILMS!$D$24*AG150^3+BMILMS!$E$24*AG150^2+BMILMS!$F$24*AG150+BMILMS!$G$24,BMILMS!$D$25*AG150^3+BMILMS!$E$25*AG150^2+BMILMS!$F$25*AG150+BMILMS!$G$25))))),(IF(AG150&lt;2.5,BMILMS!$D$27*AG150^3+BMILMS!$E$27*AG150^2+BMILMS!$F$27*AG150+BMILMS!$G$27,IF(AG150&lt;9.5,BMILMS!$D$28*AG150^3+BMILMS!$E$28*AG150^2+BMILMS!$F$28*AG150+BMILMS!$G$28,IF(AG150&lt;26.75,BMILMS!$D$29*AG150^3+BMILMS!$E$29*AG150^2+BMILMS!$F$29*AG150+BMILMS!$G$29,IF(AG150&lt;90,BMILMS!$D$30*AG150^3+BMILMS!$E$30*AG150^2+BMILMS!$F$30*AG150+BMILMS!$G$30,IF(AG150&lt;150,BMILMS!$D$31*AG150^3+BMILMS!$E$31*AG150^2+BMILMS!$F$31*AG150+BMILMS!$G$31,BMILMS!$D$32*AG150^3+BMILMS!$E$32*AG150^2+BMILMS!$F$32*AG150+BMILMS!$G$32)))))))</f>
        <v>12.568967990000001</v>
      </c>
      <c r="AF150" s="24">
        <f>IF(D150="M",(IF(AG150&lt;90,BMILMS!$D$14*AG150^3+BMILMS!$E$14*AG150^2+BMILMS!$F$14*AG150+BMILMS!$G$14,BMILMS!$D$15*AG150^3+BMILMS!$E$15*AG150^2+BMILMS!$F$15*AG150+BMILMS!$G$15)),(IF(AG150&lt;90,BMILMS!$D$17*AG150^3+BMILMS!$E$17*AG150^2+BMILMS!$F$17*AG150+BMILMS!$G$17,BMILMS!$D$18*AG150^3+BMILMS!$E$18*AG150^2+BMILMS!$F$18*AG150+BMILMS!$G$18)))</f>
        <v>8.8969350000000003E-2</v>
      </c>
      <c r="AG150" s="24">
        <f t="shared" si="48"/>
        <v>0</v>
      </c>
      <c r="AI150" s="38">
        <f>IF(D150="M",WeightSDS!P$5*$AG150^7+WeightSDS!Q$5*$AG150^6+WeightSDS!R$5*$AG150^5+WeightSDS!S$5*$AG150^4+WeightSDS!T$5*$AG150^3+WeightSDS!U$5*$AG150^2+WeightSDS!V$5*$AG150+WeightSDS!W$5,IF($AG150&lt;186,WeightSDS!P$8*$AG150^7+WeightSDS!Q$8*$AG150^6+WeightSDS!R$8*$AG150^5+WeightSDS!S$8*$AG150^4+WeightSDS!T$8*$AG150^3+WeightSDS!U$8*$AG150^2+WeightSDS!V$8*$AG150+WeightSDS!W$8,WeightSDS!$U$9-WeightSDS!$V$9*($AG150-WeightSDS!$W$9)))</f>
        <v>0.75407122999999998</v>
      </c>
      <c r="AJ150" s="24">
        <f>IF(D150="M",IF($AG150&lt;45,WeightSDS!M$23*$AG150^10+WeightSDS!N$23*$AG150^9+WeightSDS!O$23*$AG150^8+WeightSDS!P$23*$AG150^7+WeightSDS!Q$23*$AG150^6+WeightSDS!R$23*$AG150^5+WeightSDS!S$23*$AG150^4+WeightSDS!T$23*$AG150^3+WeightSDS!U$23*$AG150^2+WeightSDS!V$23*$AG150+WeightSDS!W$23,IF($AG150&lt;153,WeightSDS!M$25*$AG150^10+WeightSDS!N$25*$AG150^9+WeightSDS!O$25*$AG150^8+WeightSDS!P$25*$AG150^7+WeightSDS!Q$25*$AG150^6+WeightSDS!R$25*$AG150^5+WeightSDS!S$25*$AG150^4+WeightSDS!T$25*$AG150^3+WeightSDS!U$25*$AG150^2+WeightSDS!V$25*$AG150+WeightSDS!W$25,WeightSDS!M$27+WeightSDS!N$27/(1+EXP(WeightSDS!O$27+WeightSDS!P$27*$AG150)))),IF($AG150&lt;43.8,WeightSDS!M$29*$AG150^10+WeightSDS!N$29*$AG150^9+WeightSDS!O$29*$AG150^8+WeightSDS!P$29*$AG150^7+WeightSDS!Q$29*$AG150^6+WeightSDS!R$29*$AG150^5+WeightSDS!S$29*$AG150^4+WeightSDS!T$29*$AG150^3+WeightSDS!U$29*$AG150^2+WeightSDS!V$29*$AG150+WeightSDS!W$29-0.010431*(1-$AG150/210),IF($AG150&lt;123,WeightSDS!M$30*$AG150^10+WeightSDS!N$30*$AG150^9+WeightSDS!O$30*$AG150^8+WeightSDS!P$30*$AG150^7+WeightSDS!Q$30*$AG150^6+WeightSDS!R$30*$AG150^5+WeightSDS!S$30*$AG150^4+WeightSDS!T$30*$AG150^3+WeightSDS!U$30*$AG150^2+WeightSDS!V$30*$AG150+WeightSDS!W$30-0.010431*(1-1/$AG150),WeightSDS!M$32+WeightSDS!N$32/(1+EXP(WeightSDS!O$32+WeightSDS!P$32*$AG150))-0.010431*(1-$AG150/210))))</f>
        <v>2.9500001032655536</v>
      </c>
      <c r="AK150" s="24">
        <f>IF(D150="M",IF($AG150&lt;162,WeightSDS!P$12*$AG150^7+WeightSDS!Q$12*$AG150^6+WeightSDS!R$12*$AG150^5+WeightSDS!S$12*$AG150^4+WeightSDS!T$12*$AG150^3+WeightSDS!U$12*$AG150^2+WeightSDS!V$12*$AG150+WeightSDS!W$12,WeightSDS!P$14*$AG150^7+WeightSDS!Q$14*$AG150^6+WeightSDS!R$14*$AG150^5+WeightSDS!S$14*$AG150^4+WeightSDS!T$14*$AG150^3+WeightSDS!U$14*$AG150^2+WeightSDS!V$14*$AG150+WeightSDS!W$14),IF($AG150&lt;156,WeightSDS!O$17*$AG150^8+WeightSDS!P$17*$AG150^7+WeightSDS!Q$17*$AG150^6+WeightSDS!R$17*$AG150^5+WeightSDS!S$17*$AG150^4+WeightSDS!T$17*$AG150^3+WeightSDS!U$17*$AG150^2+WeightSDS!V$17*$AG150+WeightSDS!W$17,IF($AG150&lt;186,WeightSDS!$U$18+(WeightSDS!$V$18-WeightSDS!$U$18)/24*($AG150-186)+WeightSDS!$W$18*(-$AG150+186)^2-0.005,WeightSDS!$U$18+(WeightSDS!$V$18-WeightSDS!$U$18)/24*($AG150-186)-0.005)))</f>
        <v>0.14604529399999999</v>
      </c>
    </row>
    <row r="151" spans="1:37">
      <c r="A151" s="4"/>
      <c r="B151" s="21"/>
      <c r="C151" s="21"/>
      <c r="D151" s="21"/>
      <c r="E151" s="22"/>
      <c r="F151" s="22"/>
      <c r="G151" s="23"/>
      <c r="H151" s="23"/>
      <c r="I151" s="8" t="str">
        <f t="shared" si="34"/>
        <v/>
      </c>
      <c r="J151" s="2" t="str">
        <f t="shared" si="41"/>
        <v/>
      </c>
      <c r="K151" s="2" t="str">
        <f t="shared" si="35"/>
        <v/>
      </c>
      <c r="L151" s="2" t="str">
        <f t="shared" si="42"/>
        <v/>
      </c>
      <c r="M151" s="2" t="str">
        <f t="shared" si="47"/>
        <v/>
      </c>
      <c r="N151" s="2" t="str">
        <f t="shared" si="43"/>
        <v/>
      </c>
      <c r="O151" s="8" t="str">
        <f t="shared" si="44"/>
        <v/>
      </c>
      <c r="P151" s="8" t="str">
        <f t="shared" si="45"/>
        <v/>
      </c>
      <c r="Q151" s="40" t="str">
        <f t="shared" si="36"/>
        <v/>
      </c>
      <c r="R151" s="48" t="str">
        <f t="shared" si="46"/>
        <v/>
      </c>
      <c r="S151" s="8"/>
      <c r="U151" s="35">
        <f t="shared" si="37"/>
        <v>0</v>
      </c>
      <c r="V151" s="24">
        <f t="shared" si="38"/>
        <v>0</v>
      </c>
      <c r="W151" s="41">
        <f t="shared" si="33"/>
        <v>0</v>
      </c>
      <c r="X151" s="31"/>
      <c r="Y151" s="31"/>
      <c r="Z151" s="31"/>
      <c r="AA151" s="25">
        <f t="shared" si="39"/>
        <v>9.0359999999999996</v>
      </c>
      <c r="AB151" s="25">
        <f t="shared" si="40"/>
        <v>-184.49199999999999</v>
      </c>
      <c r="AD151" s="24">
        <f>IF(D151="M",IF(AG151&lt;78,BMILMS!$D$5*AG151^3+BMILMS!$E$5*AG151^2+BMILMS!$F$5*AG151+BMILMS!$G$5,IF(AG151&lt;150,BMILMS!$D$6*AG151^3+BMILMS!$E$6*AG151^2+BMILMS!$F$6*AG151+BMILMS!$G$6,BMILMS!$D$7*AG151^3+BMILMS!$E$7*AG151^2+BMILMS!$F$7*AG151+BMILMS!$G$7)),IF(AG151&lt;69,BMILMS!$D$9*AG151^3+BMILMS!$E$9*AG151^2+BMILMS!$F$9*AG151+BMILMS!$G$9,IF(AG151&lt;150,BMILMS!$D$10*AG151^3+BMILMS!$E$10*AG151^2+BMILMS!$F$10*AG151+BMILMS!$G$10,BMILMS!$D$11*AG151^3+BMILMS!$E$11*AG151^2+BMILMS!$F$11*AG151+BMILMS!$G$11)))</f>
        <v>0.79584630099999998</v>
      </c>
      <c r="AE151" s="24">
        <f>IF(D151="M",(IF(AG151&lt;2.5,BMILMS!$D$21*AG151^3+BMILMS!$E$21*AG151^2+BMILMS!$F$21*AG151+BMILMS!$G$21,IF(AG151&lt;9.5,BMILMS!$D$22*AG151^3+BMILMS!$E$22*AG151^2+BMILMS!$F$22*AG151+BMILMS!$G$22,IF(AG151&lt;26.75,BMILMS!$D$23*AG151^3+BMILMS!$E$23*AG151^2+BMILMS!$F$23*AG151+BMILMS!$G$23,IF(AG151&lt;90,BMILMS!$D$24*AG151^3+BMILMS!$E$24*AG151^2+BMILMS!$F$24*AG151+BMILMS!$G$24,BMILMS!$D$25*AG151^3+BMILMS!$E$25*AG151^2+BMILMS!$F$25*AG151+BMILMS!$G$25))))),(IF(AG151&lt;2.5,BMILMS!$D$27*AG151^3+BMILMS!$E$27*AG151^2+BMILMS!$F$27*AG151+BMILMS!$G$27,IF(AG151&lt;9.5,BMILMS!$D$28*AG151^3+BMILMS!$E$28*AG151^2+BMILMS!$F$28*AG151+BMILMS!$G$28,IF(AG151&lt;26.75,BMILMS!$D$29*AG151^3+BMILMS!$E$29*AG151^2+BMILMS!$F$29*AG151+BMILMS!$G$29,IF(AG151&lt;90,BMILMS!$D$30*AG151^3+BMILMS!$E$30*AG151^2+BMILMS!$F$30*AG151+BMILMS!$G$30,IF(AG151&lt;150,BMILMS!$D$31*AG151^3+BMILMS!$E$31*AG151^2+BMILMS!$F$31*AG151+BMILMS!$G$31,BMILMS!$D$32*AG151^3+BMILMS!$E$32*AG151^2+BMILMS!$F$32*AG151+BMILMS!$G$32)))))))</f>
        <v>12.568967990000001</v>
      </c>
      <c r="AF151" s="24">
        <f>IF(D151="M",(IF(AG151&lt;90,BMILMS!$D$14*AG151^3+BMILMS!$E$14*AG151^2+BMILMS!$F$14*AG151+BMILMS!$G$14,BMILMS!$D$15*AG151^3+BMILMS!$E$15*AG151^2+BMILMS!$F$15*AG151+BMILMS!$G$15)),(IF(AG151&lt;90,BMILMS!$D$17*AG151^3+BMILMS!$E$17*AG151^2+BMILMS!$F$17*AG151+BMILMS!$G$17,BMILMS!$D$18*AG151^3+BMILMS!$E$18*AG151^2+BMILMS!$F$18*AG151+BMILMS!$G$18)))</f>
        <v>8.8969350000000003E-2</v>
      </c>
      <c r="AG151" s="24">
        <f t="shared" si="48"/>
        <v>0</v>
      </c>
      <c r="AI151" s="38">
        <f>IF(D151="M",WeightSDS!P$5*$AG151^7+WeightSDS!Q$5*$AG151^6+WeightSDS!R$5*$AG151^5+WeightSDS!S$5*$AG151^4+WeightSDS!T$5*$AG151^3+WeightSDS!U$5*$AG151^2+WeightSDS!V$5*$AG151+WeightSDS!W$5,IF($AG151&lt;186,WeightSDS!P$8*$AG151^7+WeightSDS!Q$8*$AG151^6+WeightSDS!R$8*$AG151^5+WeightSDS!S$8*$AG151^4+WeightSDS!T$8*$AG151^3+WeightSDS!U$8*$AG151^2+WeightSDS!V$8*$AG151+WeightSDS!W$8,WeightSDS!$U$9-WeightSDS!$V$9*($AG151-WeightSDS!$W$9)))</f>
        <v>0.75407122999999998</v>
      </c>
      <c r="AJ151" s="24">
        <f>IF(D151="M",IF($AG151&lt;45,WeightSDS!M$23*$AG151^10+WeightSDS!N$23*$AG151^9+WeightSDS!O$23*$AG151^8+WeightSDS!P$23*$AG151^7+WeightSDS!Q$23*$AG151^6+WeightSDS!R$23*$AG151^5+WeightSDS!S$23*$AG151^4+WeightSDS!T$23*$AG151^3+WeightSDS!U$23*$AG151^2+WeightSDS!V$23*$AG151+WeightSDS!W$23,IF($AG151&lt;153,WeightSDS!M$25*$AG151^10+WeightSDS!N$25*$AG151^9+WeightSDS!O$25*$AG151^8+WeightSDS!P$25*$AG151^7+WeightSDS!Q$25*$AG151^6+WeightSDS!R$25*$AG151^5+WeightSDS!S$25*$AG151^4+WeightSDS!T$25*$AG151^3+WeightSDS!U$25*$AG151^2+WeightSDS!V$25*$AG151+WeightSDS!W$25,WeightSDS!M$27+WeightSDS!N$27/(1+EXP(WeightSDS!O$27+WeightSDS!P$27*$AG151)))),IF($AG151&lt;43.8,WeightSDS!M$29*$AG151^10+WeightSDS!N$29*$AG151^9+WeightSDS!O$29*$AG151^8+WeightSDS!P$29*$AG151^7+WeightSDS!Q$29*$AG151^6+WeightSDS!R$29*$AG151^5+WeightSDS!S$29*$AG151^4+WeightSDS!T$29*$AG151^3+WeightSDS!U$29*$AG151^2+WeightSDS!V$29*$AG151+WeightSDS!W$29-0.010431*(1-$AG151/210),IF($AG151&lt;123,WeightSDS!M$30*$AG151^10+WeightSDS!N$30*$AG151^9+WeightSDS!O$30*$AG151^8+WeightSDS!P$30*$AG151^7+WeightSDS!Q$30*$AG151^6+WeightSDS!R$30*$AG151^5+WeightSDS!S$30*$AG151^4+WeightSDS!T$30*$AG151^3+WeightSDS!U$30*$AG151^2+WeightSDS!V$30*$AG151+WeightSDS!W$30-0.010431*(1-1/$AG151),WeightSDS!M$32+WeightSDS!N$32/(1+EXP(WeightSDS!O$32+WeightSDS!P$32*$AG151))-0.010431*(1-$AG151/210))))</f>
        <v>2.9500001032655536</v>
      </c>
      <c r="AK151" s="24">
        <f>IF(D151="M",IF($AG151&lt;162,WeightSDS!P$12*$AG151^7+WeightSDS!Q$12*$AG151^6+WeightSDS!R$12*$AG151^5+WeightSDS!S$12*$AG151^4+WeightSDS!T$12*$AG151^3+WeightSDS!U$12*$AG151^2+WeightSDS!V$12*$AG151+WeightSDS!W$12,WeightSDS!P$14*$AG151^7+WeightSDS!Q$14*$AG151^6+WeightSDS!R$14*$AG151^5+WeightSDS!S$14*$AG151^4+WeightSDS!T$14*$AG151^3+WeightSDS!U$14*$AG151^2+WeightSDS!V$14*$AG151+WeightSDS!W$14),IF($AG151&lt;156,WeightSDS!O$17*$AG151^8+WeightSDS!P$17*$AG151^7+WeightSDS!Q$17*$AG151^6+WeightSDS!R$17*$AG151^5+WeightSDS!S$17*$AG151^4+WeightSDS!T$17*$AG151^3+WeightSDS!U$17*$AG151^2+WeightSDS!V$17*$AG151+WeightSDS!W$17,IF($AG151&lt;186,WeightSDS!$U$18+(WeightSDS!$V$18-WeightSDS!$U$18)/24*($AG151-186)+WeightSDS!$W$18*(-$AG151+186)^2-0.005,WeightSDS!$U$18+(WeightSDS!$V$18-WeightSDS!$U$18)/24*($AG151-186)-0.005)))</f>
        <v>0.14604529399999999</v>
      </c>
    </row>
    <row r="152" spans="1:37">
      <c r="A152" s="4"/>
      <c r="B152" s="21"/>
      <c r="C152" s="21"/>
      <c r="D152" s="21"/>
      <c r="E152" s="22"/>
      <c r="F152" s="22"/>
      <c r="G152" s="23"/>
      <c r="H152" s="23"/>
      <c r="I152" s="8" t="str">
        <f t="shared" si="34"/>
        <v/>
      </c>
      <c r="J152" s="2" t="str">
        <f t="shared" si="41"/>
        <v/>
      </c>
      <c r="K152" s="2" t="str">
        <f t="shared" si="35"/>
        <v/>
      </c>
      <c r="L152" s="2" t="str">
        <f t="shared" si="42"/>
        <v/>
      </c>
      <c r="M152" s="2" t="str">
        <f t="shared" si="47"/>
        <v/>
      </c>
      <c r="N152" s="2" t="str">
        <f t="shared" si="43"/>
        <v/>
      </c>
      <c r="O152" s="8" t="str">
        <f t="shared" si="44"/>
        <v/>
      </c>
      <c r="P152" s="8" t="str">
        <f t="shared" si="45"/>
        <v/>
      </c>
      <c r="Q152" s="40" t="str">
        <f t="shared" si="36"/>
        <v/>
      </c>
      <c r="R152" s="48" t="str">
        <f t="shared" si="46"/>
        <v/>
      </c>
      <c r="S152" s="8"/>
      <c r="U152" s="35">
        <f t="shared" si="37"/>
        <v>0</v>
      </c>
      <c r="V152" s="24">
        <f t="shared" si="38"/>
        <v>0</v>
      </c>
      <c r="W152" s="41">
        <f t="shared" si="33"/>
        <v>0</v>
      </c>
      <c r="X152" s="31"/>
      <c r="Y152" s="31"/>
      <c r="Z152" s="31"/>
      <c r="AA152" s="25">
        <f t="shared" si="39"/>
        <v>9.0359999999999996</v>
      </c>
      <c r="AB152" s="25">
        <f t="shared" si="40"/>
        <v>-184.49199999999999</v>
      </c>
      <c r="AD152" s="24">
        <f>IF(D152="M",IF(AG152&lt;78,BMILMS!$D$5*AG152^3+BMILMS!$E$5*AG152^2+BMILMS!$F$5*AG152+BMILMS!$G$5,IF(AG152&lt;150,BMILMS!$D$6*AG152^3+BMILMS!$E$6*AG152^2+BMILMS!$F$6*AG152+BMILMS!$G$6,BMILMS!$D$7*AG152^3+BMILMS!$E$7*AG152^2+BMILMS!$F$7*AG152+BMILMS!$G$7)),IF(AG152&lt;69,BMILMS!$D$9*AG152^3+BMILMS!$E$9*AG152^2+BMILMS!$F$9*AG152+BMILMS!$G$9,IF(AG152&lt;150,BMILMS!$D$10*AG152^3+BMILMS!$E$10*AG152^2+BMILMS!$F$10*AG152+BMILMS!$G$10,BMILMS!$D$11*AG152^3+BMILMS!$E$11*AG152^2+BMILMS!$F$11*AG152+BMILMS!$G$11)))</f>
        <v>0.79584630099999998</v>
      </c>
      <c r="AE152" s="24">
        <f>IF(D152="M",(IF(AG152&lt;2.5,BMILMS!$D$21*AG152^3+BMILMS!$E$21*AG152^2+BMILMS!$F$21*AG152+BMILMS!$G$21,IF(AG152&lt;9.5,BMILMS!$D$22*AG152^3+BMILMS!$E$22*AG152^2+BMILMS!$F$22*AG152+BMILMS!$G$22,IF(AG152&lt;26.75,BMILMS!$D$23*AG152^3+BMILMS!$E$23*AG152^2+BMILMS!$F$23*AG152+BMILMS!$G$23,IF(AG152&lt;90,BMILMS!$D$24*AG152^3+BMILMS!$E$24*AG152^2+BMILMS!$F$24*AG152+BMILMS!$G$24,BMILMS!$D$25*AG152^3+BMILMS!$E$25*AG152^2+BMILMS!$F$25*AG152+BMILMS!$G$25))))),(IF(AG152&lt;2.5,BMILMS!$D$27*AG152^3+BMILMS!$E$27*AG152^2+BMILMS!$F$27*AG152+BMILMS!$G$27,IF(AG152&lt;9.5,BMILMS!$D$28*AG152^3+BMILMS!$E$28*AG152^2+BMILMS!$F$28*AG152+BMILMS!$G$28,IF(AG152&lt;26.75,BMILMS!$D$29*AG152^3+BMILMS!$E$29*AG152^2+BMILMS!$F$29*AG152+BMILMS!$G$29,IF(AG152&lt;90,BMILMS!$D$30*AG152^3+BMILMS!$E$30*AG152^2+BMILMS!$F$30*AG152+BMILMS!$G$30,IF(AG152&lt;150,BMILMS!$D$31*AG152^3+BMILMS!$E$31*AG152^2+BMILMS!$F$31*AG152+BMILMS!$G$31,BMILMS!$D$32*AG152^3+BMILMS!$E$32*AG152^2+BMILMS!$F$32*AG152+BMILMS!$G$32)))))))</f>
        <v>12.568967990000001</v>
      </c>
      <c r="AF152" s="24">
        <f>IF(D152="M",(IF(AG152&lt;90,BMILMS!$D$14*AG152^3+BMILMS!$E$14*AG152^2+BMILMS!$F$14*AG152+BMILMS!$G$14,BMILMS!$D$15*AG152^3+BMILMS!$E$15*AG152^2+BMILMS!$F$15*AG152+BMILMS!$G$15)),(IF(AG152&lt;90,BMILMS!$D$17*AG152^3+BMILMS!$E$17*AG152^2+BMILMS!$F$17*AG152+BMILMS!$G$17,BMILMS!$D$18*AG152^3+BMILMS!$E$18*AG152^2+BMILMS!$F$18*AG152+BMILMS!$G$18)))</f>
        <v>8.8969350000000003E-2</v>
      </c>
      <c r="AG152" s="24">
        <f t="shared" si="48"/>
        <v>0</v>
      </c>
      <c r="AI152" s="38">
        <f>IF(D152="M",WeightSDS!P$5*$AG152^7+WeightSDS!Q$5*$AG152^6+WeightSDS!R$5*$AG152^5+WeightSDS!S$5*$AG152^4+WeightSDS!T$5*$AG152^3+WeightSDS!U$5*$AG152^2+WeightSDS!V$5*$AG152+WeightSDS!W$5,IF($AG152&lt;186,WeightSDS!P$8*$AG152^7+WeightSDS!Q$8*$AG152^6+WeightSDS!R$8*$AG152^5+WeightSDS!S$8*$AG152^4+WeightSDS!T$8*$AG152^3+WeightSDS!U$8*$AG152^2+WeightSDS!V$8*$AG152+WeightSDS!W$8,WeightSDS!$U$9-WeightSDS!$V$9*($AG152-WeightSDS!$W$9)))</f>
        <v>0.75407122999999998</v>
      </c>
      <c r="AJ152" s="24">
        <f>IF(D152="M",IF($AG152&lt;45,WeightSDS!M$23*$AG152^10+WeightSDS!N$23*$AG152^9+WeightSDS!O$23*$AG152^8+WeightSDS!P$23*$AG152^7+WeightSDS!Q$23*$AG152^6+WeightSDS!R$23*$AG152^5+WeightSDS!S$23*$AG152^4+WeightSDS!T$23*$AG152^3+WeightSDS!U$23*$AG152^2+WeightSDS!V$23*$AG152+WeightSDS!W$23,IF($AG152&lt;153,WeightSDS!M$25*$AG152^10+WeightSDS!N$25*$AG152^9+WeightSDS!O$25*$AG152^8+WeightSDS!P$25*$AG152^7+WeightSDS!Q$25*$AG152^6+WeightSDS!R$25*$AG152^5+WeightSDS!S$25*$AG152^4+WeightSDS!T$25*$AG152^3+WeightSDS!U$25*$AG152^2+WeightSDS!V$25*$AG152+WeightSDS!W$25,WeightSDS!M$27+WeightSDS!N$27/(1+EXP(WeightSDS!O$27+WeightSDS!P$27*$AG152)))),IF($AG152&lt;43.8,WeightSDS!M$29*$AG152^10+WeightSDS!N$29*$AG152^9+WeightSDS!O$29*$AG152^8+WeightSDS!P$29*$AG152^7+WeightSDS!Q$29*$AG152^6+WeightSDS!R$29*$AG152^5+WeightSDS!S$29*$AG152^4+WeightSDS!T$29*$AG152^3+WeightSDS!U$29*$AG152^2+WeightSDS!V$29*$AG152+WeightSDS!W$29-0.010431*(1-$AG152/210),IF($AG152&lt;123,WeightSDS!M$30*$AG152^10+WeightSDS!N$30*$AG152^9+WeightSDS!O$30*$AG152^8+WeightSDS!P$30*$AG152^7+WeightSDS!Q$30*$AG152^6+WeightSDS!R$30*$AG152^5+WeightSDS!S$30*$AG152^4+WeightSDS!T$30*$AG152^3+WeightSDS!U$30*$AG152^2+WeightSDS!V$30*$AG152+WeightSDS!W$30-0.010431*(1-1/$AG152),WeightSDS!M$32+WeightSDS!N$32/(1+EXP(WeightSDS!O$32+WeightSDS!P$32*$AG152))-0.010431*(1-$AG152/210))))</f>
        <v>2.9500001032655536</v>
      </c>
      <c r="AK152" s="24">
        <f>IF(D152="M",IF($AG152&lt;162,WeightSDS!P$12*$AG152^7+WeightSDS!Q$12*$AG152^6+WeightSDS!R$12*$AG152^5+WeightSDS!S$12*$AG152^4+WeightSDS!T$12*$AG152^3+WeightSDS!U$12*$AG152^2+WeightSDS!V$12*$AG152+WeightSDS!W$12,WeightSDS!P$14*$AG152^7+WeightSDS!Q$14*$AG152^6+WeightSDS!R$14*$AG152^5+WeightSDS!S$14*$AG152^4+WeightSDS!T$14*$AG152^3+WeightSDS!U$14*$AG152^2+WeightSDS!V$14*$AG152+WeightSDS!W$14),IF($AG152&lt;156,WeightSDS!O$17*$AG152^8+WeightSDS!P$17*$AG152^7+WeightSDS!Q$17*$AG152^6+WeightSDS!R$17*$AG152^5+WeightSDS!S$17*$AG152^4+WeightSDS!T$17*$AG152^3+WeightSDS!U$17*$AG152^2+WeightSDS!V$17*$AG152+WeightSDS!W$17,IF($AG152&lt;186,WeightSDS!$U$18+(WeightSDS!$V$18-WeightSDS!$U$18)/24*($AG152-186)+WeightSDS!$W$18*(-$AG152+186)^2-0.005,WeightSDS!$U$18+(WeightSDS!$V$18-WeightSDS!$U$18)/24*($AG152-186)-0.005)))</f>
        <v>0.14604529399999999</v>
      </c>
    </row>
    <row r="153" spans="1:37">
      <c r="A153" s="4"/>
      <c r="B153" s="21"/>
      <c r="C153" s="21"/>
      <c r="D153" s="21"/>
      <c r="E153" s="22"/>
      <c r="F153" s="22"/>
      <c r="G153" s="23"/>
      <c r="H153" s="23"/>
      <c r="I153" s="8" t="str">
        <f t="shared" si="34"/>
        <v/>
      </c>
      <c r="J153" s="2" t="str">
        <f t="shared" si="41"/>
        <v/>
      </c>
      <c r="K153" s="2" t="str">
        <f t="shared" si="35"/>
        <v/>
      </c>
      <c r="L153" s="2" t="str">
        <f t="shared" si="42"/>
        <v/>
      </c>
      <c r="M153" s="2" t="str">
        <f t="shared" si="47"/>
        <v/>
      </c>
      <c r="N153" s="2" t="str">
        <f t="shared" si="43"/>
        <v/>
      </c>
      <c r="O153" s="8" t="str">
        <f t="shared" si="44"/>
        <v/>
      </c>
      <c r="P153" s="8" t="str">
        <f t="shared" si="45"/>
        <v/>
      </c>
      <c r="Q153" s="40" t="str">
        <f t="shared" si="36"/>
        <v/>
      </c>
      <c r="R153" s="48" t="str">
        <f t="shared" si="46"/>
        <v/>
      </c>
      <c r="S153" s="8"/>
      <c r="U153" s="35">
        <f t="shared" si="37"/>
        <v>0</v>
      </c>
      <c r="V153" s="24">
        <f t="shared" si="38"/>
        <v>0</v>
      </c>
      <c r="W153" s="41">
        <f t="shared" si="33"/>
        <v>0</v>
      </c>
      <c r="X153" s="31"/>
      <c r="Y153" s="31"/>
      <c r="Z153" s="31"/>
      <c r="AA153" s="25">
        <f t="shared" si="39"/>
        <v>9.0359999999999996</v>
      </c>
      <c r="AB153" s="25">
        <f t="shared" si="40"/>
        <v>-184.49199999999999</v>
      </c>
      <c r="AD153" s="24">
        <f>IF(D153="M",IF(AG153&lt;78,BMILMS!$D$5*AG153^3+BMILMS!$E$5*AG153^2+BMILMS!$F$5*AG153+BMILMS!$G$5,IF(AG153&lt;150,BMILMS!$D$6*AG153^3+BMILMS!$E$6*AG153^2+BMILMS!$F$6*AG153+BMILMS!$G$6,BMILMS!$D$7*AG153^3+BMILMS!$E$7*AG153^2+BMILMS!$F$7*AG153+BMILMS!$G$7)),IF(AG153&lt;69,BMILMS!$D$9*AG153^3+BMILMS!$E$9*AG153^2+BMILMS!$F$9*AG153+BMILMS!$G$9,IF(AG153&lt;150,BMILMS!$D$10*AG153^3+BMILMS!$E$10*AG153^2+BMILMS!$F$10*AG153+BMILMS!$G$10,BMILMS!$D$11*AG153^3+BMILMS!$E$11*AG153^2+BMILMS!$F$11*AG153+BMILMS!$G$11)))</f>
        <v>0.79584630099999998</v>
      </c>
      <c r="AE153" s="24">
        <f>IF(D153="M",(IF(AG153&lt;2.5,BMILMS!$D$21*AG153^3+BMILMS!$E$21*AG153^2+BMILMS!$F$21*AG153+BMILMS!$G$21,IF(AG153&lt;9.5,BMILMS!$D$22*AG153^3+BMILMS!$E$22*AG153^2+BMILMS!$F$22*AG153+BMILMS!$G$22,IF(AG153&lt;26.75,BMILMS!$D$23*AG153^3+BMILMS!$E$23*AG153^2+BMILMS!$F$23*AG153+BMILMS!$G$23,IF(AG153&lt;90,BMILMS!$D$24*AG153^3+BMILMS!$E$24*AG153^2+BMILMS!$F$24*AG153+BMILMS!$G$24,BMILMS!$D$25*AG153^3+BMILMS!$E$25*AG153^2+BMILMS!$F$25*AG153+BMILMS!$G$25))))),(IF(AG153&lt;2.5,BMILMS!$D$27*AG153^3+BMILMS!$E$27*AG153^2+BMILMS!$F$27*AG153+BMILMS!$G$27,IF(AG153&lt;9.5,BMILMS!$D$28*AG153^3+BMILMS!$E$28*AG153^2+BMILMS!$F$28*AG153+BMILMS!$G$28,IF(AG153&lt;26.75,BMILMS!$D$29*AG153^3+BMILMS!$E$29*AG153^2+BMILMS!$F$29*AG153+BMILMS!$G$29,IF(AG153&lt;90,BMILMS!$D$30*AG153^3+BMILMS!$E$30*AG153^2+BMILMS!$F$30*AG153+BMILMS!$G$30,IF(AG153&lt;150,BMILMS!$D$31*AG153^3+BMILMS!$E$31*AG153^2+BMILMS!$F$31*AG153+BMILMS!$G$31,BMILMS!$D$32*AG153^3+BMILMS!$E$32*AG153^2+BMILMS!$F$32*AG153+BMILMS!$G$32)))))))</f>
        <v>12.568967990000001</v>
      </c>
      <c r="AF153" s="24">
        <f>IF(D153="M",(IF(AG153&lt;90,BMILMS!$D$14*AG153^3+BMILMS!$E$14*AG153^2+BMILMS!$F$14*AG153+BMILMS!$G$14,BMILMS!$D$15*AG153^3+BMILMS!$E$15*AG153^2+BMILMS!$F$15*AG153+BMILMS!$G$15)),(IF(AG153&lt;90,BMILMS!$D$17*AG153^3+BMILMS!$E$17*AG153^2+BMILMS!$F$17*AG153+BMILMS!$G$17,BMILMS!$D$18*AG153^3+BMILMS!$E$18*AG153^2+BMILMS!$F$18*AG153+BMILMS!$G$18)))</f>
        <v>8.8969350000000003E-2</v>
      </c>
      <c r="AG153" s="24">
        <f t="shared" si="48"/>
        <v>0</v>
      </c>
      <c r="AI153" s="38">
        <f>IF(D153="M",WeightSDS!P$5*$AG153^7+WeightSDS!Q$5*$AG153^6+WeightSDS!R$5*$AG153^5+WeightSDS!S$5*$AG153^4+WeightSDS!T$5*$AG153^3+WeightSDS!U$5*$AG153^2+WeightSDS!V$5*$AG153+WeightSDS!W$5,IF($AG153&lt;186,WeightSDS!P$8*$AG153^7+WeightSDS!Q$8*$AG153^6+WeightSDS!R$8*$AG153^5+WeightSDS!S$8*$AG153^4+WeightSDS!T$8*$AG153^3+WeightSDS!U$8*$AG153^2+WeightSDS!V$8*$AG153+WeightSDS!W$8,WeightSDS!$U$9-WeightSDS!$V$9*($AG153-WeightSDS!$W$9)))</f>
        <v>0.75407122999999998</v>
      </c>
      <c r="AJ153" s="24">
        <f>IF(D153="M",IF($AG153&lt;45,WeightSDS!M$23*$AG153^10+WeightSDS!N$23*$AG153^9+WeightSDS!O$23*$AG153^8+WeightSDS!P$23*$AG153^7+WeightSDS!Q$23*$AG153^6+WeightSDS!R$23*$AG153^5+WeightSDS!S$23*$AG153^4+WeightSDS!T$23*$AG153^3+WeightSDS!U$23*$AG153^2+WeightSDS!V$23*$AG153+WeightSDS!W$23,IF($AG153&lt;153,WeightSDS!M$25*$AG153^10+WeightSDS!N$25*$AG153^9+WeightSDS!O$25*$AG153^8+WeightSDS!P$25*$AG153^7+WeightSDS!Q$25*$AG153^6+WeightSDS!R$25*$AG153^5+WeightSDS!S$25*$AG153^4+WeightSDS!T$25*$AG153^3+WeightSDS!U$25*$AG153^2+WeightSDS!V$25*$AG153+WeightSDS!W$25,WeightSDS!M$27+WeightSDS!N$27/(1+EXP(WeightSDS!O$27+WeightSDS!P$27*$AG153)))),IF($AG153&lt;43.8,WeightSDS!M$29*$AG153^10+WeightSDS!N$29*$AG153^9+WeightSDS!O$29*$AG153^8+WeightSDS!P$29*$AG153^7+WeightSDS!Q$29*$AG153^6+WeightSDS!R$29*$AG153^5+WeightSDS!S$29*$AG153^4+WeightSDS!T$29*$AG153^3+WeightSDS!U$29*$AG153^2+WeightSDS!V$29*$AG153+WeightSDS!W$29-0.010431*(1-$AG153/210),IF($AG153&lt;123,WeightSDS!M$30*$AG153^10+WeightSDS!N$30*$AG153^9+WeightSDS!O$30*$AG153^8+WeightSDS!P$30*$AG153^7+WeightSDS!Q$30*$AG153^6+WeightSDS!R$30*$AG153^5+WeightSDS!S$30*$AG153^4+WeightSDS!T$30*$AG153^3+WeightSDS!U$30*$AG153^2+WeightSDS!V$30*$AG153+WeightSDS!W$30-0.010431*(1-1/$AG153),WeightSDS!M$32+WeightSDS!N$32/(1+EXP(WeightSDS!O$32+WeightSDS!P$32*$AG153))-0.010431*(1-$AG153/210))))</f>
        <v>2.9500001032655536</v>
      </c>
      <c r="AK153" s="24">
        <f>IF(D153="M",IF($AG153&lt;162,WeightSDS!P$12*$AG153^7+WeightSDS!Q$12*$AG153^6+WeightSDS!R$12*$AG153^5+WeightSDS!S$12*$AG153^4+WeightSDS!T$12*$AG153^3+WeightSDS!U$12*$AG153^2+WeightSDS!V$12*$AG153+WeightSDS!W$12,WeightSDS!P$14*$AG153^7+WeightSDS!Q$14*$AG153^6+WeightSDS!R$14*$AG153^5+WeightSDS!S$14*$AG153^4+WeightSDS!T$14*$AG153^3+WeightSDS!U$14*$AG153^2+WeightSDS!V$14*$AG153+WeightSDS!W$14),IF($AG153&lt;156,WeightSDS!O$17*$AG153^8+WeightSDS!P$17*$AG153^7+WeightSDS!Q$17*$AG153^6+WeightSDS!R$17*$AG153^5+WeightSDS!S$17*$AG153^4+WeightSDS!T$17*$AG153^3+WeightSDS!U$17*$AG153^2+WeightSDS!V$17*$AG153+WeightSDS!W$17,IF($AG153&lt;186,WeightSDS!$U$18+(WeightSDS!$V$18-WeightSDS!$U$18)/24*($AG153-186)+WeightSDS!$W$18*(-$AG153+186)^2-0.005,WeightSDS!$U$18+(WeightSDS!$V$18-WeightSDS!$U$18)/24*($AG153-186)-0.005)))</f>
        <v>0.14604529399999999</v>
      </c>
    </row>
    <row r="154" spans="1:37">
      <c r="A154" s="4"/>
      <c r="B154" s="21"/>
      <c r="C154" s="21"/>
      <c r="D154" s="21"/>
      <c r="E154" s="22"/>
      <c r="F154" s="22"/>
      <c r="G154" s="23"/>
      <c r="H154" s="23"/>
      <c r="I154" s="8" t="str">
        <f t="shared" si="34"/>
        <v/>
      </c>
      <c r="J154" s="2" t="str">
        <f t="shared" si="41"/>
        <v/>
      </c>
      <c r="K154" s="2" t="str">
        <f t="shared" si="35"/>
        <v/>
      </c>
      <c r="L154" s="2" t="str">
        <f t="shared" si="42"/>
        <v/>
      </c>
      <c r="M154" s="2" t="str">
        <f t="shared" si="47"/>
        <v/>
      </c>
      <c r="N154" s="2" t="str">
        <f t="shared" si="43"/>
        <v/>
      </c>
      <c r="O154" s="8" t="str">
        <f t="shared" si="44"/>
        <v/>
      </c>
      <c r="P154" s="8" t="str">
        <f t="shared" si="45"/>
        <v/>
      </c>
      <c r="Q154" s="40" t="str">
        <f t="shared" si="36"/>
        <v/>
      </c>
      <c r="R154" s="48" t="str">
        <f t="shared" si="46"/>
        <v/>
      </c>
      <c r="S154" s="8"/>
      <c r="U154" s="35">
        <f t="shared" si="37"/>
        <v>0</v>
      </c>
      <c r="V154" s="24">
        <f t="shared" si="38"/>
        <v>0</v>
      </c>
      <c r="W154" s="41">
        <f t="shared" si="33"/>
        <v>0</v>
      </c>
      <c r="X154" s="31"/>
      <c r="Y154" s="31"/>
      <c r="Z154" s="31"/>
      <c r="AA154" s="25">
        <f t="shared" si="39"/>
        <v>9.0359999999999996</v>
      </c>
      <c r="AB154" s="25">
        <f t="shared" si="40"/>
        <v>-184.49199999999999</v>
      </c>
      <c r="AD154" s="24">
        <f>IF(D154="M",IF(AG154&lt;78,BMILMS!$D$5*AG154^3+BMILMS!$E$5*AG154^2+BMILMS!$F$5*AG154+BMILMS!$G$5,IF(AG154&lt;150,BMILMS!$D$6*AG154^3+BMILMS!$E$6*AG154^2+BMILMS!$F$6*AG154+BMILMS!$G$6,BMILMS!$D$7*AG154^3+BMILMS!$E$7*AG154^2+BMILMS!$F$7*AG154+BMILMS!$G$7)),IF(AG154&lt;69,BMILMS!$D$9*AG154^3+BMILMS!$E$9*AG154^2+BMILMS!$F$9*AG154+BMILMS!$G$9,IF(AG154&lt;150,BMILMS!$D$10*AG154^3+BMILMS!$E$10*AG154^2+BMILMS!$F$10*AG154+BMILMS!$G$10,BMILMS!$D$11*AG154^3+BMILMS!$E$11*AG154^2+BMILMS!$F$11*AG154+BMILMS!$G$11)))</f>
        <v>0.79584630099999998</v>
      </c>
      <c r="AE154" s="24">
        <f>IF(D154="M",(IF(AG154&lt;2.5,BMILMS!$D$21*AG154^3+BMILMS!$E$21*AG154^2+BMILMS!$F$21*AG154+BMILMS!$G$21,IF(AG154&lt;9.5,BMILMS!$D$22*AG154^3+BMILMS!$E$22*AG154^2+BMILMS!$F$22*AG154+BMILMS!$G$22,IF(AG154&lt;26.75,BMILMS!$D$23*AG154^3+BMILMS!$E$23*AG154^2+BMILMS!$F$23*AG154+BMILMS!$G$23,IF(AG154&lt;90,BMILMS!$D$24*AG154^3+BMILMS!$E$24*AG154^2+BMILMS!$F$24*AG154+BMILMS!$G$24,BMILMS!$D$25*AG154^3+BMILMS!$E$25*AG154^2+BMILMS!$F$25*AG154+BMILMS!$G$25))))),(IF(AG154&lt;2.5,BMILMS!$D$27*AG154^3+BMILMS!$E$27*AG154^2+BMILMS!$F$27*AG154+BMILMS!$G$27,IF(AG154&lt;9.5,BMILMS!$D$28*AG154^3+BMILMS!$E$28*AG154^2+BMILMS!$F$28*AG154+BMILMS!$G$28,IF(AG154&lt;26.75,BMILMS!$D$29*AG154^3+BMILMS!$E$29*AG154^2+BMILMS!$F$29*AG154+BMILMS!$G$29,IF(AG154&lt;90,BMILMS!$D$30*AG154^3+BMILMS!$E$30*AG154^2+BMILMS!$F$30*AG154+BMILMS!$G$30,IF(AG154&lt;150,BMILMS!$D$31*AG154^3+BMILMS!$E$31*AG154^2+BMILMS!$F$31*AG154+BMILMS!$G$31,BMILMS!$D$32*AG154^3+BMILMS!$E$32*AG154^2+BMILMS!$F$32*AG154+BMILMS!$G$32)))))))</f>
        <v>12.568967990000001</v>
      </c>
      <c r="AF154" s="24">
        <f>IF(D154="M",(IF(AG154&lt;90,BMILMS!$D$14*AG154^3+BMILMS!$E$14*AG154^2+BMILMS!$F$14*AG154+BMILMS!$G$14,BMILMS!$D$15*AG154^3+BMILMS!$E$15*AG154^2+BMILMS!$F$15*AG154+BMILMS!$G$15)),(IF(AG154&lt;90,BMILMS!$D$17*AG154^3+BMILMS!$E$17*AG154^2+BMILMS!$F$17*AG154+BMILMS!$G$17,BMILMS!$D$18*AG154^3+BMILMS!$E$18*AG154^2+BMILMS!$F$18*AG154+BMILMS!$G$18)))</f>
        <v>8.8969350000000003E-2</v>
      </c>
      <c r="AG154" s="24">
        <f t="shared" si="48"/>
        <v>0</v>
      </c>
      <c r="AI154" s="38">
        <f>IF(D154="M",WeightSDS!P$5*$AG154^7+WeightSDS!Q$5*$AG154^6+WeightSDS!R$5*$AG154^5+WeightSDS!S$5*$AG154^4+WeightSDS!T$5*$AG154^3+WeightSDS!U$5*$AG154^2+WeightSDS!V$5*$AG154+WeightSDS!W$5,IF($AG154&lt;186,WeightSDS!P$8*$AG154^7+WeightSDS!Q$8*$AG154^6+WeightSDS!R$8*$AG154^5+WeightSDS!S$8*$AG154^4+WeightSDS!T$8*$AG154^3+WeightSDS!U$8*$AG154^2+WeightSDS!V$8*$AG154+WeightSDS!W$8,WeightSDS!$U$9-WeightSDS!$V$9*($AG154-WeightSDS!$W$9)))</f>
        <v>0.75407122999999998</v>
      </c>
      <c r="AJ154" s="24">
        <f>IF(D154="M",IF($AG154&lt;45,WeightSDS!M$23*$AG154^10+WeightSDS!N$23*$AG154^9+WeightSDS!O$23*$AG154^8+WeightSDS!P$23*$AG154^7+WeightSDS!Q$23*$AG154^6+WeightSDS!R$23*$AG154^5+WeightSDS!S$23*$AG154^4+WeightSDS!T$23*$AG154^3+WeightSDS!U$23*$AG154^2+WeightSDS!V$23*$AG154+WeightSDS!W$23,IF($AG154&lt;153,WeightSDS!M$25*$AG154^10+WeightSDS!N$25*$AG154^9+WeightSDS!O$25*$AG154^8+WeightSDS!P$25*$AG154^7+WeightSDS!Q$25*$AG154^6+WeightSDS!R$25*$AG154^5+WeightSDS!S$25*$AG154^4+WeightSDS!T$25*$AG154^3+WeightSDS!U$25*$AG154^2+WeightSDS!V$25*$AG154+WeightSDS!W$25,WeightSDS!M$27+WeightSDS!N$27/(1+EXP(WeightSDS!O$27+WeightSDS!P$27*$AG154)))),IF($AG154&lt;43.8,WeightSDS!M$29*$AG154^10+WeightSDS!N$29*$AG154^9+WeightSDS!O$29*$AG154^8+WeightSDS!P$29*$AG154^7+WeightSDS!Q$29*$AG154^6+WeightSDS!R$29*$AG154^5+WeightSDS!S$29*$AG154^4+WeightSDS!T$29*$AG154^3+WeightSDS!U$29*$AG154^2+WeightSDS!V$29*$AG154+WeightSDS!W$29-0.010431*(1-$AG154/210),IF($AG154&lt;123,WeightSDS!M$30*$AG154^10+WeightSDS!N$30*$AG154^9+WeightSDS!O$30*$AG154^8+WeightSDS!P$30*$AG154^7+WeightSDS!Q$30*$AG154^6+WeightSDS!R$30*$AG154^5+WeightSDS!S$30*$AG154^4+WeightSDS!T$30*$AG154^3+WeightSDS!U$30*$AG154^2+WeightSDS!V$30*$AG154+WeightSDS!W$30-0.010431*(1-1/$AG154),WeightSDS!M$32+WeightSDS!N$32/(1+EXP(WeightSDS!O$32+WeightSDS!P$32*$AG154))-0.010431*(1-$AG154/210))))</f>
        <v>2.9500001032655536</v>
      </c>
      <c r="AK154" s="24">
        <f>IF(D154="M",IF($AG154&lt;162,WeightSDS!P$12*$AG154^7+WeightSDS!Q$12*$AG154^6+WeightSDS!R$12*$AG154^5+WeightSDS!S$12*$AG154^4+WeightSDS!T$12*$AG154^3+WeightSDS!U$12*$AG154^2+WeightSDS!V$12*$AG154+WeightSDS!W$12,WeightSDS!P$14*$AG154^7+WeightSDS!Q$14*$AG154^6+WeightSDS!R$14*$AG154^5+WeightSDS!S$14*$AG154^4+WeightSDS!T$14*$AG154^3+WeightSDS!U$14*$AG154^2+WeightSDS!V$14*$AG154+WeightSDS!W$14),IF($AG154&lt;156,WeightSDS!O$17*$AG154^8+WeightSDS!P$17*$AG154^7+WeightSDS!Q$17*$AG154^6+WeightSDS!R$17*$AG154^5+WeightSDS!S$17*$AG154^4+WeightSDS!T$17*$AG154^3+WeightSDS!U$17*$AG154^2+WeightSDS!V$17*$AG154+WeightSDS!W$17,IF($AG154&lt;186,WeightSDS!$U$18+(WeightSDS!$V$18-WeightSDS!$U$18)/24*($AG154-186)+WeightSDS!$W$18*(-$AG154+186)^2-0.005,WeightSDS!$U$18+(WeightSDS!$V$18-WeightSDS!$U$18)/24*($AG154-186)-0.005)))</f>
        <v>0.14604529399999999</v>
      </c>
    </row>
    <row r="155" spans="1:37">
      <c r="A155" s="4"/>
      <c r="B155" s="21"/>
      <c r="C155" s="21"/>
      <c r="D155" s="21"/>
      <c r="E155" s="22"/>
      <c r="F155" s="22"/>
      <c r="G155" s="23"/>
      <c r="H155" s="23"/>
      <c r="I155" s="8" t="str">
        <f t="shared" si="34"/>
        <v/>
      </c>
      <c r="J155" s="2" t="str">
        <f t="shared" si="41"/>
        <v/>
      </c>
      <c r="K155" s="2" t="str">
        <f t="shared" si="35"/>
        <v/>
      </c>
      <c r="L155" s="2" t="str">
        <f t="shared" si="42"/>
        <v/>
      </c>
      <c r="M155" s="2" t="str">
        <f t="shared" si="47"/>
        <v/>
      </c>
      <c r="N155" s="2" t="str">
        <f t="shared" si="43"/>
        <v/>
      </c>
      <c r="O155" s="8" t="str">
        <f t="shared" si="44"/>
        <v/>
      </c>
      <c r="P155" s="8" t="str">
        <f t="shared" si="45"/>
        <v/>
      </c>
      <c r="Q155" s="40" t="str">
        <f t="shared" si="36"/>
        <v/>
      </c>
      <c r="R155" s="48" t="str">
        <f t="shared" si="46"/>
        <v/>
      </c>
      <c r="S155" s="8"/>
      <c r="U155" s="35">
        <f t="shared" si="37"/>
        <v>0</v>
      </c>
      <c r="V155" s="24">
        <f t="shared" si="38"/>
        <v>0</v>
      </c>
      <c r="W155" s="41">
        <f t="shared" si="33"/>
        <v>0</v>
      </c>
      <c r="X155" s="31"/>
      <c r="Y155" s="31"/>
      <c r="Z155" s="31"/>
      <c r="AA155" s="25">
        <f t="shared" si="39"/>
        <v>9.0359999999999996</v>
      </c>
      <c r="AB155" s="25">
        <f t="shared" si="40"/>
        <v>-184.49199999999999</v>
      </c>
      <c r="AD155" s="24">
        <f>IF(D155="M",IF(AG155&lt;78,BMILMS!$D$5*AG155^3+BMILMS!$E$5*AG155^2+BMILMS!$F$5*AG155+BMILMS!$G$5,IF(AG155&lt;150,BMILMS!$D$6*AG155^3+BMILMS!$E$6*AG155^2+BMILMS!$F$6*AG155+BMILMS!$G$6,BMILMS!$D$7*AG155^3+BMILMS!$E$7*AG155^2+BMILMS!$F$7*AG155+BMILMS!$G$7)),IF(AG155&lt;69,BMILMS!$D$9*AG155^3+BMILMS!$E$9*AG155^2+BMILMS!$F$9*AG155+BMILMS!$G$9,IF(AG155&lt;150,BMILMS!$D$10*AG155^3+BMILMS!$E$10*AG155^2+BMILMS!$F$10*AG155+BMILMS!$G$10,BMILMS!$D$11*AG155^3+BMILMS!$E$11*AG155^2+BMILMS!$F$11*AG155+BMILMS!$G$11)))</f>
        <v>0.79584630099999998</v>
      </c>
      <c r="AE155" s="24">
        <f>IF(D155="M",(IF(AG155&lt;2.5,BMILMS!$D$21*AG155^3+BMILMS!$E$21*AG155^2+BMILMS!$F$21*AG155+BMILMS!$G$21,IF(AG155&lt;9.5,BMILMS!$D$22*AG155^3+BMILMS!$E$22*AG155^2+BMILMS!$F$22*AG155+BMILMS!$G$22,IF(AG155&lt;26.75,BMILMS!$D$23*AG155^3+BMILMS!$E$23*AG155^2+BMILMS!$F$23*AG155+BMILMS!$G$23,IF(AG155&lt;90,BMILMS!$D$24*AG155^3+BMILMS!$E$24*AG155^2+BMILMS!$F$24*AG155+BMILMS!$G$24,BMILMS!$D$25*AG155^3+BMILMS!$E$25*AG155^2+BMILMS!$F$25*AG155+BMILMS!$G$25))))),(IF(AG155&lt;2.5,BMILMS!$D$27*AG155^3+BMILMS!$E$27*AG155^2+BMILMS!$F$27*AG155+BMILMS!$G$27,IF(AG155&lt;9.5,BMILMS!$D$28*AG155^3+BMILMS!$E$28*AG155^2+BMILMS!$F$28*AG155+BMILMS!$G$28,IF(AG155&lt;26.75,BMILMS!$D$29*AG155^3+BMILMS!$E$29*AG155^2+BMILMS!$F$29*AG155+BMILMS!$G$29,IF(AG155&lt;90,BMILMS!$D$30*AG155^3+BMILMS!$E$30*AG155^2+BMILMS!$F$30*AG155+BMILMS!$G$30,IF(AG155&lt;150,BMILMS!$D$31*AG155^3+BMILMS!$E$31*AG155^2+BMILMS!$F$31*AG155+BMILMS!$G$31,BMILMS!$D$32*AG155^3+BMILMS!$E$32*AG155^2+BMILMS!$F$32*AG155+BMILMS!$G$32)))))))</f>
        <v>12.568967990000001</v>
      </c>
      <c r="AF155" s="24">
        <f>IF(D155="M",(IF(AG155&lt;90,BMILMS!$D$14*AG155^3+BMILMS!$E$14*AG155^2+BMILMS!$F$14*AG155+BMILMS!$G$14,BMILMS!$D$15*AG155^3+BMILMS!$E$15*AG155^2+BMILMS!$F$15*AG155+BMILMS!$G$15)),(IF(AG155&lt;90,BMILMS!$D$17*AG155^3+BMILMS!$E$17*AG155^2+BMILMS!$F$17*AG155+BMILMS!$G$17,BMILMS!$D$18*AG155^3+BMILMS!$E$18*AG155^2+BMILMS!$F$18*AG155+BMILMS!$G$18)))</f>
        <v>8.8969350000000003E-2</v>
      </c>
      <c r="AG155" s="24">
        <f t="shared" si="48"/>
        <v>0</v>
      </c>
      <c r="AI155" s="38">
        <f>IF(D155="M",WeightSDS!P$5*$AG155^7+WeightSDS!Q$5*$AG155^6+WeightSDS!R$5*$AG155^5+WeightSDS!S$5*$AG155^4+WeightSDS!T$5*$AG155^3+WeightSDS!U$5*$AG155^2+WeightSDS!V$5*$AG155+WeightSDS!W$5,IF($AG155&lt;186,WeightSDS!P$8*$AG155^7+WeightSDS!Q$8*$AG155^6+WeightSDS!R$8*$AG155^5+WeightSDS!S$8*$AG155^4+WeightSDS!T$8*$AG155^3+WeightSDS!U$8*$AG155^2+WeightSDS!V$8*$AG155+WeightSDS!W$8,WeightSDS!$U$9-WeightSDS!$V$9*($AG155-WeightSDS!$W$9)))</f>
        <v>0.75407122999999998</v>
      </c>
      <c r="AJ155" s="24">
        <f>IF(D155="M",IF($AG155&lt;45,WeightSDS!M$23*$AG155^10+WeightSDS!N$23*$AG155^9+WeightSDS!O$23*$AG155^8+WeightSDS!P$23*$AG155^7+WeightSDS!Q$23*$AG155^6+WeightSDS!R$23*$AG155^5+WeightSDS!S$23*$AG155^4+WeightSDS!T$23*$AG155^3+WeightSDS!U$23*$AG155^2+WeightSDS!V$23*$AG155+WeightSDS!W$23,IF($AG155&lt;153,WeightSDS!M$25*$AG155^10+WeightSDS!N$25*$AG155^9+WeightSDS!O$25*$AG155^8+WeightSDS!P$25*$AG155^7+WeightSDS!Q$25*$AG155^6+WeightSDS!R$25*$AG155^5+WeightSDS!S$25*$AG155^4+WeightSDS!T$25*$AG155^3+WeightSDS!U$25*$AG155^2+WeightSDS!V$25*$AG155+WeightSDS!W$25,WeightSDS!M$27+WeightSDS!N$27/(1+EXP(WeightSDS!O$27+WeightSDS!P$27*$AG155)))),IF($AG155&lt;43.8,WeightSDS!M$29*$AG155^10+WeightSDS!N$29*$AG155^9+WeightSDS!O$29*$AG155^8+WeightSDS!P$29*$AG155^7+WeightSDS!Q$29*$AG155^6+WeightSDS!R$29*$AG155^5+WeightSDS!S$29*$AG155^4+WeightSDS!T$29*$AG155^3+WeightSDS!U$29*$AG155^2+WeightSDS!V$29*$AG155+WeightSDS!W$29-0.010431*(1-$AG155/210),IF($AG155&lt;123,WeightSDS!M$30*$AG155^10+WeightSDS!N$30*$AG155^9+WeightSDS!O$30*$AG155^8+WeightSDS!P$30*$AG155^7+WeightSDS!Q$30*$AG155^6+WeightSDS!R$30*$AG155^5+WeightSDS!S$30*$AG155^4+WeightSDS!T$30*$AG155^3+WeightSDS!U$30*$AG155^2+WeightSDS!V$30*$AG155+WeightSDS!W$30-0.010431*(1-1/$AG155),WeightSDS!M$32+WeightSDS!N$32/(1+EXP(WeightSDS!O$32+WeightSDS!P$32*$AG155))-0.010431*(1-$AG155/210))))</f>
        <v>2.9500001032655536</v>
      </c>
      <c r="AK155" s="24">
        <f>IF(D155="M",IF($AG155&lt;162,WeightSDS!P$12*$AG155^7+WeightSDS!Q$12*$AG155^6+WeightSDS!R$12*$AG155^5+WeightSDS!S$12*$AG155^4+WeightSDS!T$12*$AG155^3+WeightSDS!U$12*$AG155^2+WeightSDS!V$12*$AG155+WeightSDS!W$12,WeightSDS!P$14*$AG155^7+WeightSDS!Q$14*$AG155^6+WeightSDS!R$14*$AG155^5+WeightSDS!S$14*$AG155^4+WeightSDS!T$14*$AG155^3+WeightSDS!U$14*$AG155^2+WeightSDS!V$14*$AG155+WeightSDS!W$14),IF($AG155&lt;156,WeightSDS!O$17*$AG155^8+WeightSDS!P$17*$AG155^7+WeightSDS!Q$17*$AG155^6+WeightSDS!R$17*$AG155^5+WeightSDS!S$17*$AG155^4+WeightSDS!T$17*$AG155^3+WeightSDS!U$17*$AG155^2+WeightSDS!V$17*$AG155+WeightSDS!W$17,IF($AG155&lt;186,WeightSDS!$U$18+(WeightSDS!$V$18-WeightSDS!$U$18)/24*($AG155-186)+WeightSDS!$W$18*(-$AG155+186)^2-0.005,WeightSDS!$U$18+(WeightSDS!$V$18-WeightSDS!$U$18)/24*($AG155-186)-0.005)))</f>
        <v>0.14604529399999999</v>
      </c>
    </row>
    <row r="156" spans="1:37">
      <c r="A156" s="4"/>
      <c r="B156" s="21"/>
      <c r="C156" s="21"/>
      <c r="D156" s="21"/>
      <c r="E156" s="22"/>
      <c r="F156" s="22"/>
      <c r="G156" s="23"/>
      <c r="H156" s="23"/>
      <c r="I156" s="8" t="str">
        <f t="shared" si="34"/>
        <v/>
      </c>
      <c r="J156" s="2" t="str">
        <f t="shared" si="41"/>
        <v/>
      </c>
      <c r="K156" s="2" t="str">
        <f t="shared" si="35"/>
        <v/>
      </c>
      <c r="L156" s="2" t="str">
        <f t="shared" si="42"/>
        <v/>
      </c>
      <c r="M156" s="2" t="str">
        <f t="shared" si="47"/>
        <v/>
      </c>
      <c r="N156" s="2" t="str">
        <f t="shared" si="43"/>
        <v/>
      </c>
      <c r="O156" s="8" t="str">
        <f t="shared" si="44"/>
        <v/>
      </c>
      <c r="P156" s="8" t="str">
        <f t="shared" si="45"/>
        <v/>
      </c>
      <c r="Q156" s="40" t="str">
        <f t="shared" si="36"/>
        <v/>
      </c>
      <c r="R156" s="48" t="str">
        <f t="shared" si="46"/>
        <v/>
      </c>
      <c r="S156" s="8"/>
      <c r="U156" s="35">
        <f t="shared" si="37"/>
        <v>0</v>
      </c>
      <c r="V156" s="24">
        <f t="shared" si="38"/>
        <v>0</v>
      </c>
      <c r="W156" s="41">
        <f t="shared" si="33"/>
        <v>0</v>
      </c>
      <c r="X156" s="31"/>
      <c r="Y156" s="31"/>
      <c r="Z156" s="31"/>
      <c r="AA156" s="25">
        <f t="shared" si="39"/>
        <v>9.0359999999999996</v>
      </c>
      <c r="AB156" s="25">
        <f t="shared" si="40"/>
        <v>-184.49199999999999</v>
      </c>
      <c r="AD156" s="24">
        <f>IF(D156="M",IF(AG156&lt;78,BMILMS!$D$5*AG156^3+BMILMS!$E$5*AG156^2+BMILMS!$F$5*AG156+BMILMS!$G$5,IF(AG156&lt;150,BMILMS!$D$6*AG156^3+BMILMS!$E$6*AG156^2+BMILMS!$F$6*AG156+BMILMS!$G$6,BMILMS!$D$7*AG156^3+BMILMS!$E$7*AG156^2+BMILMS!$F$7*AG156+BMILMS!$G$7)),IF(AG156&lt;69,BMILMS!$D$9*AG156^3+BMILMS!$E$9*AG156^2+BMILMS!$F$9*AG156+BMILMS!$G$9,IF(AG156&lt;150,BMILMS!$D$10*AG156^3+BMILMS!$E$10*AG156^2+BMILMS!$F$10*AG156+BMILMS!$G$10,BMILMS!$D$11*AG156^3+BMILMS!$E$11*AG156^2+BMILMS!$F$11*AG156+BMILMS!$G$11)))</f>
        <v>0.79584630099999998</v>
      </c>
      <c r="AE156" s="24">
        <f>IF(D156="M",(IF(AG156&lt;2.5,BMILMS!$D$21*AG156^3+BMILMS!$E$21*AG156^2+BMILMS!$F$21*AG156+BMILMS!$G$21,IF(AG156&lt;9.5,BMILMS!$D$22*AG156^3+BMILMS!$E$22*AG156^2+BMILMS!$F$22*AG156+BMILMS!$G$22,IF(AG156&lt;26.75,BMILMS!$D$23*AG156^3+BMILMS!$E$23*AG156^2+BMILMS!$F$23*AG156+BMILMS!$G$23,IF(AG156&lt;90,BMILMS!$D$24*AG156^3+BMILMS!$E$24*AG156^2+BMILMS!$F$24*AG156+BMILMS!$G$24,BMILMS!$D$25*AG156^3+BMILMS!$E$25*AG156^2+BMILMS!$F$25*AG156+BMILMS!$G$25))))),(IF(AG156&lt;2.5,BMILMS!$D$27*AG156^3+BMILMS!$E$27*AG156^2+BMILMS!$F$27*AG156+BMILMS!$G$27,IF(AG156&lt;9.5,BMILMS!$D$28*AG156^3+BMILMS!$E$28*AG156^2+BMILMS!$F$28*AG156+BMILMS!$G$28,IF(AG156&lt;26.75,BMILMS!$D$29*AG156^3+BMILMS!$E$29*AG156^2+BMILMS!$F$29*AG156+BMILMS!$G$29,IF(AG156&lt;90,BMILMS!$D$30*AG156^3+BMILMS!$E$30*AG156^2+BMILMS!$F$30*AG156+BMILMS!$G$30,IF(AG156&lt;150,BMILMS!$D$31*AG156^3+BMILMS!$E$31*AG156^2+BMILMS!$F$31*AG156+BMILMS!$G$31,BMILMS!$D$32*AG156^3+BMILMS!$E$32*AG156^2+BMILMS!$F$32*AG156+BMILMS!$G$32)))))))</f>
        <v>12.568967990000001</v>
      </c>
      <c r="AF156" s="24">
        <f>IF(D156="M",(IF(AG156&lt;90,BMILMS!$D$14*AG156^3+BMILMS!$E$14*AG156^2+BMILMS!$F$14*AG156+BMILMS!$G$14,BMILMS!$D$15*AG156^3+BMILMS!$E$15*AG156^2+BMILMS!$F$15*AG156+BMILMS!$G$15)),(IF(AG156&lt;90,BMILMS!$D$17*AG156^3+BMILMS!$E$17*AG156^2+BMILMS!$F$17*AG156+BMILMS!$G$17,BMILMS!$D$18*AG156^3+BMILMS!$E$18*AG156^2+BMILMS!$F$18*AG156+BMILMS!$G$18)))</f>
        <v>8.8969350000000003E-2</v>
      </c>
      <c r="AG156" s="24">
        <f t="shared" si="48"/>
        <v>0</v>
      </c>
      <c r="AI156" s="38">
        <f>IF(D156="M",WeightSDS!P$5*$AG156^7+WeightSDS!Q$5*$AG156^6+WeightSDS!R$5*$AG156^5+WeightSDS!S$5*$AG156^4+WeightSDS!T$5*$AG156^3+WeightSDS!U$5*$AG156^2+WeightSDS!V$5*$AG156+WeightSDS!W$5,IF($AG156&lt;186,WeightSDS!P$8*$AG156^7+WeightSDS!Q$8*$AG156^6+WeightSDS!R$8*$AG156^5+WeightSDS!S$8*$AG156^4+WeightSDS!T$8*$AG156^3+WeightSDS!U$8*$AG156^2+WeightSDS!V$8*$AG156+WeightSDS!W$8,WeightSDS!$U$9-WeightSDS!$V$9*($AG156-WeightSDS!$W$9)))</f>
        <v>0.75407122999999998</v>
      </c>
      <c r="AJ156" s="24">
        <f>IF(D156="M",IF($AG156&lt;45,WeightSDS!M$23*$AG156^10+WeightSDS!N$23*$AG156^9+WeightSDS!O$23*$AG156^8+WeightSDS!P$23*$AG156^7+WeightSDS!Q$23*$AG156^6+WeightSDS!R$23*$AG156^5+WeightSDS!S$23*$AG156^4+WeightSDS!T$23*$AG156^3+WeightSDS!U$23*$AG156^2+WeightSDS!V$23*$AG156+WeightSDS!W$23,IF($AG156&lt;153,WeightSDS!M$25*$AG156^10+WeightSDS!N$25*$AG156^9+WeightSDS!O$25*$AG156^8+WeightSDS!P$25*$AG156^7+WeightSDS!Q$25*$AG156^6+WeightSDS!R$25*$AG156^5+WeightSDS!S$25*$AG156^4+WeightSDS!T$25*$AG156^3+WeightSDS!U$25*$AG156^2+WeightSDS!V$25*$AG156+WeightSDS!W$25,WeightSDS!M$27+WeightSDS!N$27/(1+EXP(WeightSDS!O$27+WeightSDS!P$27*$AG156)))),IF($AG156&lt;43.8,WeightSDS!M$29*$AG156^10+WeightSDS!N$29*$AG156^9+WeightSDS!O$29*$AG156^8+WeightSDS!P$29*$AG156^7+WeightSDS!Q$29*$AG156^6+WeightSDS!R$29*$AG156^5+WeightSDS!S$29*$AG156^4+WeightSDS!T$29*$AG156^3+WeightSDS!U$29*$AG156^2+WeightSDS!V$29*$AG156+WeightSDS!W$29-0.010431*(1-$AG156/210),IF($AG156&lt;123,WeightSDS!M$30*$AG156^10+WeightSDS!N$30*$AG156^9+WeightSDS!O$30*$AG156^8+WeightSDS!P$30*$AG156^7+WeightSDS!Q$30*$AG156^6+WeightSDS!R$30*$AG156^5+WeightSDS!S$30*$AG156^4+WeightSDS!T$30*$AG156^3+WeightSDS!U$30*$AG156^2+WeightSDS!V$30*$AG156+WeightSDS!W$30-0.010431*(1-1/$AG156),WeightSDS!M$32+WeightSDS!N$32/(1+EXP(WeightSDS!O$32+WeightSDS!P$32*$AG156))-0.010431*(1-$AG156/210))))</f>
        <v>2.9500001032655536</v>
      </c>
      <c r="AK156" s="24">
        <f>IF(D156="M",IF($AG156&lt;162,WeightSDS!P$12*$AG156^7+WeightSDS!Q$12*$AG156^6+WeightSDS!R$12*$AG156^5+WeightSDS!S$12*$AG156^4+WeightSDS!T$12*$AG156^3+WeightSDS!U$12*$AG156^2+WeightSDS!V$12*$AG156+WeightSDS!W$12,WeightSDS!P$14*$AG156^7+WeightSDS!Q$14*$AG156^6+WeightSDS!R$14*$AG156^5+WeightSDS!S$14*$AG156^4+WeightSDS!T$14*$AG156^3+WeightSDS!U$14*$AG156^2+WeightSDS!V$14*$AG156+WeightSDS!W$14),IF($AG156&lt;156,WeightSDS!O$17*$AG156^8+WeightSDS!P$17*$AG156^7+WeightSDS!Q$17*$AG156^6+WeightSDS!R$17*$AG156^5+WeightSDS!S$17*$AG156^4+WeightSDS!T$17*$AG156^3+WeightSDS!U$17*$AG156^2+WeightSDS!V$17*$AG156+WeightSDS!W$17,IF($AG156&lt;186,WeightSDS!$U$18+(WeightSDS!$V$18-WeightSDS!$U$18)/24*($AG156-186)+WeightSDS!$W$18*(-$AG156+186)^2-0.005,WeightSDS!$U$18+(WeightSDS!$V$18-WeightSDS!$U$18)/24*($AG156-186)-0.005)))</f>
        <v>0.14604529399999999</v>
      </c>
    </row>
    <row r="157" spans="1:37">
      <c r="A157" s="4"/>
      <c r="B157" s="21"/>
      <c r="C157" s="21"/>
      <c r="D157" s="21"/>
      <c r="E157" s="22"/>
      <c r="F157" s="22"/>
      <c r="G157" s="23"/>
      <c r="H157" s="23"/>
      <c r="I157" s="8" t="str">
        <f t="shared" si="34"/>
        <v/>
      </c>
      <c r="J157" s="2" t="str">
        <f t="shared" si="41"/>
        <v/>
      </c>
      <c r="K157" s="2" t="str">
        <f t="shared" si="35"/>
        <v/>
      </c>
      <c r="L157" s="2" t="str">
        <f t="shared" si="42"/>
        <v/>
      </c>
      <c r="M157" s="2" t="str">
        <f t="shared" si="47"/>
        <v/>
      </c>
      <c r="N157" s="2" t="str">
        <f t="shared" si="43"/>
        <v/>
      </c>
      <c r="O157" s="8" t="str">
        <f t="shared" si="44"/>
        <v/>
      </c>
      <c r="P157" s="8" t="str">
        <f t="shared" si="45"/>
        <v/>
      </c>
      <c r="Q157" s="40" t="str">
        <f t="shared" si="36"/>
        <v/>
      </c>
      <c r="R157" s="48" t="str">
        <f t="shared" si="46"/>
        <v/>
      </c>
      <c r="S157" s="8"/>
      <c r="U157" s="35">
        <f t="shared" si="37"/>
        <v>0</v>
      </c>
      <c r="V157" s="24">
        <f t="shared" si="38"/>
        <v>0</v>
      </c>
      <c r="W157" s="41">
        <f t="shared" si="33"/>
        <v>0</v>
      </c>
      <c r="X157" s="31"/>
      <c r="Y157" s="31"/>
      <c r="Z157" s="31"/>
      <c r="AA157" s="25">
        <f t="shared" si="39"/>
        <v>9.0359999999999996</v>
      </c>
      <c r="AB157" s="25">
        <f t="shared" si="40"/>
        <v>-184.49199999999999</v>
      </c>
      <c r="AD157" s="24">
        <f>IF(D157="M",IF(AG157&lt;78,BMILMS!$D$5*AG157^3+BMILMS!$E$5*AG157^2+BMILMS!$F$5*AG157+BMILMS!$G$5,IF(AG157&lt;150,BMILMS!$D$6*AG157^3+BMILMS!$E$6*AG157^2+BMILMS!$F$6*AG157+BMILMS!$G$6,BMILMS!$D$7*AG157^3+BMILMS!$E$7*AG157^2+BMILMS!$F$7*AG157+BMILMS!$G$7)),IF(AG157&lt;69,BMILMS!$D$9*AG157^3+BMILMS!$E$9*AG157^2+BMILMS!$F$9*AG157+BMILMS!$G$9,IF(AG157&lt;150,BMILMS!$D$10*AG157^3+BMILMS!$E$10*AG157^2+BMILMS!$F$10*AG157+BMILMS!$G$10,BMILMS!$D$11*AG157^3+BMILMS!$E$11*AG157^2+BMILMS!$F$11*AG157+BMILMS!$G$11)))</f>
        <v>0.79584630099999998</v>
      </c>
      <c r="AE157" s="24">
        <f>IF(D157="M",(IF(AG157&lt;2.5,BMILMS!$D$21*AG157^3+BMILMS!$E$21*AG157^2+BMILMS!$F$21*AG157+BMILMS!$G$21,IF(AG157&lt;9.5,BMILMS!$D$22*AG157^3+BMILMS!$E$22*AG157^2+BMILMS!$F$22*AG157+BMILMS!$G$22,IF(AG157&lt;26.75,BMILMS!$D$23*AG157^3+BMILMS!$E$23*AG157^2+BMILMS!$F$23*AG157+BMILMS!$G$23,IF(AG157&lt;90,BMILMS!$D$24*AG157^3+BMILMS!$E$24*AG157^2+BMILMS!$F$24*AG157+BMILMS!$G$24,BMILMS!$D$25*AG157^3+BMILMS!$E$25*AG157^2+BMILMS!$F$25*AG157+BMILMS!$G$25))))),(IF(AG157&lt;2.5,BMILMS!$D$27*AG157^3+BMILMS!$E$27*AG157^2+BMILMS!$F$27*AG157+BMILMS!$G$27,IF(AG157&lt;9.5,BMILMS!$D$28*AG157^3+BMILMS!$E$28*AG157^2+BMILMS!$F$28*AG157+BMILMS!$G$28,IF(AG157&lt;26.75,BMILMS!$D$29*AG157^3+BMILMS!$E$29*AG157^2+BMILMS!$F$29*AG157+BMILMS!$G$29,IF(AG157&lt;90,BMILMS!$D$30*AG157^3+BMILMS!$E$30*AG157^2+BMILMS!$F$30*AG157+BMILMS!$G$30,IF(AG157&lt;150,BMILMS!$D$31*AG157^3+BMILMS!$E$31*AG157^2+BMILMS!$F$31*AG157+BMILMS!$G$31,BMILMS!$D$32*AG157^3+BMILMS!$E$32*AG157^2+BMILMS!$F$32*AG157+BMILMS!$G$32)))))))</f>
        <v>12.568967990000001</v>
      </c>
      <c r="AF157" s="24">
        <f>IF(D157="M",(IF(AG157&lt;90,BMILMS!$D$14*AG157^3+BMILMS!$E$14*AG157^2+BMILMS!$F$14*AG157+BMILMS!$G$14,BMILMS!$D$15*AG157^3+BMILMS!$E$15*AG157^2+BMILMS!$F$15*AG157+BMILMS!$G$15)),(IF(AG157&lt;90,BMILMS!$D$17*AG157^3+BMILMS!$E$17*AG157^2+BMILMS!$F$17*AG157+BMILMS!$G$17,BMILMS!$D$18*AG157^3+BMILMS!$E$18*AG157^2+BMILMS!$F$18*AG157+BMILMS!$G$18)))</f>
        <v>8.8969350000000003E-2</v>
      </c>
      <c r="AG157" s="24">
        <f t="shared" si="48"/>
        <v>0</v>
      </c>
      <c r="AI157" s="38">
        <f>IF(D157="M",WeightSDS!P$5*$AG157^7+WeightSDS!Q$5*$AG157^6+WeightSDS!R$5*$AG157^5+WeightSDS!S$5*$AG157^4+WeightSDS!T$5*$AG157^3+WeightSDS!U$5*$AG157^2+WeightSDS!V$5*$AG157+WeightSDS!W$5,IF($AG157&lt;186,WeightSDS!P$8*$AG157^7+WeightSDS!Q$8*$AG157^6+WeightSDS!R$8*$AG157^5+WeightSDS!S$8*$AG157^4+WeightSDS!T$8*$AG157^3+WeightSDS!U$8*$AG157^2+WeightSDS!V$8*$AG157+WeightSDS!W$8,WeightSDS!$U$9-WeightSDS!$V$9*($AG157-WeightSDS!$W$9)))</f>
        <v>0.75407122999999998</v>
      </c>
      <c r="AJ157" s="24">
        <f>IF(D157="M",IF($AG157&lt;45,WeightSDS!M$23*$AG157^10+WeightSDS!N$23*$AG157^9+WeightSDS!O$23*$AG157^8+WeightSDS!P$23*$AG157^7+WeightSDS!Q$23*$AG157^6+WeightSDS!R$23*$AG157^5+WeightSDS!S$23*$AG157^4+WeightSDS!T$23*$AG157^3+WeightSDS!U$23*$AG157^2+WeightSDS!V$23*$AG157+WeightSDS!W$23,IF($AG157&lt;153,WeightSDS!M$25*$AG157^10+WeightSDS!N$25*$AG157^9+WeightSDS!O$25*$AG157^8+WeightSDS!P$25*$AG157^7+WeightSDS!Q$25*$AG157^6+WeightSDS!R$25*$AG157^5+WeightSDS!S$25*$AG157^4+WeightSDS!T$25*$AG157^3+WeightSDS!U$25*$AG157^2+WeightSDS!V$25*$AG157+WeightSDS!W$25,WeightSDS!M$27+WeightSDS!N$27/(1+EXP(WeightSDS!O$27+WeightSDS!P$27*$AG157)))),IF($AG157&lt;43.8,WeightSDS!M$29*$AG157^10+WeightSDS!N$29*$AG157^9+WeightSDS!O$29*$AG157^8+WeightSDS!P$29*$AG157^7+WeightSDS!Q$29*$AG157^6+WeightSDS!R$29*$AG157^5+WeightSDS!S$29*$AG157^4+WeightSDS!T$29*$AG157^3+WeightSDS!U$29*$AG157^2+WeightSDS!V$29*$AG157+WeightSDS!W$29-0.010431*(1-$AG157/210),IF($AG157&lt;123,WeightSDS!M$30*$AG157^10+WeightSDS!N$30*$AG157^9+WeightSDS!O$30*$AG157^8+WeightSDS!P$30*$AG157^7+WeightSDS!Q$30*$AG157^6+WeightSDS!R$30*$AG157^5+WeightSDS!S$30*$AG157^4+WeightSDS!T$30*$AG157^3+WeightSDS!U$30*$AG157^2+WeightSDS!V$30*$AG157+WeightSDS!W$30-0.010431*(1-1/$AG157),WeightSDS!M$32+WeightSDS!N$32/(1+EXP(WeightSDS!O$32+WeightSDS!P$32*$AG157))-0.010431*(1-$AG157/210))))</f>
        <v>2.9500001032655536</v>
      </c>
      <c r="AK157" s="24">
        <f>IF(D157="M",IF($AG157&lt;162,WeightSDS!P$12*$AG157^7+WeightSDS!Q$12*$AG157^6+WeightSDS!R$12*$AG157^5+WeightSDS!S$12*$AG157^4+WeightSDS!T$12*$AG157^3+WeightSDS!U$12*$AG157^2+WeightSDS!V$12*$AG157+WeightSDS!W$12,WeightSDS!P$14*$AG157^7+WeightSDS!Q$14*$AG157^6+WeightSDS!R$14*$AG157^5+WeightSDS!S$14*$AG157^4+WeightSDS!T$14*$AG157^3+WeightSDS!U$14*$AG157^2+WeightSDS!V$14*$AG157+WeightSDS!W$14),IF($AG157&lt;156,WeightSDS!O$17*$AG157^8+WeightSDS!P$17*$AG157^7+WeightSDS!Q$17*$AG157^6+WeightSDS!R$17*$AG157^5+WeightSDS!S$17*$AG157^4+WeightSDS!T$17*$AG157^3+WeightSDS!U$17*$AG157^2+WeightSDS!V$17*$AG157+WeightSDS!W$17,IF($AG157&lt;186,WeightSDS!$U$18+(WeightSDS!$V$18-WeightSDS!$U$18)/24*($AG157-186)+WeightSDS!$W$18*(-$AG157+186)^2-0.005,WeightSDS!$U$18+(WeightSDS!$V$18-WeightSDS!$U$18)/24*($AG157-186)-0.005)))</f>
        <v>0.14604529399999999</v>
      </c>
    </row>
    <row r="158" spans="1:37">
      <c r="A158" s="4"/>
      <c r="B158" s="21"/>
      <c r="C158" s="21"/>
      <c r="D158" s="21"/>
      <c r="E158" s="22"/>
      <c r="F158" s="22"/>
      <c r="G158" s="23"/>
      <c r="H158" s="23"/>
      <c r="I158" s="8" t="str">
        <f t="shared" si="34"/>
        <v/>
      </c>
      <c r="J158" s="2" t="str">
        <f t="shared" si="41"/>
        <v/>
      </c>
      <c r="K158" s="2" t="str">
        <f t="shared" si="35"/>
        <v/>
      </c>
      <c r="L158" s="2" t="str">
        <f t="shared" si="42"/>
        <v/>
      </c>
      <c r="M158" s="2" t="str">
        <f t="shared" si="47"/>
        <v/>
      </c>
      <c r="N158" s="2" t="str">
        <f t="shared" si="43"/>
        <v/>
      </c>
      <c r="O158" s="8" t="str">
        <f t="shared" si="44"/>
        <v/>
      </c>
      <c r="P158" s="8" t="str">
        <f t="shared" si="45"/>
        <v/>
      </c>
      <c r="Q158" s="40" t="str">
        <f t="shared" si="36"/>
        <v/>
      </c>
      <c r="R158" s="48" t="str">
        <f t="shared" si="46"/>
        <v/>
      </c>
      <c r="S158" s="8"/>
      <c r="U158" s="35">
        <f t="shared" si="37"/>
        <v>0</v>
      </c>
      <c r="V158" s="24">
        <f t="shared" si="38"/>
        <v>0</v>
      </c>
      <c r="W158" s="41">
        <f t="shared" ref="W158:W221" si="49">DATEDIF(E158,F158,"Y")+(F158-(DATE(YEAR(E158)+DATEDIF(E158,F158,"Y"),MONTH(E158),DAY(E158))))/(365+IF(MOD(YEAR((DATE(YEAR(F158)-1,MONTH(E158),DAY(E158)))),4)=0,IF((DATE(YEAR(F158)-1,MONTH(E158),DAY(E158)))&gt;DATE(YEAR((DATE(YEAR(F158)-1,MONTH(E158),DAY(E158)))),2,29),0,1),0)+IF(MOD(YEAR(F158),4)=0,IF(F158&gt;DATE(YEAR(F158),2,29),1,0),0))</f>
        <v>0</v>
      </c>
      <c r="X158" s="31"/>
      <c r="Y158" s="31"/>
      <c r="Z158" s="31"/>
      <c r="AA158" s="25">
        <f t="shared" si="39"/>
        <v>9.0359999999999996</v>
      </c>
      <c r="AB158" s="25">
        <f t="shared" si="40"/>
        <v>-184.49199999999999</v>
      </c>
      <c r="AD158" s="24">
        <f>IF(D158="M",IF(AG158&lt;78,BMILMS!$D$5*AG158^3+BMILMS!$E$5*AG158^2+BMILMS!$F$5*AG158+BMILMS!$G$5,IF(AG158&lt;150,BMILMS!$D$6*AG158^3+BMILMS!$E$6*AG158^2+BMILMS!$F$6*AG158+BMILMS!$G$6,BMILMS!$D$7*AG158^3+BMILMS!$E$7*AG158^2+BMILMS!$F$7*AG158+BMILMS!$G$7)),IF(AG158&lt;69,BMILMS!$D$9*AG158^3+BMILMS!$E$9*AG158^2+BMILMS!$F$9*AG158+BMILMS!$G$9,IF(AG158&lt;150,BMILMS!$D$10*AG158^3+BMILMS!$E$10*AG158^2+BMILMS!$F$10*AG158+BMILMS!$G$10,BMILMS!$D$11*AG158^3+BMILMS!$E$11*AG158^2+BMILMS!$F$11*AG158+BMILMS!$G$11)))</f>
        <v>0.79584630099999998</v>
      </c>
      <c r="AE158" s="24">
        <f>IF(D158="M",(IF(AG158&lt;2.5,BMILMS!$D$21*AG158^3+BMILMS!$E$21*AG158^2+BMILMS!$F$21*AG158+BMILMS!$G$21,IF(AG158&lt;9.5,BMILMS!$D$22*AG158^3+BMILMS!$E$22*AG158^2+BMILMS!$F$22*AG158+BMILMS!$G$22,IF(AG158&lt;26.75,BMILMS!$D$23*AG158^3+BMILMS!$E$23*AG158^2+BMILMS!$F$23*AG158+BMILMS!$G$23,IF(AG158&lt;90,BMILMS!$D$24*AG158^3+BMILMS!$E$24*AG158^2+BMILMS!$F$24*AG158+BMILMS!$G$24,BMILMS!$D$25*AG158^3+BMILMS!$E$25*AG158^2+BMILMS!$F$25*AG158+BMILMS!$G$25))))),(IF(AG158&lt;2.5,BMILMS!$D$27*AG158^3+BMILMS!$E$27*AG158^2+BMILMS!$F$27*AG158+BMILMS!$G$27,IF(AG158&lt;9.5,BMILMS!$D$28*AG158^3+BMILMS!$E$28*AG158^2+BMILMS!$F$28*AG158+BMILMS!$G$28,IF(AG158&lt;26.75,BMILMS!$D$29*AG158^3+BMILMS!$E$29*AG158^2+BMILMS!$F$29*AG158+BMILMS!$G$29,IF(AG158&lt;90,BMILMS!$D$30*AG158^3+BMILMS!$E$30*AG158^2+BMILMS!$F$30*AG158+BMILMS!$G$30,IF(AG158&lt;150,BMILMS!$D$31*AG158^3+BMILMS!$E$31*AG158^2+BMILMS!$F$31*AG158+BMILMS!$G$31,BMILMS!$D$32*AG158^3+BMILMS!$E$32*AG158^2+BMILMS!$F$32*AG158+BMILMS!$G$32)))))))</f>
        <v>12.568967990000001</v>
      </c>
      <c r="AF158" s="24">
        <f>IF(D158="M",(IF(AG158&lt;90,BMILMS!$D$14*AG158^3+BMILMS!$E$14*AG158^2+BMILMS!$F$14*AG158+BMILMS!$G$14,BMILMS!$D$15*AG158^3+BMILMS!$E$15*AG158^2+BMILMS!$F$15*AG158+BMILMS!$G$15)),(IF(AG158&lt;90,BMILMS!$D$17*AG158^3+BMILMS!$E$17*AG158^2+BMILMS!$F$17*AG158+BMILMS!$G$17,BMILMS!$D$18*AG158^3+BMILMS!$E$18*AG158^2+BMILMS!$F$18*AG158+BMILMS!$G$18)))</f>
        <v>8.8969350000000003E-2</v>
      </c>
      <c r="AG158" s="24">
        <f t="shared" si="48"/>
        <v>0</v>
      </c>
      <c r="AI158" s="38">
        <f>IF(D158="M",WeightSDS!P$5*$AG158^7+WeightSDS!Q$5*$AG158^6+WeightSDS!R$5*$AG158^5+WeightSDS!S$5*$AG158^4+WeightSDS!T$5*$AG158^3+WeightSDS!U$5*$AG158^2+WeightSDS!V$5*$AG158+WeightSDS!W$5,IF($AG158&lt;186,WeightSDS!P$8*$AG158^7+WeightSDS!Q$8*$AG158^6+WeightSDS!R$8*$AG158^5+WeightSDS!S$8*$AG158^4+WeightSDS!T$8*$AG158^3+WeightSDS!U$8*$AG158^2+WeightSDS!V$8*$AG158+WeightSDS!W$8,WeightSDS!$U$9-WeightSDS!$V$9*($AG158-WeightSDS!$W$9)))</f>
        <v>0.75407122999999998</v>
      </c>
      <c r="AJ158" s="24">
        <f>IF(D158="M",IF($AG158&lt;45,WeightSDS!M$23*$AG158^10+WeightSDS!N$23*$AG158^9+WeightSDS!O$23*$AG158^8+WeightSDS!P$23*$AG158^7+WeightSDS!Q$23*$AG158^6+WeightSDS!R$23*$AG158^5+WeightSDS!S$23*$AG158^4+WeightSDS!T$23*$AG158^3+WeightSDS!U$23*$AG158^2+WeightSDS!V$23*$AG158+WeightSDS!W$23,IF($AG158&lt;153,WeightSDS!M$25*$AG158^10+WeightSDS!N$25*$AG158^9+WeightSDS!O$25*$AG158^8+WeightSDS!P$25*$AG158^7+WeightSDS!Q$25*$AG158^6+WeightSDS!R$25*$AG158^5+WeightSDS!S$25*$AG158^4+WeightSDS!T$25*$AG158^3+WeightSDS!U$25*$AG158^2+WeightSDS!V$25*$AG158+WeightSDS!W$25,WeightSDS!M$27+WeightSDS!N$27/(1+EXP(WeightSDS!O$27+WeightSDS!P$27*$AG158)))),IF($AG158&lt;43.8,WeightSDS!M$29*$AG158^10+WeightSDS!N$29*$AG158^9+WeightSDS!O$29*$AG158^8+WeightSDS!P$29*$AG158^7+WeightSDS!Q$29*$AG158^6+WeightSDS!R$29*$AG158^5+WeightSDS!S$29*$AG158^4+WeightSDS!T$29*$AG158^3+WeightSDS!U$29*$AG158^2+WeightSDS!V$29*$AG158+WeightSDS!W$29-0.010431*(1-$AG158/210),IF($AG158&lt;123,WeightSDS!M$30*$AG158^10+WeightSDS!N$30*$AG158^9+WeightSDS!O$30*$AG158^8+WeightSDS!P$30*$AG158^7+WeightSDS!Q$30*$AG158^6+WeightSDS!R$30*$AG158^5+WeightSDS!S$30*$AG158^4+WeightSDS!T$30*$AG158^3+WeightSDS!U$30*$AG158^2+WeightSDS!V$30*$AG158+WeightSDS!W$30-0.010431*(1-1/$AG158),WeightSDS!M$32+WeightSDS!N$32/(1+EXP(WeightSDS!O$32+WeightSDS!P$32*$AG158))-0.010431*(1-$AG158/210))))</f>
        <v>2.9500001032655536</v>
      </c>
      <c r="AK158" s="24">
        <f>IF(D158="M",IF($AG158&lt;162,WeightSDS!P$12*$AG158^7+WeightSDS!Q$12*$AG158^6+WeightSDS!R$12*$AG158^5+WeightSDS!S$12*$AG158^4+WeightSDS!T$12*$AG158^3+WeightSDS!U$12*$AG158^2+WeightSDS!V$12*$AG158+WeightSDS!W$12,WeightSDS!P$14*$AG158^7+WeightSDS!Q$14*$AG158^6+WeightSDS!R$14*$AG158^5+WeightSDS!S$14*$AG158^4+WeightSDS!T$14*$AG158^3+WeightSDS!U$14*$AG158^2+WeightSDS!V$14*$AG158+WeightSDS!W$14),IF($AG158&lt;156,WeightSDS!O$17*$AG158^8+WeightSDS!P$17*$AG158^7+WeightSDS!Q$17*$AG158^6+WeightSDS!R$17*$AG158^5+WeightSDS!S$17*$AG158^4+WeightSDS!T$17*$AG158^3+WeightSDS!U$17*$AG158^2+WeightSDS!V$17*$AG158+WeightSDS!W$17,IF($AG158&lt;186,WeightSDS!$U$18+(WeightSDS!$V$18-WeightSDS!$U$18)/24*($AG158-186)+WeightSDS!$W$18*(-$AG158+186)^2-0.005,WeightSDS!$U$18+(WeightSDS!$V$18-WeightSDS!$U$18)/24*($AG158-186)-0.005)))</f>
        <v>0.14604529399999999</v>
      </c>
    </row>
    <row r="159" spans="1:37">
      <c r="A159" s="4"/>
      <c r="B159" s="21"/>
      <c r="C159" s="21"/>
      <c r="D159" s="21"/>
      <c r="E159" s="22"/>
      <c r="F159" s="22"/>
      <c r="G159" s="23"/>
      <c r="H159" s="23"/>
      <c r="I159" s="8" t="str">
        <f t="shared" si="34"/>
        <v/>
      </c>
      <c r="J159" s="2" t="str">
        <f t="shared" si="41"/>
        <v/>
      </c>
      <c r="K159" s="2" t="str">
        <f t="shared" si="35"/>
        <v/>
      </c>
      <c r="L159" s="2" t="str">
        <f t="shared" si="42"/>
        <v/>
      </c>
      <c r="M159" s="2" t="str">
        <f t="shared" si="47"/>
        <v/>
      </c>
      <c r="N159" s="2" t="str">
        <f t="shared" si="43"/>
        <v/>
      </c>
      <c r="O159" s="8" t="str">
        <f t="shared" si="44"/>
        <v/>
      </c>
      <c r="P159" s="8" t="str">
        <f t="shared" si="45"/>
        <v/>
      </c>
      <c r="Q159" s="40" t="str">
        <f t="shared" si="36"/>
        <v/>
      </c>
      <c r="R159" s="48" t="str">
        <f t="shared" si="46"/>
        <v/>
      </c>
      <c r="S159" s="8"/>
      <c r="U159" s="35">
        <f t="shared" si="37"/>
        <v>0</v>
      </c>
      <c r="V159" s="24">
        <f t="shared" si="38"/>
        <v>0</v>
      </c>
      <c r="W159" s="41">
        <f t="shared" si="49"/>
        <v>0</v>
      </c>
      <c r="X159" s="31"/>
      <c r="Y159" s="31"/>
      <c r="Z159" s="31"/>
      <c r="AA159" s="25">
        <f t="shared" si="39"/>
        <v>9.0359999999999996</v>
      </c>
      <c r="AB159" s="25">
        <f t="shared" si="40"/>
        <v>-184.49199999999999</v>
      </c>
      <c r="AD159" s="24">
        <f>IF(D159="M",IF(AG159&lt;78,BMILMS!$D$5*AG159^3+BMILMS!$E$5*AG159^2+BMILMS!$F$5*AG159+BMILMS!$G$5,IF(AG159&lt;150,BMILMS!$D$6*AG159^3+BMILMS!$E$6*AG159^2+BMILMS!$F$6*AG159+BMILMS!$G$6,BMILMS!$D$7*AG159^3+BMILMS!$E$7*AG159^2+BMILMS!$F$7*AG159+BMILMS!$G$7)),IF(AG159&lt;69,BMILMS!$D$9*AG159^3+BMILMS!$E$9*AG159^2+BMILMS!$F$9*AG159+BMILMS!$G$9,IF(AG159&lt;150,BMILMS!$D$10*AG159^3+BMILMS!$E$10*AG159^2+BMILMS!$F$10*AG159+BMILMS!$G$10,BMILMS!$D$11*AG159^3+BMILMS!$E$11*AG159^2+BMILMS!$F$11*AG159+BMILMS!$G$11)))</f>
        <v>0.79584630099999998</v>
      </c>
      <c r="AE159" s="24">
        <f>IF(D159="M",(IF(AG159&lt;2.5,BMILMS!$D$21*AG159^3+BMILMS!$E$21*AG159^2+BMILMS!$F$21*AG159+BMILMS!$G$21,IF(AG159&lt;9.5,BMILMS!$D$22*AG159^3+BMILMS!$E$22*AG159^2+BMILMS!$F$22*AG159+BMILMS!$G$22,IF(AG159&lt;26.75,BMILMS!$D$23*AG159^3+BMILMS!$E$23*AG159^2+BMILMS!$F$23*AG159+BMILMS!$G$23,IF(AG159&lt;90,BMILMS!$D$24*AG159^3+BMILMS!$E$24*AG159^2+BMILMS!$F$24*AG159+BMILMS!$G$24,BMILMS!$D$25*AG159^3+BMILMS!$E$25*AG159^2+BMILMS!$F$25*AG159+BMILMS!$G$25))))),(IF(AG159&lt;2.5,BMILMS!$D$27*AG159^3+BMILMS!$E$27*AG159^2+BMILMS!$F$27*AG159+BMILMS!$G$27,IF(AG159&lt;9.5,BMILMS!$D$28*AG159^3+BMILMS!$E$28*AG159^2+BMILMS!$F$28*AG159+BMILMS!$G$28,IF(AG159&lt;26.75,BMILMS!$D$29*AG159^3+BMILMS!$E$29*AG159^2+BMILMS!$F$29*AG159+BMILMS!$G$29,IF(AG159&lt;90,BMILMS!$D$30*AG159^3+BMILMS!$E$30*AG159^2+BMILMS!$F$30*AG159+BMILMS!$G$30,IF(AG159&lt;150,BMILMS!$D$31*AG159^3+BMILMS!$E$31*AG159^2+BMILMS!$F$31*AG159+BMILMS!$G$31,BMILMS!$D$32*AG159^3+BMILMS!$E$32*AG159^2+BMILMS!$F$32*AG159+BMILMS!$G$32)))))))</f>
        <v>12.568967990000001</v>
      </c>
      <c r="AF159" s="24">
        <f>IF(D159="M",(IF(AG159&lt;90,BMILMS!$D$14*AG159^3+BMILMS!$E$14*AG159^2+BMILMS!$F$14*AG159+BMILMS!$G$14,BMILMS!$D$15*AG159^3+BMILMS!$E$15*AG159^2+BMILMS!$F$15*AG159+BMILMS!$G$15)),(IF(AG159&lt;90,BMILMS!$D$17*AG159^3+BMILMS!$E$17*AG159^2+BMILMS!$F$17*AG159+BMILMS!$G$17,BMILMS!$D$18*AG159^3+BMILMS!$E$18*AG159^2+BMILMS!$F$18*AG159+BMILMS!$G$18)))</f>
        <v>8.8969350000000003E-2</v>
      </c>
      <c r="AG159" s="24">
        <f t="shared" si="48"/>
        <v>0</v>
      </c>
      <c r="AI159" s="38">
        <f>IF(D159="M",WeightSDS!P$5*$AG159^7+WeightSDS!Q$5*$AG159^6+WeightSDS!R$5*$AG159^5+WeightSDS!S$5*$AG159^4+WeightSDS!T$5*$AG159^3+WeightSDS!U$5*$AG159^2+WeightSDS!V$5*$AG159+WeightSDS!W$5,IF($AG159&lt;186,WeightSDS!P$8*$AG159^7+WeightSDS!Q$8*$AG159^6+WeightSDS!R$8*$AG159^5+WeightSDS!S$8*$AG159^4+WeightSDS!T$8*$AG159^3+WeightSDS!U$8*$AG159^2+WeightSDS!V$8*$AG159+WeightSDS!W$8,WeightSDS!$U$9-WeightSDS!$V$9*($AG159-WeightSDS!$W$9)))</f>
        <v>0.75407122999999998</v>
      </c>
      <c r="AJ159" s="24">
        <f>IF(D159="M",IF($AG159&lt;45,WeightSDS!M$23*$AG159^10+WeightSDS!N$23*$AG159^9+WeightSDS!O$23*$AG159^8+WeightSDS!P$23*$AG159^7+WeightSDS!Q$23*$AG159^6+WeightSDS!R$23*$AG159^5+WeightSDS!S$23*$AG159^4+WeightSDS!T$23*$AG159^3+WeightSDS!U$23*$AG159^2+WeightSDS!V$23*$AG159+WeightSDS!W$23,IF($AG159&lt;153,WeightSDS!M$25*$AG159^10+WeightSDS!N$25*$AG159^9+WeightSDS!O$25*$AG159^8+WeightSDS!P$25*$AG159^7+WeightSDS!Q$25*$AG159^6+WeightSDS!R$25*$AG159^5+WeightSDS!S$25*$AG159^4+WeightSDS!T$25*$AG159^3+WeightSDS!U$25*$AG159^2+WeightSDS!V$25*$AG159+WeightSDS!W$25,WeightSDS!M$27+WeightSDS!N$27/(1+EXP(WeightSDS!O$27+WeightSDS!P$27*$AG159)))),IF($AG159&lt;43.8,WeightSDS!M$29*$AG159^10+WeightSDS!N$29*$AG159^9+WeightSDS!O$29*$AG159^8+WeightSDS!P$29*$AG159^7+WeightSDS!Q$29*$AG159^6+WeightSDS!R$29*$AG159^5+WeightSDS!S$29*$AG159^4+WeightSDS!T$29*$AG159^3+WeightSDS!U$29*$AG159^2+WeightSDS!V$29*$AG159+WeightSDS!W$29-0.010431*(1-$AG159/210),IF($AG159&lt;123,WeightSDS!M$30*$AG159^10+WeightSDS!N$30*$AG159^9+WeightSDS!O$30*$AG159^8+WeightSDS!P$30*$AG159^7+WeightSDS!Q$30*$AG159^6+WeightSDS!R$30*$AG159^5+WeightSDS!S$30*$AG159^4+WeightSDS!T$30*$AG159^3+WeightSDS!U$30*$AG159^2+WeightSDS!V$30*$AG159+WeightSDS!W$30-0.010431*(1-1/$AG159),WeightSDS!M$32+WeightSDS!N$32/(1+EXP(WeightSDS!O$32+WeightSDS!P$32*$AG159))-0.010431*(1-$AG159/210))))</f>
        <v>2.9500001032655536</v>
      </c>
      <c r="AK159" s="24">
        <f>IF(D159="M",IF($AG159&lt;162,WeightSDS!P$12*$AG159^7+WeightSDS!Q$12*$AG159^6+WeightSDS!R$12*$AG159^5+WeightSDS!S$12*$AG159^4+WeightSDS!T$12*$AG159^3+WeightSDS!U$12*$AG159^2+WeightSDS!V$12*$AG159+WeightSDS!W$12,WeightSDS!P$14*$AG159^7+WeightSDS!Q$14*$AG159^6+WeightSDS!R$14*$AG159^5+WeightSDS!S$14*$AG159^4+WeightSDS!T$14*$AG159^3+WeightSDS!U$14*$AG159^2+WeightSDS!V$14*$AG159+WeightSDS!W$14),IF($AG159&lt;156,WeightSDS!O$17*$AG159^8+WeightSDS!P$17*$AG159^7+WeightSDS!Q$17*$AG159^6+WeightSDS!R$17*$AG159^5+WeightSDS!S$17*$AG159^4+WeightSDS!T$17*$AG159^3+WeightSDS!U$17*$AG159^2+WeightSDS!V$17*$AG159+WeightSDS!W$17,IF($AG159&lt;186,WeightSDS!$U$18+(WeightSDS!$V$18-WeightSDS!$U$18)/24*($AG159-186)+WeightSDS!$W$18*(-$AG159+186)^2-0.005,WeightSDS!$U$18+(WeightSDS!$V$18-WeightSDS!$U$18)/24*($AG159-186)-0.005)))</f>
        <v>0.14604529399999999</v>
      </c>
    </row>
    <row r="160" spans="1:37">
      <c r="A160" s="4"/>
      <c r="B160" s="21"/>
      <c r="C160" s="21"/>
      <c r="D160" s="21"/>
      <c r="E160" s="22"/>
      <c r="F160" s="22"/>
      <c r="G160" s="23"/>
      <c r="H160" s="23"/>
      <c r="I160" s="8" t="str">
        <f t="shared" si="34"/>
        <v/>
      </c>
      <c r="J160" s="2" t="str">
        <f t="shared" si="41"/>
        <v/>
      </c>
      <c r="K160" s="2" t="str">
        <f t="shared" si="35"/>
        <v/>
      </c>
      <c r="L160" s="2" t="str">
        <f t="shared" si="42"/>
        <v/>
      </c>
      <c r="M160" s="2" t="str">
        <f t="shared" si="47"/>
        <v/>
      </c>
      <c r="N160" s="2" t="str">
        <f t="shared" si="43"/>
        <v/>
      </c>
      <c r="O160" s="8" t="str">
        <f t="shared" si="44"/>
        <v/>
      </c>
      <c r="P160" s="8" t="str">
        <f t="shared" si="45"/>
        <v/>
      </c>
      <c r="Q160" s="40" t="str">
        <f t="shared" si="36"/>
        <v/>
      </c>
      <c r="R160" s="48" t="str">
        <f t="shared" si="46"/>
        <v/>
      </c>
      <c r="S160" s="8"/>
      <c r="U160" s="35">
        <f t="shared" si="37"/>
        <v>0</v>
      </c>
      <c r="V160" s="24">
        <f t="shared" si="38"/>
        <v>0</v>
      </c>
      <c r="W160" s="41">
        <f t="shared" si="49"/>
        <v>0</v>
      </c>
      <c r="X160" s="31"/>
      <c r="Y160" s="31"/>
      <c r="Z160" s="31"/>
      <c r="AA160" s="25">
        <f t="shared" si="39"/>
        <v>9.0359999999999996</v>
      </c>
      <c r="AB160" s="25">
        <f t="shared" si="40"/>
        <v>-184.49199999999999</v>
      </c>
      <c r="AD160" s="24">
        <f>IF(D160="M",IF(AG160&lt;78,BMILMS!$D$5*AG160^3+BMILMS!$E$5*AG160^2+BMILMS!$F$5*AG160+BMILMS!$G$5,IF(AG160&lt;150,BMILMS!$D$6*AG160^3+BMILMS!$E$6*AG160^2+BMILMS!$F$6*AG160+BMILMS!$G$6,BMILMS!$D$7*AG160^3+BMILMS!$E$7*AG160^2+BMILMS!$F$7*AG160+BMILMS!$G$7)),IF(AG160&lt;69,BMILMS!$D$9*AG160^3+BMILMS!$E$9*AG160^2+BMILMS!$F$9*AG160+BMILMS!$G$9,IF(AG160&lt;150,BMILMS!$D$10*AG160^3+BMILMS!$E$10*AG160^2+BMILMS!$F$10*AG160+BMILMS!$G$10,BMILMS!$D$11*AG160^3+BMILMS!$E$11*AG160^2+BMILMS!$F$11*AG160+BMILMS!$G$11)))</f>
        <v>0.79584630099999998</v>
      </c>
      <c r="AE160" s="24">
        <f>IF(D160="M",(IF(AG160&lt;2.5,BMILMS!$D$21*AG160^3+BMILMS!$E$21*AG160^2+BMILMS!$F$21*AG160+BMILMS!$G$21,IF(AG160&lt;9.5,BMILMS!$D$22*AG160^3+BMILMS!$E$22*AG160^2+BMILMS!$F$22*AG160+BMILMS!$G$22,IF(AG160&lt;26.75,BMILMS!$D$23*AG160^3+BMILMS!$E$23*AG160^2+BMILMS!$F$23*AG160+BMILMS!$G$23,IF(AG160&lt;90,BMILMS!$D$24*AG160^3+BMILMS!$E$24*AG160^2+BMILMS!$F$24*AG160+BMILMS!$G$24,BMILMS!$D$25*AG160^3+BMILMS!$E$25*AG160^2+BMILMS!$F$25*AG160+BMILMS!$G$25))))),(IF(AG160&lt;2.5,BMILMS!$D$27*AG160^3+BMILMS!$E$27*AG160^2+BMILMS!$F$27*AG160+BMILMS!$G$27,IF(AG160&lt;9.5,BMILMS!$D$28*AG160^3+BMILMS!$E$28*AG160^2+BMILMS!$F$28*AG160+BMILMS!$G$28,IF(AG160&lt;26.75,BMILMS!$D$29*AG160^3+BMILMS!$E$29*AG160^2+BMILMS!$F$29*AG160+BMILMS!$G$29,IF(AG160&lt;90,BMILMS!$D$30*AG160^3+BMILMS!$E$30*AG160^2+BMILMS!$F$30*AG160+BMILMS!$G$30,IF(AG160&lt;150,BMILMS!$D$31*AG160^3+BMILMS!$E$31*AG160^2+BMILMS!$F$31*AG160+BMILMS!$G$31,BMILMS!$D$32*AG160^3+BMILMS!$E$32*AG160^2+BMILMS!$F$32*AG160+BMILMS!$G$32)))))))</f>
        <v>12.568967990000001</v>
      </c>
      <c r="AF160" s="24">
        <f>IF(D160="M",(IF(AG160&lt;90,BMILMS!$D$14*AG160^3+BMILMS!$E$14*AG160^2+BMILMS!$F$14*AG160+BMILMS!$G$14,BMILMS!$D$15*AG160^3+BMILMS!$E$15*AG160^2+BMILMS!$F$15*AG160+BMILMS!$G$15)),(IF(AG160&lt;90,BMILMS!$D$17*AG160^3+BMILMS!$E$17*AG160^2+BMILMS!$F$17*AG160+BMILMS!$G$17,BMILMS!$D$18*AG160^3+BMILMS!$E$18*AG160^2+BMILMS!$F$18*AG160+BMILMS!$G$18)))</f>
        <v>8.8969350000000003E-2</v>
      </c>
      <c r="AG160" s="24">
        <f t="shared" si="48"/>
        <v>0</v>
      </c>
      <c r="AI160" s="38">
        <f>IF(D160="M",WeightSDS!P$5*$AG160^7+WeightSDS!Q$5*$AG160^6+WeightSDS!R$5*$AG160^5+WeightSDS!S$5*$AG160^4+WeightSDS!T$5*$AG160^3+WeightSDS!U$5*$AG160^2+WeightSDS!V$5*$AG160+WeightSDS!W$5,IF($AG160&lt;186,WeightSDS!P$8*$AG160^7+WeightSDS!Q$8*$AG160^6+WeightSDS!R$8*$AG160^5+WeightSDS!S$8*$AG160^4+WeightSDS!T$8*$AG160^3+WeightSDS!U$8*$AG160^2+WeightSDS!V$8*$AG160+WeightSDS!W$8,WeightSDS!$U$9-WeightSDS!$V$9*($AG160-WeightSDS!$W$9)))</f>
        <v>0.75407122999999998</v>
      </c>
      <c r="AJ160" s="24">
        <f>IF(D160="M",IF($AG160&lt;45,WeightSDS!M$23*$AG160^10+WeightSDS!N$23*$AG160^9+WeightSDS!O$23*$AG160^8+WeightSDS!P$23*$AG160^7+WeightSDS!Q$23*$AG160^6+WeightSDS!R$23*$AG160^5+WeightSDS!S$23*$AG160^4+WeightSDS!T$23*$AG160^3+WeightSDS!U$23*$AG160^2+WeightSDS!V$23*$AG160+WeightSDS!W$23,IF($AG160&lt;153,WeightSDS!M$25*$AG160^10+WeightSDS!N$25*$AG160^9+WeightSDS!O$25*$AG160^8+WeightSDS!P$25*$AG160^7+WeightSDS!Q$25*$AG160^6+WeightSDS!R$25*$AG160^5+WeightSDS!S$25*$AG160^4+WeightSDS!T$25*$AG160^3+WeightSDS!U$25*$AG160^2+WeightSDS!V$25*$AG160+WeightSDS!W$25,WeightSDS!M$27+WeightSDS!N$27/(1+EXP(WeightSDS!O$27+WeightSDS!P$27*$AG160)))),IF($AG160&lt;43.8,WeightSDS!M$29*$AG160^10+WeightSDS!N$29*$AG160^9+WeightSDS!O$29*$AG160^8+WeightSDS!P$29*$AG160^7+WeightSDS!Q$29*$AG160^6+WeightSDS!R$29*$AG160^5+WeightSDS!S$29*$AG160^4+WeightSDS!T$29*$AG160^3+WeightSDS!U$29*$AG160^2+WeightSDS!V$29*$AG160+WeightSDS!W$29-0.010431*(1-$AG160/210),IF($AG160&lt;123,WeightSDS!M$30*$AG160^10+WeightSDS!N$30*$AG160^9+WeightSDS!O$30*$AG160^8+WeightSDS!P$30*$AG160^7+WeightSDS!Q$30*$AG160^6+WeightSDS!R$30*$AG160^5+WeightSDS!S$30*$AG160^4+WeightSDS!T$30*$AG160^3+WeightSDS!U$30*$AG160^2+WeightSDS!V$30*$AG160+WeightSDS!W$30-0.010431*(1-1/$AG160),WeightSDS!M$32+WeightSDS!N$32/(1+EXP(WeightSDS!O$32+WeightSDS!P$32*$AG160))-0.010431*(1-$AG160/210))))</f>
        <v>2.9500001032655536</v>
      </c>
      <c r="AK160" s="24">
        <f>IF(D160="M",IF($AG160&lt;162,WeightSDS!P$12*$AG160^7+WeightSDS!Q$12*$AG160^6+WeightSDS!R$12*$AG160^5+WeightSDS!S$12*$AG160^4+WeightSDS!T$12*$AG160^3+WeightSDS!U$12*$AG160^2+WeightSDS!V$12*$AG160+WeightSDS!W$12,WeightSDS!P$14*$AG160^7+WeightSDS!Q$14*$AG160^6+WeightSDS!R$14*$AG160^5+WeightSDS!S$14*$AG160^4+WeightSDS!T$14*$AG160^3+WeightSDS!U$14*$AG160^2+WeightSDS!V$14*$AG160+WeightSDS!W$14),IF($AG160&lt;156,WeightSDS!O$17*$AG160^8+WeightSDS!P$17*$AG160^7+WeightSDS!Q$17*$AG160^6+WeightSDS!R$17*$AG160^5+WeightSDS!S$17*$AG160^4+WeightSDS!T$17*$AG160^3+WeightSDS!U$17*$AG160^2+WeightSDS!V$17*$AG160+WeightSDS!W$17,IF($AG160&lt;186,WeightSDS!$U$18+(WeightSDS!$V$18-WeightSDS!$U$18)/24*($AG160-186)+WeightSDS!$W$18*(-$AG160+186)^2-0.005,WeightSDS!$U$18+(WeightSDS!$V$18-WeightSDS!$U$18)/24*($AG160-186)-0.005)))</f>
        <v>0.14604529399999999</v>
      </c>
    </row>
    <row r="161" spans="1:37">
      <c r="A161" s="4"/>
      <c r="B161" s="21"/>
      <c r="C161" s="21"/>
      <c r="D161" s="21"/>
      <c r="E161" s="22"/>
      <c r="F161" s="22"/>
      <c r="G161" s="23"/>
      <c r="H161" s="23"/>
      <c r="I161" s="8" t="str">
        <f t="shared" si="34"/>
        <v/>
      </c>
      <c r="J161" s="2" t="str">
        <f t="shared" si="41"/>
        <v/>
      </c>
      <c r="K161" s="2" t="str">
        <f t="shared" si="35"/>
        <v/>
      </c>
      <c r="L161" s="2" t="str">
        <f t="shared" si="42"/>
        <v/>
      </c>
      <c r="M161" s="2" t="str">
        <f t="shared" si="47"/>
        <v/>
      </c>
      <c r="N161" s="2" t="str">
        <f t="shared" si="43"/>
        <v/>
      </c>
      <c r="O161" s="8" t="str">
        <f t="shared" si="44"/>
        <v/>
      </c>
      <c r="P161" s="8" t="str">
        <f t="shared" si="45"/>
        <v/>
      </c>
      <c r="Q161" s="40" t="str">
        <f t="shared" si="36"/>
        <v/>
      </c>
      <c r="R161" s="48" t="str">
        <f t="shared" si="46"/>
        <v/>
      </c>
      <c r="S161" s="8"/>
      <c r="U161" s="35">
        <f t="shared" si="37"/>
        <v>0</v>
      </c>
      <c r="V161" s="24">
        <f t="shared" si="38"/>
        <v>0</v>
      </c>
      <c r="W161" s="41">
        <f t="shared" si="49"/>
        <v>0</v>
      </c>
      <c r="X161" s="31"/>
      <c r="Y161" s="31"/>
      <c r="Z161" s="31"/>
      <c r="AA161" s="25">
        <f t="shared" si="39"/>
        <v>9.0359999999999996</v>
      </c>
      <c r="AB161" s="25">
        <f t="shared" si="40"/>
        <v>-184.49199999999999</v>
      </c>
      <c r="AD161" s="24">
        <f>IF(D161="M",IF(AG161&lt;78,BMILMS!$D$5*AG161^3+BMILMS!$E$5*AG161^2+BMILMS!$F$5*AG161+BMILMS!$G$5,IF(AG161&lt;150,BMILMS!$D$6*AG161^3+BMILMS!$E$6*AG161^2+BMILMS!$F$6*AG161+BMILMS!$G$6,BMILMS!$D$7*AG161^3+BMILMS!$E$7*AG161^2+BMILMS!$F$7*AG161+BMILMS!$G$7)),IF(AG161&lt;69,BMILMS!$D$9*AG161^3+BMILMS!$E$9*AG161^2+BMILMS!$F$9*AG161+BMILMS!$G$9,IF(AG161&lt;150,BMILMS!$D$10*AG161^3+BMILMS!$E$10*AG161^2+BMILMS!$F$10*AG161+BMILMS!$G$10,BMILMS!$D$11*AG161^3+BMILMS!$E$11*AG161^2+BMILMS!$F$11*AG161+BMILMS!$G$11)))</f>
        <v>0.79584630099999998</v>
      </c>
      <c r="AE161" s="24">
        <f>IF(D161="M",(IF(AG161&lt;2.5,BMILMS!$D$21*AG161^3+BMILMS!$E$21*AG161^2+BMILMS!$F$21*AG161+BMILMS!$G$21,IF(AG161&lt;9.5,BMILMS!$D$22*AG161^3+BMILMS!$E$22*AG161^2+BMILMS!$F$22*AG161+BMILMS!$G$22,IF(AG161&lt;26.75,BMILMS!$D$23*AG161^3+BMILMS!$E$23*AG161^2+BMILMS!$F$23*AG161+BMILMS!$G$23,IF(AG161&lt;90,BMILMS!$D$24*AG161^3+BMILMS!$E$24*AG161^2+BMILMS!$F$24*AG161+BMILMS!$G$24,BMILMS!$D$25*AG161^3+BMILMS!$E$25*AG161^2+BMILMS!$F$25*AG161+BMILMS!$G$25))))),(IF(AG161&lt;2.5,BMILMS!$D$27*AG161^3+BMILMS!$E$27*AG161^2+BMILMS!$F$27*AG161+BMILMS!$G$27,IF(AG161&lt;9.5,BMILMS!$D$28*AG161^3+BMILMS!$E$28*AG161^2+BMILMS!$F$28*AG161+BMILMS!$G$28,IF(AG161&lt;26.75,BMILMS!$D$29*AG161^3+BMILMS!$E$29*AG161^2+BMILMS!$F$29*AG161+BMILMS!$G$29,IF(AG161&lt;90,BMILMS!$D$30*AG161^3+BMILMS!$E$30*AG161^2+BMILMS!$F$30*AG161+BMILMS!$G$30,IF(AG161&lt;150,BMILMS!$D$31*AG161^3+BMILMS!$E$31*AG161^2+BMILMS!$F$31*AG161+BMILMS!$G$31,BMILMS!$D$32*AG161^3+BMILMS!$E$32*AG161^2+BMILMS!$F$32*AG161+BMILMS!$G$32)))))))</f>
        <v>12.568967990000001</v>
      </c>
      <c r="AF161" s="24">
        <f>IF(D161="M",(IF(AG161&lt;90,BMILMS!$D$14*AG161^3+BMILMS!$E$14*AG161^2+BMILMS!$F$14*AG161+BMILMS!$G$14,BMILMS!$D$15*AG161^3+BMILMS!$E$15*AG161^2+BMILMS!$F$15*AG161+BMILMS!$G$15)),(IF(AG161&lt;90,BMILMS!$D$17*AG161^3+BMILMS!$E$17*AG161^2+BMILMS!$F$17*AG161+BMILMS!$G$17,BMILMS!$D$18*AG161^3+BMILMS!$E$18*AG161^2+BMILMS!$F$18*AG161+BMILMS!$G$18)))</f>
        <v>8.8969350000000003E-2</v>
      </c>
      <c r="AG161" s="24">
        <f t="shared" si="48"/>
        <v>0</v>
      </c>
      <c r="AI161" s="38">
        <f>IF(D161="M",WeightSDS!P$5*$AG161^7+WeightSDS!Q$5*$AG161^6+WeightSDS!R$5*$AG161^5+WeightSDS!S$5*$AG161^4+WeightSDS!T$5*$AG161^3+WeightSDS!U$5*$AG161^2+WeightSDS!V$5*$AG161+WeightSDS!W$5,IF($AG161&lt;186,WeightSDS!P$8*$AG161^7+WeightSDS!Q$8*$AG161^6+WeightSDS!R$8*$AG161^5+WeightSDS!S$8*$AG161^4+WeightSDS!T$8*$AG161^3+WeightSDS!U$8*$AG161^2+WeightSDS!V$8*$AG161+WeightSDS!W$8,WeightSDS!$U$9-WeightSDS!$V$9*($AG161-WeightSDS!$W$9)))</f>
        <v>0.75407122999999998</v>
      </c>
      <c r="AJ161" s="24">
        <f>IF(D161="M",IF($AG161&lt;45,WeightSDS!M$23*$AG161^10+WeightSDS!N$23*$AG161^9+WeightSDS!O$23*$AG161^8+WeightSDS!P$23*$AG161^7+WeightSDS!Q$23*$AG161^6+WeightSDS!R$23*$AG161^5+WeightSDS!S$23*$AG161^4+WeightSDS!T$23*$AG161^3+WeightSDS!U$23*$AG161^2+WeightSDS!V$23*$AG161+WeightSDS!W$23,IF($AG161&lt;153,WeightSDS!M$25*$AG161^10+WeightSDS!N$25*$AG161^9+WeightSDS!O$25*$AG161^8+WeightSDS!P$25*$AG161^7+WeightSDS!Q$25*$AG161^6+WeightSDS!R$25*$AG161^5+WeightSDS!S$25*$AG161^4+WeightSDS!T$25*$AG161^3+WeightSDS!U$25*$AG161^2+WeightSDS!V$25*$AG161+WeightSDS!W$25,WeightSDS!M$27+WeightSDS!N$27/(1+EXP(WeightSDS!O$27+WeightSDS!P$27*$AG161)))),IF($AG161&lt;43.8,WeightSDS!M$29*$AG161^10+WeightSDS!N$29*$AG161^9+WeightSDS!O$29*$AG161^8+WeightSDS!P$29*$AG161^7+WeightSDS!Q$29*$AG161^6+WeightSDS!R$29*$AG161^5+WeightSDS!S$29*$AG161^4+WeightSDS!T$29*$AG161^3+WeightSDS!U$29*$AG161^2+WeightSDS!V$29*$AG161+WeightSDS!W$29-0.010431*(1-$AG161/210),IF($AG161&lt;123,WeightSDS!M$30*$AG161^10+WeightSDS!N$30*$AG161^9+WeightSDS!O$30*$AG161^8+WeightSDS!P$30*$AG161^7+WeightSDS!Q$30*$AG161^6+WeightSDS!R$30*$AG161^5+WeightSDS!S$30*$AG161^4+WeightSDS!T$30*$AG161^3+WeightSDS!U$30*$AG161^2+WeightSDS!V$30*$AG161+WeightSDS!W$30-0.010431*(1-1/$AG161),WeightSDS!M$32+WeightSDS!N$32/(1+EXP(WeightSDS!O$32+WeightSDS!P$32*$AG161))-0.010431*(1-$AG161/210))))</f>
        <v>2.9500001032655536</v>
      </c>
      <c r="AK161" s="24">
        <f>IF(D161="M",IF($AG161&lt;162,WeightSDS!P$12*$AG161^7+WeightSDS!Q$12*$AG161^6+WeightSDS!R$12*$AG161^5+WeightSDS!S$12*$AG161^4+WeightSDS!T$12*$AG161^3+WeightSDS!U$12*$AG161^2+WeightSDS!V$12*$AG161+WeightSDS!W$12,WeightSDS!P$14*$AG161^7+WeightSDS!Q$14*$AG161^6+WeightSDS!R$14*$AG161^5+WeightSDS!S$14*$AG161^4+WeightSDS!T$14*$AG161^3+WeightSDS!U$14*$AG161^2+WeightSDS!V$14*$AG161+WeightSDS!W$14),IF($AG161&lt;156,WeightSDS!O$17*$AG161^8+WeightSDS!P$17*$AG161^7+WeightSDS!Q$17*$AG161^6+WeightSDS!R$17*$AG161^5+WeightSDS!S$17*$AG161^4+WeightSDS!T$17*$AG161^3+WeightSDS!U$17*$AG161^2+WeightSDS!V$17*$AG161+WeightSDS!W$17,IF($AG161&lt;186,WeightSDS!$U$18+(WeightSDS!$V$18-WeightSDS!$U$18)/24*($AG161-186)+WeightSDS!$W$18*(-$AG161+186)^2-0.005,WeightSDS!$U$18+(WeightSDS!$V$18-WeightSDS!$U$18)/24*($AG161-186)-0.005)))</f>
        <v>0.14604529399999999</v>
      </c>
    </row>
    <row r="162" spans="1:37">
      <c r="A162" s="4"/>
      <c r="B162" s="21"/>
      <c r="C162" s="21"/>
      <c r="D162" s="21"/>
      <c r="E162" s="22"/>
      <c r="F162" s="22"/>
      <c r="G162" s="23"/>
      <c r="H162" s="23"/>
      <c r="I162" s="8" t="str">
        <f t="shared" si="34"/>
        <v/>
      </c>
      <c r="J162" s="2" t="str">
        <f t="shared" si="41"/>
        <v/>
      </c>
      <c r="K162" s="2" t="str">
        <f t="shared" si="35"/>
        <v/>
      </c>
      <c r="L162" s="2" t="str">
        <f t="shared" si="42"/>
        <v/>
      </c>
      <c r="M162" s="2" t="str">
        <f t="shared" si="47"/>
        <v/>
      </c>
      <c r="N162" s="2" t="str">
        <f t="shared" si="43"/>
        <v/>
      </c>
      <c r="O162" s="8" t="str">
        <f t="shared" si="44"/>
        <v/>
      </c>
      <c r="P162" s="8" t="str">
        <f t="shared" si="45"/>
        <v/>
      </c>
      <c r="Q162" s="40" t="str">
        <f t="shared" si="36"/>
        <v/>
      </c>
      <c r="R162" s="48" t="str">
        <f t="shared" si="46"/>
        <v/>
      </c>
      <c r="S162" s="8"/>
      <c r="U162" s="35">
        <f t="shared" si="37"/>
        <v>0</v>
      </c>
      <c r="V162" s="24">
        <f t="shared" si="38"/>
        <v>0</v>
      </c>
      <c r="W162" s="41">
        <f t="shared" si="49"/>
        <v>0</v>
      </c>
      <c r="X162" s="31"/>
      <c r="Y162" s="31"/>
      <c r="Z162" s="31"/>
      <c r="AA162" s="25">
        <f t="shared" si="39"/>
        <v>9.0359999999999996</v>
      </c>
      <c r="AB162" s="25">
        <f t="shared" si="40"/>
        <v>-184.49199999999999</v>
      </c>
      <c r="AD162" s="24">
        <f>IF(D162="M",IF(AG162&lt;78,BMILMS!$D$5*AG162^3+BMILMS!$E$5*AG162^2+BMILMS!$F$5*AG162+BMILMS!$G$5,IF(AG162&lt;150,BMILMS!$D$6*AG162^3+BMILMS!$E$6*AG162^2+BMILMS!$F$6*AG162+BMILMS!$G$6,BMILMS!$D$7*AG162^3+BMILMS!$E$7*AG162^2+BMILMS!$F$7*AG162+BMILMS!$G$7)),IF(AG162&lt;69,BMILMS!$D$9*AG162^3+BMILMS!$E$9*AG162^2+BMILMS!$F$9*AG162+BMILMS!$G$9,IF(AG162&lt;150,BMILMS!$D$10*AG162^3+BMILMS!$E$10*AG162^2+BMILMS!$F$10*AG162+BMILMS!$G$10,BMILMS!$D$11*AG162^3+BMILMS!$E$11*AG162^2+BMILMS!$F$11*AG162+BMILMS!$G$11)))</f>
        <v>0.79584630099999998</v>
      </c>
      <c r="AE162" s="24">
        <f>IF(D162="M",(IF(AG162&lt;2.5,BMILMS!$D$21*AG162^3+BMILMS!$E$21*AG162^2+BMILMS!$F$21*AG162+BMILMS!$G$21,IF(AG162&lt;9.5,BMILMS!$D$22*AG162^3+BMILMS!$E$22*AG162^2+BMILMS!$F$22*AG162+BMILMS!$G$22,IF(AG162&lt;26.75,BMILMS!$D$23*AG162^3+BMILMS!$E$23*AG162^2+BMILMS!$F$23*AG162+BMILMS!$G$23,IF(AG162&lt;90,BMILMS!$D$24*AG162^3+BMILMS!$E$24*AG162^2+BMILMS!$F$24*AG162+BMILMS!$G$24,BMILMS!$D$25*AG162^3+BMILMS!$E$25*AG162^2+BMILMS!$F$25*AG162+BMILMS!$G$25))))),(IF(AG162&lt;2.5,BMILMS!$D$27*AG162^3+BMILMS!$E$27*AG162^2+BMILMS!$F$27*AG162+BMILMS!$G$27,IF(AG162&lt;9.5,BMILMS!$D$28*AG162^3+BMILMS!$E$28*AG162^2+BMILMS!$F$28*AG162+BMILMS!$G$28,IF(AG162&lt;26.75,BMILMS!$D$29*AG162^3+BMILMS!$E$29*AG162^2+BMILMS!$F$29*AG162+BMILMS!$G$29,IF(AG162&lt;90,BMILMS!$D$30*AG162^3+BMILMS!$E$30*AG162^2+BMILMS!$F$30*AG162+BMILMS!$G$30,IF(AG162&lt;150,BMILMS!$D$31*AG162^3+BMILMS!$E$31*AG162^2+BMILMS!$F$31*AG162+BMILMS!$G$31,BMILMS!$D$32*AG162^3+BMILMS!$E$32*AG162^2+BMILMS!$F$32*AG162+BMILMS!$G$32)))))))</f>
        <v>12.568967990000001</v>
      </c>
      <c r="AF162" s="24">
        <f>IF(D162="M",(IF(AG162&lt;90,BMILMS!$D$14*AG162^3+BMILMS!$E$14*AG162^2+BMILMS!$F$14*AG162+BMILMS!$G$14,BMILMS!$D$15*AG162^3+BMILMS!$E$15*AG162^2+BMILMS!$F$15*AG162+BMILMS!$G$15)),(IF(AG162&lt;90,BMILMS!$D$17*AG162^3+BMILMS!$E$17*AG162^2+BMILMS!$F$17*AG162+BMILMS!$G$17,BMILMS!$D$18*AG162^3+BMILMS!$E$18*AG162^2+BMILMS!$F$18*AG162+BMILMS!$G$18)))</f>
        <v>8.8969350000000003E-2</v>
      </c>
      <c r="AG162" s="24">
        <f t="shared" si="48"/>
        <v>0</v>
      </c>
      <c r="AI162" s="38">
        <f>IF(D162="M",WeightSDS!P$5*$AG162^7+WeightSDS!Q$5*$AG162^6+WeightSDS!R$5*$AG162^5+WeightSDS!S$5*$AG162^4+WeightSDS!T$5*$AG162^3+WeightSDS!U$5*$AG162^2+WeightSDS!V$5*$AG162+WeightSDS!W$5,IF($AG162&lt;186,WeightSDS!P$8*$AG162^7+WeightSDS!Q$8*$AG162^6+WeightSDS!R$8*$AG162^5+WeightSDS!S$8*$AG162^4+WeightSDS!T$8*$AG162^3+WeightSDS!U$8*$AG162^2+WeightSDS!V$8*$AG162+WeightSDS!W$8,WeightSDS!$U$9-WeightSDS!$V$9*($AG162-WeightSDS!$W$9)))</f>
        <v>0.75407122999999998</v>
      </c>
      <c r="AJ162" s="24">
        <f>IF(D162="M",IF($AG162&lt;45,WeightSDS!M$23*$AG162^10+WeightSDS!N$23*$AG162^9+WeightSDS!O$23*$AG162^8+WeightSDS!P$23*$AG162^7+WeightSDS!Q$23*$AG162^6+WeightSDS!R$23*$AG162^5+WeightSDS!S$23*$AG162^4+WeightSDS!T$23*$AG162^3+WeightSDS!U$23*$AG162^2+WeightSDS!V$23*$AG162+WeightSDS!W$23,IF($AG162&lt;153,WeightSDS!M$25*$AG162^10+WeightSDS!N$25*$AG162^9+WeightSDS!O$25*$AG162^8+WeightSDS!P$25*$AG162^7+WeightSDS!Q$25*$AG162^6+WeightSDS!R$25*$AG162^5+WeightSDS!S$25*$AG162^4+WeightSDS!T$25*$AG162^3+WeightSDS!U$25*$AG162^2+WeightSDS!V$25*$AG162+WeightSDS!W$25,WeightSDS!M$27+WeightSDS!N$27/(1+EXP(WeightSDS!O$27+WeightSDS!P$27*$AG162)))),IF($AG162&lt;43.8,WeightSDS!M$29*$AG162^10+WeightSDS!N$29*$AG162^9+WeightSDS!O$29*$AG162^8+WeightSDS!P$29*$AG162^7+WeightSDS!Q$29*$AG162^6+WeightSDS!R$29*$AG162^5+WeightSDS!S$29*$AG162^4+WeightSDS!T$29*$AG162^3+WeightSDS!U$29*$AG162^2+WeightSDS!V$29*$AG162+WeightSDS!W$29-0.010431*(1-$AG162/210),IF($AG162&lt;123,WeightSDS!M$30*$AG162^10+WeightSDS!N$30*$AG162^9+WeightSDS!O$30*$AG162^8+WeightSDS!P$30*$AG162^7+WeightSDS!Q$30*$AG162^6+WeightSDS!R$30*$AG162^5+WeightSDS!S$30*$AG162^4+WeightSDS!T$30*$AG162^3+WeightSDS!U$30*$AG162^2+WeightSDS!V$30*$AG162+WeightSDS!W$30-0.010431*(1-1/$AG162),WeightSDS!M$32+WeightSDS!N$32/(1+EXP(WeightSDS!O$32+WeightSDS!P$32*$AG162))-0.010431*(1-$AG162/210))))</f>
        <v>2.9500001032655536</v>
      </c>
      <c r="AK162" s="24">
        <f>IF(D162="M",IF($AG162&lt;162,WeightSDS!P$12*$AG162^7+WeightSDS!Q$12*$AG162^6+WeightSDS!R$12*$AG162^5+WeightSDS!S$12*$AG162^4+WeightSDS!T$12*$AG162^3+WeightSDS!U$12*$AG162^2+WeightSDS!V$12*$AG162+WeightSDS!W$12,WeightSDS!P$14*$AG162^7+WeightSDS!Q$14*$AG162^6+WeightSDS!R$14*$AG162^5+WeightSDS!S$14*$AG162^4+WeightSDS!T$14*$AG162^3+WeightSDS!U$14*$AG162^2+WeightSDS!V$14*$AG162+WeightSDS!W$14),IF($AG162&lt;156,WeightSDS!O$17*$AG162^8+WeightSDS!P$17*$AG162^7+WeightSDS!Q$17*$AG162^6+WeightSDS!R$17*$AG162^5+WeightSDS!S$17*$AG162^4+WeightSDS!T$17*$AG162^3+WeightSDS!U$17*$AG162^2+WeightSDS!V$17*$AG162+WeightSDS!W$17,IF($AG162&lt;186,WeightSDS!$U$18+(WeightSDS!$V$18-WeightSDS!$U$18)/24*($AG162-186)+WeightSDS!$W$18*(-$AG162+186)^2-0.005,WeightSDS!$U$18+(WeightSDS!$V$18-WeightSDS!$U$18)/24*($AG162-186)-0.005)))</f>
        <v>0.14604529399999999</v>
      </c>
    </row>
    <row r="163" spans="1:37">
      <c r="A163" s="4"/>
      <c r="B163" s="21"/>
      <c r="C163" s="21"/>
      <c r="D163" s="21"/>
      <c r="E163" s="22"/>
      <c r="F163" s="22"/>
      <c r="G163" s="23"/>
      <c r="H163" s="23"/>
      <c r="I163" s="8" t="str">
        <f t="shared" si="34"/>
        <v/>
      </c>
      <c r="J163" s="2" t="str">
        <f t="shared" si="41"/>
        <v/>
      </c>
      <c r="K163" s="2" t="str">
        <f t="shared" si="35"/>
        <v/>
      </c>
      <c r="L163" s="2" t="str">
        <f t="shared" si="42"/>
        <v/>
      </c>
      <c r="M163" s="2" t="str">
        <f t="shared" si="47"/>
        <v/>
      </c>
      <c r="N163" s="2" t="str">
        <f t="shared" si="43"/>
        <v/>
      </c>
      <c r="O163" s="8" t="str">
        <f t="shared" si="44"/>
        <v/>
      </c>
      <c r="P163" s="8" t="str">
        <f t="shared" si="45"/>
        <v/>
      </c>
      <c r="Q163" s="40" t="str">
        <f t="shared" si="36"/>
        <v/>
      </c>
      <c r="R163" s="48" t="str">
        <f t="shared" si="46"/>
        <v/>
      </c>
      <c r="S163" s="8"/>
      <c r="U163" s="35">
        <f t="shared" si="37"/>
        <v>0</v>
      </c>
      <c r="V163" s="24">
        <f t="shared" si="38"/>
        <v>0</v>
      </c>
      <c r="W163" s="41">
        <f t="shared" si="49"/>
        <v>0</v>
      </c>
      <c r="X163" s="31"/>
      <c r="Y163" s="31"/>
      <c r="Z163" s="31"/>
      <c r="AA163" s="25">
        <f t="shared" si="39"/>
        <v>9.0359999999999996</v>
      </c>
      <c r="AB163" s="25">
        <f t="shared" si="40"/>
        <v>-184.49199999999999</v>
      </c>
      <c r="AD163" s="24">
        <f>IF(D163="M",IF(AG163&lt;78,BMILMS!$D$5*AG163^3+BMILMS!$E$5*AG163^2+BMILMS!$F$5*AG163+BMILMS!$G$5,IF(AG163&lt;150,BMILMS!$D$6*AG163^3+BMILMS!$E$6*AG163^2+BMILMS!$F$6*AG163+BMILMS!$G$6,BMILMS!$D$7*AG163^3+BMILMS!$E$7*AG163^2+BMILMS!$F$7*AG163+BMILMS!$G$7)),IF(AG163&lt;69,BMILMS!$D$9*AG163^3+BMILMS!$E$9*AG163^2+BMILMS!$F$9*AG163+BMILMS!$G$9,IF(AG163&lt;150,BMILMS!$D$10*AG163^3+BMILMS!$E$10*AG163^2+BMILMS!$F$10*AG163+BMILMS!$G$10,BMILMS!$D$11*AG163^3+BMILMS!$E$11*AG163^2+BMILMS!$F$11*AG163+BMILMS!$G$11)))</f>
        <v>0.79584630099999998</v>
      </c>
      <c r="AE163" s="24">
        <f>IF(D163="M",(IF(AG163&lt;2.5,BMILMS!$D$21*AG163^3+BMILMS!$E$21*AG163^2+BMILMS!$F$21*AG163+BMILMS!$G$21,IF(AG163&lt;9.5,BMILMS!$D$22*AG163^3+BMILMS!$E$22*AG163^2+BMILMS!$F$22*AG163+BMILMS!$G$22,IF(AG163&lt;26.75,BMILMS!$D$23*AG163^3+BMILMS!$E$23*AG163^2+BMILMS!$F$23*AG163+BMILMS!$G$23,IF(AG163&lt;90,BMILMS!$D$24*AG163^3+BMILMS!$E$24*AG163^2+BMILMS!$F$24*AG163+BMILMS!$G$24,BMILMS!$D$25*AG163^3+BMILMS!$E$25*AG163^2+BMILMS!$F$25*AG163+BMILMS!$G$25))))),(IF(AG163&lt;2.5,BMILMS!$D$27*AG163^3+BMILMS!$E$27*AG163^2+BMILMS!$F$27*AG163+BMILMS!$G$27,IF(AG163&lt;9.5,BMILMS!$D$28*AG163^3+BMILMS!$E$28*AG163^2+BMILMS!$F$28*AG163+BMILMS!$G$28,IF(AG163&lt;26.75,BMILMS!$D$29*AG163^3+BMILMS!$E$29*AG163^2+BMILMS!$F$29*AG163+BMILMS!$G$29,IF(AG163&lt;90,BMILMS!$D$30*AG163^3+BMILMS!$E$30*AG163^2+BMILMS!$F$30*AG163+BMILMS!$G$30,IF(AG163&lt;150,BMILMS!$D$31*AG163^3+BMILMS!$E$31*AG163^2+BMILMS!$F$31*AG163+BMILMS!$G$31,BMILMS!$D$32*AG163^3+BMILMS!$E$32*AG163^2+BMILMS!$F$32*AG163+BMILMS!$G$32)))))))</f>
        <v>12.568967990000001</v>
      </c>
      <c r="AF163" s="24">
        <f>IF(D163="M",(IF(AG163&lt;90,BMILMS!$D$14*AG163^3+BMILMS!$E$14*AG163^2+BMILMS!$F$14*AG163+BMILMS!$G$14,BMILMS!$D$15*AG163^3+BMILMS!$E$15*AG163^2+BMILMS!$F$15*AG163+BMILMS!$G$15)),(IF(AG163&lt;90,BMILMS!$D$17*AG163^3+BMILMS!$E$17*AG163^2+BMILMS!$F$17*AG163+BMILMS!$G$17,BMILMS!$D$18*AG163^3+BMILMS!$E$18*AG163^2+BMILMS!$F$18*AG163+BMILMS!$G$18)))</f>
        <v>8.8969350000000003E-2</v>
      </c>
      <c r="AG163" s="24">
        <f t="shared" si="48"/>
        <v>0</v>
      </c>
      <c r="AI163" s="38">
        <f>IF(D163="M",WeightSDS!P$5*$AG163^7+WeightSDS!Q$5*$AG163^6+WeightSDS!R$5*$AG163^5+WeightSDS!S$5*$AG163^4+WeightSDS!T$5*$AG163^3+WeightSDS!U$5*$AG163^2+WeightSDS!V$5*$AG163+WeightSDS!W$5,IF($AG163&lt;186,WeightSDS!P$8*$AG163^7+WeightSDS!Q$8*$AG163^6+WeightSDS!R$8*$AG163^5+WeightSDS!S$8*$AG163^4+WeightSDS!T$8*$AG163^3+WeightSDS!U$8*$AG163^2+WeightSDS!V$8*$AG163+WeightSDS!W$8,WeightSDS!$U$9-WeightSDS!$V$9*($AG163-WeightSDS!$W$9)))</f>
        <v>0.75407122999999998</v>
      </c>
      <c r="AJ163" s="24">
        <f>IF(D163="M",IF($AG163&lt;45,WeightSDS!M$23*$AG163^10+WeightSDS!N$23*$AG163^9+WeightSDS!O$23*$AG163^8+WeightSDS!P$23*$AG163^7+WeightSDS!Q$23*$AG163^6+WeightSDS!R$23*$AG163^5+WeightSDS!S$23*$AG163^4+WeightSDS!T$23*$AG163^3+WeightSDS!U$23*$AG163^2+WeightSDS!V$23*$AG163+WeightSDS!W$23,IF($AG163&lt;153,WeightSDS!M$25*$AG163^10+WeightSDS!N$25*$AG163^9+WeightSDS!O$25*$AG163^8+WeightSDS!P$25*$AG163^7+WeightSDS!Q$25*$AG163^6+WeightSDS!R$25*$AG163^5+WeightSDS!S$25*$AG163^4+WeightSDS!T$25*$AG163^3+WeightSDS!U$25*$AG163^2+WeightSDS!V$25*$AG163+WeightSDS!W$25,WeightSDS!M$27+WeightSDS!N$27/(1+EXP(WeightSDS!O$27+WeightSDS!P$27*$AG163)))),IF($AG163&lt;43.8,WeightSDS!M$29*$AG163^10+WeightSDS!N$29*$AG163^9+WeightSDS!O$29*$AG163^8+WeightSDS!P$29*$AG163^7+WeightSDS!Q$29*$AG163^6+WeightSDS!R$29*$AG163^5+WeightSDS!S$29*$AG163^4+WeightSDS!T$29*$AG163^3+WeightSDS!U$29*$AG163^2+WeightSDS!V$29*$AG163+WeightSDS!W$29-0.010431*(1-$AG163/210),IF($AG163&lt;123,WeightSDS!M$30*$AG163^10+WeightSDS!N$30*$AG163^9+WeightSDS!O$30*$AG163^8+WeightSDS!P$30*$AG163^7+WeightSDS!Q$30*$AG163^6+WeightSDS!R$30*$AG163^5+WeightSDS!S$30*$AG163^4+WeightSDS!T$30*$AG163^3+WeightSDS!U$30*$AG163^2+WeightSDS!V$30*$AG163+WeightSDS!W$30-0.010431*(1-1/$AG163),WeightSDS!M$32+WeightSDS!N$32/(1+EXP(WeightSDS!O$32+WeightSDS!P$32*$AG163))-0.010431*(1-$AG163/210))))</f>
        <v>2.9500001032655536</v>
      </c>
      <c r="AK163" s="24">
        <f>IF(D163="M",IF($AG163&lt;162,WeightSDS!P$12*$AG163^7+WeightSDS!Q$12*$AG163^6+WeightSDS!R$12*$AG163^5+WeightSDS!S$12*$AG163^4+WeightSDS!T$12*$AG163^3+WeightSDS!U$12*$AG163^2+WeightSDS!V$12*$AG163+WeightSDS!W$12,WeightSDS!P$14*$AG163^7+WeightSDS!Q$14*$AG163^6+WeightSDS!R$14*$AG163^5+WeightSDS!S$14*$AG163^4+WeightSDS!T$14*$AG163^3+WeightSDS!U$14*$AG163^2+WeightSDS!V$14*$AG163+WeightSDS!W$14),IF($AG163&lt;156,WeightSDS!O$17*$AG163^8+WeightSDS!P$17*$AG163^7+WeightSDS!Q$17*$AG163^6+WeightSDS!R$17*$AG163^5+WeightSDS!S$17*$AG163^4+WeightSDS!T$17*$AG163^3+WeightSDS!U$17*$AG163^2+WeightSDS!V$17*$AG163+WeightSDS!W$17,IF($AG163&lt;186,WeightSDS!$U$18+(WeightSDS!$V$18-WeightSDS!$U$18)/24*($AG163-186)+WeightSDS!$W$18*(-$AG163+186)^2-0.005,WeightSDS!$U$18+(WeightSDS!$V$18-WeightSDS!$U$18)/24*($AG163-186)-0.005)))</f>
        <v>0.14604529399999999</v>
      </c>
    </row>
    <row r="164" spans="1:37">
      <c r="A164" s="4"/>
      <c r="B164" s="21"/>
      <c r="C164" s="21"/>
      <c r="D164" s="21"/>
      <c r="E164" s="22"/>
      <c r="F164" s="22"/>
      <c r="G164" s="23"/>
      <c r="H164" s="23"/>
      <c r="I164" s="8" t="str">
        <f t="shared" si="34"/>
        <v/>
      </c>
      <c r="J164" s="2" t="str">
        <f t="shared" si="41"/>
        <v/>
      </c>
      <c r="K164" s="2" t="str">
        <f t="shared" si="35"/>
        <v/>
      </c>
      <c r="L164" s="2" t="str">
        <f t="shared" si="42"/>
        <v/>
      </c>
      <c r="M164" s="2" t="str">
        <f t="shared" si="47"/>
        <v/>
      </c>
      <c r="N164" s="2" t="str">
        <f t="shared" si="43"/>
        <v/>
      </c>
      <c r="O164" s="8" t="str">
        <f t="shared" si="44"/>
        <v/>
      </c>
      <c r="P164" s="8" t="str">
        <f t="shared" si="45"/>
        <v/>
      </c>
      <c r="Q164" s="40" t="str">
        <f t="shared" si="36"/>
        <v/>
      </c>
      <c r="R164" s="48" t="str">
        <f t="shared" si="46"/>
        <v/>
      </c>
      <c r="S164" s="8"/>
      <c r="U164" s="35">
        <f t="shared" si="37"/>
        <v>0</v>
      </c>
      <c r="V164" s="24">
        <f t="shared" si="38"/>
        <v>0</v>
      </c>
      <c r="W164" s="41">
        <f t="shared" si="49"/>
        <v>0</v>
      </c>
      <c r="X164" s="31"/>
      <c r="Y164" s="31"/>
      <c r="Z164" s="31"/>
      <c r="AA164" s="25">
        <f t="shared" si="39"/>
        <v>9.0359999999999996</v>
      </c>
      <c r="AB164" s="25">
        <f t="shared" si="40"/>
        <v>-184.49199999999999</v>
      </c>
      <c r="AD164" s="24">
        <f>IF(D164="M",IF(AG164&lt;78,BMILMS!$D$5*AG164^3+BMILMS!$E$5*AG164^2+BMILMS!$F$5*AG164+BMILMS!$G$5,IF(AG164&lt;150,BMILMS!$D$6*AG164^3+BMILMS!$E$6*AG164^2+BMILMS!$F$6*AG164+BMILMS!$G$6,BMILMS!$D$7*AG164^3+BMILMS!$E$7*AG164^2+BMILMS!$F$7*AG164+BMILMS!$G$7)),IF(AG164&lt;69,BMILMS!$D$9*AG164^3+BMILMS!$E$9*AG164^2+BMILMS!$F$9*AG164+BMILMS!$G$9,IF(AG164&lt;150,BMILMS!$D$10*AG164^3+BMILMS!$E$10*AG164^2+BMILMS!$F$10*AG164+BMILMS!$G$10,BMILMS!$D$11*AG164^3+BMILMS!$E$11*AG164^2+BMILMS!$F$11*AG164+BMILMS!$G$11)))</f>
        <v>0.79584630099999998</v>
      </c>
      <c r="AE164" s="24">
        <f>IF(D164="M",(IF(AG164&lt;2.5,BMILMS!$D$21*AG164^3+BMILMS!$E$21*AG164^2+BMILMS!$F$21*AG164+BMILMS!$G$21,IF(AG164&lt;9.5,BMILMS!$D$22*AG164^3+BMILMS!$E$22*AG164^2+BMILMS!$F$22*AG164+BMILMS!$G$22,IF(AG164&lt;26.75,BMILMS!$D$23*AG164^3+BMILMS!$E$23*AG164^2+BMILMS!$F$23*AG164+BMILMS!$G$23,IF(AG164&lt;90,BMILMS!$D$24*AG164^3+BMILMS!$E$24*AG164^2+BMILMS!$F$24*AG164+BMILMS!$G$24,BMILMS!$D$25*AG164^3+BMILMS!$E$25*AG164^2+BMILMS!$F$25*AG164+BMILMS!$G$25))))),(IF(AG164&lt;2.5,BMILMS!$D$27*AG164^3+BMILMS!$E$27*AG164^2+BMILMS!$F$27*AG164+BMILMS!$G$27,IF(AG164&lt;9.5,BMILMS!$D$28*AG164^3+BMILMS!$E$28*AG164^2+BMILMS!$F$28*AG164+BMILMS!$G$28,IF(AG164&lt;26.75,BMILMS!$D$29*AG164^3+BMILMS!$E$29*AG164^2+BMILMS!$F$29*AG164+BMILMS!$G$29,IF(AG164&lt;90,BMILMS!$D$30*AG164^3+BMILMS!$E$30*AG164^2+BMILMS!$F$30*AG164+BMILMS!$G$30,IF(AG164&lt;150,BMILMS!$D$31*AG164^3+BMILMS!$E$31*AG164^2+BMILMS!$F$31*AG164+BMILMS!$G$31,BMILMS!$D$32*AG164^3+BMILMS!$E$32*AG164^2+BMILMS!$F$32*AG164+BMILMS!$G$32)))))))</f>
        <v>12.568967990000001</v>
      </c>
      <c r="AF164" s="24">
        <f>IF(D164="M",(IF(AG164&lt;90,BMILMS!$D$14*AG164^3+BMILMS!$E$14*AG164^2+BMILMS!$F$14*AG164+BMILMS!$G$14,BMILMS!$D$15*AG164^3+BMILMS!$E$15*AG164^2+BMILMS!$F$15*AG164+BMILMS!$G$15)),(IF(AG164&lt;90,BMILMS!$D$17*AG164^3+BMILMS!$E$17*AG164^2+BMILMS!$F$17*AG164+BMILMS!$G$17,BMILMS!$D$18*AG164^3+BMILMS!$E$18*AG164^2+BMILMS!$F$18*AG164+BMILMS!$G$18)))</f>
        <v>8.8969350000000003E-2</v>
      </c>
      <c r="AG164" s="24">
        <f t="shared" si="48"/>
        <v>0</v>
      </c>
      <c r="AI164" s="38">
        <f>IF(D164="M",WeightSDS!P$5*$AG164^7+WeightSDS!Q$5*$AG164^6+WeightSDS!R$5*$AG164^5+WeightSDS!S$5*$AG164^4+WeightSDS!T$5*$AG164^3+WeightSDS!U$5*$AG164^2+WeightSDS!V$5*$AG164+WeightSDS!W$5,IF($AG164&lt;186,WeightSDS!P$8*$AG164^7+WeightSDS!Q$8*$AG164^6+WeightSDS!R$8*$AG164^5+WeightSDS!S$8*$AG164^4+WeightSDS!T$8*$AG164^3+WeightSDS!U$8*$AG164^2+WeightSDS!V$8*$AG164+WeightSDS!W$8,WeightSDS!$U$9-WeightSDS!$V$9*($AG164-WeightSDS!$W$9)))</f>
        <v>0.75407122999999998</v>
      </c>
      <c r="AJ164" s="24">
        <f>IF(D164="M",IF($AG164&lt;45,WeightSDS!M$23*$AG164^10+WeightSDS!N$23*$AG164^9+WeightSDS!O$23*$AG164^8+WeightSDS!P$23*$AG164^7+WeightSDS!Q$23*$AG164^6+WeightSDS!R$23*$AG164^5+WeightSDS!S$23*$AG164^4+WeightSDS!T$23*$AG164^3+WeightSDS!U$23*$AG164^2+WeightSDS!V$23*$AG164+WeightSDS!W$23,IF($AG164&lt;153,WeightSDS!M$25*$AG164^10+WeightSDS!N$25*$AG164^9+WeightSDS!O$25*$AG164^8+WeightSDS!P$25*$AG164^7+WeightSDS!Q$25*$AG164^6+WeightSDS!R$25*$AG164^5+WeightSDS!S$25*$AG164^4+WeightSDS!T$25*$AG164^3+WeightSDS!U$25*$AG164^2+WeightSDS!V$25*$AG164+WeightSDS!W$25,WeightSDS!M$27+WeightSDS!N$27/(1+EXP(WeightSDS!O$27+WeightSDS!P$27*$AG164)))),IF($AG164&lt;43.8,WeightSDS!M$29*$AG164^10+WeightSDS!N$29*$AG164^9+WeightSDS!O$29*$AG164^8+WeightSDS!P$29*$AG164^7+WeightSDS!Q$29*$AG164^6+WeightSDS!R$29*$AG164^5+WeightSDS!S$29*$AG164^4+WeightSDS!T$29*$AG164^3+WeightSDS!U$29*$AG164^2+WeightSDS!V$29*$AG164+WeightSDS!W$29-0.010431*(1-$AG164/210),IF($AG164&lt;123,WeightSDS!M$30*$AG164^10+WeightSDS!N$30*$AG164^9+WeightSDS!O$30*$AG164^8+WeightSDS!P$30*$AG164^7+WeightSDS!Q$30*$AG164^6+WeightSDS!R$30*$AG164^5+WeightSDS!S$30*$AG164^4+WeightSDS!T$30*$AG164^3+WeightSDS!U$30*$AG164^2+WeightSDS!V$30*$AG164+WeightSDS!W$30-0.010431*(1-1/$AG164),WeightSDS!M$32+WeightSDS!N$32/(1+EXP(WeightSDS!O$32+WeightSDS!P$32*$AG164))-0.010431*(1-$AG164/210))))</f>
        <v>2.9500001032655536</v>
      </c>
      <c r="AK164" s="24">
        <f>IF(D164="M",IF($AG164&lt;162,WeightSDS!P$12*$AG164^7+WeightSDS!Q$12*$AG164^6+WeightSDS!R$12*$AG164^5+WeightSDS!S$12*$AG164^4+WeightSDS!T$12*$AG164^3+WeightSDS!U$12*$AG164^2+WeightSDS!V$12*$AG164+WeightSDS!W$12,WeightSDS!P$14*$AG164^7+WeightSDS!Q$14*$AG164^6+WeightSDS!R$14*$AG164^5+WeightSDS!S$14*$AG164^4+WeightSDS!T$14*$AG164^3+WeightSDS!U$14*$AG164^2+WeightSDS!V$14*$AG164+WeightSDS!W$14),IF($AG164&lt;156,WeightSDS!O$17*$AG164^8+WeightSDS!P$17*$AG164^7+WeightSDS!Q$17*$AG164^6+WeightSDS!R$17*$AG164^5+WeightSDS!S$17*$AG164^4+WeightSDS!T$17*$AG164^3+WeightSDS!U$17*$AG164^2+WeightSDS!V$17*$AG164+WeightSDS!W$17,IF($AG164&lt;186,WeightSDS!$U$18+(WeightSDS!$V$18-WeightSDS!$U$18)/24*($AG164-186)+WeightSDS!$W$18*(-$AG164+186)^2-0.005,WeightSDS!$U$18+(WeightSDS!$V$18-WeightSDS!$U$18)/24*($AG164-186)-0.005)))</f>
        <v>0.14604529399999999</v>
      </c>
    </row>
    <row r="165" spans="1:37">
      <c r="A165" s="4"/>
      <c r="B165" s="21"/>
      <c r="C165" s="21"/>
      <c r="D165" s="21"/>
      <c r="E165" s="22"/>
      <c r="F165" s="22"/>
      <c r="G165" s="23"/>
      <c r="H165" s="23"/>
      <c r="I165" s="8" t="str">
        <f t="shared" si="34"/>
        <v/>
      </c>
      <c r="J165" s="2" t="str">
        <f t="shared" si="41"/>
        <v/>
      </c>
      <c r="K165" s="2" t="str">
        <f t="shared" si="35"/>
        <v/>
      </c>
      <c r="L165" s="2" t="str">
        <f t="shared" si="42"/>
        <v/>
      </c>
      <c r="M165" s="2" t="str">
        <f t="shared" si="47"/>
        <v/>
      </c>
      <c r="N165" s="2" t="str">
        <f t="shared" si="43"/>
        <v/>
      </c>
      <c r="O165" s="8" t="str">
        <f t="shared" si="44"/>
        <v/>
      </c>
      <c r="P165" s="8" t="str">
        <f t="shared" si="45"/>
        <v/>
      </c>
      <c r="Q165" s="40" t="str">
        <f t="shared" si="36"/>
        <v/>
      </c>
      <c r="R165" s="48" t="str">
        <f t="shared" si="46"/>
        <v/>
      </c>
      <c r="S165" s="8"/>
      <c r="U165" s="35">
        <f t="shared" si="37"/>
        <v>0</v>
      </c>
      <c r="V165" s="24">
        <f t="shared" si="38"/>
        <v>0</v>
      </c>
      <c r="W165" s="41">
        <f t="shared" si="49"/>
        <v>0</v>
      </c>
      <c r="X165" s="31"/>
      <c r="Y165" s="31"/>
      <c r="Z165" s="31"/>
      <c r="AA165" s="25">
        <f t="shared" si="39"/>
        <v>9.0359999999999996</v>
      </c>
      <c r="AB165" s="25">
        <f t="shared" si="40"/>
        <v>-184.49199999999999</v>
      </c>
      <c r="AD165" s="24">
        <f>IF(D165="M",IF(AG165&lt;78,BMILMS!$D$5*AG165^3+BMILMS!$E$5*AG165^2+BMILMS!$F$5*AG165+BMILMS!$G$5,IF(AG165&lt;150,BMILMS!$D$6*AG165^3+BMILMS!$E$6*AG165^2+BMILMS!$F$6*AG165+BMILMS!$G$6,BMILMS!$D$7*AG165^3+BMILMS!$E$7*AG165^2+BMILMS!$F$7*AG165+BMILMS!$G$7)),IF(AG165&lt;69,BMILMS!$D$9*AG165^3+BMILMS!$E$9*AG165^2+BMILMS!$F$9*AG165+BMILMS!$G$9,IF(AG165&lt;150,BMILMS!$D$10*AG165^3+BMILMS!$E$10*AG165^2+BMILMS!$F$10*AG165+BMILMS!$G$10,BMILMS!$D$11*AG165^3+BMILMS!$E$11*AG165^2+BMILMS!$F$11*AG165+BMILMS!$G$11)))</f>
        <v>0.79584630099999998</v>
      </c>
      <c r="AE165" s="24">
        <f>IF(D165="M",(IF(AG165&lt;2.5,BMILMS!$D$21*AG165^3+BMILMS!$E$21*AG165^2+BMILMS!$F$21*AG165+BMILMS!$G$21,IF(AG165&lt;9.5,BMILMS!$D$22*AG165^3+BMILMS!$E$22*AG165^2+BMILMS!$F$22*AG165+BMILMS!$G$22,IF(AG165&lt;26.75,BMILMS!$D$23*AG165^3+BMILMS!$E$23*AG165^2+BMILMS!$F$23*AG165+BMILMS!$G$23,IF(AG165&lt;90,BMILMS!$D$24*AG165^3+BMILMS!$E$24*AG165^2+BMILMS!$F$24*AG165+BMILMS!$G$24,BMILMS!$D$25*AG165^3+BMILMS!$E$25*AG165^2+BMILMS!$F$25*AG165+BMILMS!$G$25))))),(IF(AG165&lt;2.5,BMILMS!$D$27*AG165^3+BMILMS!$E$27*AG165^2+BMILMS!$F$27*AG165+BMILMS!$G$27,IF(AG165&lt;9.5,BMILMS!$D$28*AG165^3+BMILMS!$E$28*AG165^2+BMILMS!$F$28*AG165+BMILMS!$G$28,IF(AG165&lt;26.75,BMILMS!$D$29*AG165^3+BMILMS!$E$29*AG165^2+BMILMS!$F$29*AG165+BMILMS!$G$29,IF(AG165&lt;90,BMILMS!$D$30*AG165^3+BMILMS!$E$30*AG165^2+BMILMS!$F$30*AG165+BMILMS!$G$30,IF(AG165&lt;150,BMILMS!$D$31*AG165^3+BMILMS!$E$31*AG165^2+BMILMS!$F$31*AG165+BMILMS!$G$31,BMILMS!$D$32*AG165^3+BMILMS!$E$32*AG165^2+BMILMS!$F$32*AG165+BMILMS!$G$32)))))))</f>
        <v>12.568967990000001</v>
      </c>
      <c r="AF165" s="24">
        <f>IF(D165="M",(IF(AG165&lt;90,BMILMS!$D$14*AG165^3+BMILMS!$E$14*AG165^2+BMILMS!$F$14*AG165+BMILMS!$G$14,BMILMS!$D$15*AG165^3+BMILMS!$E$15*AG165^2+BMILMS!$F$15*AG165+BMILMS!$G$15)),(IF(AG165&lt;90,BMILMS!$D$17*AG165^3+BMILMS!$E$17*AG165^2+BMILMS!$F$17*AG165+BMILMS!$G$17,BMILMS!$D$18*AG165^3+BMILMS!$E$18*AG165^2+BMILMS!$F$18*AG165+BMILMS!$G$18)))</f>
        <v>8.8969350000000003E-2</v>
      </c>
      <c r="AG165" s="24">
        <f t="shared" si="48"/>
        <v>0</v>
      </c>
      <c r="AI165" s="38">
        <f>IF(D165="M",WeightSDS!P$5*$AG165^7+WeightSDS!Q$5*$AG165^6+WeightSDS!R$5*$AG165^5+WeightSDS!S$5*$AG165^4+WeightSDS!T$5*$AG165^3+WeightSDS!U$5*$AG165^2+WeightSDS!V$5*$AG165+WeightSDS!W$5,IF($AG165&lt;186,WeightSDS!P$8*$AG165^7+WeightSDS!Q$8*$AG165^6+WeightSDS!R$8*$AG165^5+WeightSDS!S$8*$AG165^4+WeightSDS!T$8*$AG165^3+WeightSDS!U$8*$AG165^2+WeightSDS!V$8*$AG165+WeightSDS!W$8,WeightSDS!$U$9-WeightSDS!$V$9*($AG165-WeightSDS!$W$9)))</f>
        <v>0.75407122999999998</v>
      </c>
      <c r="AJ165" s="24">
        <f>IF(D165="M",IF($AG165&lt;45,WeightSDS!M$23*$AG165^10+WeightSDS!N$23*$AG165^9+WeightSDS!O$23*$AG165^8+WeightSDS!P$23*$AG165^7+WeightSDS!Q$23*$AG165^6+WeightSDS!R$23*$AG165^5+WeightSDS!S$23*$AG165^4+WeightSDS!T$23*$AG165^3+WeightSDS!U$23*$AG165^2+WeightSDS!V$23*$AG165+WeightSDS!W$23,IF($AG165&lt;153,WeightSDS!M$25*$AG165^10+WeightSDS!N$25*$AG165^9+WeightSDS!O$25*$AG165^8+WeightSDS!P$25*$AG165^7+WeightSDS!Q$25*$AG165^6+WeightSDS!R$25*$AG165^5+WeightSDS!S$25*$AG165^4+WeightSDS!T$25*$AG165^3+WeightSDS!U$25*$AG165^2+WeightSDS!V$25*$AG165+WeightSDS!W$25,WeightSDS!M$27+WeightSDS!N$27/(1+EXP(WeightSDS!O$27+WeightSDS!P$27*$AG165)))),IF($AG165&lt;43.8,WeightSDS!M$29*$AG165^10+WeightSDS!N$29*$AG165^9+WeightSDS!O$29*$AG165^8+WeightSDS!P$29*$AG165^7+WeightSDS!Q$29*$AG165^6+WeightSDS!R$29*$AG165^5+WeightSDS!S$29*$AG165^4+WeightSDS!T$29*$AG165^3+WeightSDS!U$29*$AG165^2+WeightSDS!V$29*$AG165+WeightSDS!W$29-0.010431*(1-$AG165/210),IF($AG165&lt;123,WeightSDS!M$30*$AG165^10+WeightSDS!N$30*$AG165^9+WeightSDS!O$30*$AG165^8+WeightSDS!P$30*$AG165^7+WeightSDS!Q$30*$AG165^6+WeightSDS!R$30*$AG165^5+WeightSDS!S$30*$AG165^4+WeightSDS!T$30*$AG165^3+WeightSDS!U$30*$AG165^2+WeightSDS!V$30*$AG165+WeightSDS!W$30-0.010431*(1-1/$AG165),WeightSDS!M$32+WeightSDS!N$32/(1+EXP(WeightSDS!O$32+WeightSDS!P$32*$AG165))-0.010431*(1-$AG165/210))))</f>
        <v>2.9500001032655536</v>
      </c>
      <c r="AK165" s="24">
        <f>IF(D165="M",IF($AG165&lt;162,WeightSDS!P$12*$AG165^7+WeightSDS!Q$12*$AG165^6+WeightSDS!R$12*$AG165^5+WeightSDS!S$12*$AG165^4+WeightSDS!T$12*$AG165^3+WeightSDS!U$12*$AG165^2+WeightSDS!V$12*$AG165+WeightSDS!W$12,WeightSDS!P$14*$AG165^7+WeightSDS!Q$14*$AG165^6+WeightSDS!R$14*$AG165^5+WeightSDS!S$14*$AG165^4+WeightSDS!T$14*$AG165^3+WeightSDS!U$14*$AG165^2+WeightSDS!V$14*$AG165+WeightSDS!W$14),IF($AG165&lt;156,WeightSDS!O$17*$AG165^8+WeightSDS!P$17*$AG165^7+WeightSDS!Q$17*$AG165^6+WeightSDS!R$17*$AG165^5+WeightSDS!S$17*$AG165^4+WeightSDS!T$17*$AG165^3+WeightSDS!U$17*$AG165^2+WeightSDS!V$17*$AG165+WeightSDS!W$17,IF($AG165&lt;186,WeightSDS!$U$18+(WeightSDS!$V$18-WeightSDS!$U$18)/24*($AG165-186)+WeightSDS!$W$18*(-$AG165+186)^2-0.005,WeightSDS!$U$18+(WeightSDS!$V$18-WeightSDS!$U$18)/24*($AG165-186)-0.005)))</f>
        <v>0.14604529399999999</v>
      </c>
    </row>
    <row r="166" spans="1:37">
      <c r="A166" s="4"/>
      <c r="B166" s="21"/>
      <c r="C166" s="21"/>
      <c r="D166" s="21"/>
      <c r="E166" s="22"/>
      <c r="F166" s="22"/>
      <c r="G166" s="23"/>
      <c r="H166" s="23"/>
      <c r="I166" s="8" t="str">
        <f t="shared" si="34"/>
        <v/>
      </c>
      <c r="J166" s="2" t="str">
        <f t="shared" si="41"/>
        <v/>
      </c>
      <c r="K166" s="2" t="str">
        <f t="shared" si="35"/>
        <v/>
      </c>
      <c r="L166" s="2" t="str">
        <f t="shared" si="42"/>
        <v/>
      </c>
      <c r="M166" s="2" t="str">
        <f t="shared" si="47"/>
        <v/>
      </c>
      <c r="N166" s="2" t="str">
        <f t="shared" si="43"/>
        <v/>
      </c>
      <c r="O166" s="8" t="str">
        <f t="shared" si="44"/>
        <v/>
      </c>
      <c r="P166" s="8" t="str">
        <f t="shared" si="45"/>
        <v/>
      </c>
      <c r="Q166" s="40" t="str">
        <f t="shared" si="36"/>
        <v/>
      </c>
      <c r="R166" s="48" t="str">
        <f t="shared" si="46"/>
        <v/>
      </c>
      <c r="S166" s="8"/>
      <c r="U166" s="35">
        <f t="shared" si="37"/>
        <v>0</v>
      </c>
      <c r="V166" s="24">
        <f t="shared" si="38"/>
        <v>0</v>
      </c>
      <c r="W166" s="41">
        <f t="shared" si="49"/>
        <v>0</v>
      </c>
      <c r="X166" s="31"/>
      <c r="Y166" s="31"/>
      <c r="Z166" s="31"/>
      <c r="AA166" s="25">
        <f t="shared" si="39"/>
        <v>9.0359999999999996</v>
      </c>
      <c r="AB166" s="25">
        <f t="shared" si="40"/>
        <v>-184.49199999999999</v>
      </c>
      <c r="AD166" s="24">
        <f>IF(D166="M",IF(AG166&lt;78,BMILMS!$D$5*AG166^3+BMILMS!$E$5*AG166^2+BMILMS!$F$5*AG166+BMILMS!$G$5,IF(AG166&lt;150,BMILMS!$D$6*AG166^3+BMILMS!$E$6*AG166^2+BMILMS!$F$6*AG166+BMILMS!$G$6,BMILMS!$D$7*AG166^3+BMILMS!$E$7*AG166^2+BMILMS!$F$7*AG166+BMILMS!$G$7)),IF(AG166&lt;69,BMILMS!$D$9*AG166^3+BMILMS!$E$9*AG166^2+BMILMS!$F$9*AG166+BMILMS!$G$9,IF(AG166&lt;150,BMILMS!$D$10*AG166^3+BMILMS!$E$10*AG166^2+BMILMS!$F$10*AG166+BMILMS!$G$10,BMILMS!$D$11*AG166^3+BMILMS!$E$11*AG166^2+BMILMS!$F$11*AG166+BMILMS!$G$11)))</f>
        <v>0.79584630099999998</v>
      </c>
      <c r="AE166" s="24">
        <f>IF(D166="M",(IF(AG166&lt;2.5,BMILMS!$D$21*AG166^3+BMILMS!$E$21*AG166^2+BMILMS!$F$21*AG166+BMILMS!$G$21,IF(AG166&lt;9.5,BMILMS!$D$22*AG166^3+BMILMS!$E$22*AG166^2+BMILMS!$F$22*AG166+BMILMS!$G$22,IF(AG166&lt;26.75,BMILMS!$D$23*AG166^3+BMILMS!$E$23*AG166^2+BMILMS!$F$23*AG166+BMILMS!$G$23,IF(AG166&lt;90,BMILMS!$D$24*AG166^3+BMILMS!$E$24*AG166^2+BMILMS!$F$24*AG166+BMILMS!$G$24,BMILMS!$D$25*AG166^3+BMILMS!$E$25*AG166^2+BMILMS!$F$25*AG166+BMILMS!$G$25))))),(IF(AG166&lt;2.5,BMILMS!$D$27*AG166^3+BMILMS!$E$27*AG166^2+BMILMS!$F$27*AG166+BMILMS!$G$27,IF(AG166&lt;9.5,BMILMS!$D$28*AG166^3+BMILMS!$E$28*AG166^2+BMILMS!$F$28*AG166+BMILMS!$G$28,IF(AG166&lt;26.75,BMILMS!$D$29*AG166^3+BMILMS!$E$29*AG166^2+BMILMS!$F$29*AG166+BMILMS!$G$29,IF(AG166&lt;90,BMILMS!$D$30*AG166^3+BMILMS!$E$30*AG166^2+BMILMS!$F$30*AG166+BMILMS!$G$30,IF(AG166&lt;150,BMILMS!$D$31*AG166^3+BMILMS!$E$31*AG166^2+BMILMS!$F$31*AG166+BMILMS!$G$31,BMILMS!$D$32*AG166^3+BMILMS!$E$32*AG166^2+BMILMS!$F$32*AG166+BMILMS!$G$32)))))))</f>
        <v>12.568967990000001</v>
      </c>
      <c r="AF166" s="24">
        <f>IF(D166="M",(IF(AG166&lt;90,BMILMS!$D$14*AG166^3+BMILMS!$E$14*AG166^2+BMILMS!$F$14*AG166+BMILMS!$G$14,BMILMS!$D$15*AG166^3+BMILMS!$E$15*AG166^2+BMILMS!$F$15*AG166+BMILMS!$G$15)),(IF(AG166&lt;90,BMILMS!$D$17*AG166^3+BMILMS!$E$17*AG166^2+BMILMS!$F$17*AG166+BMILMS!$G$17,BMILMS!$D$18*AG166^3+BMILMS!$E$18*AG166^2+BMILMS!$F$18*AG166+BMILMS!$G$18)))</f>
        <v>8.8969350000000003E-2</v>
      </c>
      <c r="AG166" s="24">
        <f t="shared" si="48"/>
        <v>0</v>
      </c>
      <c r="AI166" s="38">
        <f>IF(D166="M",WeightSDS!P$5*$AG166^7+WeightSDS!Q$5*$AG166^6+WeightSDS!R$5*$AG166^5+WeightSDS!S$5*$AG166^4+WeightSDS!T$5*$AG166^3+WeightSDS!U$5*$AG166^2+WeightSDS!V$5*$AG166+WeightSDS!W$5,IF($AG166&lt;186,WeightSDS!P$8*$AG166^7+WeightSDS!Q$8*$AG166^6+WeightSDS!R$8*$AG166^5+WeightSDS!S$8*$AG166^4+WeightSDS!T$8*$AG166^3+WeightSDS!U$8*$AG166^2+WeightSDS!V$8*$AG166+WeightSDS!W$8,WeightSDS!$U$9-WeightSDS!$V$9*($AG166-WeightSDS!$W$9)))</f>
        <v>0.75407122999999998</v>
      </c>
      <c r="AJ166" s="24">
        <f>IF(D166="M",IF($AG166&lt;45,WeightSDS!M$23*$AG166^10+WeightSDS!N$23*$AG166^9+WeightSDS!O$23*$AG166^8+WeightSDS!P$23*$AG166^7+WeightSDS!Q$23*$AG166^6+WeightSDS!R$23*$AG166^5+WeightSDS!S$23*$AG166^4+WeightSDS!T$23*$AG166^3+WeightSDS!U$23*$AG166^2+WeightSDS!V$23*$AG166+WeightSDS!W$23,IF($AG166&lt;153,WeightSDS!M$25*$AG166^10+WeightSDS!N$25*$AG166^9+WeightSDS!O$25*$AG166^8+WeightSDS!P$25*$AG166^7+WeightSDS!Q$25*$AG166^6+WeightSDS!R$25*$AG166^5+WeightSDS!S$25*$AG166^4+WeightSDS!T$25*$AG166^3+WeightSDS!U$25*$AG166^2+WeightSDS!V$25*$AG166+WeightSDS!W$25,WeightSDS!M$27+WeightSDS!N$27/(1+EXP(WeightSDS!O$27+WeightSDS!P$27*$AG166)))),IF($AG166&lt;43.8,WeightSDS!M$29*$AG166^10+WeightSDS!N$29*$AG166^9+WeightSDS!O$29*$AG166^8+WeightSDS!P$29*$AG166^7+WeightSDS!Q$29*$AG166^6+WeightSDS!R$29*$AG166^5+WeightSDS!S$29*$AG166^4+WeightSDS!T$29*$AG166^3+WeightSDS!U$29*$AG166^2+WeightSDS!V$29*$AG166+WeightSDS!W$29-0.010431*(1-$AG166/210),IF($AG166&lt;123,WeightSDS!M$30*$AG166^10+WeightSDS!N$30*$AG166^9+WeightSDS!O$30*$AG166^8+WeightSDS!P$30*$AG166^7+WeightSDS!Q$30*$AG166^6+WeightSDS!R$30*$AG166^5+WeightSDS!S$30*$AG166^4+WeightSDS!T$30*$AG166^3+WeightSDS!U$30*$AG166^2+WeightSDS!V$30*$AG166+WeightSDS!W$30-0.010431*(1-1/$AG166),WeightSDS!M$32+WeightSDS!N$32/(1+EXP(WeightSDS!O$32+WeightSDS!P$32*$AG166))-0.010431*(1-$AG166/210))))</f>
        <v>2.9500001032655536</v>
      </c>
      <c r="AK166" s="24">
        <f>IF(D166="M",IF($AG166&lt;162,WeightSDS!P$12*$AG166^7+WeightSDS!Q$12*$AG166^6+WeightSDS!R$12*$AG166^5+WeightSDS!S$12*$AG166^4+WeightSDS!T$12*$AG166^3+WeightSDS!U$12*$AG166^2+WeightSDS!V$12*$AG166+WeightSDS!W$12,WeightSDS!P$14*$AG166^7+WeightSDS!Q$14*$AG166^6+WeightSDS!R$14*$AG166^5+WeightSDS!S$14*$AG166^4+WeightSDS!T$14*$AG166^3+WeightSDS!U$14*$AG166^2+WeightSDS!V$14*$AG166+WeightSDS!W$14),IF($AG166&lt;156,WeightSDS!O$17*$AG166^8+WeightSDS!P$17*$AG166^7+WeightSDS!Q$17*$AG166^6+WeightSDS!R$17*$AG166^5+WeightSDS!S$17*$AG166^4+WeightSDS!T$17*$AG166^3+WeightSDS!U$17*$AG166^2+WeightSDS!V$17*$AG166+WeightSDS!W$17,IF($AG166&lt;186,WeightSDS!$U$18+(WeightSDS!$V$18-WeightSDS!$U$18)/24*($AG166-186)+WeightSDS!$W$18*(-$AG166+186)^2-0.005,WeightSDS!$U$18+(WeightSDS!$V$18-WeightSDS!$U$18)/24*($AG166-186)-0.005)))</f>
        <v>0.14604529399999999</v>
      </c>
    </row>
    <row r="167" spans="1:37">
      <c r="A167" s="4"/>
      <c r="B167" s="21"/>
      <c r="C167" s="21"/>
      <c r="D167" s="21"/>
      <c r="E167" s="22"/>
      <c r="F167" s="22"/>
      <c r="G167" s="23"/>
      <c r="H167" s="23"/>
      <c r="I167" s="8" t="str">
        <f t="shared" si="34"/>
        <v/>
      </c>
      <c r="J167" s="2" t="str">
        <f t="shared" si="41"/>
        <v/>
      </c>
      <c r="K167" s="2" t="str">
        <f t="shared" si="35"/>
        <v/>
      </c>
      <c r="L167" s="2" t="str">
        <f t="shared" si="42"/>
        <v/>
      </c>
      <c r="M167" s="2" t="str">
        <f t="shared" si="47"/>
        <v/>
      </c>
      <c r="N167" s="2" t="str">
        <f t="shared" si="43"/>
        <v/>
      </c>
      <c r="O167" s="8" t="str">
        <f t="shared" si="44"/>
        <v/>
      </c>
      <c r="P167" s="8" t="str">
        <f t="shared" si="45"/>
        <v/>
      </c>
      <c r="Q167" s="40" t="str">
        <f t="shared" si="36"/>
        <v/>
      </c>
      <c r="R167" s="48" t="str">
        <f t="shared" si="46"/>
        <v/>
      </c>
      <c r="S167" s="8"/>
      <c r="U167" s="35">
        <f t="shared" si="37"/>
        <v>0</v>
      </c>
      <c r="V167" s="24">
        <f t="shared" si="38"/>
        <v>0</v>
      </c>
      <c r="W167" s="41">
        <f t="shared" si="49"/>
        <v>0</v>
      </c>
      <c r="X167" s="31"/>
      <c r="Y167" s="31"/>
      <c r="Z167" s="31"/>
      <c r="AA167" s="25">
        <f t="shared" si="39"/>
        <v>9.0359999999999996</v>
      </c>
      <c r="AB167" s="25">
        <f t="shared" si="40"/>
        <v>-184.49199999999999</v>
      </c>
      <c r="AD167" s="24">
        <f>IF(D167="M",IF(AG167&lt;78,BMILMS!$D$5*AG167^3+BMILMS!$E$5*AG167^2+BMILMS!$F$5*AG167+BMILMS!$G$5,IF(AG167&lt;150,BMILMS!$D$6*AG167^3+BMILMS!$E$6*AG167^2+BMILMS!$F$6*AG167+BMILMS!$G$6,BMILMS!$D$7*AG167^3+BMILMS!$E$7*AG167^2+BMILMS!$F$7*AG167+BMILMS!$G$7)),IF(AG167&lt;69,BMILMS!$D$9*AG167^3+BMILMS!$E$9*AG167^2+BMILMS!$F$9*AG167+BMILMS!$G$9,IF(AG167&lt;150,BMILMS!$D$10*AG167^3+BMILMS!$E$10*AG167^2+BMILMS!$F$10*AG167+BMILMS!$G$10,BMILMS!$D$11*AG167^3+BMILMS!$E$11*AG167^2+BMILMS!$F$11*AG167+BMILMS!$G$11)))</f>
        <v>0.79584630099999998</v>
      </c>
      <c r="AE167" s="24">
        <f>IF(D167="M",(IF(AG167&lt;2.5,BMILMS!$D$21*AG167^3+BMILMS!$E$21*AG167^2+BMILMS!$F$21*AG167+BMILMS!$G$21,IF(AG167&lt;9.5,BMILMS!$D$22*AG167^3+BMILMS!$E$22*AG167^2+BMILMS!$F$22*AG167+BMILMS!$G$22,IF(AG167&lt;26.75,BMILMS!$D$23*AG167^3+BMILMS!$E$23*AG167^2+BMILMS!$F$23*AG167+BMILMS!$G$23,IF(AG167&lt;90,BMILMS!$D$24*AG167^3+BMILMS!$E$24*AG167^2+BMILMS!$F$24*AG167+BMILMS!$G$24,BMILMS!$D$25*AG167^3+BMILMS!$E$25*AG167^2+BMILMS!$F$25*AG167+BMILMS!$G$25))))),(IF(AG167&lt;2.5,BMILMS!$D$27*AG167^3+BMILMS!$E$27*AG167^2+BMILMS!$F$27*AG167+BMILMS!$G$27,IF(AG167&lt;9.5,BMILMS!$D$28*AG167^3+BMILMS!$E$28*AG167^2+BMILMS!$F$28*AG167+BMILMS!$G$28,IF(AG167&lt;26.75,BMILMS!$D$29*AG167^3+BMILMS!$E$29*AG167^2+BMILMS!$F$29*AG167+BMILMS!$G$29,IF(AG167&lt;90,BMILMS!$D$30*AG167^3+BMILMS!$E$30*AG167^2+BMILMS!$F$30*AG167+BMILMS!$G$30,IF(AG167&lt;150,BMILMS!$D$31*AG167^3+BMILMS!$E$31*AG167^2+BMILMS!$F$31*AG167+BMILMS!$G$31,BMILMS!$D$32*AG167^3+BMILMS!$E$32*AG167^2+BMILMS!$F$32*AG167+BMILMS!$G$32)))))))</f>
        <v>12.568967990000001</v>
      </c>
      <c r="AF167" s="24">
        <f>IF(D167="M",(IF(AG167&lt;90,BMILMS!$D$14*AG167^3+BMILMS!$E$14*AG167^2+BMILMS!$F$14*AG167+BMILMS!$G$14,BMILMS!$D$15*AG167^3+BMILMS!$E$15*AG167^2+BMILMS!$F$15*AG167+BMILMS!$G$15)),(IF(AG167&lt;90,BMILMS!$D$17*AG167^3+BMILMS!$E$17*AG167^2+BMILMS!$F$17*AG167+BMILMS!$G$17,BMILMS!$D$18*AG167^3+BMILMS!$E$18*AG167^2+BMILMS!$F$18*AG167+BMILMS!$G$18)))</f>
        <v>8.8969350000000003E-2</v>
      </c>
      <c r="AG167" s="24">
        <f t="shared" si="48"/>
        <v>0</v>
      </c>
      <c r="AI167" s="38">
        <f>IF(D167="M",WeightSDS!P$5*$AG167^7+WeightSDS!Q$5*$AG167^6+WeightSDS!R$5*$AG167^5+WeightSDS!S$5*$AG167^4+WeightSDS!T$5*$AG167^3+WeightSDS!U$5*$AG167^2+WeightSDS!V$5*$AG167+WeightSDS!W$5,IF($AG167&lt;186,WeightSDS!P$8*$AG167^7+WeightSDS!Q$8*$AG167^6+WeightSDS!R$8*$AG167^5+WeightSDS!S$8*$AG167^4+WeightSDS!T$8*$AG167^3+WeightSDS!U$8*$AG167^2+WeightSDS!V$8*$AG167+WeightSDS!W$8,WeightSDS!$U$9-WeightSDS!$V$9*($AG167-WeightSDS!$W$9)))</f>
        <v>0.75407122999999998</v>
      </c>
      <c r="AJ167" s="24">
        <f>IF(D167="M",IF($AG167&lt;45,WeightSDS!M$23*$AG167^10+WeightSDS!N$23*$AG167^9+WeightSDS!O$23*$AG167^8+WeightSDS!P$23*$AG167^7+WeightSDS!Q$23*$AG167^6+WeightSDS!R$23*$AG167^5+WeightSDS!S$23*$AG167^4+WeightSDS!T$23*$AG167^3+WeightSDS!U$23*$AG167^2+WeightSDS!V$23*$AG167+WeightSDS!W$23,IF($AG167&lt;153,WeightSDS!M$25*$AG167^10+WeightSDS!N$25*$AG167^9+WeightSDS!O$25*$AG167^8+WeightSDS!P$25*$AG167^7+WeightSDS!Q$25*$AG167^6+WeightSDS!R$25*$AG167^5+WeightSDS!S$25*$AG167^4+WeightSDS!T$25*$AG167^3+WeightSDS!U$25*$AG167^2+WeightSDS!V$25*$AG167+WeightSDS!W$25,WeightSDS!M$27+WeightSDS!N$27/(1+EXP(WeightSDS!O$27+WeightSDS!P$27*$AG167)))),IF($AG167&lt;43.8,WeightSDS!M$29*$AG167^10+WeightSDS!N$29*$AG167^9+WeightSDS!O$29*$AG167^8+WeightSDS!P$29*$AG167^7+WeightSDS!Q$29*$AG167^6+WeightSDS!R$29*$AG167^5+WeightSDS!S$29*$AG167^4+WeightSDS!T$29*$AG167^3+WeightSDS!U$29*$AG167^2+WeightSDS!V$29*$AG167+WeightSDS!W$29-0.010431*(1-$AG167/210),IF($AG167&lt;123,WeightSDS!M$30*$AG167^10+WeightSDS!N$30*$AG167^9+WeightSDS!O$30*$AG167^8+WeightSDS!P$30*$AG167^7+WeightSDS!Q$30*$AG167^6+WeightSDS!R$30*$AG167^5+WeightSDS!S$30*$AG167^4+WeightSDS!T$30*$AG167^3+WeightSDS!U$30*$AG167^2+WeightSDS!V$30*$AG167+WeightSDS!W$30-0.010431*(1-1/$AG167),WeightSDS!M$32+WeightSDS!N$32/(1+EXP(WeightSDS!O$32+WeightSDS!P$32*$AG167))-0.010431*(1-$AG167/210))))</f>
        <v>2.9500001032655536</v>
      </c>
      <c r="AK167" s="24">
        <f>IF(D167="M",IF($AG167&lt;162,WeightSDS!P$12*$AG167^7+WeightSDS!Q$12*$AG167^6+WeightSDS!R$12*$AG167^5+WeightSDS!S$12*$AG167^4+WeightSDS!T$12*$AG167^3+WeightSDS!U$12*$AG167^2+WeightSDS!V$12*$AG167+WeightSDS!W$12,WeightSDS!P$14*$AG167^7+WeightSDS!Q$14*$AG167^6+WeightSDS!R$14*$AG167^5+WeightSDS!S$14*$AG167^4+WeightSDS!T$14*$AG167^3+WeightSDS!U$14*$AG167^2+WeightSDS!V$14*$AG167+WeightSDS!W$14),IF($AG167&lt;156,WeightSDS!O$17*$AG167^8+WeightSDS!P$17*$AG167^7+WeightSDS!Q$17*$AG167^6+WeightSDS!R$17*$AG167^5+WeightSDS!S$17*$AG167^4+WeightSDS!T$17*$AG167^3+WeightSDS!U$17*$AG167^2+WeightSDS!V$17*$AG167+WeightSDS!W$17,IF($AG167&lt;186,WeightSDS!$U$18+(WeightSDS!$V$18-WeightSDS!$U$18)/24*($AG167-186)+WeightSDS!$W$18*(-$AG167+186)^2-0.005,WeightSDS!$U$18+(WeightSDS!$V$18-WeightSDS!$U$18)/24*($AG167-186)-0.005)))</f>
        <v>0.14604529399999999</v>
      </c>
    </row>
    <row r="168" spans="1:37">
      <c r="A168" s="4"/>
      <c r="B168" s="21"/>
      <c r="C168" s="21"/>
      <c r="D168" s="21"/>
      <c r="E168" s="22"/>
      <c r="F168" s="22"/>
      <c r="G168" s="23"/>
      <c r="H168" s="23"/>
      <c r="I168" s="8" t="str">
        <f t="shared" si="34"/>
        <v/>
      </c>
      <c r="J168" s="2" t="str">
        <f t="shared" si="41"/>
        <v/>
      </c>
      <c r="K168" s="2" t="str">
        <f t="shared" si="35"/>
        <v/>
      </c>
      <c r="L168" s="2" t="str">
        <f t="shared" si="42"/>
        <v/>
      </c>
      <c r="M168" s="2" t="str">
        <f t="shared" si="47"/>
        <v/>
      </c>
      <c r="N168" s="2" t="str">
        <f t="shared" si="43"/>
        <v/>
      </c>
      <c r="O168" s="8" t="str">
        <f t="shared" si="44"/>
        <v/>
      </c>
      <c r="P168" s="8" t="str">
        <f t="shared" si="45"/>
        <v/>
      </c>
      <c r="Q168" s="40" t="str">
        <f t="shared" si="36"/>
        <v/>
      </c>
      <c r="R168" s="48" t="str">
        <f t="shared" si="46"/>
        <v/>
      </c>
      <c r="S168" s="8"/>
      <c r="U168" s="35">
        <f t="shared" si="37"/>
        <v>0</v>
      </c>
      <c r="V168" s="24">
        <f t="shared" si="38"/>
        <v>0</v>
      </c>
      <c r="W168" s="41">
        <f t="shared" si="49"/>
        <v>0</v>
      </c>
      <c r="X168" s="31"/>
      <c r="Y168" s="31"/>
      <c r="Z168" s="31"/>
      <c r="AA168" s="25">
        <f t="shared" si="39"/>
        <v>9.0359999999999996</v>
      </c>
      <c r="AB168" s="25">
        <f t="shared" si="40"/>
        <v>-184.49199999999999</v>
      </c>
      <c r="AD168" s="24">
        <f>IF(D168="M",IF(AG168&lt;78,BMILMS!$D$5*AG168^3+BMILMS!$E$5*AG168^2+BMILMS!$F$5*AG168+BMILMS!$G$5,IF(AG168&lt;150,BMILMS!$D$6*AG168^3+BMILMS!$E$6*AG168^2+BMILMS!$F$6*AG168+BMILMS!$G$6,BMILMS!$D$7*AG168^3+BMILMS!$E$7*AG168^2+BMILMS!$F$7*AG168+BMILMS!$G$7)),IF(AG168&lt;69,BMILMS!$D$9*AG168^3+BMILMS!$E$9*AG168^2+BMILMS!$F$9*AG168+BMILMS!$G$9,IF(AG168&lt;150,BMILMS!$D$10*AG168^3+BMILMS!$E$10*AG168^2+BMILMS!$F$10*AG168+BMILMS!$G$10,BMILMS!$D$11*AG168^3+BMILMS!$E$11*AG168^2+BMILMS!$F$11*AG168+BMILMS!$G$11)))</f>
        <v>0.79584630099999998</v>
      </c>
      <c r="AE168" s="24">
        <f>IF(D168="M",(IF(AG168&lt;2.5,BMILMS!$D$21*AG168^3+BMILMS!$E$21*AG168^2+BMILMS!$F$21*AG168+BMILMS!$G$21,IF(AG168&lt;9.5,BMILMS!$D$22*AG168^3+BMILMS!$E$22*AG168^2+BMILMS!$F$22*AG168+BMILMS!$G$22,IF(AG168&lt;26.75,BMILMS!$D$23*AG168^3+BMILMS!$E$23*AG168^2+BMILMS!$F$23*AG168+BMILMS!$G$23,IF(AG168&lt;90,BMILMS!$D$24*AG168^3+BMILMS!$E$24*AG168^2+BMILMS!$F$24*AG168+BMILMS!$G$24,BMILMS!$D$25*AG168^3+BMILMS!$E$25*AG168^2+BMILMS!$F$25*AG168+BMILMS!$G$25))))),(IF(AG168&lt;2.5,BMILMS!$D$27*AG168^3+BMILMS!$E$27*AG168^2+BMILMS!$F$27*AG168+BMILMS!$G$27,IF(AG168&lt;9.5,BMILMS!$D$28*AG168^3+BMILMS!$E$28*AG168^2+BMILMS!$F$28*AG168+BMILMS!$G$28,IF(AG168&lt;26.75,BMILMS!$D$29*AG168^3+BMILMS!$E$29*AG168^2+BMILMS!$F$29*AG168+BMILMS!$G$29,IF(AG168&lt;90,BMILMS!$D$30*AG168^3+BMILMS!$E$30*AG168^2+BMILMS!$F$30*AG168+BMILMS!$G$30,IF(AG168&lt;150,BMILMS!$D$31*AG168^3+BMILMS!$E$31*AG168^2+BMILMS!$F$31*AG168+BMILMS!$G$31,BMILMS!$D$32*AG168^3+BMILMS!$E$32*AG168^2+BMILMS!$F$32*AG168+BMILMS!$G$32)))))))</f>
        <v>12.568967990000001</v>
      </c>
      <c r="AF168" s="24">
        <f>IF(D168="M",(IF(AG168&lt;90,BMILMS!$D$14*AG168^3+BMILMS!$E$14*AG168^2+BMILMS!$F$14*AG168+BMILMS!$G$14,BMILMS!$D$15*AG168^3+BMILMS!$E$15*AG168^2+BMILMS!$F$15*AG168+BMILMS!$G$15)),(IF(AG168&lt;90,BMILMS!$D$17*AG168^3+BMILMS!$E$17*AG168^2+BMILMS!$F$17*AG168+BMILMS!$G$17,BMILMS!$D$18*AG168^3+BMILMS!$E$18*AG168^2+BMILMS!$F$18*AG168+BMILMS!$G$18)))</f>
        <v>8.8969350000000003E-2</v>
      </c>
      <c r="AG168" s="24">
        <f t="shared" si="48"/>
        <v>0</v>
      </c>
      <c r="AI168" s="38">
        <f>IF(D168="M",WeightSDS!P$5*$AG168^7+WeightSDS!Q$5*$AG168^6+WeightSDS!R$5*$AG168^5+WeightSDS!S$5*$AG168^4+WeightSDS!T$5*$AG168^3+WeightSDS!U$5*$AG168^2+WeightSDS!V$5*$AG168+WeightSDS!W$5,IF($AG168&lt;186,WeightSDS!P$8*$AG168^7+WeightSDS!Q$8*$AG168^6+WeightSDS!R$8*$AG168^5+WeightSDS!S$8*$AG168^4+WeightSDS!T$8*$AG168^3+WeightSDS!U$8*$AG168^2+WeightSDS!V$8*$AG168+WeightSDS!W$8,WeightSDS!$U$9-WeightSDS!$V$9*($AG168-WeightSDS!$W$9)))</f>
        <v>0.75407122999999998</v>
      </c>
      <c r="AJ168" s="24">
        <f>IF(D168="M",IF($AG168&lt;45,WeightSDS!M$23*$AG168^10+WeightSDS!N$23*$AG168^9+WeightSDS!O$23*$AG168^8+WeightSDS!P$23*$AG168^7+WeightSDS!Q$23*$AG168^6+WeightSDS!R$23*$AG168^5+WeightSDS!S$23*$AG168^4+WeightSDS!T$23*$AG168^3+WeightSDS!U$23*$AG168^2+WeightSDS!V$23*$AG168+WeightSDS!W$23,IF($AG168&lt;153,WeightSDS!M$25*$AG168^10+WeightSDS!N$25*$AG168^9+WeightSDS!O$25*$AG168^8+WeightSDS!P$25*$AG168^7+WeightSDS!Q$25*$AG168^6+WeightSDS!R$25*$AG168^5+WeightSDS!S$25*$AG168^4+WeightSDS!T$25*$AG168^3+WeightSDS!U$25*$AG168^2+WeightSDS!V$25*$AG168+WeightSDS!W$25,WeightSDS!M$27+WeightSDS!N$27/(1+EXP(WeightSDS!O$27+WeightSDS!P$27*$AG168)))),IF($AG168&lt;43.8,WeightSDS!M$29*$AG168^10+WeightSDS!N$29*$AG168^9+WeightSDS!O$29*$AG168^8+WeightSDS!P$29*$AG168^7+WeightSDS!Q$29*$AG168^6+WeightSDS!R$29*$AG168^5+WeightSDS!S$29*$AG168^4+WeightSDS!T$29*$AG168^3+WeightSDS!U$29*$AG168^2+WeightSDS!V$29*$AG168+WeightSDS!W$29-0.010431*(1-$AG168/210),IF($AG168&lt;123,WeightSDS!M$30*$AG168^10+WeightSDS!N$30*$AG168^9+WeightSDS!O$30*$AG168^8+WeightSDS!P$30*$AG168^7+WeightSDS!Q$30*$AG168^6+WeightSDS!R$30*$AG168^5+WeightSDS!S$30*$AG168^4+WeightSDS!T$30*$AG168^3+WeightSDS!U$30*$AG168^2+WeightSDS!V$30*$AG168+WeightSDS!W$30-0.010431*(1-1/$AG168),WeightSDS!M$32+WeightSDS!N$32/(1+EXP(WeightSDS!O$32+WeightSDS!P$32*$AG168))-0.010431*(1-$AG168/210))))</f>
        <v>2.9500001032655536</v>
      </c>
      <c r="AK168" s="24">
        <f>IF(D168="M",IF($AG168&lt;162,WeightSDS!P$12*$AG168^7+WeightSDS!Q$12*$AG168^6+WeightSDS!R$12*$AG168^5+WeightSDS!S$12*$AG168^4+WeightSDS!T$12*$AG168^3+WeightSDS!U$12*$AG168^2+WeightSDS!V$12*$AG168+WeightSDS!W$12,WeightSDS!P$14*$AG168^7+WeightSDS!Q$14*$AG168^6+WeightSDS!R$14*$AG168^5+WeightSDS!S$14*$AG168^4+WeightSDS!T$14*$AG168^3+WeightSDS!U$14*$AG168^2+WeightSDS!V$14*$AG168+WeightSDS!W$14),IF($AG168&lt;156,WeightSDS!O$17*$AG168^8+WeightSDS!P$17*$AG168^7+WeightSDS!Q$17*$AG168^6+WeightSDS!R$17*$AG168^5+WeightSDS!S$17*$AG168^4+WeightSDS!T$17*$AG168^3+WeightSDS!U$17*$AG168^2+WeightSDS!V$17*$AG168+WeightSDS!W$17,IF($AG168&lt;186,WeightSDS!$U$18+(WeightSDS!$V$18-WeightSDS!$U$18)/24*($AG168-186)+WeightSDS!$W$18*(-$AG168+186)^2-0.005,WeightSDS!$U$18+(WeightSDS!$V$18-WeightSDS!$U$18)/24*($AG168-186)-0.005)))</f>
        <v>0.14604529399999999</v>
      </c>
    </row>
    <row r="169" spans="1:37">
      <c r="A169" s="4"/>
      <c r="B169" s="21"/>
      <c r="C169" s="21"/>
      <c r="D169" s="21"/>
      <c r="E169" s="22"/>
      <c r="F169" s="22"/>
      <c r="G169" s="23"/>
      <c r="H169" s="23"/>
      <c r="I169" s="8" t="str">
        <f t="shared" si="34"/>
        <v/>
      </c>
      <c r="J169" s="2" t="str">
        <f t="shared" si="41"/>
        <v/>
      </c>
      <c r="K169" s="2" t="str">
        <f t="shared" si="35"/>
        <v/>
      </c>
      <c r="L169" s="2" t="str">
        <f t="shared" si="42"/>
        <v/>
      </c>
      <c r="M169" s="2" t="str">
        <f t="shared" si="47"/>
        <v/>
      </c>
      <c r="N169" s="2" t="str">
        <f t="shared" si="43"/>
        <v/>
      </c>
      <c r="O169" s="8" t="str">
        <f t="shared" si="44"/>
        <v/>
      </c>
      <c r="P169" s="8" t="str">
        <f t="shared" si="45"/>
        <v/>
      </c>
      <c r="Q169" s="40" t="str">
        <f t="shared" si="36"/>
        <v/>
      </c>
      <c r="R169" s="48" t="str">
        <f t="shared" si="46"/>
        <v/>
      </c>
      <c r="S169" s="8"/>
      <c r="U169" s="35">
        <f t="shared" si="37"/>
        <v>0</v>
      </c>
      <c r="V169" s="24">
        <f t="shared" si="38"/>
        <v>0</v>
      </c>
      <c r="W169" s="41">
        <f t="shared" si="49"/>
        <v>0</v>
      </c>
      <c r="X169" s="31"/>
      <c r="Y169" s="31"/>
      <c r="Z169" s="31"/>
      <c r="AA169" s="25">
        <f t="shared" si="39"/>
        <v>9.0359999999999996</v>
      </c>
      <c r="AB169" s="25">
        <f t="shared" si="40"/>
        <v>-184.49199999999999</v>
      </c>
      <c r="AD169" s="24">
        <f>IF(D169="M",IF(AG169&lt;78,BMILMS!$D$5*AG169^3+BMILMS!$E$5*AG169^2+BMILMS!$F$5*AG169+BMILMS!$G$5,IF(AG169&lt;150,BMILMS!$D$6*AG169^3+BMILMS!$E$6*AG169^2+BMILMS!$F$6*AG169+BMILMS!$G$6,BMILMS!$D$7*AG169^3+BMILMS!$E$7*AG169^2+BMILMS!$F$7*AG169+BMILMS!$G$7)),IF(AG169&lt;69,BMILMS!$D$9*AG169^3+BMILMS!$E$9*AG169^2+BMILMS!$F$9*AG169+BMILMS!$G$9,IF(AG169&lt;150,BMILMS!$D$10*AG169^3+BMILMS!$E$10*AG169^2+BMILMS!$F$10*AG169+BMILMS!$G$10,BMILMS!$D$11*AG169^3+BMILMS!$E$11*AG169^2+BMILMS!$F$11*AG169+BMILMS!$G$11)))</f>
        <v>0.79584630099999998</v>
      </c>
      <c r="AE169" s="24">
        <f>IF(D169="M",(IF(AG169&lt;2.5,BMILMS!$D$21*AG169^3+BMILMS!$E$21*AG169^2+BMILMS!$F$21*AG169+BMILMS!$G$21,IF(AG169&lt;9.5,BMILMS!$D$22*AG169^3+BMILMS!$E$22*AG169^2+BMILMS!$F$22*AG169+BMILMS!$G$22,IF(AG169&lt;26.75,BMILMS!$D$23*AG169^3+BMILMS!$E$23*AG169^2+BMILMS!$F$23*AG169+BMILMS!$G$23,IF(AG169&lt;90,BMILMS!$D$24*AG169^3+BMILMS!$E$24*AG169^2+BMILMS!$F$24*AG169+BMILMS!$G$24,BMILMS!$D$25*AG169^3+BMILMS!$E$25*AG169^2+BMILMS!$F$25*AG169+BMILMS!$G$25))))),(IF(AG169&lt;2.5,BMILMS!$D$27*AG169^3+BMILMS!$E$27*AG169^2+BMILMS!$F$27*AG169+BMILMS!$G$27,IF(AG169&lt;9.5,BMILMS!$D$28*AG169^3+BMILMS!$E$28*AG169^2+BMILMS!$F$28*AG169+BMILMS!$G$28,IF(AG169&lt;26.75,BMILMS!$D$29*AG169^3+BMILMS!$E$29*AG169^2+BMILMS!$F$29*AG169+BMILMS!$G$29,IF(AG169&lt;90,BMILMS!$D$30*AG169^3+BMILMS!$E$30*AG169^2+BMILMS!$F$30*AG169+BMILMS!$G$30,IF(AG169&lt;150,BMILMS!$D$31*AG169^3+BMILMS!$E$31*AG169^2+BMILMS!$F$31*AG169+BMILMS!$G$31,BMILMS!$D$32*AG169^3+BMILMS!$E$32*AG169^2+BMILMS!$F$32*AG169+BMILMS!$G$32)))))))</f>
        <v>12.568967990000001</v>
      </c>
      <c r="AF169" s="24">
        <f>IF(D169="M",(IF(AG169&lt;90,BMILMS!$D$14*AG169^3+BMILMS!$E$14*AG169^2+BMILMS!$F$14*AG169+BMILMS!$G$14,BMILMS!$D$15*AG169^3+BMILMS!$E$15*AG169^2+BMILMS!$F$15*AG169+BMILMS!$G$15)),(IF(AG169&lt;90,BMILMS!$D$17*AG169^3+BMILMS!$E$17*AG169^2+BMILMS!$F$17*AG169+BMILMS!$G$17,BMILMS!$D$18*AG169^3+BMILMS!$E$18*AG169^2+BMILMS!$F$18*AG169+BMILMS!$G$18)))</f>
        <v>8.8969350000000003E-2</v>
      </c>
      <c r="AG169" s="24">
        <f t="shared" si="48"/>
        <v>0</v>
      </c>
      <c r="AI169" s="38">
        <f>IF(D169="M",WeightSDS!P$5*$AG169^7+WeightSDS!Q$5*$AG169^6+WeightSDS!R$5*$AG169^5+WeightSDS!S$5*$AG169^4+WeightSDS!T$5*$AG169^3+WeightSDS!U$5*$AG169^2+WeightSDS!V$5*$AG169+WeightSDS!W$5,IF($AG169&lt;186,WeightSDS!P$8*$AG169^7+WeightSDS!Q$8*$AG169^6+WeightSDS!R$8*$AG169^5+WeightSDS!S$8*$AG169^4+WeightSDS!T$8*$AG169^3+WeightSDS!U$8*$AG169^2+WeightSDS!V$8*$AG169+WeightSDS!W$8,WeightSDS!$U$9-WeightSDS!$V$9*($AG169-WeightSDS!$W$9)))</f>
        <v>0.75407122999999998</v>
      </c>
      <c r="AJ169" s="24">
        <f>IF(D169="M",IF($AG169&lt;45,WeightSDS!M$23*$AG169^10+WeightSDS!N$23*$AG169^9+WeightSDS!O$23*$AG169^8+WeightSDS!P$23*$AG169^7+WeightSDS!Q$23*$AG169^6+WeightSDS!R$23*$AG169^5+WeightSDS!S$23*$AG169^4+WeightSDS!T$23*$AG169^3+WeightSDS!U$23*$AG169^2+WeightSDS!V$23*$AG169+WeightSDS!W$23,IF($AG169&lt;153,WeightSDS!M$25*$AG169^10+WeightSDS!N$25*$AG169^9+WeightSDS!O$25*$AG169^8+WeightSDS!P$25*$AG169^7+WeightSDS!Q$25*$AG169^6+WeightSDS!R$25*$AG169^5+WeightSDS!S$25*$AG169^4+WeightSDS!T$25*$AG169^3+WeightSDS!U$25*$AG169^2+WeightSDS!V$25*$AG169+WeightSDS!W$25,WeightSDS!M$27+WeightSDS!N$27/(1+EXP(WeightSDS!O$27+WeightSDS!P$27*$AG169)))),IF($AG169&lt;43.8,WeightSDS!M$29*$AG169^10+WeightSDS!N$29*$AG169^9+WeightSDS!O$29*$AG169^8+WeightSDS!P$29*$AG169^7+WeightSDS!Q$29*$AG169^6+WeightSDS!R$29*$AG169^5+WeightSDS!S$29*$AG169^4+WeightSDS!T$29*$AG169^3+WeightSDS!U$29*$AG169^2+WeightSDS!V$29*$AG169+WeightSDS!W$29-0.010431*(1-$AG169/210),IF($AG169&lt;123,WeightSDS!M$30*$AG169^10+WeightSDS!N$30*$AG169^9+WeightSDS!O$30*$AG169^8+WeightSDS!P$30*$AG169^7+WeightSDS!Q$30*$AG169^6+WeightSDS!R$30*$AG169^5+WeightSDS!S$30*$AG169^4+WeightSDS!T$30*$AG169^3+WeightSDS!U$30*$AG169^2+WeightSDS!V$30*$AG169+WeightSDS!W$30-0.010431*(1-1/$AG169),WeightSDS!M$32+WeightSDS!N$32/(1+EXP(WeightSDS!O$32+WeightSDS!P$32*$AG169))-0.010431*(1-$AG169/210))))</f>
        <v>2.9500001032655536</v>
      </c>
      <c r="AK169" s="24">
        <f>IF(D169="M",IF($AG169&lt;162,WeightSDS!P$12*$AG169^7+WeightSDS!Q$12*$AG169^6+WeightSDS!R$12*$AG169^5+WeightSDS!S$12*$AG169^4+WeightSDS!T$12*$AG169^3+WeightSDS!U$12*$AG169^2+WeightSDS!V$12*$AG169+WeightSDS!W$12,WeightSDS!P$14*$AG169^7+WeightSDS!Q$14*$AG169^6+WeightSDS!R$14*$AG169^5+WeightSDS!S$14*$AG169^4+WeightSDS!T$14*$AG169^3+WeightSDS!U$14*$AG169^2+WeightSDS!V$14*$AG169+WeightSDS!W$14),IF($AG169&lt;156,WeightSDS!O$17*$AG169^8+WeightSDS!P$17*$AG169^7+WeightSDS!Q$17*$AG169^6+WeightSDS!R$17*$AG169^5+WeightSDS!S$17*$AG169^4+WeightSDS!T$17*$AG169^3+WeightSDS!U$17*$AG169^2+WeightSDS!V$17*$AG169+WeightSDS!W$17,IF($AG169&lt;186,WeightSDS!$U$18+(WeightSDS!$V$18-WeightSDS!$U$18)/24*($AG169-186)+WeightSDS!$W$18*(-$AG169+186)^2-0.005,WeightSDS!$U$18+(WeightSDS!$V$18-WeightSDS!$U$18)/24*($AG169-186)-0.005)))</f>
        <v>0.14604529399999999</v>
      </c>
    </row>
    <row r="170" spans="1:37">
      <c r="A170" s="4"/>
      <c r="B170" s="21"/>
      <c r="C170" s="21"/>
      <c r="D170" s="21"/>
      <c r="E170" s="22"/>
      <c r="F170" s="22"/>
      <c r="G170" s="23"/>
      <c r="H170" s="23"/>
      <c r="I170" s="8" t="str">
        <f t="shared" si="34"/>
        <v/>
      </c>
      <c r="J170" s="2" t="str">
        <f t="shared" si="41"/>
        <v/>
      </c>
      <c r="K170" s="2" t="str">
        <f t="shared" si="35"/>
        <v/>
      </c>
      <c r="L170" s="2" t="str">
        <f t="shared" si="42"/>
        <v/>
      </c>
      <c r="M170" s="2" t="str">
        <f t="shared" si="47"/>
        <v/>
      </c>
      <c r="N170" s="2" t="str">
        <f t="shared" si="43"/>
        <v/>
      </c>
      <c r="O170" s="8" t="str">
        <f t="shared" si="44"/>
        <v/>
      </c>
      <c r="P170" s="8" t="str">
        <f t="shared" si="45"/>
        <v/>
      </c>
      <c r="Q170" s="40" t="str">
        <f t="shared" si="36"/>
        <v/>
      </c>
      <c r="R170" s="48" t="str">
        <f t="shared" si="46"/>
        <v/>
      </c>
      <c r="S170" s="8"/>
      <c r="U170" s="35">
        <f t="shared" si="37"/>
        <v>0</v>
      </c>
      <c r="V170" s="24">
        <f t="shared" si="38"/>
        <v>0</v>
      </c>
      <c r="W170" s="41">
        <f t="shared" si="49"/>
        <v>0</v>
      </c>
      <c r="X170" s="31"/>
      <c r="Y170" s="31"/>
      <c r="Z170" s="31"/>
      <c r="AA170" s="25">
        <f t="shared" si="39"/>
        <v>9.0359999999999996</v>
      </c>
      <c r="AB170" s="25">
        <f t="shared" si="40"/>
        <v>-184.49199999999999</v>
      </c>
      <c r="AD170" s="24">
        <f>IF(D170="M",IF(AG170&lt;78,BMILMS!$D$5*AG170^3+BMILMS!$E$5*AG170^2+BMILMS!$F$5*AG170+BMILMS!$G$5,IF(AG170&lt;150,BMILMS!$D$6*AG170^3+BMILMS!$E$6*AG170^2+BMILMS!$F$6*AG170+BMILMS!$G$6,BMILMS!$D$7*AG170^3+BMILMS!$E$7*AG170^2+BMILMS!$F$7*AG170+BMILMS!$G$7)),IF(AG170&lt;69,BMILMS!$D$9*AG170^3+BMILMS!$E$9*AG170^2+BMILMS!$F$9*AG170+BMILMS!$G$9,IF(AG170&lt;150,BMILMS!$D$10*AG170^3+BMILMS!$E$10*AG170^2+BMILMS!$F$10*AG170+BMILMS!$G$10,BMILMS!$D$11*AG170^3+BMILMS!$E$11*AG170^2+BMILMS!$F$11*AG170+BMILMS!$G$11)))</f>
        <v>0.79584630099999998</v>
      </c>
      <c r="AE170" s="24">
        <f>IF(D170="M",(IF(AG170&lt;2.5,BMILMS!$D$21*AG170^3+BMILMS!$E$21*AG170^2+BMILMS!$F$21*AG170+BMILMS!$G$21,IF(AG170&lt;9.5,BMILMS!$D$22*AG170^3+BMILMS!$E$22*AG170^2+BMILMS!$F$22*AG170+BMILMS!$G$22,IF(AG170&lt;26.75,BMILMS!$D$23*AG170^3+BMILMS!$E$23*AG170^2+BMILMS!$F$23*AG170+BMILMS!$G$23,IF(AG170&lt;90,BMILMS!$D$24*AG170^3+BMILMS!$E$24*AG170^2+BMILMS!$F$24*AG170+BMILMS!$G$24,BMILMS!$D$25*AG170^3+BMILMS!$E$25*AG170^2+BMILMS!$F$25*AG170+BMILMS!$G$25))))),(IF(AG170&lt;2.5,BMILMS!$D$27*AG170^3+BMILMS!$E$27*AG170^2+BMILMS!$F$27*AG170+BMILMS!$G$27,IF(AG170&lt;9.5,BMILMS!$D$28*AG170^3+BMILMS!$E$28*AG170^2+BMILMS!$F$28*AG170+BMILMS!$G$28,IF(AG170&lt;26.75,BMILMS!$D$29*AG170^3+BMILMS!$E$29*AG170^2+BMILMS!$F$29*AG170+BMILMS!$G$29,IF(AG170&lt;90,BMILMS!$D$30*AG170^3+BMILMS!$E$30*AG170^2+BMILMS!$F$30*AG170+BMILMS!$G$30,IF(AG170&lt;150,BMILMS!$D$31*AG170^3+BMILMS!$E$31*AG170^2+BMILMS!$F$31*AG170+BMILMS!$G$31,BMILMS!$D$32*AG170^3+BMILMS!$E$32*AG170^2+BMILMS!$F$32*AG170+BMILMS!$G$32)))))))</f>
        <v>12.568967990000001</v>
      </c>
      <c r="AF170" s="24">
        <f>IF(D170="M",(IF(AG170&lt;90,BMILMS!$D$14*AG170^3+BMILMS!$E$14*AG170^2+BMILMS!$F$14*AG170+BMILMS!$G$14,BMILMS!$D$15*AG170^3+BMILMS!$E$15*AG170^2+BMILMS!$F$15*AG170+BMILMS!$G$15)),(IF(AG170&lt;90,BMILMS!$D$17*AG170^3+BMILMS!$E$17*AG170^2+BMILMS!$F$17*AG170+BMILMS!$G$17,BMILMS!$D$18*AG170^3+BMILMS!$E$18*AG170^2+BMILMS!$F$18*AG170+BMILMS!$G$18)))</f>
        <v>8.8969350000000003E-2</v>
      </c>
      <c r="AG170" s="24">
        <f t="shared" si="48"/>
        <v>0</v>
      </c>
      <c r="AI170" s="38">
        <f>IF(D170="M",WeightSDS!P$5*$AG170^7+WeightSDS!Q$5*$AG170^6+WeightSDS!R$5*$AG170^5+WeightSDS!S$5*$AG170^4+WeightSDS!T$5*$AG170^3+WeightSDS!U$5*$AG170^2+WeightSDS!V$5*$AG170+WeightSDS!W$5,IF($AG170&lt;186,WeightSDS!P$8*$AG170^7+WeightSDS!Q$8*$AG170^6+WeightSDS!R$8*$AG170^5+WeightSDS!S$8*$AG170^4+WeightSDS!T$8*$AG170^3+WeightSDS!U$8*$AG170^2+WeightSDS!V$8*$AG170+WeightSDS!W$8,WeightSDS!$U$9-WeightSDS!$V$9*($AG170-WeightSDS!$W$9)))</f>
        <v>0.75407122999999998</v>
      </c>
      <c r="AJ170" s="24">
        <f>IF(D170="M",IF($AG170&lt;45,WeightSDS!M$23*$AG170^10+WeightSDS!N$23*$AG170^9+WeightSDS!O$23*$AG170^8+WeightSDS!P$23*$AG170^7+WeightSDS!Q$23*$AG170^6+WeightSDS!R$23*$AG170^5+WeightSDS!S$23*$AG170^4+WeightSDS!T$23*$AG170^3+WeightSDS!U$23*$AG170^2+WeightSDS!V$23*$AG170+WeightSDS!W$23,IF($AG170&lt;153,WeightSDS!M$25*$AG170^10+WeightSDS!N$25*$AG170^9+WeightSDS!O$25*$AG170^8+WeightSDS!P$25*$AG170^7+WeightSDS!Q$25*$AG170^6+WeightSDS!R$25*$AG170^5+WeightSDS!S$25*$AG170^4+WeightSDS!T$25*$AG170^3+WeightSDS!U$25*$AG170^2+WeightSDS!V$25*$AG170+WeightSDS!W$25,WeightSDS!M$27+WeightSDS!N$27/(1+EXP(WeightSDS!O$27+WeightSDS!P$27*$AG170)))),IF($AG170&lt;43.8,WeightSDS!M$29*$AG170^10+WeightSDS!N$29*$AG170^9+WeightSDS!O$29*$AG170^8+WeightSDS!P$29*$AG170^7+WeightSDS!Q$29*$AG170^6+WeightSDS!R$29*$AG170^5+WeightSDS!S$29*$AG170^4+WeightSDS!T$29*$AG170^3+WeightSDS!U$29*$AG170^2+WeightSDS!V$29*$AG170+WeightSDS!W$29-0.010431*(1-$AG170/210),IF($AG170&lt;123,WeightSDS!M$30*$AG170^10+WeightSDS!N$30*$AG170^9+WeightSDS!O$30*$AG170^8+WeightSDS!P$30*$AG170^7+WeightSDS!Q$30*$AG170^6+WeightSDS!R$30*$AG170^5+WeightSDS!S$30*$AG170^4+WeightSDS!T$30*$AG170^3+WeightSDS!U$30*$AG170^2+WeightSDS!V$30*$AG170+WeightSDS!W$30-0.010431*(1-1/$AG170),WeightSDS!M$32+WeightSDS!N$32/(1+EXP(WeightSDS!O$32+WeightSDS!P$32*$AG170))-0.010431*(1-$AG170/210))))</f>
        <v>2.9500001032655536</v>
      </c>
      <c r="AK170" s="24">
        <f>IF(D170="M",IF($AG170&lt;162,WeightSDS!P$12*$AG170^7+WeightSDS!Q$12*$AG170^6+WeightSDS!R$12*$AG170^5+WeightSDS!S$12*$AG170^4+WeightSDS!T$12*$AG170^3+WeightSDS!U$12*$AG170^2+WeightSDS!V$12*$AG170+WeightSDS!W$12,WeightSDS!P$14*$AG170^7+WeightSDS!Q$14*$AG170^6+WeightSDS!R$14*$AG170^5+WeightSDS!S$14*$AG170^4+WeightSDS!T$14*$AG170^3+WeightSDS!U$14*$AG170^2+WeightSDS!V$14*$AG170+WeightSDS!W$14),IF($AG170&lt;156,WeightSDS!O$17*$AG170^8+WeightSDS!P$17*$AG170^7+WeightSDS!Q$17*$AG170^6+WeightSDS!R$17*$AG170^5+WeightSDS!S$17*$AG170^4+WeightSDS!T$17*$AG170^3+WeightSDS!U$17*$AG170^2+WeightSDS!V$17*$AG170+WeightSDS!W$17,IF($AG170&lt;186,WeightSDS!$U$18+(WeightSDS!$V$18-WeightSDS!$U$18)/24*($AG170-186)+WeightSDS!$W$18*(-$AG170+186)^2-0.005,WeightSDS!$U$18+(WeightSDS!$V$18-WeightSDS!$U$18)/24*($AG170-186)-0.005)))</f>
        <v>0.14604529399999999</v>
      </c>
    </row>
    <row r="171" spans="1:37">
      <c r="A171" s="4"/>
      <c r="B171" s="21"/>
      <c r="C171" s="21"/>
      <c r="D171" s="21"/>
      <c r="E171" s="22"/>
      <c r="F171" s="22"/>
      <c r="G171" s="23"/>
      <c r="H171" s="23"/>
      <c r="I171" s="8" t="str">
        <f t="shared" si="34"/>
        <v/>
      </c>
      <c r="J171" s="2" t="str">
        <f t="shared" si="41"/>
        <v/>
      </c>
      <c r="K171" s="2" t="str">
        <f t="shared" si="35"/>
        <v/>
      </c>
      <c r="L171" s="2" t="str">
        <f t="shared" si="42"/>
        <v/>
      </c>
      <c r="M171" s="2" t="str">
        <f t="shared" si="47"/>
        <v/>
      </c>
      <c r="N171" s="2" t="str">
        <f t="shared" si="43"/>
        <v/>
      </c>
      <c r="O171" s="8" t="str">
        <f t="shared" si="44"/>
        <v/>
      </c>
      <c r="P171" s="8" t="str">
        <f t="shared" si="45"/>
        <v/>
      </c>
      <c r="Q171" s="40" t="str">
        <f t="shared" si="36"/>
        <v/>
      </c>
      <c r="R171" s="48" t="str">
        <f t="shared" si="46"/>
        <v/>
      </c>
      <c r="S171" s="8"/>
      <c r="U171" s="35">
        <f t="shared" si="37"/>
        <v>0</v>
      </c>
      <c r="V171" s="24">
        <f t="shared" si="38"/>
        <v>0</v>
      </c>
      <c r="W171" s="41">
        <f t="shared" si="49"/>
        <v>0</v>
      </c>
      <c r="X171" s="31"/>
      <c r="Y171" s="31"/>
      <c r="Z171" s="31"/>
      <c r="AA171" s="25">
        <f t="shared" si="39"/>
        <v>9.0359999999999996</v>
      </c>
      <c r="AB171" s="25">
        <f t="shared" si="40"/>
        <v>-184.49199999999999</v>
      </c>
      <c r="AD171" s="24">
        <f>IF(D171="M",IF(AG171&lt;78,BMILMS!$D$5*AG171^3+BMILMS!$E$5*AG171^2+BMILMS!$F$5*AG171+BMILMS!$G$5,IF(AG171&lt;150,BMILMS!$D$6*AG171^3+BMILMS!$E$6*AG171^2+BMILMS!$F$6*AG171+BMILMS!$G$6,BMILMS!$D$7*AG171^3+BMILMS!$E$7*AG171^2+BMILMS!$F$7*AG171+BMILMS!$G$7)),IF(AG171&lt;69,BMILMS!$D$9*AG171^3+BMILMS!$E$9*AG171^2+BMILMS!$F$9*AG171+BMILMS!$G$9,IF(AG171&lt;150,BMILMS!$D$10*AG171^3+BMILMS!$E$10*AG171^2+BMILMS!$F$10*AG171+BMILMS!$G$10,BMILMS!$D$11*AG171^3+BMILMS!$E$11*AG171^2+BMILMS!$F$11*AG171+BMILMS!$G$11)))</f>
        <v>0.79584630099999998</v>
      </c>
      <c r="AE171" s="24">
        <f>IF(D171="M",(IF(AG171&lt;2.5,BMILMS!$D$21*AG171^3+BMILMS!$E$21*AG171^2+BMILMS!$F$21*AG171+BMILMS!$G$21,IF(AG171&lt;9.5,BMILMS!$D$22*AG171^3+BMILMS!$E$22*AG171^2+BMILMS!$F$22*AG171+BMILMS!$G$22,IF(AG171&lt;26.75,BMILMS!$D$23*AG171^3+BMILMS!$E$23*AG171^2+BMILMS!$F$23*AG171+BMILMS!$G$23,IF(AG171&lt;90,BMILMS!$D$24*AG171^3+BMILMS!$E$24*AG171^2+BMILMS!$F$24*AG171+BMILMS!$G$24,BMILMS!$D$25*AG171^3+BMILMS!$E$25*AG171^2+BMILMS!$F$25*AG171+BMILMS!$G$25))))),(IF(AG171&lt;2.5,BMILMS!$D$27*AG171^3+BMILMS!$E$27*AG171^2+BMILMS!$F$27*AG171+BMILMS!$G$27,IF(AG171&lt;9.5,BMILMS!$D$28*AG171^3+BMILMS!$E$28*AG171^2+BMILMS!$F$28*AG171+BMILMS!$G$28,IF(AG171&lt;26.75,BMILMS!$D$29*AG171^3+BMILMS!$E$29*AG171^2+BMILMS!$F$29*AG171+BMILMS!$G$29,IF(AG171&lt;90,BMILMS!$D$30*AG171^3+BMILMS!$E$30*AG171^2+BMILMS!$F$30*AG171+BMILMS!$G$30,IF(AG171&lt;150,BMILMS!$D$31*AG171^3+BMILMS!$E$31*AG171^2+BMILMS!$F$31*AG171+BMILMS!$G$31,BMILMS!$D$32*AG171^3+BMILMS!$E$32*AG171^2+BMILMS!$F$32*AG171+BMILMS!$G$32)))))))</f>
        <v>12.568967990000001</v>
      </c>
      <c r="AF171" s="24">
        <f>IF(D171="M",(IF(AG171&lt;90,BMILMS!$D$14*AG171^3+BMILMS!$E$14*AG171^2+BMILMS!$F$14*AG171+BMILMS!$G$14,BMILMS!$D$15*AG171^3+BMILMS!$E$15*AG171^2+BMILMS!$F$15*AG171+BMILMS!$G$15)),(IF(AG171&lt;90,BMILMS!$D$17*AG171^3+BMILMS!$E$17*AG171^2+BMILMS!$F$17*AG171+BMILMS!$G$17,BMILMS!$D$18*AG171^3+BMILMS!$E$18*AG171^2+BMILMS!$F$18*AG171+BMILMS!$G$18)))</f>
        <v>8.8969350000000003E-2</v>
      </c>
      <c r="AG171" s="24">
        <f t="shared" si="48"/>
        <v>0</v>
      </c>
      <c r="AI171" s="38">
        <f>IF(D171="M",WeightSDS!P$5*$AG171^7+WeightSDS!Q$5*$AG171^6+WeightSDS!R$5*$AG171^5+WeightSDS!S$5*$AG171^4+WeightSDS!T$5*$AG171^3+WeightSDS!U$5*$AG171^2+WeightSDS!V$5*$AG171+WeightSDS!W$5,IF($AG171&lt;186,WeightSDS!P$8*$AG171^7+WeightSDS!Q$8*$AG171^6+WeightSDS!R$8*$AG171^5+WeightSDS!S$8*$AG171^4+WeightSDS!T$8*$AG171^3+WeightSDS!U$8*$AG171^2+WeightSDS!V$8*$AG171+WeightSDS!W$8,WeightSDS!$U$9-WeightSDS!$V$9*($AG171-WeightSDS!$W$9)))</f>
        <v>0.75407122999999998</v>
      </c>
      <c r="AJ171" s="24">
        <f>IF(D171="M",IF($AG171&lt;45,WeightSDS!M$23*$AG171^10+WeightSDS!N$23*$AG171^9+WeightSDS!O$23*$AG171^8+WeightSDS!P$23*$AG171^7+WeightSDS!Q$23*$AG171^6+WeightSDS!R$23*$AG171^5+WeightSDS!S$23*$AG171^4+WeightSDS!T$23*$AG171^3+WeightSDS!U$23*$AG171^2+WeightSDS!V$23*$AG171+WeightSDS!W$23,IF($AG171&lt;153,WeightSDS!M$25*$AG171^10+WeightSDS!N$25*$AG171^9+WeightSDS!O$25*$AG171^8+WeightSDS!P$25*$AG171^7+WeightSDS!Q$25*$AG171^6+WeightSDS!R$25*$AG171^5+WeightSDS!S$25*$AG171^4+WeightSDS!T$25*$AG171^3+WeightSDS!U$25*$AG171^2+WeightSDS!V$25*$AG171+WeightSDS!W$25,WeightSDS!M$27+WeightSDS!N$27/(1+EXP(WeightSDS!O$27+WeightSDS!P$27*$AG171)))),IF($AG171&lt;43.8,WeightSDS!M$29*$AG171^10+WeightSDS!N$29*$AG171^9+WeightSDS!O$29*$AG171^8+WeightSDS!P$29*$AG171^7+WeightSDS!Q$29*$AG171^6+WeightSDS!R$29*$AG171^5+WeightSDS!S$29*$AG171^4+WeightSDS!T$29*$AG171^3+WeightSDS!U$29*$AG171^2+WeightSDS!V$29*$AG171+WeightSDS!W$29-0.010431*(1-$AG171/210),IF($AG171&lt;123,WeightSDS!M$30*$AG171^10+WeightSDS!N$30*$AG171^9+WeightSDS!O$30*$AG171^8+WeightSDS!P$30*$AG171^7+WeightSDS!Q$30*$AG171^6+WeightSDS!R$30*$AG171^5+WeightSDS!S$30*$AG171^4+WeightSDS!T$30*$AG171^3+WeightSDS!U$30*$AG171^2+WeightSDS!V$30*$AG171+WeightSDS!W$30-0.010431*(1-1/$AG171),WeightSDS!M$32+WeightSDS!N$32/(1+EXP(WeightSDS!O$32+WeightSDS!P$32*$AG171))-0.010431*(1-$AG171/210))))</f>
        <v>2.9500001032655536</v>
      </c>
      <c r="AK171" s="24">
        <f>IF(D171="M",IF($AG171&lt;162,WeightSDS!P$12*$AG171^7+WeightSDS!Q$12*$AG171^6+WeightSDS!R$12*$AG171^5+WeightSDS!S$12*$AG171^4+WeightSDS!T$12*$AG171^3+WeightSDS!U$12*$AG171^2+WeightSDS!V$12*$AG171+WeightSDS!W$12,WeightSDS!P$14*$AG171^7+WeightSDS!Q$14*$AG171^6+WeightSDS!R$14*$AG171^5+WeightSDS!S$14*$AG171^4+WeightSDS!T$14*$AG171^3+WeightSDS!U$14*$AG171^2+WeightSDS!V$14*$AG171+WeightSDS!W$14),IF($AG171&lt;156,WeightSDS!O$17*$AG171^8+WeightSDS!P$17*$AG171^7+WeightSDS!Q$17*$AG171^6+WeightSDS!R$17*$AG171^5+WeightSDS!S$17*$AG171^4+WeightSDS!T$17*$AG171^3+WeightSDS!U$17*$AG171^2+WeightSDS!V$17*$AG171+WeightSDS!W$17,IF($AG171&lt;186,WeightSDS!$U$18+(WeightSDS!$V$18-WeightSDS!$U$18)/24*($AG171-186)+WeightSDS!$W$18*(-$AG171+186)^2-0.005,WeightSDS!$U$18+(WeightSDS!$V$18-WeightSDS!$U$18)/24*($AG171-186)-0.005)))</f>
        <v>0.14604529399999999</v>
      </c>
    </row>
    <row r="172" spans="1:37">
      <c r="A172" s="4"/>
      <c r="B172" s="21"/>
      <c r="C172" s="21"/>
      <c r="D172" s="21"/>
      <c r="E172" s="22"/>
      <c r="F172" s="22"/>
      <c r="G172" s="23"/>
      <c r="H172" s="23"/>
      <c r="I172" s="8" t="str">
        <f t="shared" si="34"/>
        <v/>
      </c>
      <c r="J172" s="2" t="str">
        <f t="shared" si="41"/>
        <v/>
      </c>
      <c r="K172" s="2" t="str">
        <f t="shared" si="35"/>
        <v/>
      </c>
      <c r="L172" s="2" t="str">
        <f t="shared" si="42"/>
        <v/>
      </c>
      <c r="M172" s="2" t="str">
        <f t="shared" si="47"/>
        <v/>
      </c>
      <c r="N172" s="2" t="str">
        <f t="shared" si="43"/>
        <v/>
      </c>
      <c r="O172" s="8" t="str">
        <f t="shared" si="44"/>
        <v/>
      </c>
      <c r="P172" s="8" t="str">
        <f t="shared" si="45"/>
        <v/>
      </c>
      <c r="Q172" s="40" t="str">
        <f t="shared" si="36"/>
        <v/>
      </c>
      <c r="R172" s="48" t="str">
        <f t="shared" si="46"/>
        <v/>
      </c>
      <c r="S172" s="8"/>
      <c r="U172" s="35">
        <f t="shared" si="37"/>
        <v>0</v>
      </c>
      <c r="V172" s="24">
        <f t="shared" si="38"/>
        <v>0</v>
      </c>
      <c r="W172" s="41">
        <f t="shared" si="49"/>
        <v>0</v>
      </c>
      <c r="X172" s="31"/>
      <c r="Y172" s="31"/>
      <c r="Z172" s="31"/>
      <c r="AA172" s="25">
        <f t="shared" si="39"/>
        <v>9.0359999999999996</v>
      </c>
      <c r="AB172" s="25">
        <f t="shared" si="40"/>
        <v>-184.49199999999999</v>
      </c>
      <c r="AD172" s="24">
        <f>IF(D172="M",IF(AG172&lt;78,BMILMS!$D$5*AG172^3+BMILMS!$E$5*AG172^2+BMILMS!$F$5*AG172+BMILMS!$G$5,IF(AG172&lt;150,BMILMS!$D$6*AG172^3+BMILMS!$E$6*AG172^2+BMILMS!$F$6*AG172+BMILMS!$G$6,BMILMS!$D$7*AG172^3+BMILMS!$E$7*AG172^2+BMILMS!$F$7*AG172+BMILMS!$G$7)),IF(AG172&lt;69,BMILMS!$D$9*AG172^3+BMILMS!$E$9*AG172^2+BMILMS!$F$9*AG172+BMILMS!$G$9,IF(AG172&lt;150,BMILMS!$D$10*AG172^3+BMILMS!$E$10*AG172^2+BMILMS!$F$10*AG172+BMILMS!$G$10,BMILMS!$D$11*AG172^3+BMILMS!$E$11*AG172^2+BMILMS!$F$11*AG172+BMILMS!$G$11)))</f>
        <v>0.79584630099999998</v>
      </c>
      <c r="AE172" s="24">
        <f>IF(D172="M",(IF(AG172&lt;2.5,BMILMS!$D$21*AG172^3+BMILMS!$E$21*AG172^2+BMILMS!$F$21*AG172+BMILMS!$G$21,IF(AG172&lt;9.5,BMILMS!$D$22*AG172^3+BMILMS!$E$22*AG172^2+BMILMS!$F$22*AG172+BMILMS!$G$22,IF(AG172&lt;26.75,BMILMS!$D$23*AG172^3+BMILMS!$E$23*AG172^2+BMILMS!$F$23*AG172+BMILMS!$G$23,IF(AG172&lt;90,BMILMS!$D$24*AG172^3+BMILMS!$E$24*AG172^2+BMILMS!$F$24*AG172+BMILMS!$G$24,BMILMS!$D$25*AG172^3+BMILMS!$E$25*AG172^2+BMILMS!$F$25*AG172+BMILMS!$G$25))))),(IF(AG172&lt;2.5,BMILMS!$D$27*AG172^3+BMILMS!$E$27*AG172^2+BMILMS!$F$27*AG172+BMILMS!$G$27,IF(AG172&lt;9.5,BMILMS!$D$28*AG172^3+BMILMS!$E$28*AG172^2+BMILMS!$F$28*AG172+BMILMS!$G$28,IF(AG172&lt;26.75,BMILMS!$D$29*AG172^3+BMILMS!$E$29*AG172^2+BMILMS!$F$29*AG172+BMILMS!$G$29,IF(AG172&lt;90,BMILMS!$D$30*AG172^3+BMILMS!$E$30*AG172^2+BMILMS!$F$30*AG172+BMILMS!$G$30,IF(AG172&lt;150,BMILMS!$D$31*AG172^3+BMILMS!$E$31*AG172^2+BMILMS!$F$31*AG172+BMILMS!$G$31,BMILMS!$D$32*AG172^3+BMILMS!$E$32*AG172^2+BMILMS!$F$32*AG172+BMILMS!$G$32)))))))</f>
        <v>12.568967990000001</v>
      </c>
      <c r="AF172" s="24">
        <f>IF(D172="M",(IF(AG172&lt;90,BMILMS!$D$14*AG172^3+BMILMS!$E$14*AG172^2+BMILMS!$F$14*AG172+BMILMS!$G$14,BMILMS!$D$15*AG172^3+BMILMS!$E$15*AG172^2+BMILMS!$F$15*AG172+BMILMS!$G$15)),(IF(AG172&lt;90,BMILMS!$D$17*AG172^3+BMILMS!$E$17*AG172^2+BMILMS!$F$17*AG172+BMILMS!$G$17,BMILMS!$D$18*AG172^3+BMILMS!$E$18*AG172^2+BMILMS!$F$18*AG172+BMILMS!$G$18)))</f>
        <v>8.8969350000000003E-2</v>
      </c>
      <c r="AG172" s="24">
        <f t="shared" si="48"/>
        <v>0</v>
      </c>
      <c r="AI172" s="38">
        <f>IF(D172="M",WeightSDS!P$5*$AG172^7+WeightSDS!Q$5*$AG172^6+WeightSDS!R$5*$AG172^5+WeightSDS!S$5*$AG172^4+WeightSDS!T$5*$AG172^3+WeightSDS!U$5*$AG172^2+WeightSDS!V$5*$AG172+WeightSDS!W$5,IF($AG172&lt;186,WeightSDS!P$8*$AG172^7+WeightSDS!Q$8*$AG172^6+WeightSDS!R$8*$AG172^5+WeightSDS!S$8*$AG172^4+WeightSDS!T$8*$AG172^3+WeightSDS!U$8*$AG172^2+WeightSDS!V$8*$AG172+WeightSDS!W$8,WeightSDS!$U$9-WeightSDS!$V$9*($AG172-WeightSDS!$W$9)))</f>
        <v>0.75407122999999998</v>
      </c>
      <c r="AJ172" s="24">
        <f>IF(D172="M",IF($AG172&lt;45,WeightSDS!M$23*$AG172^10+WeightSDS!N$23*$AG172^9+WeightSDS!O$23*$AG172^8+WeightSDS!P$23*$AG172^7+WeightSDS!Q$23*$AG172^6+WeightSDS!R$23*$AG172^5+WeightSDS!S$23*$AG172^4+WeightSDS!T$23*$AG172^3+WeightSDS!U$23*$AG172^2+WeightSDS!V$23*$AG172+WeightSDS!W$23,IF($AG172&lt;153,WeightSDS!M$25*$AG172^10+WeightSDS!N$25*$AG172^9+WeightSDS!O$25*$AG172^8+WeightSDS!P$25*$AG172^7+WeightSDS!Q$25*$AG172^6+WeightSDS!R$25*$AG172^5+WeightSDS!S$25*$AG172^4+WeightSDS!T$25*$AG172^3+WeightSDS!U$25*$AG172^2+WeightSDS!V$25*$AG172+WeightSDS!W$25,WeightSDS!M$27+WeightSDS!N$27/(1+EXP(WeightSDS!O$27+WeightSDS!P$27*$AG172)))),IF($AG172&lt;43.8,WeightSDS!M$29*$AG172^10+WeightSDS!N$29*$AG172^9+WeightSDS!O$29*$AG172^8+WeightSDS!P$29*$AG172^7+WeightSDS!Q$29*$AG172^6+WeightSDS!R$29*$AG172^5+WeightSDS!S$29*$AG172^4+WeightSDS!T$29*$AG172^3+WeightSDS!U$29*$AG172^2+WeightSDS!V$29*$AG172+WeightSDS!W$29-0.010431*(1-$AG172/210),IF($AG172&lt;123,WeightSDS!M$30*$AG172^10+WeightSDS!N$30*$AG172^9+WeightSDS!O$30*$AG172^8+WeightSDS!P$30*$AG172^7+WeightSDS!Q$30*$AG172^6+WeightSDS!R$30*$AG172^5+WeightSDS!S$30*$AG172^4+WeightSDS!T$30*$AG172^3+WeightSDS!U$30*$AG172^2+WeightSDS!V$30*$AG172+WeightSDS!W$30-0.010431*(1-1/$AG172),WeightSDS!M$32+WeightSDS!N$32/(1+EXP(WeightSDS!O$32+WeightSDS!P$32*$AG172))-0.010431*(1-$AG172/210))))</f>
        <v>2.9500001032655536</v>
      </c>
      <c r="AK172" s="24">
        <f>IF(D172="M",IF($AG172&lt;162,WeightSDS!P$12*$AG172^7+WeightSDS!Q$12*$AG172^6+WeightSDS!R$12*$AG172^5+WeightSDS!S$12*$AG172^4+WeightSDS!T$12*$AG172^3+WeightSDS!U$12*$AG172^2+WeightSDS!V$12*$AG172+WeightSDS!W$12,WeightSDS!P$14*$AG172^7+WeightSDS!Q$14*$AG172^6+WeightSDS!R$14*$AG172^5+WeightSDS!S$14*$AG172^4+WeightSDS!T$14*$AG172^3+WeightSDS!U$14*$AG172^2+WeightSDS!V$14*$AG172+WeightSDS!W$14),IF($AG172&lt;156,WeightSDS!O$17*$AG172^8+WeightSDS!P$17*$AG172^7+WeightSDS!Q$17*$AG172^6+WeightSDS!R$17*$AG172^5+WeightSDS!S$17*$AG172^4+WeightSDS!T$17*$AG172^3+WeightSDS!U$17*$AG172^2+WeightSDS!V$17*$AG172+WeightSDS!W$17,IF($AG172&lt;186,WeightSDS!$U$18+(WeightSDS!$V$18-WeightSDS!$U$18)/24*($AG172-186)+WeightSDS!$W$18*(-$AG172+186)^2-0.005,WeightSDS!$U$18+(WeightSDS!$V$18-WeightSDS!$U$18)/24*($AG172-186)-0.005)))</f>
        <v>0.14604529399999999</v>
      </c>
    </row>
    <row r="173" spans="1:37">
      <c r="A173" s="4"/>
      <c r="B173" s="21"/>
      <c r="C173" s="21"/>
      <c r="D173" s="21"/>
      <c r="E173" s="22"/>
      <c r="F173" s="22"/>
      <c r="G173" s="23"/>
      <c r="H173" s="23"/>
      <c r="I173" s="8" t="str">
        <f t="shared" si="34"/>
        <v/>
      </c>
      <c r="J173" s="2" t="str">
        <f t="shared" si="41"/>
        <v/>
      </c>
      <c r="K173" s="2" t="str">
        <f t="shared" si="35"/>
        <v/>
      </c>
      <c r="L173" s="2" t="str">
        <f t="shared" si="42"/>
        <v/>
      </c>
      <c r="M173" s="2" t="str">
        <f t="shared" si="47"/>
        <v/>
      </c>
      <c r="N173" s="2" t="str">
        <f t="shared" si="43"/>
        <v/>
      </c>
      <c r="O173" s="8" t="str">
        <f t="shared" si="44"/>
        <v/>
      </c>
      <c r="P173" s="8" t="str">
        <f t="shared" si="45"/>
        <v/>
      </c>
      <c r="Q173" s="40" t="str">
        <f t="shared" si="36"/>
        <v/>
      </c>
      <c r="R173" s="48" t="str">
        <f t="shared" si="46"/>
        <v/>
      </c>
      <c r="S173" s="8"/>
      <c r="U173" s="35">
        <f t="shared" si="37"/>
        <v>0</v>
      </c>
      <c r="V173" s="24">
        <f t="shared" si="38"/>
        <v>0</v>
      </c>
      <c r="W173" s="41">
        <f t="shared" si="49"/>
        <v>0</v>
      </c>
      <c r="X173" s="31"/>
      <c r="Y173" s="31"/>
      <c r="Z173" s="31"/>
      <c r="AA173" s="25">
        <f t="shared" si="39"/>
        <v>9.0359999999999996</v>
      </c>
      <c r="AB173" s="25">
        <f t="shared" si="40"/>
        <v>-184.49199999999999</v>
      </c>
      <c r="AD173" s="24">
        <f>IF(D173="M",IF(AG173&lt;78,BMILMS!$D$5*AG173^3+BMILMS!$E$5*AG173^2+BMILMS!$F$5*AG173+BMILMS!$G$5,IF(AG173&lt;150,BMILMS!$D$6*AG173^3+BMILMS!$E$6*AG173^2+BMILMS!$F$6*AG173+BMILMS!$G$6,BMILMS!$D$7*AG173^3+BMILMS!$E$7*AG173^2+BMILMS!$F$7*AG173+BMILMS!$G$7)),IF(AG173&lt;69,BMILMS!$D$9*AG173^3+BMILMS!$E$9*AG173^2+BMILMS!$F$9*AG173+BMILMS!$G$9,IF(AG173&lt;150,BMILMS!$D$10*AG173^3+BMILMS!$E$10*AG173^2+BMILMS!$F$10*AG173+BMILMS!$G$10,BMILMS!$D$11*AG173^3+BMILMS!$E$11*AG173^2+BMILMS!$F$11*AG173+BMILMS!$G$11)))</f>
        <v>0.79584630099999998</v>
      </c>
      <c r="AE173" s="24">
        <f>IF(D173="M",(IF(AG173&lt;2.5,BMILMS!$D$21*AG173^3+BMILMS!$E$21*AG173^2+BMILMS!$F$21*AG173+BMILMS!$G$21,IF(AG173&lt;9.5,BMILMS!$D$22*AG173^3+BMILMS!$E$22*AG173^2+BMILMS!$F$22*AG173+BMILMS!$G$22,IF(AG173&lt;26.75,BMILMS!$D$23*AG173^3+BMILMS!$E$23*AG173^2+BMILMS!$F$23*AG173+BMILMS!$G$23,IF(AG173&lt;90,BMILMS!$D$24*AG173^3+BMILMS!$E$24*AG173^2+BMILMS!$F$24*AG173+BMILMS!$G$24,BMILMS!$D$25*AG173^3+BMILMS!$E$25*AG173^2+BMILMS!$F$25*AG173+BMILMS!$G$25))))),(IF(AG173&lt;2.5,BMILMS!$D$27*AG173^3+BMILMS!$E$27*AG173^2+BMILMS!$F$27*AG173+BMILMS!$G$27,IF(AG173&lt;9.5,BMILMS!$D$28*AG173^3+BMILMS!$E$28*AG173^2+BMILMS!$F$28*AG173+BMILMS!$G$28,IF(AG173&lt;26.75,BMILMS!$D$29*AG173^3+BMILMS!$E$29*AG173^2+BMILMS!$F$29*AG173+BMILMS!$G$29,IF(AG173&lt;90,BMILMS!$D$30*AG173^3+BMILMS!$E$30*AG173^2+BMILMS!$F$30*AG173+BMILMS!$G$30,IF(AG173&lt;150,BMILMS!$D$31*AG173^3+BMILMS!$E$31*AG173^2+BMILMS!$F$31*AG173+BMILMS!$G$31,BMILMS!$D$32*AG173^3+BMILMS!$E$32*AG173^2+BMILMS!$F$32*AG173+BMILMS!$G$32)))))))</f>
        <v>12.568967990000001</v>
      </c>
      <c r="AF173" s="24">
        <f>IF(D173="M",(IF(AG173&lt;90,BMILMS!$D$14*AG173^3+BMILMS!$E$14*AG173^2+BMILMS!$F$14*AG173+BMILMS!$G$14,BMILMS!$D$15*AG173^3+BMILMS!$E$15*AG173^2+BMILMS!$F$15*AG173+BMILMS!$G$15)),(IF(AG173&lt;90,BMILMS!$D$17*AG173^3+BMILMS!$E$17*AG173^2+BMILMS!$F$17*AG173+BMILMS!$G$17,BMILMS!$D$18*AG173^3+BMILMS!$E$18*AG173^2+BMILMS!$F$18*AG173+BMILMS!$G$18)))</f>
        <v>8.8969350000000003E-2</v>
      </c>
      <c r="AG173" s="24">
        <f t="shared" si="48"/>
        <v>0</v>
      </c>
      <c r="AI173" s="38">
        <f>IF(D173="M",WeightSDS!P$5*$AG173^7+WeightSDS!Q$5*$AG173^6+WeightSDS!R$5*$AG173^5+WeightSDS!S$5*$AG173^4+WeightSDS!T$5*$AG173^3+WeightSDS!U$5*$AG173^2+WeightSDS!V$5*$AG173+WeightSDS!W$5,IF($AG173&lt;186,WeightSDS!P$8*$AG173^7+WeightSDS!Q$8*$AG173^6+WeightSDS!R$8*$AG173^5+WeightSDS!S$8*$AG173^4+WeightSDS!T$8*$AG173^3+WeightSDS!U$8*$AG173^2+WeightSDS!V$8*$AG173+WeightSDS!W$8,WeightSDS!$U$9-WeightSDS!$V$9*($AG173-WeightSDS!$W$9)))</f>
        <v>0.75407122999999998</v>
      </c>
      <c r="AJ173" s="24">
        <f>IF(D173="M",IF($AG173&lt;45,WeightSDS!M$23*$AG173^10+WeightSDS!N$23*$AG173^9+WeightSDS!O$23*$AG173^8+WeightSDS!P$23*$AG173^7+WeightSDS!Q$23*$AG173^6+WeightSDS!R$23*$AG173^5+WeightSDS!S$23*$AG173^4+WeightSDS!T$23*$AG173^3+WeightSDS!U$23*$AG173^2+WeightSDS!V$23*$AG173+WeightSDS!W$23,IF($AG173&lt;153,WeightSDS!M$25*$AG173^10+WeightSDS!N$25*$AG173^9+WeightSDS!O$25*$AG173^8+WeightSDS!P$25*$AG173^7+WeightSDS!Q$25*$AG173^6+WeightSDS!R$25*$AG173^5+WeightSDS!S$25*$AG173^4+WeightSDS!T$25*$AG173^3+WeightSDS!U$25*$AG173^2+WeightSDS!V$25*$AG173+WeightSDS!W$25,WeightSDS!M$27+WeightSDS!N$27/(1+EXP(WeightSDS!O$27+WeightSDS!P$27*$AG173)))),IF($AG173&lt;43.8,WeightSDS!M$29*$AG173^10+WeightSDS!N$29*$AG173^9+WeightSDS!O$29*$AG173^8+WeightSDS!P$29*$AG173^7+WeightSDS!Q$29*$AG173^6+WeightSDS!R$29*$AG173^5+WeightSDS!S$29*$AG173^4+WeightSDS!T$29*$AG173^3+WeightSDS!U$29*$AG173^2+WeightSDS!V$29*$AG173+WeightSDS!W$29-0.010431*(1-$AG173/210),IF($AG173&lt;123,WeightSDS!M$30*$AG173^10+WeightSDS!N$30*$AG173^9+WeightSDS!O$30*$AG173^8+WeightSDS!P$30*$AG173^7+WeightSDS!Q$30*$AG173^6+WeightSDS!R$30*$AG173^5+WeightSDS!S$30*$AG173^4+WeightSDS!T$30*$AG173^3+WeightSDS!U$30*$AG173^2+WeightSDS!V$30*$AG173+WeightSDS!W$30-0.010431*(1-1/$AG173),WeightSDS!M$32+WeightSDS!N$32/(1+EXP(WeightSDS!O$32+WeightSDS!P$32*$AG173))-0.010431*(1-$AG173/210))))</f>
        <v>2.9500001032655536</v>
      </c>
      <c r="AK173" s="24">
        <f>IF(D173="M",IF($AG173&lt;162,WeightSDS!P$12*$AG173^7+WeightSDS!Q$12*$AG173^6+WeightSDS!R$12*$AG173^5+WeightSDS!S$12*$AG173^4+WeightSDS!T$12*$AG173^3+WeightSDS!U$12*$AG173^2+WeightSDS!V$12*$AG173+WeightSDS!W$12,WeightSDS!P$14*$AG173^7+WeightSDS!Q$14*$AG173^6+WeightSDS!R$14*$AG173^5+WeightSDS!S$14*$AG173^4+WeightSDS!T$14*$AG173^3+WeightSDS!U$14*$AG173^2+WeightSDS!V$14*$AG173+WeightSDS!W$14),IF($AG173&lt;156,WeightSDS!O$17*$AG173^8+WeightSDS!P$17*$AG173^7+WeightSDS!Q$17*$AG173^6+WeightSDS!R$17*$AG173^5+WeightSDS!S$17*$AG173^4+WeightSDS!T$17*$AG173^3+WeightSDS!U$17*$AG173^2+WeightSDS!V$17*$AG173+WeightSDS!W$17,IF($AG173&lt;186,WeightSDS!$U$18+(WeightSDS!$V$18-WeightSDS!$U$18)/24*($AG173-186)+WeightSDS!$W$18*(-$AG173+186)^2-0.005,WeightSDS!$U$18+(WeightSDS!$V$18-WeightSDS!$U$18)/24*($AG173-186)-0.005)))</f>
        <v>0.14604529399999999</v>
      </c>
    </row>
    <row r="174" spans="1:37">
      <c r="A174" s="4"/>
      <c r="B174" s="21"/>
      <c r="C174" s="21"/>
      <c r="D174" s="21"/>
      <c r="E174" s="22"/>
      <c r="F174" s="22"/>
      <c r="G174" s="23"/>
      <c r="H174" s="23"/>
      <c r="I174" s="8" t="str">
        <f t="shared" si="34"/>
        <v/>
      </c>
      <c r="J174" s="2" t="str">
        <f t="shared" si="41"/>
        <v/>
      </c>
      <c r="K174" s="2" t="str">
        <f t="shared" si="35"/>
        <v/>
      </c>
      <c r="L174" s="2" t="str">
        <f t="shared" si="42"/>
        <v/>
      </c>
      <c r="M174" s="2" t="str">
        <f t="shared" si="47"/>
        <v/>
      </c>
      <c r="N174" s="2" t="str">
        <f t="shared" si="43"/>
        <v/>
      </c>
      <c r="O174" s="8" t="str">
        <f t="shared" si="44"/>
        <v/>
      </c>
      <c r="P174" s="8" t="str">
        <f t="shared" si="45"/>
        <v/>
      </c>
      <c r="Q174" s="40" t="str">
        <f t="shared" si="36"/>
        <v/>
      </c>
      <c r="R174" s="48" t="str">
        <f t="shared" si="46"/>
        <v/>
      </c>
      <c r="S174" s="8"/>
      <c r="U174" s="35">
        <f t="shared" si="37"/>
        <v>0</v>
      </c>
      <c r="V174" s="24">
        <f t="shared" si="38"/>
        <v>0</v>
      </c>
      <c r="W174" s="41">
        <f t="shared" si="49"/>
        <v>0</v>
      </c>
      <c r="X174" s="31"/>
      <c r="Y174" s="31"/>
      <c r="Z174" s="31"/>
      <c r="AA174" s="25">
        <f t="shared" si="39"/>
        <v>9.0359999999999996</v>
      </c>
      <c r="AB174" s="25">
        <f t="shared" si="40"/>
        <v>-184.49199999999999</v>
      </c>
      <c r="AD174" s="24">
        <f>IF(D174="M",IF(AG174&lt;78,BMILMS!$D$5*AG174^3+BMILMS!$E$5*AG174^2+BMILMS!$F$5*AG174+BMILMS!$G$5,IF(AG174&lt;150,BMILMS!$D$6*AG174^3+BMILMS!$E$6*AG174^2+BMILMS!$F$6*AG174+BMILMS!$G$6,BMILMS!$D$7*AG174^3+BMILMS!$E$7*AG174^2+BMILMS!$F$7*AG174+BMILMS!$G$7)),IF(AG174&lt;69,BMILMS!$D$9*AG174^3+BMILMS!$E$9*AG174^2+BMILMS!$F$9*AG174+BMILMS!$G$9,IF(AG174&lt;150,BMILMS!$D$10*AG174^3+BMILMS!$E$10*AG174^2+BMILMS!$F$10*AG174+BMILMS!$G$10,BMILMS!$D$11*AG174^3+BMILMS!$E$11*AG174^2+BMILMS!$F$11*AG174+BMILMS!$G$11)))</f>
        <v>0.79584630099999998</v>
      </c>
      <c r="AE174" s="24">
        <f>IF(D174="M",(IF(AG174&lt;2.5,BMILMS!$D$21*AG174^3+BMILMS!$E$21*AG174^2+BMILMS!$F$21*AG174+BMILMS!$G$21,IF(AG174&lt;9.5,BMILMS!$D$22*AG174^3+BMILMS!$E$22*AG174^2+BMILMS!$F$22*AG174+BMILMS!$G$22,IF(AG174&lt;26.75,BMILMS!$D$23*AG174^3+BMILMS!$E$23*AG174^2+BMILMS!$F$23*AG174+BMILMS!$G$23,IF(AG174&lt;90,BMILMS!$D$24*AG174^3+BMILMS!$E$24*AG174^2+BMILMS!$F$24*AG174+BMILMS!$G$24,BMILMS!$D$25*AG174^3+BMILMS!$E$25*AG174^2+BMILMS!$F$25*AG174+BMILMS!$G$25))))),(IF(AG174&lt;2.5,BMILMS!$D$27*AG174^3+BMILMS!$E$27*AG174^2+BMILMS!$F$27*AG174+BMILMS!$G$27,IF(AG174&lt;9.5,BMILMS!$D$28*AG174^3+BMILMS!$E$28*AG174^2+BMILMS!$F$28*AG174+BMILMS!$G$28,IF(AG174&lt;26.75,BMILMS!$D$29*AG174^3+BMILMS!$E$29*AG174^2+BMILMS!$F$29*AG174+BMILMS!$G$29,IF(AG174&lt;90,BMILMS!$D$30*AG174^3+BMILMS!$E$30*AG174^2+BMILMS!$F$30*AG174+BMILMS!$G$30,IF(AG174&lt;150,BMILMS!$D$31*AG174^3+BMILMS!$E$31*AG174^2+BMILMS!$F$31*AG174+BMILMS!$G$31,BMILMS!$D$32*AG174^3+BMILMS!$E$32*AG174^2+BMILMS!$F$32*AG174+BMILMS!$G$32)))))))</f>
        <v>12.568967990000001</v>
      </c>
      <c r="AF174" s="24">
        <f>IF(D174="M",(IF(AG174&lt;90,BMILMS!$D$14*AG174^3+BMILMS!$E$14*AG174^2+BMILMS!$F$14*AG174+BMILMS!$G$14,BMILMS!$D$15*AG174^3+BMILMS!$E$15*AG174^2+BMILMS!$F$15*AG174+BMILMS!$G$15)),(IF(AG174&lt;90,BMILMS!$D$17*AG174^3+BMILMS!$E$17*AG174^2+BMILMS!$F$17*AG174+BMILMS!$G$17,BMILMS!$D$18*AG174^3+BMILMS!$E$18*AG174^2+BMILMS!$F$18*AG174+BMILMS!$G$18)))</f>
        <v>8.8969350000000003E-2</v>
      </c>
      <c r="AG174" s="24">
        <f t="shared" si="48"/>
        <v>0</v>
      </c>
      <c r="AI174" s="38">
        <f>IF(D174="M",WeightSDS!P$5*$AG174^7+WeightSDS!Q$5*$AG174^6+WeightSDS!R$5*$AG174^5+WeightSDS!S$5*$AG174^4+WeightSDS!T$5*$AG174^3+WeightSDS!U$5*$AG174^2+WeightSDS!V$5*$AG174+WeightSDS!W$5,IF($AG174&lt;186,WeightSDS!P$8*$AG174^7+WeightSDS!Q$8*$AG174^6+WeightSDS!R$8*$AG174^5+WeightSDS!S$8*$AG174^4+WeightSDS!T$8*$AG174^3+WeightSDS!U$8*$AG174^2+WeightSDS!V$8*$AG174+WeightSDS!W$8,WeightSDS!$U$9-WeightSDS!$V$9*($AG174-WeightSDS!$W$9)))</f>
        <v>0.75407122999999998</v>
      </c>
      <c r="AJ174" s="24">
        <f>IF(D174="M",IF($AG174&lt;45,WeightSDS!M$23*$AG174^10+WeightSDS!N$23*$AG174^9+WeightSDS!O$23*$AG174^8+WeightSDS!P$23*$AG174^7+WeightSDS!Q$23*$AG174^6+WeightSDS!R$23*$AG174^5+WeightSDS!S$23*$AG174^4+WeightSDS!T$23*$AG174^3+WeightSDS!U$23*$AG174^2+WeightSDS!V$23*$AG174+WeightSDS!W$23,IF($AG174&lt;153,WeightSDS!M$25*$AG174^10+WeightSDS!N$25*$AG174^9+WeightSDS!O$25*$AG174^8+WeightSDS!P$25*$AG174^7+WeightSDS!Q$25*$AG174^6+WeightSDS!R$25*$AG174^5+WeightSDS!S$25*$AG174^4+WeightSDS!T$25*$AG174^3+WeightSDS!U$25*$AG174^2+WeightSDS!V$25*$AG174+WeightSDS!W$25,WeightSDS!M$27+WeightSDS!N$27/(1+EXP(WeightSDS!O$27+WeightSDS!P$27*$AG174)))),IF($AG174&lt;43.8,WeightSDS!M$29*$AG174^10+WeightSDS!N$29*$AG174^9+WeightSDS!O$29*$AG174^8+WeightSDS!P$29*$AG174^7+WeightSDS!Q$29*$AG174^6+WeightSDS!R$29*$AG174^5+WeightSDS!S$29*$AG174^4+WeightSDS!T$29*$AG174^3+WeightSDS!U$29*$AG174^2+WeightSDS!V$29*$AG174+WeightSDS!W$29-0.010431*(1-$AG174/210),IF($AG174&lt;123,WeightSDS!M$30*$AG174^10+WeightSDS!N$30*$AG174^9+WeightSDS!O$30*$AG174^8+WeightSDS!P$30*$AG174^7+WeightSDS!Q$30*$AG174^6+WeightSDS!R$30*$AG174^5+WeightSDS!S$30*$AG174^4+WeightSDS!T$30*$AG174^3+WeightSDS!U$30*$AG174^2+WeightSDS!V$30*$AG174+WeightSDS!W$30-0.010431*(1-1/$AG174),WeightSDS!M$32+WeightSDS!N$32/(1+EXP(WeightSDS!O$32+WeightSDS!P$32*$AG174))-0.010431*(1-$AG174/210))))</f>
        <v>2.9500001032655536</v>
      </c>
      <c r="AK174" s="24">
        <f>IF(D174="M",IF($AG174&lt;162,WeightSDS!P$12*$AG174^7+WeightSDS!Q$12*$AG174^6+WeightSDS!R$12*$AG174^5+WeightSDS!S$12*$AG174^4+WeightSDS!T$12*$AG174^3+WeightSDS!U$12*$AG174^2+WeightSDS!V$12*$AG174+WeightSDS!W$12,WeightSDS!P$14*$AG174^7+WeightSDS!Q$14*$AG174^6+WeightSDS!R$14*$AG174^5+WeightSDS!S$14*$AG174^4+WeightSDS!T$14*$AG174^3+WeightSDS!U$14*$AG174^2+WeightSDS!V$14*$AG174+WeightSDS!W$14),IF($AG174&lt;156,WeightSDS!O$17*$AG174^8+WeightSDS!P$17*$AG174^7+WeightSDS!Q$17*$AG174^6+WeightSDS!R$17*$AG174^5+WeightSDS!S$17*$AG174^4+WeightSDS!T$17*$AG174^3+WeightSDS!U$17*$AG174^2+WeightSDS!V$17*$AG174+WeightSDS!W$17,IF($AG174&lt;186,WeightSDS!$U$18+(WeightSDS!$V$18-WeightSDS!$U$18)/24*($AG174-186)+WeightSDS!$W$18*(-$AG174+186)^2-0.005,WeightSDS!$U$18+(WeightSDS!$V$18-WeightSDS!$U$18)/24*($AG174-186)-0.005)))</f>
        <v>0.14604529399999999</v>
      </c>
    </row>
    <row r="175" spans="1:37">
      <c r="A175" s="4"/>
      <c r="B175" s="21"/>
      <c r="C175" s="21"/>
      <c r="D175" s="21"/>
      <c r="E175" s="22"/>
      <c r="F175" s="22"/>
      <c r="G175" s="23"/>
      <c r="H175" s="23"/>
      <c r="I175" s="8" t="str">
        <f t="shared" si="34"/>
        <v/>
      </c>
      <c r="J175" s="2" t="str">
        <f t="shared" si="41"/>
        <v/>
      </c>
      <c r="K175" s="2" t="str">
        <f t="shared" si="35"/>
        <v/>
      </c>
      <c r="L175" s="2" t="str">
        <f t="shared" si="42"/>
        <v/>
      </c>
      <c r="M175" s="2" t="str">
        <f t="shared" si="47"/>
        <v/>
      </c>
      <c r="N175" s="2" t="str">
        <f t="shared" si="43"/>
        <v/>
      </c>
      <c r="O175" s="8" t="str">
        <f t="shared" si="44"/>
        <v/>
      </c>
      <c r="P175" s="8" t="str">
        <f t="shared" si="45"/>
        <v/>
      </c>
      <c r="Q175" s="40" t="str">
        <f t="shared" si="36"/>
        <v/>
      </c>
      <c r="R175" s="48" t="str">
        <f t="shared" si="46"/>
        <v/>
      </c>
      <c r="S175" s="8"/>
      <c r="U175" s="35">
        <f t="shared" si="37"/>
        <v>0</v>
      </c>
      <c r="V175" s="24">
        <f t="shared" si="38"/>
        <v>0</v>
      </c>
      <c r="W175" s="41">
        <f t="shared" si="49"/>
        <v>0</v>
      </c>
      <c r="X175" s="31"/>
      <c r="Y175" s="31"/>
      <c r="Z175" s="31"/>
      <c r="AA175" s="25">
        <f t="shared" si="39"/>
        <v>9.0359999999999996</v>
      </c>
      <c r="AB175" s="25">
        <f t="shared" si="40"/>
        <v>-184.49199999999999</v>
      </c>
      <c r="AD175" s="24">
        <f>IF(D175="M",IF(AG175&lt;78,BMILMS!$D$5*AG175^3+BMILMS!$E$5*AG175^2+BMILMS!$F$5*AG175+BMILMS!$G$5,IF(AG175&lt;150,BMILMS!$D$6*AG175^3+BMILMS!$E$6*AG175^2+BMILMS!$F$6*AG175+BMILMS!$G$6,BMILMS!$D$7*AG175^3+BMILMS!$E$7*AG175^2+BMILMS!$F$7*AG175+BMILMS!$G$7)),IF(AG175&lt;69,BMILMS!$D$9*AG175^3+BMILMS!$E$9*AG175^2+BMILMS!$F$9*AG175+BMILMS!$G$9,IF(AG175&lt;150,BMILMS!$D$10*AG175^3+BMILMS!$E$10*AG175^2+BMILMS!$F$10*AG175+BMILMS!$G$10,BMILMS!$D$11*AG175^3+BMILMS!$E$11*AG175^2+BMILMS!$F$11*AG175+BMILMS!$G$11)))</f>
        <v>0.79584630099999998</v>
      </c>
      <c r="AE175" s="24">
        <f>IF(D175="M",(IF(AG175&lt;2.5,BMILMS!$D$21*AG175^3+BMILMS!$E$21*AG175^2+BMILMS!$F$21*AG175+BMILMS!$G$21,IF(AG175&lt;9.5,BMILMS!$D$22*AG175^3+BMILMS!$E$22*AG175^2+BMILMS!$F$22*AG175+BMILMS!$G$22,IF(AG175&lt;26.75,BMILMS!$D$23*AG175^3+BMILMS!$E$23*AG175^2+BMILMS!$F$23*AG175+BMILMS!$G$23,IF(AG175&lt;90,BMILMS!$D$24*AG175^3+BMILMS!$E$24*AG175^2+BMILMS!$F$24*AG175+BMILMS!$G$24,BMILMS!$D$25*AG175^3+BMILMS!$E$25*AG175^2+BMILMS!$F$25*AG175+BMILMS!$G$25))))),(IF(AG175&lt;2.5,BMILMS!$D$27*AG175^3+BMILMS!$E$27*AG175^2+BMILMS!$F$27*AG175+BMILMS!$G$27,IF(AG175&lt;9.5,BMILMS!$D$28*AG175^3+BMILMS!$E$28*AG175^2+BMILMS!$F$28*AG175+BMILMS!$G$28,IF(AG175&lt;26.75,BMILMS!$D$29*AG175^3+BMILMS!$E$29*AG175^2+BMILMS!$F$29*AG175+BMILMS!$G$29,IF(AG175&lt;90,BMILMS!$D$30*AG175^3+BMILMS!$E$30*AG175^2+BMILMS!$F$30*AG175+BMILMS!$G$30,IF(AG175&lt;150,BMILMS!$D$31*AG175^3+BMILMS!$E$31*AG175^2+BMILMS!$F$31*AG175+BMILMS!$G$31,BMILMS!$D$32*AG175^3+BMILMS!$E$32*AG175^2+BMILMS!$F$32*AG175+BMILMS!$G$32)))))))</f>
        <v>12.568967990000001</v>
      </c>
      <c r="AF175" s="24">
        <f>IF(D175="M",(IF(AG175&lt;90,BMILMS!$D$14*AG175^3+BMILMS!$E$14*AG175^2+BMILMS!$F$14*AG175+BMILMS!$G$14,BMILMS!$D$15*AG175^3+BMILMS!$E$15*AG175^2+BMILMS!$F$15*AG175+BMILMS!$G$15)),(IF(AG175&lt;90,BMILMS!$D$17*AG175^3+BMILMS!$E$17*AG175^2+BMILMS!$F$17*AG175+BMILMS!$G$17,BMILMS!$D$18*AG175^3+BMILMS!$E$18*AG175^2+BMILMS!$F$18*AG175+BMILMS!$G$18)))</f>
        <v>8.8969350000000003E-2</v>
      </c>
      <c r="AG175" s="24">
        <f t="shared" si="48"/>
        <v>0</v>
      </c>
      <c r="AI175" s="38">
        <f>IF(D175="M",WeightSDS!P$5*$AG175^7+WeightSDS!Q$5*$AG175^6+WeightSDS!R$5*$AG175^5+WeightSDS!S$5*$AG175^4+WeightSDS!T$5*$AG175^3+WeightSDS!U$5*$AG175^2+WeightSDS!V$5*$AG175+WeightSDS!W$5,IF($AG175&lt;186,WeightSDS!P$8*$AG175^7+WeightSDS!Q$8*$AG175^6+WeightSDS!R$8*$AG175^5+WeightSDS!S$8*$AG175^4+WeightSDS!T$8*$AG175^3+WeightSDS!U$8*$AG175^2+WeightSDS!V$8*$AG175+WeightSDS!W$8,WeightSDS!$U$9-WeightSDS!$V$9*($AG175-WeightSDS!$W$9)))</f>
        <v>0.75407122999999998</v>
      </c>
      <c r="AJ175" s="24">
        <f>IF(D175="M",IF($AG175&lt;45,WeightSDS!M$23*$AG175^10+WeightSDS!N$23*$AG175^9+WeightSDS!O$23*$AG175^8+WeightSDS!P$23*$AG175^7+WeightSDS!Q$23*$AG175^6+WeightSDS!R$23*$AG175^5+WeightSDS!S$23*$AG175^4+WeightSDS!T$23*$AG175^3+WeightSDS!U$23*$AG175^2+WeightSDS!V$23*$AG175+WeightSDS!W$23,IF($AG175&lt;153,WeightSDS!M$25*$AG175^10+WeightSDS!N$25*$AG175^9+WeightSDS!O$25*$AG175^8+WeightSDS!P$25*$AG175^7+WeightSDS!Q$25*$AG175^6+WeightSDS!R$25*$AG175^5+WeightSDS!S$25*$AG175^4+WeightSDS!T$25*$AG175^3+WeightSDS!U$25*$AG175^2+WeightSDS!V$25*$AG175+WeightSDS!W$25,WeightSDS!M$27+WeightSDS!N$27/(1+EXP(WeightSDS!O$27+WeightSDS!P$27*$AG175)))),IF($AG175&lt;43.8,WeightSDS!M$29*$AG175^10+WeightSDS!N$29*$AG175^9+WeightSDS!O$29*$AG175^8+WeightSDS!P$29*$AG175^7+WeightSDS!Q$29*$AG175^6+WeightSDS!R$29*$AG175^5+WeightSDS!S$29*$AG175^4+WeightSDS!T$29*$AG175^3+WeightSDS!U$29*$AG175^2+WeightSDS!V$29*$AG175+WeightSDS!W$29-0.010431*(1-$AG175/210),IF($AG175&lt;123,WeightSDS!M$30*$AG175^10+WeightSDS!N$30*$AG175^9+WeightSDS!O$30*$AG175^8+WeightSDS!P$30*$AG175^7+WeightSDS!Q$30*$AG175^6+WeightSDS!R$30*$AG175^5+WeightSDS!S$30*$AG175^4+WeightSDS!T$30*$AG175^3+WeightSDS!U$30*$AG175^2+WeightSDS!V$30*$AG175+WeightSDS!W$30-0.010431*(1-1/$AG175),WeightSDS!M$32+WeightSDS!N$32/(1+EXP(WeightSDS!O$32+WeightSDS!P$32*$AG175))-0.010431*(1-$AG175/210))))</f>
        <v>2.9500001032655536</v>
      </c>
      <c r="AK175" s="24">
        <f>IF(D175="M",IF($AG175&lt;162,WeightSDS!P$12*$AG175^7+WeightSDS!Q$12*$AG175^6+WeightSDS!R$12*$AG175^5+WeightSDS!S$12*$AG175^4+WeightSDS!T$12*$AG175^3+WeightSDS!U$12*$AG175^2+WeightSDS!V$12*$AG175+WeightSDS!W$12,WeightSDS!P$14*$AG175^7+WeightSDS!Q$14*$AG175^6+WeightSDS!R$14*$AG175^5+WeightSDS!S$14*$AG175^4+WeightSDS!T$14*$AG175^3+WeightSDS!U$14*$AG175^2+WeightSDS!V$14*$AG175+WeightSDS!W$14),IF($AG175&lt;156,WeightSDS!O$17*$AG175^8+WeightSDS!P$17*$AG175^7+WeightSDS!Q$17*$AG175^6+WeightSDS!R$17*$AG175^5+WeightSDS!S$17*$AG175^4+WeightSDS!T$17*$AG175^3+WeightSDS!U$17*$AG175^2+WeightSDS!V$17*$AG175+WeightSDS!W$17,IF($AG175&lt;186,WeightSDS!$U$18+(WeightSDS!$V$18-WeightSDS!$U$18)/24*($AG175-186)+WeightSDS!$W$18*(-$AG175+186)^2-0.005,WeightSDS!$U$18+(WeightSDS!$V$18-WeightSDS!$U$18)/24*($AG175-186)-0.005)))</f>
        <v>0.14604529399999999</v>
      </c>
    </row>
    <row r="176" spans="1:37">
      <c r="A176" s="4"/>
      <c r="B176" s="21"/>
      <c r="C176" s="21"/>
      <c r="D176" s="21"/>
      <c r="E176" s="22"/>
      <c r="F176" s="22"/>
      <c r="G176" s="23"/>
      <c r="H176" s="23"/>
      <c r="I176" s="8" t="str">
        <f t="shared" si="34"/>
        <v/>
      </c>
      <c r="J176" s="2" t="str">
        <f t="shared" si="41"/>
        <v/>
      </c>
      <c r="K176" s="2" t="str">
        <f t="shared" si="35"/>
        <v/>
      </c>
      <c r="L176" s="2" t="str">
        <f t="shared" si="42"/>
        <v/>
      </c>
      <c r="M176" s="2" t="str">
        <f t="shared" si="47"/>
        <v/>
      </c>
      <c r="N176" s="2" t="str">
        <f t="shared" si="43"/>
        <v/>
      </c>
      <c r="O176" s="8" t="str">
        <f t="shared" si="44"/>
        <v/>
      </c>
      <c r="P176" s="8" t="str">
        <f t="shared" si="45"/>
        <v/>
      </c>
      <c r="Q176" s="40" t="str">
        <f t="shared" si="36"/>
        <v/>
      </c>
      <c r="R176" s="48" t="str">
        <f t="shared" si="46"/>
        <v/>
      </c>
      <c r="S176" s="8"/>
      <c r="U176" s="35">
        <f t="shared" si="37"/>
        <v>0</v>
      </c>
      <c r="V176" s="24">
        <f t="shared" si="38"/>
        <v>0</v>
      </c>
      <c r="W176" s="41">
        <f t="shared" si="49"/>
        <v>0</v>
      </c>
      <c r="X176" s="31"/>
      <c r="Y176" s="31"/>
      <c r="Z176" s="31"/>
      <c r="AA176" s="25">
        <f t="shared" si="39"/>
        <v>9.0359999999999996</v>
      </c>
      <c r="AB176" s="25">
        <f t="shared" si="40"/>
        <v>-184.49199999999999</v>
      </c>
      <c r="AD176" s="24">
        <f>IF(D176="M",IF(AG176&lt;78,BMILMS!$D$5*AG176^3+BMILMS!$E$5*AG176^2+BMILMS!$F$5*AG176+BMILMS!$G$5,IF(AG176&lt;150,BMILMS!$D$6*AG176^3+BMILMS!$E$6*AG176^2+BMILMS!$F$6*AG176+BMILMS!$G$6,BMILMS!$D$7*AG176^3+BMILMS!$E$7*AG176^2+BMILMS!$F$7*AG176+BMILMS!$G$7)),IF(AG176&lt;69,BMILMS!$D$9*AG176^3+BMILMS!$E$9*AG176^2+BMILMS!$F$9*AG176+BMILMS!$G$9,IF(AG176&lt;150,BMILMS!$D$10*AG176^3+BMILMS!$E$10*AG176^2+BMILMS!$F$10*AG176+BMILMS!$G$10,BMILMS!$D$11*AG176^3+BMILMS!$E$11*AG176^2+BMILMS!$F$11*AG176+BMILMS!$G$11)))</f>
        <v>0.79584630099999998</v>
      </c>
      <c r="AE176" s="24">
        <f>IF(D176="M",(IF(AG176&lt;2.5,BMILMS!$D$21*AG176^3+BMILMS!$E$21*AG176^2+BMILMS!$F$21*AG176+BMILMS!$G$21,IF(AG176&lt;9.5,BMILMS!$D$22*AG176^3+BMILMS!$E$22*AG176^2+BMILMS!$F$22*AG176+BMILMS!$G$22,IF(AG176&lt;26.75,BMILMS!$D$23*AG176^3+BMILMS!$E$23*AG176^2+BMILMS!$F$23*AG176+BMILMS!$G$23,IF(AG176&lt;90,BMILMS!$D$24*AG176^3+BMILMS!$E$24*AG176^2+BMILMS!$F$24*AG176+BMILMS!$G$24,BMILMS!$D$25*AG176^3+BMILMS!$E$25*AG176^2+BMILMS!$F$25*AG176+BMILMS!$G$25))))),(IF(AG176&lt;2.5,BMILMS!$D$27*AG176^3+BMILMS!$E$27*AG176^2+BMILMS!$F$27*AG176+BMILMS!$G$27,IF(AG176&lt;9.5,BMILMS!$D$28*AG176^3+BMILMS!$E$28*AG176^2+BMILMS!$F$28*AG176+BMILMS!$G$28,IF(AG176&lt;26.75,BMILMS!$D$29*AG176^3+BMILMS!$E$29*AG176^2+BMILMS!$F$29*AG176+BMILMS!$G$29,IF(AG176&lt;90,BMILMS!$D$30*AG176^3+BMILMS!$E$30*AG176^2+BMILMS!$F$30*AG176+BMILMS!$G$30,IF(AG176&lt;150,BMILMS!$D$31*AG176^3+BMILMS!$E$31*AG176^2+BMILMS!$F$31*AG176+BMILMS!$G$31,BMILMS!$D$32*AG176^3+BMILMS!$E$32*AG176^2+BMILMS!$F$32*AG176+BMILMS!$G$32)))))))</f>
        <v>12.568967990000001</v>
      </c>
      <c r="AF176" s="24">
        <f>IF(D176="M",(IF(AG176&lt;90,BMILMS!$D$14*AG176^3+BMILMS!$E$14*AG176^2+BMILMS!$F$14*AG176+BMILMS!$G$14,BMILMS!$D$15*AG176^3+BMILMS!$E$15*AG176^2+BMILMS!$F$15*AG176+BMILMS!$G$15)),(IF(AG176&lt;90,BMILMS!$D$17*AG176^3+BMILMS!$E$17*AG176^2+BMILMS!$F$17*AG176+BMILMS!$G$17,BMILMS!$D$18*AG176^3+BMILMS!$E$18*AG176^2+BMILMS!$F$18*AG176+BMILMS!$G$18)))</f>
        <v>8.8969350000000003E-2</v>
      </c>
      <c r="AG176" s="24">
        <f t="shared" si="48"/>
        <v>0</v>
      </c>
      <c r="AI176" s="38">
        <f>IF(D176="M",WeightSDS!P$5*$AG176^7+WeightSDS!Q$5*$AG176^6+WeightSDS!R$5*$AG176^5+WeightSDS!S$5*$AG176^4+WeightSDS!T$5*$AG176^3+WeightSDS!U$5*$AG176^2+WeightSDS!V$5*$AG176+WeightSDS!W$5,IF($AG176&lt;186,WeightSDS!P$8*$AG176^7+WeightSDS!Q$8*$AG176^6+WeightSDS!R$8*$AG176^5+WeightSDS!S$8*$AG176^4+WeightSDS!T$8*$AG176^3+WeightSDS!U$8*$AG176^2+WeightSDS!V$8*$AG176+WeightSDS!W$8,WeightSDS!$U$9-WeightSDS!$V$9*($AG176-WeightSDS!$W$9)))</f>
        <v>0.75407122999999998</v>
      </c>
      <c r="AJ176" s="24">
        <f>IF(D176="M",IF($AG176&lt;45,WeightSDS!M$23*$AG176^10+WeightSDS!N$23*$AG176^9+WeightSDS!O$23*$AG176^8+WeightSDS!P$23*$AG176^7+WeightSDS!Q$23*$AG176^6+WeightSDS!R$23*$AG176^5+WeightSDS!S$23*$AG176^4+WeightSDS!T$23*$AG176^3+WeightSDS!U$23*$AG176^2+WeightSDS!V$23*$AG176+WeightSDS!W$23,IF($AG176&lt;153,WeightSDS!M$25*$AG176^10+WeightSDS!N$25*$AG176^9+WeightSDS!O$25*$AG176^8+WeightSDS!P$25*$AG176^7+WeightSDS!Q$25*$AG176^6+WeightSDS!R$25*$AG176^5+WeightSDS!S$25*$AG176^4+WeightSDS!T$25*$AG176^3+WeightSDS!U$25*$AG176^2+WeightSDS!V$25*$AG176+WeightSDS!W$25,WeightSDS!M$27+WeightSDS!N$27/(1+EXP(WeightSDS!O$27+WeightSDS!P$27*$AG176)))),IF($AG176&lt;43.8,WeightSDS!M$29*$AG176^10+WeightSDS!N$29*$AG176^9+WeightSDS!O$29*$AG176^8+WeightSDS!P$29*$AG176^7+WeightSDS!Q$29*$AG176^6+WeightSDS!R$29*$AG176^5+WeightSDS!S$29*$AG176^4+WeightSDS!T$29*$AG176^3+WeightSDS!U$29*$AG176^2+WeightSDS!V$29*$AG176+WeightSDS!W$29-0.010431*(1-$AG176/210),IF($AG176&lt;123,WeightSDS!M$30*$AG176^10+WeightSDS!N$30*$AG176^9+WeightSDS!O$30*$AG176^8+WeightSDS!P$30*$AG176^7+WeightSDS!Q$30*$AG176^6+WeightSDS!R$30*$AG176^5+WeightSDS!S$30*$AG176^4+WeightSDS!T$30*$AG176^3+WeightSDS!U$30*$AG176^2+WeightSDS!V$30*$AG176+WeightSDS!W$30-0.010431*(1-1/$AG176),WeightSDS!M$32+WeightSDS!N$32/(1+EXP(WeightSDS!O$32+WeightSDS!P$32*$AG176))-0.010431*(1-$AG176/210))))</f>
        <v>2.9500001032655536</v>
      </c>
      <c r="AK176" s="24">
        <f>IF(D176="M",IF($AG176&lt;162,WeightSDS!P$12*$AG176^7+WeightSDS!Q$12*$AG176^6+WeightSDS!R$12*$AG176^5+WeightSDS!S$12*$AG176^4+WeightSDS!T$12*$AG176^3+WeightSDS!U$12*$AG176^2+WeightSDS!V$12*$AG176+WeightSDS!W$12,WeightSDS!P$14*$AG176^7+WeightSDS!Q$14*$AG176^6+WeightSDS!R$14*$AG176^5+WeightSDS!S$14*$AG176^4+WeightSDS!T$14*$AG176^3+WeightSDS!U$14*$AG176^2+WeightSDS!V$14*$AG176+WeightSDS!W$14),IF($AG176&lt;156,WeightSDS!O$17*$AG176^8+WeightSDS!P$17*$AG176^7+WeightSDS!Q$17*$AG176^6+WeightSDS!R$17*$AG176^5+WeightSDS!S$17*$AG176^4+WeightSDS!T$17*$AG176^3+WeightSDS!U$17*$AG176^2+WeightSDS!V$17*$AG176+WeightSDS!W$17,IF($AG176&lt;186,WeightSDS!$U$18+(WeightSDS!$V$18-WeightSDS!$U$18)/24*($AG176-186)+WeightSDS!$W$18*(-$AG176+186)^2-0.005,WeightSDS!$U$18+(WeightSDS!$V$18-WeightSDS!$U$18)/24*($AG176-186)-0.005)))</f>
        <v>0.14604529399999999</v>
      </c>
    </row>
    <row r="177" spans="1:37">
      <c r="A177" s="4"/>
      <c r="B177" s="21"/>
      <c r="C177" s="21"/>
      <c r="D177" s="21"/>
      <c r="E177" s="22"/>
      <c r="F177" s="22"/>
      <c r="G177" s="23"/>
      <c r="H177" s="23"/>
      <c r="I177" s="8" t="str">
        <f t="shared" si="34"/>
        <v/>
      </c>
      <c r="J177" s="2" t="str">
        <f t="shared" si="41"/>
        <v/>
      </c>
      <c r="K177" s="2" t="str">
        <f t="shared" si="35"/>
        <v/>
      </c>
      <c r="L177" s="2" t="str">
        <f t="shared" si="42"/>
        <v/>
      </c>
      <c r="M177" s="2" t="str">
        <f t="shared" si="47"/>
        <v/>
      </c>
      <c r="N177" s="2" t="str">
        <f t="shared" si="43"/>
        <v/>
      </c>
      <c r="O177" s="8" t="str">
        <f t="shared" si="44"/>
        <v/>
      </c>
      <c r="P177" s="8" t="str">
        <f t="shared" si="45"/>
        <v/>
      </c>
      <c r="Q177" s="40" t="str">
        <f t="shared" si="36"/>
        <v/>
      </c>
      <c r="R177" s="48" t="str">
        <f t="shared" si="46"/>
        <v/>
      </c>
      <c r="S177" s="8"/>
      <c r="U177" s="35">
        <f t="shared" si="37"/>
        <v>0</v>
      </c>
      <c r="V177" s="24">
        <f t="shared" si="38"/>
        <v>0</v>
      </c>
      <c r="W177" s="41">
        <f t="shared" si="49"/>
        <v>0</v>
      </c>
      <c r="X177" s="31"/>
      <c r="Y177" s="31"/>
      <c r="Z177" s="31"/>
      <c r="AA177" s="25">
        <f t="shared" si="39"/>
        <v>9.0359999999999996</v>
      </c>
      <c r="AB177" s="25">
        <f t="shared" si="40"/>
        <v>-184.49199999999999</v>
      </c>
      <c r="AD177" s="24">
        <f>IF(D177="M",IF(AG177&lt;78,BMILMS!$D$5*AG177^3+BMILMS!$E$5*AG177^2+BMILMS!$F$5*AG177+BMILMS!$G$5,IF(AG177&lt;150,BMILMS!$D$6*AG177^3+BMILMS!$E$6*AG177^2+BMILMS!$F$6*AG177+BMILMS!$G$6,BMILMS!$D$7*AG177^3+BMILMS!$E$7*AG177^2+BMILMS!$F$7*AG177+BMILMS!$G$7)),IF(AG177&lt;69,BMILMS!$D$9*AG177^3+BMILMS!$E$9*AG177^2+BMILMS!$F$9*AG177+BMILMS!$G$9,IF(AG177&lt;150,BMILMS!$D$10*AG177^3+BMILMS!$E$10*AG177^2+BMILMS!$F$10*AG177+BMILMS!$G$10,BMILMS!$D$11*AG177^3+BMILMS!$E$11*AG177^2+BMILMS!$F$11*AG177+BMILMS!$G$11)))</f>
        <v>0.79584630099999998</v>
      </c>
      <c r="AE177" s="24">
        <f>IF(D177="M",(IF(AG177&lt;2.5,BMILMS!$D$21*AG177^3+BMILMS!$E$21*AG177^2+BMILMS!$F$21*AG177+BMILMS!$G$21,IF(AG177&lt;9.5,BMILMS!$D$22*AG177^3+BMILMS!$E$22*AG177^2+BMILMS!$F$22*AG177+BMILMS!$G$22,IF(AG177&lt;26.75,BMILMS!$D$23*AG177^3+BMILMS!$E$23*AG177^2+BMILMS!$F$23*AG177+BMILMS!$G$23,IF(AG177&lt;90,BMILMS!$D$24*AG177^3+BMILMS!$E$24*AG177^2+BMILMS!$F$24*AG177+BMILMS!$G$24,BMILMS!$D$25*AG177^3+BMILMS!$E$25*AG177^2+BMILMS!$F$25*AG177+BMILMS!$G$25))))),(IF(AG177&lt;2.5,BMILMS!$D$27*AG177^3+BMILMS!$E$27*AG177^2+BMILMS!$F$27*AG177+BMILMS!$G$27,IF(AG177&lt;9.5,BMILMS!$D$28*AG177^3+BMILMS!$E$28*AG177^2+BMILMS!$F$28*AG177+BMILMS!$G$28,IF(AG177&lt;26.75,BMILMS!$D$29*AG177^3+BMILMS!$E$29*AG177^2+BMILMS!$F$29*AG177+BMILMS!$G$29,IF(AG177&lt;90,BMILMS!$D$30*AG177^3+BMILMS!$E$30*AG177^2+BMILMS!$F$30*AG177+BMILMS!$G$30,IF(AG177&lt;150,BMILMS!$D$31*AG177^3+BMILMS!$E$31*AG177^2+BMILMS!$F$31*AG177+BMILMS!$G$31,BMILMS!$D$32*AG177^3+BMILMS!$E$32*AG177^2+BMILMS!$F$32*AG177+BMILMS!$G$32)))))))</f>
        <v>12.568967990000001</v>
      </c>
      <c r="AF177" s="24">
        <f>IF(D177="M",(IF(AG177&lt;90,BMILMS!$D$14*AG177^3+BMILMS!$E$14*AG177^2+BMILMS!$F$14*AG177+BMILMS!$G$14,BMILMS!$D$15*AG177^3+BMILMS!$E$15*AG177^2+BMILMS!$F$15*AG177+BMILMS!$G$15)),(IF(AG177&lt;90,BMILMS!$D$17*AG177^3+BMILMS!$E$17*AG177^2+BMILMS!$F$17*AG177+BMILMS!$G$17,BMILMS!$D$18*AG177^3+BMILMS!$E$18*AG177^2+BMILMS!$F$18*AG177+BMILMS!$G$18)))</f>
        <v>8.8969350000000003E-2</v>
      </c>
      <c r="AG177" s="24">
        <f t="shared" si="48"/>
        <v>0</v>
      </c>
      <c r="AI177" s="38">
        <f>IF(D177="M",WeightSDS!P$5*$AG177^7+WeightSDS!Q$5*$AG177^6+WeightSDS!R$5*$AG177^5+WeightSDS!S$5*$AG177^4+WeightSDS!T$5*$AG177^3+WeightSDS!U$5*$AG177^2+WeightSDS!V$5*$AG177+WeightSDS!W$5,IF($AG177&lt;186,WeightSDS!P$8*$AG177^7+WeightSDS!Q$8*$AG177^6+WeightSDS!R$8*$AG177^5+WeightSDS!S$8*$AG177^4+WeightSDS!T$8*$AG177^3+WeightSDS!U$8*$AG177^2+WeightSDS!V$8*$AG177+WeightSDS!W$8,WeightSDS!$U$9-WeightSDS!$V$9*($AG177-WeightSDS!$W$9)))</f>
        <v>0.75407122999999998</v>
      </c>
      <c r="AJ177" s="24">
        <f>IF(D177="M",IF($AG177&lt;45,WeightSDS!M$23*$AG177^10+WeightSDS!N$23*$AG177^9+WeightSDS!O$23*$AG177^8+WeightSDS!P$23*$AG177^7+WeightSDS!Q$23*$AG177^6+WeightSDS!R$23*$AG177^5+WeightSDS!S$23*$AG177^4+WeightSDS!T$23*$AG177^3+WeightSDS!U$23*$AG177^2+WeightSDS!V$23*$AG177+WeightSDS!W$23,IF($AG177&lt;153,WeightSDS!M$25*$AG177^10+WeightSDS!N$25*$AG177^9+WeightSDS!O$25*$AG177^8+WeightSDS!P$25*$AG177^7+WeightSDS!Q$25*$AG177^6+WeightSDS!R$25*$AG177^5+WeightSDS!S$25*$AG177^4+WeightSDS!T$25*$AG177^3+WeightSDS!U$25*$AG177^2+WeightSDS!V$25*$AG177+WeightSDS!W$25,WeightSDS!M$27+WeightSDS!N$27/(1+EXP(WeightSDS!O$27+WeightSDS!P$27*$AG177)))),IF($AG177&lt;43.8,WeightSDS!M$29*$AG177^10+WeightSDS!N$29*$AG177^9+WeightSDS!O$29*$AG177^8+WeightSDS!P$29*$AG177^7+WeightSDS!Q$29*$AG177^6+WeightSDS!R$29*$AG177^5+WeightSDS!S$29*$AG177^4+WeightSDS!T$29*$AG177^3+WeightSDS!U$29*$AG177^2+WeightSDS!V$29*$AG177+WeightSDS!W$29-0.010431*(1-$AG177/210),IF($AG177&lt;123,WeightSDS!M$30*$AG177^10+WeightSDS!N$30*$AG177^9+WeightSDS!O$30*$AG177^8+WeightSDS!P$30*$AG177^7+WeightSDS!Q$30*$AG177^6+WeightSDS!R$30*$AG177^5+WeightSDS!S$30*$AG177^4+WeightSDS!T$30*$AG177^3+WeightSDS!U$30*$AG177^2+WeightSDS!V$30*$AG177+WeightSDS!W$30-0.010431*(1-1/$AG177),WeightSDS!M$32+WeightSDS!N$32/(1+EXP(WeightSDS!O$32+WeightSDS!P$32*$AG177))-0.010431*(1-$AG177/210))))</f>
        <v>2.9500001032655536</v>
      </c>
      <c r="AK177" s="24">
        <f>IF(D177="M",IF($AG177&lt;162,WeightSDS!P$12*$AG177^7+WeightSDS!Q$12*$AG177^6+WeightSDS!R$12*$AG177^5+WeightSDS!S$12*$AG177^4+WeightSDS!T$12*$AG177^3+WeightSDS!U$12*$AG177^2+WeightSDS!V$12*$AG177+WeightSDS!W$12,WeightSDS!P$14*$AG177^7+WeightSDS!Q$14*$AG177^6+WeightSDS!R$14*$AG177^5+WeightSDS!S$14*$AG177^4+WeightSDS!T$14*$AG177^3+WeightSDS!U$14*$AG177^2+WeightSDS!V$14*$AG177+WeightSDS!W$14),IF($AG177&lt;156,WeightSDS!O$17*$AG177^8+WeightSDS!P$17*$AG177^7+WeightSDS!Q$17*$AG177^6+WeightSDS!R$17*$AG177^5+WeightSDS!S$17*$AG177^4+WeightSDS!T$17*$AG177^3+WeightSDS!U$17*$AG177^2+WeightSDS!V$17*$AG177+WeightSDS!W$17,IF($AG177&lt;186,WeightSDS!$U$18+(WeightSDS!$V$18-WeightSDS!$U$18)/24*($AG177-186)+WeightSDS!$W$18*(-$AG177+186)^2-0.005,WeightSDS!$U$18+(WeightSDS!$V$18-WeightSDS!$U$18)/24*($AG177-186)-0.005)))</f>
        <v>0.14604529399999999</v>
      </c>
    </row>
    <row r="178" spans="1:37">
      <c r="A178" s="4"/>
      <c r="B178" s="21"/>
      <c r="C178" s="21"/>
      <c r="D178" s="21"/>
      <c r="E178" s="22"/>
      <c r="F178" s="22"/>
      <c r="G178" s="23"/>
      <c r="H178" s="23"/>
      <c r="I178" s="8" t="str">
        <f t="shared" si="34"/>
        <v/>
      </c>
      <c r="J178" s="2" t="str">
        <f t="shared" si="41"/>
        <v/>
      </c>
      <c r="K178" s="2" t="str">
        <f t="shared" si="35"/>
        <v/>
      </c>
      <c r="L178" s="2" t="str">
        <f t="shared" si="42"/>
        <v/>
      </c>
      <c r="M178" s="2" t="str">
        <f t="shared" si="47"/>
        <v/>
      </c>
      <c r="N178" s="2" t="str">
        <f t="shared" si="43"/>
        <v/>
      </c>
      <c r="O178" s="8" t="str">
        <f t="shared" si="44"/>
        <v/>
      </c>
      <c r="P178" s="8" t="str">
        <f t="shared" si="45"/>
        <v/>
      </c>
      <c r="Q178" s="40" t="str">
        <f t="shared" si="36"/>
        <v/>
      </c>
      <c r="R178" s="48" t="str">
        <f t="shared" si="46"/>
        <v/>
      </c>
      <c r="S178" s="8"/>
      <c r="U178" s="35">
        <f t="shared" si="37"/>
        <v>0</v>
      </c>
      <c r="V178" s="24">
        <f t="shared" si="38"/>
        <v>0</v>
      </c>
      <c r="W178" s="41">
        <f t="shared" si="49"/>
        <v>0</v>
      </c>
      <c r="X178" s="31"/>
      <c r="Y178" s="31"/>
      <c r="Z178" s="31"/>
      <c r="AA178" s="25">
        <f t="shared" si="39"/>
        <v>9.0359999999999996</v>
      </c>
      <c r="AB178" s="25">
        <f t="shared" si="40"/>
        <v>-184.49199999999999</v>
      </c>
      <c r="AD178" s="24">
        <f>IF(D178="M",IF(AG178&lt;78,BMILMS!$D$5*AG178^3+BMILMS!$E$5*AG178^2+BMILMS!$F$5*AG178+BMILMS!$G$5,IF(AG178&lt;150,BMILMS!$D$6*AG178^3+BMILMS!$E$6*AG178^2+BMILMS!$F$6*AG178+BMILMS!$G$6,BMILMS!$D$7*AG178^3+BMILMS!$E$7*AG178^2+BMILMS!$F$7*AG178+BMILMS!$G$7)),IF(AG178&lt;69,BMILMS!$D$9*AG178^3+BMILMS!$E$9*AG178^2+BMILMS!$F$9*AG178+BMILMS!$G$9,IF(AG178&lt;150,BMILMS!$D$10*AG178^3+BMILMS!$E$10*AG178^2+BMILMS!$F$10*AG178+BMILMS!$G$10,BMILMS!$D$11*AG178^3+BMILMS!$E$11*AG178^2+BMILMS!$F$11*AG178+BMILMS!$G$11)))</f>
        <v>0.79584630099999998</v>
      </c>
      <c r="AE178" s="24">
        <f>IF(D178="M",(IF(AG178&lt;2.5,BMILMS!$D$21*AG178^3+BMILMS!$E$21*AG178^2+BMILMS!$F$21*AG178+BMILMS!$G$21,IF(AG178&lt;9.5,BMILMS!$D$22*AG178^3+BMILMS!$E$22*AG178^2+BMILMS!$F$22*AG178+BMILMS!$G$22,IF(AG178&lt;26.75,BMILMS!$D$23*AG178^3+BMILMS!$E$23*AG178^2+BMILMS!$F$23*AG178+BMILMS!$G$23,IF(AG178&lt;90,BMILMS!$D$24*AG178^3+BMILMS!$E$24*AG178^2+BMILMS!$F$24*AG178+BMILMS!$G$24,BMILMS!$D$25*AG178^3+BMILMS!$E$25*AG178^2+BMILMS!$F$25*AG178+BMILMS!$G$25))))),(IF(AG178&lt;2.5,BMILMS!$D$27*AG178^3+BMILMS!$E$27*AG178^2+BMILMS!$F$27*AG178+BMILMS!$G$27,IF(AG178&lt;9.5,BMILMS!$D$28*AG178^3+BMILMS!$E$28*AG178^2+BMILMS!$F$28*AG178+BMILMS!$G$28,IF(AG178&lt;26.75,BMILMS!$D$29*AG178^3+BMILMS!$E$29*AG178^2+BMILMS!$F$29*AG178+BMILMS!$G$29,IF(AG178&lt;90,BMILMS!$D$30*AG178^3+BMILMS!$E$30*AG178^2+BMILMS!$F$30*AG178+BMILMS!$G$30,IF(AG178&lt;150,BMILMS!$D$31*AG178^3+BMILMS!$E$31*AG178^2+BMILMS!$F$31*AG178+BMILMS!$G$31,BMILMS!$D$32*AG178^3+BMILMS!$E$32*AG178^2+BMILMS!$F$32*AG178+BMILMS!$G$32)))))))</f>
        <v>12.568967990000001</v>
      </c>
      <c r="AF178" s="24">
        <f>IF(D178="M",(IF(AG178&lt;90,BMILMS!$D$14*AG178^3+BMILMS!$E$14*AG178^2+BMILMS!$F$14*AG178+BMILMS!$G$14,BMILMS!$D$15*AG178^3+BMILMS!$E$15*AG178^2+BMILMS!$F$15*AG178+BMILMS!$G$15)),(IF(AG178&lt;90,BMILMS!$D$17*AG178^3+BMILMS!$E$17*AG178^2+BMILMS!$F$17*AG178+BMILMS!$G$17,BMILMS!$D$18*AG178^3+BMILMS!$E$18*AG178^2+BMILMS!$F$18*AG178+BMILMS!$G$18)))</f>
        <v>8.8969350000000003E-2</v>
      </c>
      <c r="AG178" s="24">
        <f t="shared" si="48"/>
        <v>0</v>
      </c>
      <c r="AI178" s="38">
        <f>IF(D178="M",WeightSDS!P$5*$AG178^7+WeightSDS!Q$5*$AG178^6+WeightSDS!R$5*$AG178^5+WeightSDS!S$5*$AG178^4+WeightSDS!T$5*$AG178^3+WeightSDS!U$5*$AG178^2+WeightSDS!V$5*$AG178+WeightSDS!W$5,IF($AG178&lt;186,WeightSDS!P$8*$AG178^7+WeightSDS!Q$8*$AG178^6+WeightSDS!R$8*$AG178^5+WeightSDS!S$8*$AG178^4+WeightSDS!T$8*$AG178^3+WeightSDS!U$8*$AG178^2+WeightSDS!V$8*$AG178+WeightSDS!W$8,WeightSDS!$U$9-WeightSDS!$V$9*($AG178-WeightSDS!$W$9)))</f>
        <v>0.75407122999999998</v>
      </c>
      <c r="AJ178" s="24">
        <f>IF(D178="M",IF($AG178&lt;45,WeightSDS!M$23*$AG178^10+WeightSDS!N$23*$AG178^9+WeightSDS!O$23*$AG178^8+WeightSDS!P$23*$AG178^7+WeightSDS!Q$23*$AG178^6+WeightSDS!R$23*$AG178^5+WeightSDS!S$23*$AG178^4+WeightSDS!T$23*$AG178^3+WeightSDS!U$23*$AG178^2+WeightSDS!V$23*$AG178+WeightSDS!W$23,IF($AG178&lt;153,WeightSDS!M$25*$AG178^10+WeightSDS!N$25*$AG178^9+WeightSDS!O$25*$AG178^8+WeightSDS!P$25*$AG178^7+WeightSDS!Q$25*$AG178^6+WeightSDS!R$25*$AG178^5+WeightSDS!S$25*$AG178^4+WeightSDS!T$25*$AG178^3+WeightSDS!U$25*$AG178^2+WeightSDS!V$25*$AG178+WeightSDS!W$25,WeightSDS!M$27+WeightSDS!N$27/(1+EXP(WeightSDS!O$27+WeightSDS!P$27*$AG178)))),IF($AG178&lt;43.8,WeightSDS!M$29*$AG178^10+WeightSDS!N$29*$AG178^9+WeightSDS!O$29*$AG178^8+WeightSDS!P$29*$AG178^7+WeightSDS!Q$29*$AG178^6+WeightSDS!R$29*$AG178^5+WeightSDS!S$29*$AG178^4+WeightSDS!T$29*$AG178^3+WeightSDS!U$29*$AG178^2+WeightSDS!V$29*$AG178+WeightSDS!W$29-0.010431*(1-$AG178/210),IF($AG178&lt;123,WeightSDS!M$30*$AG178^10+WeightSDS!N$30*$AG178^9+WeightSDS!O$30*$AG178^8+WeightSDS!P$30*$AG178^7+WeightSDS!Q$30*$AG178^6+WeightSDS!R$30*$AG178^5+WeightSDS!S$30*$AG178^4+WeightSDS!T$30*$AG178^3+WeightSDS!U$30*$AG178^2+WeightSDS!V$30*$AG178+WeightSDS!W$30-0.010431*(1-1/$AG178),WeightSDS!M$32+WeightSDS!N$32/(1+EXP(WeightSDS!O$32+WeightSDS!P$32*$AG178))-0.010431*(1-$AG178/210))))</f>
        <v>2.9500001032655536</v>
      </c>
      <c r="AK178" s="24">
        <f>IF(D178="M",IF($AG178&lt;162,WeightSDS!P$12*$AG178^7+WeightSDS!Q$12*$AG178^6+WeightSDS!R$12*$AG178^5+WeightSDS!S$12*$AG178^4+WeightSDS!T$12*$AG178^3+WeightSDS!U$12*$AG178^2+WeightSDS!V$12*$AG178+WeightSDS!W$12,WeightSDS!P$14*$AG178^7+WeightSDS!Q$14*$AG178^6+WeightSDS!R$14*$AG178^5+WeightSDS!S$14*$AG178^4+WeightSDS!T$14*$AG178^3+WeightSDS!U$14*$AG178^2+WeightSDS!V$14*$AG178+WeightSDS!W$14),IF($AG178&lt;156,WeightSDS!O$17*$AG178^8+WeightSDS!P$17*$AG178^7+WeightSDS!Q$17*$AG178^6+WeightSDS!R$17*$AG178^5+WeightSDS!S$17*$AG178^4+WeightSDS!T$17*$AG178^3+WeightSDS!U$17*$AG178^2+WeightSDS!V$17*$AG178+WeightSDS!W$17,IF($AG178&lt;186,WeightSDS!$U$18+(WeightSDS!$V$18-WeightSDS!$U$18)/24*($AG178-186)+WeightSDS!$W$18*(-$AG178+186)^2-0.005,WeightSDS!$U$18+(WeightSDS!$V$18-WeightSDS!$U$18)/24*($AG178-186)-0.005)))</f>
        <v>0.14604529399999999</v>
      </c>
    </row>
    <row r="179" spans="1:37">
      <c r="A179" s="4"/>
      <c r="B179" s="21"/>
      <c r="C179" s="21"/>
      <c r="D179" s="21"/>
      <c r="E179" s="22"/>
      <c r="F179" s="22"/>
      <c r="G179" s="23"/>
      <c r="H179" s="23"/>
      <c r="I179" s="8" t="str">
        <f t="shared" si="34"/>
        <v/>
      </c>
      <c r="J179" s="2" t="str">
        <f t="shared" si="41"/>
        <v/>
      </c>
      <c r="K179" s="2" t="str">
        <f t="shared" si="35"/>
        <v/>
      </c>
      <c r="L179" s="2" t="str">
        <f t="shared" si="42"/>
        <v/>
      </c>
      <c r="M179" s="2" t="str">
        <f t="shared" si="47"/>
        <v/>
      </c>
      <c r="N179" s="2" t="str">
        <f t="shared" si="43"/>
        <v/>
      </c>
      <c r="O179" s="8" t="str">
        <f t="shared" si="44"/>
        <v/>
      </c>
      <c r="P179" s="8" t="str">
        <f t="shared" si="45"/>
        <v/>
      </c>
      <c r="Q179" s="40" t="str">
        <f t="shared" si="36"/>
        <v/>
      </c>
      <c r="R179" s="48" t="str">
        <f t="shared" si="46"/>
        <v/>
      </c>
      <c r="S179" s="8"/>
      <c r="U179" s="35">
        <f t="shared" si="37"/>
        <v>0</v>
      </c>
      <c r="V179" s="24">
        <f t="shared" si="38"/>
        <v>0</v>
      </c>
      <c r="W179" s="41">
        <f t="shared" si="49"/>
        <v>0</v>
      </c>
      <c r="X179" s="31"/>
      <c r="Y179" s="31"/>
      <c r="Z179" s="31"/>
      <c r="AA179" s="25">
        <f t="shared" si="39"/>
        <v>9.0359999999999996</v>
      </c>
      <c r="AB179" s="25">
        <f t="shared" si="40"/>
        <v>-184.49199999999999</v>
      </c>
      <c r="AD179" s="24">
        <f>IF(D179="M",IF(AG179&lt;78,BMILMS!$D$5*AG179^3+BMILMS!$E$5*AG179^2+BMILMS!$F$5*AG179+BMILMS!$G$5,IF(AG179&lt;150,BMILMS!$D$6*AG179^3+BMILMS!$E$6*AG179^2+BMILMS!$F$6*AG179+BMILMS!$G$6,BMILMS!$D$7*AG179^3+BMILMS!$E$7*AG179^2+BMILMS!$F$7*AG179+BMILMS!$G$7)),IF(AG179&lt;69,BMILMS!$D$9*AG179^3+BMILMS!$E$9*AG179^2+BMILMS!$F$9*AG179+BMILMS!$G$9,IF(AG179&lt;150,BMILMS!$D$10*AG179^3+BMILMS!$E$10*AG179^2+BMILMS!$F$10*AG179+BMILMS!$G$10,BMILMS!$D$11*AG179^3+BMILMS!$E$11*AG179^2+BMILMS!$F$11*AG179+BMILMS!$G$11)))</f>
        <v>0.79584630099999998</v>
      </c>
      <c r="AE179" s="24">
        <f>IF(D179="M",(IF(AG179&lt;2.5,BMILMS!$D$21*AG179^3+BMILMS!$E$21*AG179^2+BMILMS!$F$21*AG179+BMILMS!$G$21,IF(AG179&lt;9.5,BMILMS!$D$22*AG179^3+BMILMS!$E$22*AG179^2+BMILMS!$F$22*AG179+BMILMS!$G$22,IF(AG179&lt;26.75,BMILMS!$D$23*AG179^3+BMILMS!$E$23*AG179^2+BMILMS!$F$23*AG179+BMILMS!$G$23,IF(AG179&lt;90,BMILMS!$D$24*AG179^3+BMILMS!$E$24*AG179^2+BMILMS!$F$24*AG179+BMILMS!$G$24,BMILMS!$D$25*AG179^3+BMILMS!$E$25*AG179^2+BMILMS!$F$25*AG179+BMILMS!$G$25))))),(IF(AG179&lt;2.5,BMILMS!$D$27*AG179^3+BMILMS!$E$27*AG179^2+BMILMS!$F$27*AG179+BMILMS!$G$27,IF(AG179&lt;9.5,BMILMS!$D$28*AG179^3+BMILMS!$E$28*AG179^2+BMILMS!$F$28*AG179+BMILMS!$G$28,IF(AG179&lt;26.75,BMILMS!$D$29*AG179^3+BMILMS!$E$29*AG179^2+BMILMS!$F$29*AG179+BMILMS!$G$29,IF(AG179&lt;90,BMILMS!$D$30*AG179^3+BMILMS!$E$30*AG179^2+BMILMS!$F$30*AG179+BMILMS!$G$30,IF(AG179&lt;150,BMILMS!$D$31*AG179^3+BMILMS!$E$31*AG179^2+BMILMS!$F$31*AG179+BMILMS!$G$31,BMILMS!$D$32*AG179^3+BMILMS!$E$32*AG179^2+BMILMS!$F$32*AG179+BMILMS!$G$32)))))))</f>
        <v>12.568967990000001</v>
      </c>
      <c r="AF179" s="24">
        <f>IF(D179="M",(IF(AG179&lt;90,BMILMS!$D$14*AG179^3+BMILMS!$E$14*AG179^2+BMILMS!$F$14*AG179+BMILMS!$G$14,BMILMS!$D$15*AG179^3+BMILMS!$E$15*AG179^2+BMILMS!$F$15*AG179+BMILMS!$G$15)),(IF(AG179&lt;90,BMILMS!$D$17*AG179^3+BMILMS!$E$17*AG179^2+BMILMS!$F$17*AG179+BMILMS!$G$17,BMILMS!$D$18*AG179^3+BMILMS!$E$18*AG179^2+BMILMS!$F$18*AG179+BMILMS!$G$18)))</f>
        <v>8.8969350000000003E-2</v>
      </c>
      <c r="AG179" s="24">
        <f t="shared" si="48"/>
        <v>0</v>
      </c>
      <c r="AI179" s="38">
        <f>IF(D179="M",WeightSDS!P$5*$AG179^7+WeightSDS!Q$5*$AG179^6+WeightSDS!R$5*$AG179^5+WeightSDS!S$5*$AG179^4+WeightSDS!T$5*$AG179^3+WeightSDS!U$5*$AG179^2+WeightSDS!V$5*$AG179+WeightSDS!W$5,IF($AG179&lt;186,WeightSDS!P$8*$AG179^7+WeightSDS!Q$8*$AG179^6+WeightSDS!R$8*$AG179^5+WeightSDS!S$8*$AG179^4+WeightSDS!T$8*$AG179^3+WeightSDS!U$8*$AG179^2+WeightSDS!V$8*$AG179+WeightSDS!W$8,WeightSDS!$U$9-WeightSDS!$V$9*($AG179-WeightSDS!$W$9)))</f>
        <v>0.75407122999999998</v>
      </c>
      <c r="AJ179" s="24">
        <f>IF(D179="M",IF($AG179&lt;45,WeightSDS!M$23*$AG179^10+WeightSDS!N$23*$AG179^9+WeightSDS!O$23*$AG179^8+WeightSDS!P$23*$AG179^7+WeightSDS!Q$23*$AG179^6+WeightSDS!R$23*$AG179^5+WeightSDS!S$23*$AG179^4+WeightSDS!T$23*$AG179^3+WeightSDS!U$23*$AG179^2+WeightSDS!V$23*$AG179+WeightSDS!W$23,IF($AG179&lt;153,WeightSDS!M$25*$AG179^10+WeightSDS!N$25*$AG179^9+WeightSDS!O$25*$AG179^8+WeightSDS!P$25*$AG179^7+WeightSDS!Q$25*$AG179^6+WeightSDS!R$25*$AG179^5+WeightSDS!S$25*$AG179^4+WeightSDS!T$25*$AG179^3+WeightSDS!U$25*$AG179^2+WeightSDS!V$25*$AG179+WeightSDS!W$25,WeightSDS!M$27+WeightSDS!N$27/(1+EXP(WeightSDS!O$27+WeightSDS!P$27*$AG179)))),IF($AG179&lt;43.8,WeightSDS!M$29*$AG179^10+WeightSDS!N$29*$AG179^9+WeightSDS!O$29*$AG179^8+WeightSDS!P$29*$AG179^7+WeightSDS!Q$29*$AG179^6+WeightSDS!R$29*$AG179^5+WeightSDS!S$29*$AG179^4+WeightSDS!T$29*$AG179^3+WeightSDS!U$29*$AG179^2+WeightSDS!V$29*$AG179+WeightSDS!W$29-0.010431*(1-$AG179/210),IF($AG179&lt;123,WeightSDS!M$30*$AG179^10+WeightSDS!N$30*$AG179^9+WeightSDS!O$30*$AG179^8+WeightSDS!P$30*$AG179^7+WeightSDS!Q$30*$AG179^6+WeightSDS!R$30*$AG179^5+WeightSDS!S$30*$AG179^4+WeightSDS!T$30*$AG179^3+WeightSDS!U$30*$AG179^2+WeightSDS!V$30*$AG179+WeightSDS!W$30-0.010431*(1-1/$AG179),WeightSDS!M$32+WeightSDS!N$32/(1+EXP(WeightSDS!O$32+WeightSDS!P$32*$AG179))-0.010431*(1-$AG179/210))))</f>
        <v>2.9500001032655536</v>
      </c>
      <c r="AK179" s="24">
        <f>IF(D179="M",IF($AG179&lt;162,WeightSDS!P$12*$AG179^7+WeightSDS!Q$12*$AG179^6+WeightSDS!R$12*$AG179^5+WeightSDS!S$12*$AG179^4+WeightSDS!T$12*$AG179^3+WeightSDS!U$12*$AG179^2+WeightSDS!V$12*$AG179+WeightSDS!W$12,WeightSDS!P$14*$AG179^7+WeightSDS!Q$14*$AG179^6+WeightSDS!R$14*$AG179^5+WeightSDS!S$14*$AG179^4+WeightSDS!T$14*$AG179^3+WeightSDS!U$14*$AG179^2+WeightSDS!V$14*$AG179+WeightSDS!W$14),IF($AG179&lt;156,WeightSDS!O$17*$AG179^8+WeightSDS!P$17*$AG179^7+WeightSDS!Q$17*$AG179^6+WeightSDS!R$17*$AG179^5+WeightSDS!S$17*$AG179^4+WeightSDS!T$17*$AG179^3+WeightSDS!U$17*$AG179^2+WeightSDS!V$17*$AG179+WeightSDS!W$17,IF($AG179&lt;186,WeightSDS!$U$18+(WeightSDS!$V$18-WeightSDS!$U$18)/24*($AG179-186)+WeightSDS!$W$18*(-$AG179+186)^2-0.005,WeightSDS!$U$18+(WeightSDS!$V$18-WeightSDS!$U$18)/24*($AG179-186)-0.005)))</f>
        <v>0.14604529399999999</v>
      </c>
    </row>
    <row r="180" spans="1:37">
      <c r="A180" s="4"/>
      <c r="B180" s="21"/>
      <c r="C180" s="21"/>
      <c r="D180" s="21"/>
      <c r="E180" s="22"/>
      <c r="F180" s="22"/>
      <c r="G180" s="23"/>
      <c r="H180" s="23"/>
      <c r="I180" s="8" t="str">
        <f t="shared" si="34"/>
        <v/>
      </c>
      <c r="J180" s="2" t="str">
        <f t="shared" si="41"/>
        <v/>
      </c>
      <c r="K180" s="2" t="str">
        <f t="shared" si="35"/>
        <v/>
      </c>
      <c r="L180" s="2" t="str">
        <f t="shared" si="42"/>
        <v/>
      </c>
      <c r="M180" s="2" t="str">
        <f t="shared" si="47"/>
        <v/>
      </c>
      <c r="N180" s="2" t="str">
        <f t="shared" si="43"/>
        <v/>
      </c>
      <c r="O180" s="8" t="str">
        <f t="shared" si="44"/>
        <v/>
      </c>
      <c r="P180" s="8" t="str">
        <f t="shared" si="45"/>
        <v/>
      </c>
      <c r="Q180" s="40" t="str">
        <f t="shared" si="36"/>
        <v/>
      </c>
      <c r="R180" s="48" t="str">
        <f t="shared" si="46"/>
        <v/>
      </c>
      <c r="S180" s="8"/>
      <c r="U180" s="35">
        <f t="shared" si="37"/>
        <v>0</v>
      </c>
      <c r="V180" s="24">
        <f t="shared" si="38"/>
        <v>0</v>
      </c>
      <c r="W180" s="41">
        <f t="shared" si="49"/>
        <v>0</v>
      </c>
      <c r="X180" s="31"/>
      <c r="Y180" s="31"/>
      <c r="Z180" s="31"/>
      <c r="AA180" s="25">
        <f t="shared" si="39"/>
        <v>9.0359999999999996</v>
      </c>
      <c r="AB180" s="25">
        <f t="shared" si="40"/>
        <v>-184.49199999999999</v>
      </c>
      <c r="AD180" s="24">
        <f>IF(D180="M",IF(AG180&lt;78,BMILMS!$D$5*AG180^3+BMILMS!$E$5*AG180^2+BMILMS!$F$5*AG180+BMILMS!$G$5,IF(AG180&lt;150,BMILMS!$D$6*AG180^3+BMILMS!$E$6*AG180^2+BMILMS!$F$6*AG180+BMILMS!$G$6,BMILMS!$D$7*AG180^3+BMILMS!$E$7*AG180^2+BMILMS!$F$7*AG180+BMILMS!$G$7)),IF(AG180&lt;69,BMILMS!$D$9*AG180^3+BMILMS!$E$9*AG180^2+BMILMS!$F$9*AG180+BMILMS!$G$9,IF(AG180&lt;150,BMILMS!$D$10*AG180^3+BMILMS!$E$10*AG180^2+BMILMS!$F$10*AG180+BMILMS!$G$10,BMILMS!$D$11*AG180^3+BMILMS!$E$11*AG180^2+BMILMS!$F$11*AG180+BMILMS!$G$11)))</f>
        <v>0.79584630099999998</v>
      </c>
      <c r="AE180" s="24">
        <f>IF(D180="M",(IF(AG180&lt;2.5,BMILMS!$D$21*AG180^3+BMILMS!$E$21*AG180^2+BMILMS!$F$21*AG180+BMILMS!$G$21,IF(AG180&lt;9.5,BMILMS!$D$22*AG180^3+BMILMS!$E$22*AG180^2+BMILMS!$F$22*AG180+BMILMS!$G$22,IF(AG180&lt;26.75,BMILMS!$D$23*AG180^3+BMILMS!$E$23*AG180^2+BMILMS!$F$23*AG180+BMILMS!$G$23,IF(AG180&lt;90,BMILMS!$D$24*AG180^3+BMILMS!$E$24*AG180^2+BMILMS!$F$24*AG180+BMILMS!$G$24,BMILMS!$D$25*AG180^3+BMILMS!$E$25*AG180^2+BMILMS!$F$25*AG180+BMILMS!$G$25))))),(IF(AG180&lt;2.5,BMILMS!$D$27*AG180^3+BMILMS!$E$27*AG180^2+BMILMS!$F$27*AG180+BMILMS!$G$27,IF(AG180&lt;9.5,BMILMS!$D$28*AG180^3+BMILMS!$E$28*AG180^2+BMILMS!$F$28*AG180+BMILMS!$G$28,IF(AG180&lt;26.75,BMILMS!$D$29*AG180^3+BMILMS!$E$29*AG180^2+BMILMS!$F$29*AG180+BMILMS!$G$29,IF(AG180&lt;90,BMILMS!$D$30*AG180^3+BMILMS!$E$30*AG180^2+BMILMS!$F$30*AG180+BMILMS!$G$30,IF(AG180&lt;150,BMILMS!$D$31*AG180^3+BMILMS!$E$31*AG180^2+BMILMS!$F$31*AG180+BMILMS!$G$31,BMILMS!$D$32*AG180^3+BMILMS!$E$32*AG180^2+BMILMS!$F$32*AG180+BMILMS!$G$32)))))))</f>
        <v>12.568967990000001</v>
      </c>
      <c r="AF180" s="24">
        <f>IF(D180="M",(IF(AG180&lt;90,BMILMS!$D$14*AG180^3+BMILMS!$E$14*AG180^2+BMILMS!$F$14*AG180+BMILMS!$G$14,BMILMS!$D$15*AG180^3+BMILMS!$E$15*AG180^2+BMILMS!$F$15*AG180+BMILMS!$G$15)),(IF(AG180&lt;90,BMILMS!$D$17*AG180^3+BMILMS!$E$17*AG180^2+BMILMS!$F$17*AG180+BMILMS!$G$17,BMILMS!$D$18*AG180^3+BMILMS!$E$18*AG180^2+BMILMS!$F$18*AG180+BMILMS!$G$18)))</f>
        <v>8.8969350000000003E-2</v>
      </c>
      <c r="AG180" s="24">
        <f t="shared" si="48"/>
        <v>0</v>
      </c>
      <c r="AI180" s="38">
        <f>IF(D180="M",WeightSDS!P$5*$AG180^7+WeightSDS!Q$5*$AG180^6+WeightSDS!R$5*$AG180^5+WeightSDS!S$5*$AG180^4+WeightSDS!T$5*$AG180^3+WeightSDS!U$5*$AG180^2+WeightSDS!V$5*$AG180+WeightSDS!W$5,IF($AG180&lt;186,WeightSDS!P$8*$AG180^7+WeightSDS!Q$8*$AG180^6+WeightSDS!R$8*$AG180^5+WeightSDS!S$8*$AG180^4+WeightSDS!T$8*$AG180^3+WeightSDS!U$8*$AG180^2+WeightSDS!V$8*$AG180+WeightSDS!W$8,WeightSDS!$U$9-WeightSDS!$V$9*($AG180-WeightSDS!$W$9)))</f>
        <v>0.75407122999999998</v>
      </c>
      <c r="AJ180" s="24">
        <f>IF(D180="M",IF($AG180&lt;45,WeightSDS!M$23*$AG180^10+WeightSDS!N$23*$AG180^9+WeightSDS!O$23*$AG180^8+WeightSDS!P$23*$AG180^7+WeightSDS!Q$23*$AG180^6+WeightSDS!R$23*$AG180^5+WeightSDS!S$23*$AG180^4+WeightSDS!T$23*$AG180^3+WeightSDS!U$23*$AG180^2+WeightSDS!V$23*$AG180+WeightSDS!W$23,IF($AG180&lt;153,WeightSDS!M$25*$AG180^10+WeightSDS!N$25*$AG180^9+WeightSDS!O$25*$AG180^8+WeightSDS!P$25*$AG180^7+WeightSDS!Q$25*$AG180^6+WeightSDS!R$25*$AG180^5+WeightSDS!S$25*$AG180^4+WeightSDS!T$25*$AG180^3+WeightSDS!U$25*$AG180^2+WeightSDS!V$25*$AG180+WeightSDS!W$25,WeightSDS!M$27+WeightSDS!N$27/(1+EXP(WeightSDS!O$27+WeightSDS!P$27*$AG180)))),IF($AG180&lt;43.8,WeightSDS!M$29*$AG180^10+WeightSDS!N$29*$AG180^9+WeightSDS!O$29*$AG180^8+WeightSDS!P$29*$AG180^7+WeightSDS!Q$29*$AG180^6+WeightSDS!R$29*$AG180^5+WeightSDS!S$29*$AG180^4+WeightSDS!T$29*$AG180^3+WeightSDS!U$29*$AG180^2+WeightSDS!V$29*$AG180+WeightSDS!W$29-0.010431*(1-$AG180/210),IF($AG180&lt;123,WeightSDS!M$30*$AG180^10+WeightSDS!N$30*$AG180^9+WeightSDS!O$30*$AG180^8+WeightSDS!P$30*$AG180^7+WeightSDS!Q$30*$AG180^6+WeightSDS!R$30*$AG180^5+WeightSDS!S$30*$AG180^4+WeightSDS!T$30*$AG180^3+WeightSDS!U$30*$AG180^2+WeightSDS!V$30*$AG180+WeightSDS!W$30-0.010431*(1-1/$AG180),WeightSDS!M$32+WeightSDS!N$32/(1+EXP(WeightSDS!O$32+WeightSDS!P$32*$AG180))-0.010431*(1-$AG180/210))))</f>
        <v>2.9500001032655536</v>
      </c>
      <c r="AK180" s="24">
        <f>IF(D180="M",IF($AG180&lt;162,WeightSDS!P$12*$AG180^7+WeightSDS!Q$12*$AG180^6+WeightSDS!R$12*$AG180^5+WeightSDS!S$12*$AG180^4+WeightSDS!T$12*$AG180^3+WeightSDS!U$12*$AG180^2+WeightSDS!V$12*$AG180+WeightSDS!W$12,WeightSDS!P$14*$AG180^7+WeightSDS!Q$14*$AG180^6+WeightSDS!R$14*$AG180^5+WeightSDS!S$14*$AG180^4+WeightSDS!T$14*$AG180^3+WeightSDS!U$14*$AG180^2+WeightSDS!V$14*$AG180+WeightSDS!W$14),IF($AG180&lt;156,WeightSDS!O$17*$AG180^8+WeightSDS!P$17*$AG180^7+WeightSDS!Q$17*$AG180^6+WeightSDS!R$17*$AG180^5+WeightSDS!S$17*$AG180^4+WeightSDS!T$17*$AG180^3+WeightSDS!U$17*$AG180^2+WeightSDS!V$17*$AG180+WeightSDS!W$17,IF($AG180&lt;186,WeightSDS!$U$18+(WeightSDS!$V$18-WeightSDS!$U$18)/24*($AG180-186)+WeightSDS!$W$18*(-$AG180+186)^2-0.005,WeightSDS!$U$18+(WeightSDS!$V$18-WeightSDS!$U$18)/24*($AG180-186)-0.005)))</f>
        <v>0.14604529399999999</v>
      </c>
    </row>
    <row r="181" spans="1:37">
      <c r="A181" s="4"/>
      <c r="B181" s="21"/>
      <c r="C181" s="21"/>
      <c r="D181" s="21"/>
      <c r="E181" s="22"/>
      <c r="F181" s="22"/>
      <c r="G181" s="23"/>
      <c r="H181" s="23"/>
      <c r="I181" s="8" t="str">
        <f t="shared" si="34"/>
        <v/>
      </c>
      <c r="J181" s="2" t="str">
        <f t="shared" si="41"/>
        <v/>
      </c>
      <c r="K181" s="2" t="str">
        <f t="shared" si="35"/>
        <v/>
      </c>
      <c r="L181" s="2" t="str">
        <f t="shared" si="42"/>
        <v/>
      </c>
      <c r="M181" s="2" t="str">
        <f t="shared" si="47"/>
        <v/>
      </c>
      <c r="N181" s="2" t="str">
        <f t="shared" si="43"/>
        <v/>
      </c>
      <c r="O181" s="8" t="str">
        <f t="shared" si="44"/>
        <v/>
      </c>
      <c r="P181" s="8" t="str">
        <f t="shared" si="45"/>
        <v/>
      </c>
      <c r="Q181" s="40" t="str">
        <f t="shared" si="36"/>
        <v/>
      </c>
      <c r="R181" s="48" t="str">
        <f t="shared" si="46"/>
        <v/>
      </c>
      <c r="S181" s="8"/>
      <c r="U181" s="35">
        <f t="shared" si="37"/>
        <v>0</v>
      </c>
      <c r="V181" s="24">
        <f t="shared" si="38"/>
        <v>0</v>
      </c>
      <c r="W181" s="41">
        <f t="shared" si="49"/>
        <v>0</v>
      </c>
      <c r="X181" s="31"/>
      <c r="Y181" s="31"/>
      <c r="Z181" s="31"/>
      <c r="AA181" s="25">
        <f t="shared" si="39"/>
        <v>9.0359999999999996</v>
      </c>
      <c r="AB181" s="25">
        <f t="shared" si="40"/>
        <v>-184.49199999999999</v>
      </c>
      <c r="AD181" s="24">
        <f>IF(D181="M",IF(AG181&lt;78,BMILMS!$D$5*AG181^3+BMILMS!$E$5*AG181^2+BMILMS!$F$5*AG181+BMILMS!$G$5,IF(AG181&lt;150,BMILMS!$D$6*AG181^3+BMILMS!$E$6*AG181^2+BMILMS!$F$6*AG181+BMILMS!$G$6,BMILMS!$D$7*AG181^3+BMILMS!$E$7*AG181^2+BMILMS!$F$7*AG181+BMILMS!$G$7)),IF(AG181&lt;69,BMILMS!$D$9*AG181^3+BMILMS!$E$9*AG181^2+BMILMS!$F$9*AG181+BMILMS!$G$9,IF(AG181&lt;150,BMILMS!$D$10*AG181^3+BMILMS!$E$10*AG181^2+BMILMS!$F$10*AG181+BMILMS!$G$10,BMILMS!$D$11*AG181^3+BMILMS!$E$11*AG181^2+BMILMS!$F$11*AG181+BMILMS!$G$11)))</f>
        <v>0.79584630099999998</v>
      </c>
      <c r="AE181" s="24">
        <f>IF(D181="M",(IF(AG181&lt;2.5,BMILMS!$D$21*AG181^3+BMILMS!$E$21*AG181^2+BMILMS!$F$21*AG181+BMILMS!$G$21,IF(AG181&lt;9.5,BMILMS!$D$22*AG181^3+BMILMS!$E$22*AG181^2+BMILMS!$F$22*AG181+BMILMS!$G$22,IF(AG181&lt;26.75,BMILMS!$D$23*AG181^3+BMILMS!$E$23*AG181^2+BMILMS!$F$23*AG181+BMILMS!$G$23,IF(AG181&lt;90,BMILMS!$D$24*AG181^3+BMILMS!$E$24*AG181^2+BMILMS!$F$24*AG181+BMILMS!$G$24,BMILMS!$D$25*AG181^3+BMILMS!$E$25*AG181^2+BMILMS!$F$25*AG181+BMILMS!$G$25))))),(IF(AG181&lt;2.5,BMILMS!$D$27*AG181^3+BMILMS!$E$27*AG181^2+BMILMS!$F$27*AG181+BMILMS!$G$27,IF(AG181&lt;9.5,BMILMS!$D$28*AG181^3+BMILMS!$E$28*AG181^2+BMILMS!$F$28*AG181+BMILMS!$G$28,IF(AG181&lt;26.75,BMILMS!$D$29*AG181^3+BMILMS!$E$29*AG181^2+BMILMS!$F$29*AG181+BMILMS!$G$29,IF(AG181&lt;90,BMILMS!$D$30*AG181^3+BMILMS!$E$30*AG181^2+BMILMS!$F$30*AG181+BMILMS!$G$30,IF(AG181&lt;150,BMILMS!$D$31*AG181^3+BMILMS!$E$31*AG181^2+BMILMS!$F$31*AG181+BMILMS!$G$31,BMILMS!$D$32*AG181^3+BMILMS!$E$32*AG181^2+BMILMS!$F$32*AG181+BMILMS!$G$32)))))))</f>
        <v>12.568967990000001</v>
      </c>
      <c r="AF181" s="24">
        <f>IF(D181="M",(IF(AG181&lt;90,BMILMS!$D$14*AG181^3+BMILMS!$E$14*AG181^2+BMILMS!$F$14*AG181+BMILMS!$G$14,BMILMS!$D$15*AG181^3+BMILMS!$E$15*AG181^2+BMILMS!$F$15*AG181+BMILMS!$G$15)),(IF(AG181&lt;90,BMILMS!$D$17*AG181^3+BMILMS!$E$17*AG181^2+BMILMS!$F$17*AG181+BMILMS!$G$17,BMILMS!$D$18*AG181^3+BMILMS!$E$18*AG181^2+BMILMS!$F$18*AG181+BMILMS!$G$18)))</f>
        <v>8.8969350000000003E-2</v>
      </c>
      <c r="AG181" s="24">
        <f t="shared" si="48"/>
        <v>0</v>
      </c>
      <c r="AI181" s="38">
        <f>IF(D181="M",WeightSDS!P$5*$AG181^7+WeightSDS!Q$5*$AG181^6+WeightSDS!R$5*$AG181^5+WeightSDS!S$5*$AG181^4+WeightSDS!T$5*$AG181^3+WeightSDS!U$5*$AG181^2+WeightSDS!V$5*$AG181+WeightSDS!W$5,IF($AG181&lt;186,WeightSDS!P$8*$AG181^7+WeightSDS!Q$8*$AG181^6+WeightSDS!R$8*$AG181^5+WeightSDS!S$8*$AG181^4+WeightSDS!T$8*$AG181^3+WeightSDS!U$8*$AG181^2+WeightSDS!V$8*$AG181+WeightSDS!W$8,WeightSDS!$U$9-WeightSDS!$V$9*($AG181-WeightSDS!$W$9)))</f>
        <v>0.75407122999999998</v>
      </c>
      <c r="AJ181" s="24">
        <f>IF(D181="M",IF($AG181&lt;45,WeightSDS!M$23*$AG181^10+WeightSDS!N$23*$AG181^9+WeightSDS!O$23*$AG181^8+WeightSDS!P$23*$AG181^7+WeightSDS!Q$23*$AG181^6+WeightSDS!R$23*$AG181^5+WeightSDS!S$23*$AG181^4+WeightSDS!T$23*$AG181^3+WeightSDS!U$23*$AG181^2+WeightSDS!V$23*$AG181+WeightSDS!W$23,IF($AG181&lt;153,WeightSDS!M$25*$AG181^10+WeightSDS!N$25*$AG181^9+WeightSDS!O$25*$AG181^8+WeightSDS!P$25*$AG181^7+WeightSDS!Q$25*$AG181^6+WeightSDS!R$25*$AG181^5+WeightSDS!S$25*$AG181^4+WeightSDS!T$25*$AG181^3+WeightSDS!U$25*$AG181^2+WeightSDS!V$25*$AG181+WeightSDS!W$25,WeightSDS!M$27+WeightSDS!N$27/(1+EXP(WeightSDS!O$27+WeightSDS!P$27*$AG181)))),IF($AG181&lt;43.8,WeightSDS!M$29*$AG181^10+WeightSDS!N$29*$AG181^9+WeightSDS!O$29*$AG181^8+WeightSDS!P$29*$AG181^7+WeightSDS!Q$29*$AG181^6+WeightSDS!R$29*$AG181^5+WeightSDS!S$29*$AG181^4+WeightSDS!T$29*$AG181^3+WeightSDS!U$29*$AG181^2+WeightSDS!V$29*$AG181+WeightSDS!W$29-0.010431*(1-$AG181/210),IF($AG181&lt;123,WeightSDS!M$30*$AG181^10+WeightSDS!N$30*$AG181^9+WeightSDS!O$30*$AG181^8+WeightSDS!P$30*$AG181^7+WeightSDS!Q$30*$AG181^6+WeightSDS!R$30*$AG181^5+WeightSDS!S$30*$AG181^4+WeightSDS!T$30*$AG181^3+WeightSDS!U$30*$AG181^2+WeightSDS!V$30*$AG181+WeightSDS!W$30-0.010431*(1-1/$AG181),WeightSDS!M$32+WeightSDS!N$32/(1+EXP(WeightSDS!O$32+WeightSDS!P$32*$AG181))-0.010431*(1-$AG181/210))))</f>
        <v>2.9500001032655536</v>
      </c>
      <c r="AK181" s="24">
        <f>IF(D181="M",IF($AG181&lt;162,WeightSDS!P$12*$AG181^7+WeightSDS!Q$12*$AG181^6+WeightSDS!R$12*$AG181^5+WeightSDS!S$12*$AG181^4+WeightSDS!T$12*$AG181^3+WeightSDS!U$12*$AG181^2+WeightSDS!V$12*$AG181+WeightSDS!W$12,WeightSDS!P$14*$AG181^7+WeightSDS!Q$14*$AG181^6+WeightSDS!R$14*$AG181^5+WeightSDS!S$14*$AG181^4+WeightSDS!T$14*$AG181^3+WeightSDS!U$14*$AG181^2+WeightSDS!V$14*$AG181+WeightSDS!W$14),IF($AG181&lt;156,WeightSDS!O$17*$AG181^8+WeightSDS!P$17*$AG181^7+WeightSDS!Q$17*$AG181^6+WeightSDS!R$17*$AG181^5+WeightSDS!S$17*$AG181^4+WeightSDS!T$17*$AG181^3+WeightSDS!U$17*$AG181^2+WeightSDS!V$17*$AG181+WeightSDS!W$17,IF($AG181&lt;186,WeightSDS!$U$18+(WeightSDS!$V$18-WeightSDS!$U$18)/24*($AG181-186)+WeightSDS!$W$18*(-$AG181+186)^2-0.005,WeightSDS!$U$18+(WeightSDS!$V$18-WeightSDS!$U$18)/24*($AG181-186)-0.005)))</f>
        <v>0.14604529399999999</v>
      </c>
    </row>
    <row r="182" spans="1:37">
      <c r="A182" s="4"/>
      <c r="B182" s="21"/>
      <c r="C182" s="21"/>
      <c r="D182" s="21"/>
      <c r="E182" s="22"/>
      <c r="F182" s="22"/>
      <c r="G182" s="23"/>
      <c r="H182" s="23"/>
      <c r="I182" s="8" t="str">
        <f t="shared" si="34"/>
        <v/>
      </c>
      <c r="J182" s="2" t="str">
        <f t="shared" si="41"/>
        <v/>
      </c>
      <c r="K182" s="2" t="str">
        <f t="shared" si="35"/>
        <v/>
      </c>
      <c r="L182" s="2" t="str">
        <f t="shared" si="42"/>
        <v/>
      </c>
      <c r="M182" s="2" t="str">
        <f t="shared" si="47"/>
        <v/>
      </c>
      <c r="N182" s="2" t="str">
        <f t="shared" si="43"/>
        <v/>
      </c>
      <c r="O182" s="8" t="str">
        <f t="shared" si="44"/>
        <v/>
      </c>
      <c r="P182" s="8" t="str">
        <f t="shared" si="45"/>
        <v/>
      </c>
      <c r="Q182" s="40" t="str">
        <f t="shared" si="36"/>
        <v/>
      </c>
      <c r="R182" s="48" t="str">
        <f t="shared" si="46"/>
        <v/>
      </c>
      <c r="S182" s="8"/>
      <c r="U182" s="35">
        <f t="shared" si="37"/>
        <v>0</v>
      </c>
      <c r="V182" s="24">
        <f t="shared" si="38"/>
        <v>0</v>
      </c>
      <c r="W182" s="41">
        <f t="shared" si="49"/>
        <v>0</v>
      </c>
      <c r="X182" s="31"/>
      <c r="Y182" s="31"/>
      <c r="Z182" s="31"/>
      <c r="AA182" s="25">
        <f t="shared" si="39"/>
        <v>9.0359999999999996</v>
      </c>
      <c r="AB182" s="25">
        <f t="shared" si="40"/>
        <v>-184.49199999999999</v>
      </c>
      <c r="AD182" s="24">
        <f>IF(D182="M",IF(AG182&lt;78,BMILMS!$D$5*AG182^3+BMILMS!$E$5*AG182^2+BMILMS!$F$5*AG182+BMILMS!$G$5,IF(AG182&lt;150,BMILMS!$D$6*AG182^3+BMILMS!$E$6*AG182^2+BMILMS!$F$6*AG182+BMILMS!$G$6,BMILMS!$D$7*AG182^3+BMILMS!$E$7*AG182^2+BMILMS!$F$7*AG182+BMILMS!$G$7)),IF(AG182&lt;69,BMILMS!$D$9*AG182^3+BMILMS!$E$9*AG182^2+BMILMS!$F$9*AG182+BMILMS!$G$9,IF(AG182&lt;150,BMILMS!$D$10*AG182^3+BMILMS!$E$10*AG182^2+BMILMS!$F$10*AG182+BMILMS!$G$10,BMILMS!$D$11*AG182^3+BMILMS!$E$11*AG182^2+BMILMS!$F$11*AG182+BMILMS!$G$11)))</f>
        <v>0.79584630099999998</v>
      </c>
      <c r="AE182" s="24">
        <f>IF(D182="M",(IF(AG182&lt;2.5,BMILMS!$D$21*AG182^3+BMILMS!$E$21*AG182^2+BMILMS!$F$21*AG182+BMILMS!$G$21,IF(AG182&lt;9.5,BMILMS!$D$22*AG182^3+BMILMS!$E$22*AG182^2+BMILMS!$F$22*AG182+BMILMS!$G$22,IF(AG182&lt;26.75,BMILMS!$D$23*AG182^3+BMILMS!$E$23*AG182^2+BMILMS!$F$23*AG182+BMILMS!$G$23,IF(AG182&lt;90,BMILMS!$D$24*AG182^3+BMILMS!$E$24*AG182^2+BMILMS!$F$24*AG182+BMILMS!$G$24,BMILMS!$D$25*AG182^3+BMILMS!$E$25*AG182^2+BMILMS!$F$25*AG182+BMILMS!$G$25))))),(IF(AG182&lt;2.5,BMILMS!$D$27*AG182^3+BMILMS!$E$27*AG182^2+BMILMS!$F$27*AG182+BMILMS!$G$27,IF(AG182&lt;9.5,BMILMS!$D$28*AG182^3+BMILMS!$E$28*AG182^2+BMILMS!$F$28*AG182+BMILMS!$G$28,IF(AG182&lt;26.75,BMILMS!$D$29*AG182^3+BMILMS!$E$29*AG182^2+BMILMS!$F$29*AG182+BMILMS!$G$29,IF(AG182&lt;90,BMILMS!$D$30*AG182^3+BMILMS!$E$30*AG182^2+BMILMS!$F$30*AG182+BMILMS!$G$30,IF(AG182&lt;150,BMILMS!$D$31*AG182^3+BMILMS!$E$31*AG182^2+BMILMS!$F$31*AG182+BMILMS!$G$31,BMILMS!$D$32*AG182^3+BMILMS!$E$32*AG182^2+BMILMS!$F$32*AG182+BMILMS!$G$32)))))))</f>
        <v>12.568967990000001</v>
      </c>
      <c r="AF182" s="24">
        <f>IF(D182="M",(IF(AG182&lt;90,BMILMS!$D$14*AG182^3+BMILMS!$E$14*AG182^2+BMILMS!$F$14*AG182+BMILMS!$G$14,BMILMS!$D$15*AG182^3+BMILMS!$E$15*AG182^2+BMILMS!$F$15*AG182+BMILMS!$G$15)),(IF(AG182&lt;90,BMILMS!$D$17*AG182^3+BMILMS!$E$17*AG182^2+BMILMS!$F$17*AG182+BMILMS!$G$17,BMILMS!$D$18*AG182^3+BMILMS!$E$18*AG182^2+BMILMS!$F$18*AG182+BMILMS!$G$18)))</f>
        <v>8.8969350000000003E-2</v>
      </c>
      <c r="AG182" s="24">
        <f t="shared" si="48"/>
        <v>0</v>
      </c>
      <c r="AI182" s="38">
        <f>IF(D182="M",WeightSDS!P$5*$AG182^7+WeightSDS!Q$5*$AG182^6+WeightSDS!R$5*$AG182^5+WeightSDS!S$5*$AG182^4+WeightSDS!T$5*$AG182^3+WeightSDS!U$5*$AG182^2+WeightSDS!V$5*$AG182+WeightSDS!W$5,IF($AG182&lt;186,WeightSDS!P$8*$AG182^7+WeightSDS!Q$8*$AG182^6+WeightSDS!R$8*$AG182^5+WeightSDS!S$8*$AG182^4+WeightSDS!T$8*$AG182^3+WeightSDS!U$8*$AG182^2+WeightSDS!V$8*$AG182+WeightSDS!W$8,WeightSDS!$U$9-WeightSDS!$V$9*($AG182-WeightSDS!$W$9)))</f>
        <v>0.75407122999999998</v>
      </c>
      <c r="AJ182" s="24">
        <f>IF(D182="M",IF($AG182&lt;45,WeightSDS!M$23*$AG182^10+WeightSDS!N$23*$AG182^9+WeightSDS!O$23*$AG182^8+WeightSDS!P$23*$AG182^7+WeightSDS!Q$23*$AG182^6+WeightSDS!R$23*$AG182^5+WeightSDS!S$23*$AG182^4+WeightSDS!T$23*$AG182^3+WeightSDS!U$23*$AG182^2+WeightSDS!V$23*$AG182+WeightSDS!W$23,IF($AG182&lt;153,WeightSDS!M$25*$AG182^10+WeightSDS!N$25*$AG182^9+WeightSDS!O$25*$AG182^8+WeightSDS!P$25*$AG182^7+WeightSDS!Q$25*$AG182^6+WeightSDS!R$25*$AG182^5+WeightSDS!S$25*$AG182^4+WeightSDS!T$25*$AG182^3+WeightSDS!U$25*$AG182^2+WeightSDS!V$25*$AG182+WeightSDS!W$25,WeightSDS!M$27+WeightSDS!N$27/(1+EXP(WeightSDS!O$27+WeightSDS!P$27*$AG182)))),IF($AG182&lt;43.8,WeightSDS!M$29*$AG182^10+WeightSDS!N$29*$AG182^9+WeightSDS!O$29*$AG182^8+WeightSDS!P$29*$AG182^7+WeightSDS!Q$29*$AG182^6+WeightSDS!R$29*$AG182^5+WeightSDS!S$29*$AG182^4+WeightSDS!T$29*$AG182^3+WeightSDS!U$29*$AG182^2+WeightSDS!V$29*$AG182+WeightSDS!W$29-0.010431*(1-$AG182/210),IF($AG182&lt;123,WeightSDS!M$30*$AG182^10+WeightSDS!N$30*$AG182^9+WeightSDS!O$30*$AG182^8+WeightSDS!P$30*$AG182^7+WeightSDS!Q$30*$AG182^6+WeightSDS!R$30*$AG182^5+WeightSDS!S$30*$AG182^4+WeightSDS!T$30*$AG182^3+WeightSDS!U$30*$AG182^2+WeightSDS!V$30*$AG182+WeightSDS!W$30-0.010431*(1-1/$AG182),WeightSDS!M$32+WeightSDS!N$32/(1+EXP(WeightSDS!O$32+WeightSDS!P$32*$AG182))-0.010431*(1-$AG182/210))))</f>
        <v>2.9500001032655536</v>
      </c>
      <c r="AK182" s="24">
        <f>IF(D182="M",IF($AG182&lt;162,WeightSDS!P$12*$AG182^7+WeightSDS!Q$12*$AG182^6+WeightSDS!R$12*$AG182^5+WeightSDS!S$12*$AG182^4+WeightSDS!T$12*$AG182^3+WeightSDS!U$12*$AG182^2+WeightSDS!V$12*$AG182+WeightSDS!W$12,WeightSDS!P$14*$AG182^7+WeightSDS!Q$14*$AG182^6+WeightSDS!R$14*$AG182^5+WeightSDS!S$14*$AG182^4+WeightSDS!T$14*$AG182^3+WeightSDS!U$14*$AG182^2+WeightSDS!V$14*$AG182+WeightSDS!W$14),IF($AG182&lt;156,WeightSDS!O$17*$AG182^8+WeightSDS!P$17*$AG182^7+WeightSDS!Q$17*$AG182^6+WeightSDS!R$17*$AG182^5+WeightSDS!S$17*$AG182^4+WeightSDS!T$17*$AG182^3+WeightSDS!U$17*$AG182^2+WeightSDS!V$17*$AG182+WeightSDS!W$17,IF($AG182&lt;186,WeightSDS!$U$18+(WeightSDS!$V$18-WeightSDS!$U$18)/24*($AG182-186)+WeightSDS!$W$18*(-$AG182+186)^2-0.005,WeightSDS!$U$18+(WeightSDS!$V$18-WeightSDS!$U$18)/24*($AG182-186)-0.005)))</f>
        <v>0.14604529399999999</v>
      </c>
    </row>
    <row r="183" spans="1:37">
      <c r="A183" s="4"/>
      <c r="B183" s="21"/>
      <c r="C183" s="21"/>
      <c r="D183" s="21"/>
      <c r="E183" s="22"/>
      <c r="F183" s="22"/>
      <c r="G183" s="23"/>
      <c r="H183" s="23"/>
      <c r="I183" s="8" t="str">
        <f t="shared" si="34"/>
        <v/>
      </c>
      <c r="J183" s="2" t="str">
        <f t="shared" si="41"/>
        <v/>
      </c>
      <c r="K183" s="2" t="str">
        <f t="shared" si="35"/>
        <v/>
      </c>
      <c r="L183" s="2" t="str">
        <f t="shared" si="42"/>
        <v/>
      </c>
      <c r="M183" s="2" t="str">
        <f t="shared" si="47"/>
        <v/>
      </c>
      <c r="N183" s="2" t="str">
        <f t="shared" si="43"/>
        <v/>
      </c>
      <c r="O183" s="8" t="str">
        <f t="shared" si="44"/>
        <v/>
      </c>
      <c r="P183" s="8" t="str">
        <f t="shared" si="45"/>
        <v/>
      </c>
      <c r="Q183" s="40" t="str">
        <f t="shared" si="36"/>
        <v/>
      </c>
      <c r="R183" s="48" t="str">
        <f t="shared" si="46"/>
        <v/>
      </c>
      <c r="S183" s="8"/>
      <c r="U183" s="35">
        <f t="shared" si="37"/>
        <v>0</v>
      </c>
      <c r="V183" s="24">
        <f t="shared" si="38"/>
        <v>0</v>
      </c>
      <c r="W183" s="41">
        <f t="shared" si="49"/>
        <v>0</v>
      </c>
      <c r="X183" s="31"/>
      <c r="Y183" s="31"/>
      <c r="Z183" s="31"/>
      <c r="AA183" s="25">
        <f t="shared" si="39"/>
        <v>9.0359999999999996</v>
      </c>
      <c r="AB183" s="25">
        <f t="shared" si="40"/>
        <v>-184.49199999999999</v>
      </c>
      <c r="AD183" s="24">
        <f>IF(D183="M",IF(AG183&lt;78,BMILMS!$D$5*AG183^3+BMILMS!$E$5*AG183^2+BMILMS!$F$5*AG183+BMILMS!$G$5,IF(AG183&lt;150,BMILMS!$D$6*AG183^3+BMILMS!$E$6*AG183^2+BMILMS!$F$6*AG183+BMILMS!$G$6,BMILMS!$D$7*AG183^3+BMILMS!$E$7*AG183^2+BMILMS!$F$7*AG183+BMILMS!$G$7)),IF(AG183&lt;69,BMILMS!$D$9*AG183^3+BMILMS!$E$9*AG183^2+BMILMS!$F$9*AG183+BMILMS!$G$9,IF(AG183&lt;150,BMILMS!$D$10*AG183^3+BMILMS!$E$10*AG183^2+BMILMS!$F$10*AG183+BMILMS!$G$10,BMILMS!$D$11*AG183^3+BMILMS!$E$11*AG183^2+BMILMS!$F$11*AG183+BMILMS!$G$11)))</f>
        <v>0.79584630099999998</v>
      </c>
      <c r="AE183" s="24">
        <f>IF(D183="M",(IF(AG183&lt;2.5,BMILMS!$D$21*AG183^3+BMILMS!$E$21*AG183^2+BMILMS!$F$21*AG183+BMILMS!$G$21,IF(AG183&lt;9.5,BMILMS!$D$22*AG183^3+BMILMS!$E$22*AG183^2+BMILMS!$F$22*AG183+BMILMS!$G$22,IF(AG183&lt;26.75,BMILMS!$D$23*AG183^3+BMILMS!$E$23*AG183^2+BMILMS!$F$23*AG183+BMILMS!$G$23,IF(AG183&lt;90,BMILMS!$D$24*AG183^3+BMILMS!$E$24*AG183^2+BMILMS!$F$24*AG183+BMILMS!$G$24,BMILMS!$D$25*AG183^3+BMILMS!$E$25*AG183^2+BMILMS!$F$25*AG183+BMILMS!$G$25))))),(IF(AG183&lt;2.5,BMILMS!$D$27*AG183^3+BMILMS!$E$27*AG183^2+BMILMS!$F$27*AG183+BMILMS!$G$27,IF(AG183&lt;9.5,BMILMS!$D$28*AG183^3+BMILMS!$E$28*AG183^2+BMILMS!$F$28*AG183+BMILMS!$G$28,IF(AG183&lt;26.75,BMILMS!$D$29*AG183^3+BMILMS!$E$29*AG183^2+BMILMS!$F$29*AG183+BMILMS!$G$29,IF(AG183&lt;90,BMILMS!$D$30*AG183^3+BMILMS!$E$30*AG183^2+BMILMS!$F$30*AG183+BMILMS!$G$30,IF(AG183&lt;150,BMILMS!$D$31*AG183^3+BMILMS!$E$31*AG183^2+BMILMS!$F$31*AG183+BMILMS!$G$31,BMILMS!$D$32*AG183^3+BMILMS!$E$32*AG183^2+BMILMS!$F$32*AG183+BMILMS!$G$32)))))))</f>
        <v>12.568967990000001</v>
      </c>
      <c r="AF183" s="24">
        <f>IF(D183="M",(IF(AG183&lt;90,BMILMS!$D$14*AG183^3+BMILMS!$E$14*AG183^2+BMILMS!$F$14*AG183+BMILMS!$G$14,BMILMS!$D$15*AG183^3+BMILMS!$E$15*AG183^2+BMILMS!$F$15*AG183+BMILMS!$G$15)),(IF(AG183&lt;90,BMILMS!$D$17*AG183^3+BMILMS!$E$17*AG183^2+BMILMS!$F$17*AG183+BMILMS!$G$17,BMILMS!$D$18*AG183^3+BMILMS!$E$18*AG183^2+BMILMS!$F$18*AG183+BMILMS!$G$18)))</f>
        <v>8.8969350000000003E-2</v>
      </c>
      <c r="AG183" s="24">
        <f t="shared" si="48"/>
        <v>0</v>
      </c>
      <c r="AI183" s="38">
        <f>IF(D183="M",WeightSDS!P$5*$AG183^7+WeightSDS!Q$5*$AG183^6+WeightSDS!R$5*$AG183^5+WeightSDS!S$5*$AG183^4+WeightSDS!T$5*$AG183^3+WeightSDS!U$5*$AG183^2+WeightSDS!V$5*$AG183+WeightSDS!W$5,IF($AG183&lt;186,WeightSDS!P$8*$AG183^7+WeightSDS!Q$8*$AG183^6+WeightSDS!R$8*$AG183^5+WeightSDS!S$8*$AG183^4+WeightSDS!T$8*$AG183^3+WeightSDS!U$8*$AG183^2+WeightSDS!V$8*$AG183+WeightSDS!W$8,WeightSDS!$U$9-WeightSDS!$V$9*($AG183-WeightSDS!$W$9)))</f>
        <v>0.75407122999999998</v>
      </c>
      <c r="AJ183" s="24">
        <f>IF(D183="M",IF($AG183&lt;45,WeightSDS!M$23*$AG183^10+WeightSDS!N$23*$AG183^9+WeightSDS!O$23*$AG183^8+WeightSDS!P$23*$AG183^7+WeightSDS!Q$23*$AG183^6+WeightSDS!R$23*$AG183^5+WeightSDS!S$23*$AG183^4+WeightSDS!T$23*$AG183^3+WeightSDS!U$23*$AG183^2+WeightSDS!V$23*$AG183+WeightSDS!W$23,IF($AG183&lt;153,WeightSDS!M$25*$AG183^10+WeightSDS!N$25*$AG183^9+WeightSDS!O$25*$AG183^8+WeightSDS!P$25*$AG183^7+WeightSDS!Q$25*$AG183^6+WeightSDS!R$25*$AG183^5+WeightSDS!S$25*$AG183^4+WeightSDS!T$25*$AG183^3+WeightSDS!U$25*$AG183^2+WeightSDS!V$25*$AG183+WeightSDS!W$25,WeightSDS!M$27+WeightSDS!N$27/(1+EXP(WeightSDS!O$27+WeightSDS!P$27*$AG183)))),IF($AG183&lt;43.8,WeightSDS!M$29*$AG183^10+WeightSDS!N$29*$AG183^9+WeightSDS!O$29*$AG183^8+WeightSDS!P$29*$AG183^7+WeightSDS!Q$29*$AG183^6+WeightSDS!R$29*$AG183^5+WeightSDS!S$29*$AG183^4+WeightSDS!T$29*$AG183^3+WeightSDS!U$29*$AG183^2+WeightSDS!V$29*$AG183+WeightSDS!W$29-0.010431*(1-$AG183/210),IF($AG183&lt;123,WeightSDS!M$30*$AG183^10+WeightSDS!N$30*$AG183^9+WeightSDS!O$30*$AG183^8+WeightSDS!P$30*$AG183^7+WeightSDS!Q$30*$AG183^6+WeightSDS!R$30*$AG183^5+WeightSDS!S$30*$AG183^4+WeightSDS!T$30*$AG183^3+WeightSDS!U$30*$AG183^2+WeightSDS!V$30*$AG183+WeightSDS!W$30-0.010431*(1-1/$AG183),WeightSDS!M$32+WeightSDS!N$32/(1+EXP(WeightSDS!O$32+WeightSDS!P$32*$AG183))-0.010431*(1-$AG183/210))))</f>
        <v>2.9500001032655536</v>
      </c>
      <c r="AK183" s="24">
        <f>IF(D183="M",IF($AG183&lt;162,WeightSDS!P$12*$AG183^7+WeightSDS!Q$12*$AG183^6+WeightSDS!R$12*$AG183^5+WeightSDS!S$12*$AG183^4+WeightSDS!T$12*$AG183^3+WeightSDS!U$12*$AG183^2+WeightSDS!V$12*$AG183+WeightSDS!W$12,WeightSDS!P$14*$AG183^7+WeightSDS!Q$14*$AG183^6+WeightSDS!R$14*$AG183^5+WeightSDS!S$14*$AG183^4+WeightSDS!T$14*$AG183^3+WeightSDS!U$14*$AG183^2+WeightSDS!V$14*$AG183+WeightSDS!W$14),IF($AG183&lt;156,WeightSDS!O$17*$AG183^8+WeightSDS!P$17*$AG183^7+WeightSDS!Q$17*$AG183^6+WeightSDS!R$17*$AG183^5+WeightSDS!S$17*$AG183^4+WeightSDS!T$17*$AG183^3+WeightSDS!U$17*$AG183^2+WeightSDS!V$17*$AG183+WeightSDS!W$17,IF($AG183&lt;186,WeightSDS!$U$18+(WeightSDS!$V$18-WeightSDS!$U$18)/24*($AG183-186)+WeightSDS!$W$18*(-$AG183+186)^2-0.005,WeightSDS!$U$18+(WeightSDS!$V$18-WeightSDS!$U$18)/24*($AG183-186)-0.005)))</f>
        <v>0.14604529399999999</v>
      </c>
    </row>
    <row r="184" spans="1:37">
      <c r="A184" s="4"/>
      <c r="B184" s="21"/>
      <c r="C184" s="21"/>
      <c r="D184" s="21"/>
      <c r="E184" s="22"/>
      <c r="F184" s="22"/>
      <c r="G184" s="23"/>
      <c r="H184" s="23"/>
      <c r="I184" s="8" t="str">
        <f t="shared" si="34"/>
        <v/>
      </c>
      <c r="J184" s="2" t="str">
        <f t="shared" si="41"/>
        <v/>
      </c>
      <c r="K184" s="2" t="str">
        <f t="shared" si="35"/>
        <v/>
      </c>
      <c r="L184" s="2" t="str">
        <f t="shared" si="42"/>
        <v/>
      </c>
      <c r="M184" s="2" t="str">
        <f t="shared" si="47"/>
        <v/>
      </c>
      <c r="N184" s="2" t="str">
        <f t="shared" si="43"/>
        <v/>
      </c>
      <c r="O184" s="8" t="str">
        <f t="shared" si="44"/>
        <v/>
      </c>
      <c r="P184" s="8" t="str">
        <f t="shared" si="45"/>
        <v/>
      </c>
      <c r="Q184" s="40" t="str">
        <f t="shared" si="36"/>
        <v/>
      </c>
      <c r="R184" s="48" t="str">
        <f t="shared" si="46"/>
        <v/>
      </c>
      <c r="S184" s="8"/>
      <c r="U184" s="35">
        <f t="shared" si="37"/>
        <v>0</v>
      </c>
      <c r="V184" s="24">
        <f t="shared" si="38"/>
        <v>0</v>
      </c>
      <c r="W184" s="41">
        <f t="shared" si="49"/>
        <v>0</v>
      </c>
      <c r="X184" s="31"/>
      <c r="Y184" s="31"/>
      <c r="Z184" s="31"/>
      <c r="AA184" s="25">
        <f t="shared" si="39"/>
        <v>9.0359999999999996</v>
      </c>
      <c r="AB184" s="25">
        <f t="shared" si="40"/>
        <v>-184.49199999999999</v>
      </c>
      <c r="AD184" s="24">
        <f>IF(D184="M",IF(AG184&lt;78,BMILMS!$D$5*AG184^3+BMILMS!$E$5*AG184^2+BMILMS!$F$5*AG184+BMILMS!$G$5,IF(AG184&lt;150,BMILMS!$D$6*AG184^3+BMILMS!$E$6*AG184^2+BMILMS!$F$6*AG184+BMILMS!$G$6,BMILMS!$D$7*AG184^3+BMILMS!$E$7*AG184^2+BMILMS!$F$7*AG184+BMILMS!$G$7)),IF(AG184&lt;69,BMILMS!$D$9*AG184^3+BMILMS!$E$9*AG184^2+BMILMS!$F$9*AG184+BMILMS!$G$9,IF(AG184&lt;150,BMILMS!$D$10*AG184^3+BMILMS!$E$10*AG184^2+BMILMS!$F$10*AG184+BMILMS!$G$10,BMILMS!$D$11*AG184^3+BMILMS!$E$11*AG184^2+BMILMS!$F$11*AG184+BMILMS!$G$11)))</f>
        <v>0.79584630099999998</v>
      </c>
      <c r="AE184" s="24">
        <f>IF(D184="M",(IF(AG184&lt;2.5,BMILMS!$D$21*AG184^3+BMILMS!$E$21*AG184^2+BMILMS!$F$21*AG184+BMILMS!$G$21,IF(AG184&lt;9.5,BMILMS!$D$22*AG184^3+BMILMS!$E$22*AG184^2+BMILMS!$F$22*AG184+BMILMS!$G$22,IF(AG184&lt;26.75,BMILMS!$D$23*AG184^3+BMILMS!$E$23*AG184^2+BMILMS!$F$23*AG184+BMILMS!$G$23,IF(AG184&lt;90,BMILMS!$D$24*AG184^3+BMILMS!$E$24*AG184^2+BMILMS!$F$24*AG184+BMILMS!$G$24,BMILMS!$D$25*AG184^3+BMILMS!$E$25*AG184^2+BMILMS!$F$25*AG184+BMILMS!$G$25))))),(IF(AG184&lt;2.5,BMILMS!$D$27*AG184^3+BMILMS!$E$27*AG184^2+BMILMS!$F$27*AG184+BMILMS!$G$27,IF(AG184&lt;9.5,BMILMS!$D$28*AG184^3+BMILMS!$E$28*AG184^2+BMILMS!$F$28*AG184+BMILMS!$G$28,IF(AG184&lt;26.75,BMILMS!$D$29*AG184^3+BMILMS!$E$29*AG184^2+BMILMS!$F$29*AG184+BMILMS!$G$29,IF(AG184&lt;90,BMILMS!$D$30*AG184^3+BMILMS!$E$30*AG184^2+BMILMS!$F$30*AG184+BMILMS!$G$30,IF(AG184&lt;150,BMILMS!$D$31*AG184^3+BMILMS!$E$31*AG184^2+BMILMS!$F$31*AG184+BMILMS!$G$31,BMILMS!$D$32*AG184^3+BMILMS!$E$32*AG184^2+BMILMS!$F$32*AG184+BMILMS!$G$32)))))))</f>
        <v>12.568967990000001</v>
      </c>
      <c r="AF184" s="24">
        <f>IF(D184="M",(IF(AG184&lt;90,BMILMS!$D$14*AG184^3+BMILMS!$E$14*AG184^2+BMILMS!$F$14*AG184+BMILMS!$G$14,BMILMS!$D$15*AG184^3+BMILMS!$E$15*AG184^2+BMILMS!$F$15*AG184+BMILMS!$G$15)),(IF(AG184&lt;90,BMILMS!$D$17*AG184^3+BMILMS!$E$17*AG184^2+BMILMS!$F$17*AG184+BMILMS!$G$17,BMILMS!$D$18*AG184^3+BMILMS!$E$18*AG184^2+BMILMS!$F$18*AG184+BMILMS!$G$18)))</f>
        <v>8.8969350000000003E-2</v>
      </c>
      <c r="AG184" s="24">
        <f t="shared" si="48"/>
        <v>0</v>
      </c>
      <c r="AI184" s="38">
        <f>IF(D184="M",WeightSDS!P$5*$AG184^7+WeightSDS!Q$5*$AG184^6+WeightSDS!R$5*$AG184^5+WeightSDS!S$5*$AG184^4+WeightSDS!T$5*$AG184^3+WeightSDS!U$5*$AG184^2+WeightSDS!V$5*$AG184+WeightSDS!W$5,IF($AG184&lt;186,WeightSDS!P$8*$AG184^7+WeightSDS!Q$8*$AG184^6+WeightSDS!R$8*$AG184^5+WeightSDS!S$8*$AG184^4+WeightSDS!T$8*$AG184^3+WeightSDS!U$8*$AG184^2+WeightSDS!V$8*$AG184+WeightSDS!W$8,WeightSDS!$U$9-WeightSDS!$V$9*($AG184-WeightSDS!$W$9)))</f>
        <v>0.75407122999999998</v>
      </c>
      <c r="AJ184" s="24">
        <f>IF(D184="M",IF($AG184&lt;45,WeightSDS!M$23*$AG184^10+WeightSDS!N$23*$AG184^9+WeightSDS!O$23*$AG184^8+WeightSDS!P$23*$AG184^7+WeightSDS!Q$23*$AG184^6+WeightSDS!R$23*$AG184^5+WeightSDS!S$23*$AG184^4+WeightSDS!T$23*$AG184^3+WeightSDS!U$23*$AG184^2+WeightSDS!V$23*$AG184+WeightSDS!W$23,IF($AG184&lt;153,WeightSDS!M$25*$AG184^10+WeightSDS!N$25*$AG184^9+WeightSDS!O$25*$AG184^8+WeightSDS!P$25*$AG184^7+WeightSDS!Q$25*$AG184^6+WeightSDS!R$25*$AG184^5+WeightSDS!S$25*$AG184^4+WeightSDS!T$25*$AG184^3+WeightSDS!U$25*$AG184^2+WeightSDS!V$25*$AG184+WeightSDS!W$25,WeightSDS!M$27+WeightSDS!N$27/(1+EXP(WeightSDS!O$27+WeightSDS!P$27*$AG184)))),IF($AG184&lt;43.8,WeightSDS!M$29*$AG184^10+WeightSDS!N$29*$AG184^9+WeightSDS!O$29*$AG184^8+WeightSDS!P$29*$AG184^7+WeightSDS!Q$29*$AG184^6+WeightSDS!R$29*$AG184^5+WeightSDS!S$29*$AG184^4+WeightSDS!T$29*$AG184^3+WeightSDS!U$29*$AG184^2+WeightSDS!V$29*$AG184+WeightSDS!W$29-0.010431*(1-$AG184/210),IF($AG184&lt;123,WeightSDS!M$30*$AG184^10+WeightSDS!N$30*$AG184^9+WeightSDS!O$30*$AG184^8+WeightSDS!P$30*$AG184^7+WeightSDS!Q$30*$AG184^6+WeightSDS!R$30*$AG184^5+WeightSDS!S$30*$AG184^4+WeightSDS!T$30*$AG184^3+WeightSDS!U$30*$AG184^2+WeightSDS!V$30*$AG184+WeightSDS!W$30-0.010431*(1-1/$AG184),WeightSDS!M$32+WeightSDS!N$32/(1+EXP(WeightSDS!O$32+WeightSDS!P$32*$AG184))-0.010431*(1-$AG184/210))))</f>
        <v>2.9500001032655536</v>
      </c>
      <c r="AK184" s="24">
        <f>IF(D184="M",IF($AG184&lt;162,WeightSDS!P$12*$AG184^7+WeightSDS!Q$12*$AG184^6+WeightSDS!R$12*$AG184^5+WeightSDS!S$12*$AG184^4+WeightSDS!T$12*$AG184^3+WeightSDS!U$12*$AG184^2+WeightSDS!V$12*$AG184+WeightSDS!W$12,WeightSDS!P$14*$AG184^7+WeightSDS!Q$14*$AG184^6+WeightSDS!R$14*$AG184^5+WeightSDS!S$14*$AG184^4+WeightSDS!T$14*$AG184^3+WeightSDS!U$14*$AG184^2+WeightSDS!V$14*$AG184+WeightSDS!W$14),IF($AG184&lt;156,WeightSDS!O$17*$AG184^8+WeightSDS!P$17*$AG184^7+WeightSDS!Q$17*$AG184^6+WeightSDS!R$17*$AG184^5+WeightSDS!S$17*$AG184^4+WeightSDS!T$17*$AG184^3+WeightSDS!U$17*$AG184^2+WeightSDS!V$17*$AG184+WeightSDS!W$17,IF($AG184&lt;186,WeightSDS!$U$18+(WeightSDS!$V$18-WeightSDS!$U$18)/24*($AG184-186)+WeightSDS!$W$18*(-$AG184+186)^2-0.005,WeightSDS!$U$18+(WeightSDS!$V$18-WeightSDS!$U$18)/24*($AG184-186)-0.005)))</f>
        <v>0.14604529399999999</v>
      </c>
    </row>
    <row r="185" spans="1:37">
      <c r="A185" s="4"/>
      <c r="B185" s="21"/>
      <c r="C185" s="21"/>
      <c r="D185" s="21"/>
      <c r="E185" s="22"/>
      <c r="F185" s="22"/>
      <c r="G185" s="23"/>
      <c r="H185" s="23"/>
      <c r="I185" s="8" t="str">
        <f t="shared" si="34"/>
        <v/>
      </c>
      <c r="J185" s="2" t="str">
        <f t="shared" si="41"/>
        <v/>
      </c>
      <c r="K185" s="2" t="str">
        <f t="shared" si="35"/>
        <v/>
      </c>
      <c r="L185" s="2" t="str">
        <f t="shared" si="42"/>
        <v/>
      </c>
      <c r="M185" s="2" t="str">
        <f t="shared" si="47"/>
        <v/>
      </c>
      <c r="N185" s="2" t="str">
        <f t="shared" si="43"/>
        <v/>
      </c>
      <c r="O185" s="8" t="str">
        <f t="shared" si="44"/>
        <v/>
      </c>
      <c r="P185" s="8" t="str">
        <f t="shared" si="45"/>
        <v/>
      </c>
      <c r="Q185" s="40" t="str">
        <f t="shared" si="36"/>
        <v/>
      </c>
      <c r="R185" s="48" t="str">
        <f t="shared" si="46"/>
        <v/>
      </c>
      <c r="S185" s="8"/>
      <c r="U185" s="35">
        <f t="shared" si="37"/>
        <v>0</v>
      </c>
      <c r="V185" s="24">
        <f t="shared" si="38"/>
        <v>0</v>
      </c>
      <c r="W185" s="41">
        <f t="shared" si="49"/>
        <v>0</v>
      </c>
      <c r="X185" s="31"/>
      <c r="Y185" s="31"/>
      <c r="Z185" s="31"/>
      <c r="AA185" s="25">
        <f t="shared" si="39"/>
        <v>9.0359999999999996</v>
      </c>
      <c r="AB185" s="25">
        <f t="shared" si="40"/>
        <v>-184.49199999999999</v>
      </c>
      <c r="AD185" s="24">
        <f>IF(D185="M",IF(AG185&lt;78,BMILMS!$D$5*AG185^3+BMILMS!$E$5*AG185^2+BMILMS!$F$5*AG185+BMILMS!$G$5,IF(AG185&lt;150,BMILMS!$D$6*AG185^3+BMILMS!$E$6*AG185^2+BMILMS!$F$6*AG185+BMILMS!$G$6,BMILMS!$D$7*AG185^3+BMILMS!$E$7*AG185^2+BMILMS!$F$7*AG185+BMILMS!$G$7)),IF(AG185&lt;69,BMILMS!$D$9*AG185^3+BMILMS!$E$9*AG185^2+BMILMS!$F$9*AG185+BMILMS!$G$9,IF(AG185&lt;150,BMILMS!$D$10*AG185^3+BMILMS!$E$10*AG185^2+BMILMS!$F$10*AG185+BMILMS!$G$10,BMILMS!$D$11*AG185^3+BMILMS!$E$11*AG185^2+BMILMS!$F$11*AG185+BMILMS!$G$11)))</f>
        <v>0.79584630099999998</v>
      </c>
      <c r="AE185" s="24">
        <f>IF(D185="M",(IF(AG185&lt;2.5,BMILMS!$D$21*AG185^3+BMILMS!$E$21*AG185^2+BMILMS!$F$21*AG185+BMILMS!$G$21,IF(AG185&lt;9.5,BMILMS!$D$22*AG185^3+BMILMS!$E$22*AG185^2+BMILMS!$F$22*AG185+BMILMS!$G$22,IF(AG185&lt;26.75,BMILMS!$D$23*AG185^3+BMILMS!$E$23*AG185^2+BMILMS!$F$23*AG185+BMILMS!$G$23,IF(AG185&lt;90,BMILMS!$D$24*AG185^3+BMILMS!$E$24*AG185^2+BMILMS!$F$24*AG185+BMILMS!$G$24,BMILMS!$D$25*AG185^3+BMILMS!$E$25*AG185^2+BMILMS!$F$25*AG185+BMILMS!$G$25))))),(IF(AG185&lt;2.5,BMILMS!$D$27*AG185^3+BMILMS!$E$27*AG185^2+BMILMS!$F$27*AG185+BMILMS!$G$27,IF(AG185&lt;9.5,BMILMS!$D$28*AG185^3+BMILMS!$E$28*AG185^2+BMILMS!$F$28*AG185+BMILMS!$G$28,IF(AG185&lt;26.75,BMILMS!$D$29*AG185^3+BMILMS!$E$29*AG185^2+BMILMS!$F$29*AG185+BMILMS!$G$29,IF(AG185&lt;90,BMILMS!$D$30*AG185^3+BMILMS!$E$30*AG185^2+BMILMS!$F$30*AG185+BMILMS!$G$30,IF(AG185&lt;150,BMILMS!$D$31*AG185^3+BMILMS!$E$31*AG185^2+BMILMS!$F$31*AG185+BMILMS!$G$31,BMILMS!$D$32*AG185^3+BMILMS!$E$32*AG185^2+BMILMS!$F$32*AG185+BMILMS!$G$32)))))))</f>
        <v>12.568967990000001</v>
      </c>
      <c r="AF185" s="24">
        <f>IF(D185="M",(IF(AG185&lt;90,BMILMS!$D$14*AG185^3+BMILMS!$E$14*AG185^2+BMILMS!$F$14*AG185+BMILMS!$G$14,BMILMS!$D$15*AG185^3+BMILMS!$E$15*AG185^2+BMILMS!$F$15*AG185+BMILMS!$G$15)),(IF(AG185&lt;90,BMILMS!$D$17*AG185^3+BMILMS!$E$17*AG185^2+BMILMS!$F$17*AG185+BMILMS!$G$17,BMILMS!$D$18*AG185^3+BMILMS!$E$18*AG185^2+BMILMS!$F$18*AG185+BMILMS!$G$18)))</f>
        <v>8.8969350000000003E-2</v>
      </c>
      <c r="AG185" s="24">
        <f t="shared" si="48"/>
        <v>0</v>
      </c>
      <c r="AI185" s="38">
        <f>IF(D185="M",WeightSDS!P$5*$AG185^7+WeightSDS!Q$5*$AG185^6+WeightSDS!R$5*$AG185^5+WeightSDS!S$5*$AG185^4+WeightSDS!T$5*$AG185^3+WeightSDS!U$5*$AG185^2+WeightSDS!V$5*$AG185+WeightSDS!W$5,IF($AG185&lt;186,WeightSDS!P$8*$AG185^7+WeightSDS!Q$8*$AG185^6+WeightSDS!R$8*$AG185^5+WeightSDS!S$8*$AG185^4+WeightSDS!T$8*$AG185^3+WeightSDS!U$8*$AG185^2+WeightSDS!V$8*$AG185+WeightSDS!W$8,WeightSDS!$U$9-WeightSDS!$V$9*($AG185-WeightSDS!$W$9)))</f>
        <v>0.75407122999999998</v>
      </c>
      <c r="AJ185" s="24">
        <f>IF(D185="M",IF($AG185&lt;45,WeightSDS!M$23*$AG185^10+WeightSDS!N$23*$AG185^9+WeightSDS!O$23*$AG185^8+WeightSDS!P$23*$AG185^7+WeightSDS!Q$23*$AG185^6+WeightSDS!R$23*$AG185^5+WeightSDS!S$23*$AG185^4+WeightSDS!T$23*$AG185^3+WeightSDS!U$23*$AG185^2+WeightSDS!V$23*$AG185+WeightSDS!W$23,IF($AG185&lt;153,WeightSDS!M$25*$AG185^10+WeightSDS!N$25*$AG185^9+WeightSDS!O$25*$AG185^8+WeightSDS!P$25*$AG185^7+WeightSDS!Q$25*$AG185^6+WeightSDS!R$25*$AG185^5+WeightSDS!S$25*$AG185^4+WeightSDS!T$25*$AG185^3+WeightSDS!U$25*$AG185^2+WeightSDS!V$25*$AG185+WeightSDS!W$25,WeightSDS!M$27+WeightSDS!N$27/(1+EXP(WeightSDS!O$27+WeightSDS!P$27*$AG185)))),IF($AG185&lt;43.8,WeightSDS!M$29*$AG185^10+WeightSDS!N$29*$AG185^9+WeightSDS!O$29*$AG185^8+WeightSDS!P$29*$AG185^7+WeightSDS!Q$29*$AG185^6+WeightSDS!R$29*$AG185^5+WeightSDS!S$29*$AG185^4+WeightSDS!T$29*$AG185^3+WeightSDS!U$29*$AG185^2+WeightSDS!V$29*$AG185+WeightSDS!W$29-0.010431*(1-$AG185/210),IF($AG185&lt;123,WeightSDS!M$30*$AG185^10+WeightSDS!N$30*$AG185^9+WeightSDS!O$30*$AG185^8+WeightSDS!P$30*$AG185^7+WeightSDS!Q$30*$AG185^6+WeightSDS!R$30*$AG185^5+WeightSDS!S$30*$AG185^4+WeightSDS!T$30*$AG185^3+WeightSDS!U$30*$AG185^2+WeightSDS!V$30*$AG185+WeightSDS!W$30-0.010431*(1-1/$AG185),WeightSDS!M$32+WeightSDS!N$32/(1+EXP(WeightSDS!O$32+WeightSDS!P$32*$AG185))-0.010431*(1-$AG185/210))))</f>
        <v>2.9500001032655536</v>
      </c>
      <c r="AK185" s="24">
        <f>IF(D185="M",IF($AG185&lt;162,WeightSDS!P$12*$AG185^7+WeightSDS!Q$12*$AG185^6+WeightSDS!R$12*$AG185^5+WeightSDS!S$12*$AG185^4+WeightSDS!T$12*$AG185^3+WeightSDS!U$12*$AG185^2+WeightSDS!V$12*$AG185+WeightSDS!W$12,WeightSDS!P$14*$AG185^7+WeightSDS!Q$14*$AG185^6+WeightSDS!R$14*$AG185^5+WeightSDS!S$14*$AG185^4+WeightSDS!T$14*$AG185^3+WeightSDS!U$14*$AG185^2+WeightSDS!V$14*$AG185+WeightSDS!W$14),IF($AG185&lt;156,WeightSDS!O$17*$AG185^8+WeightSDS!P$17*$AG185^7+WeightSDS!Q$17*$AG185^6+WeightSDS!R$17*$AG185^5+WeightSDS!S$17*$AG185^4+WeightSDS!T$17*$AG185^3+WeightSDS!U$17*$AG185^2+WeightSDS!V$17*$AG185+WeightSDS!W$17,IF($AG185&lt;186,WeightSDS!$U$18+(WeightSDS!$V$18-WeightSDS!$U$18)/24*($AG185-186)+WeightSDS!$W$18*(-$AG185+186)^2-0.005,WeightSDS!$U$18+(WeightSDS!$V$18-WeightSDS!$U$18)/24*($AG185-186)-0.005)))</f>
        <v>0.14604529399999999</v>
      </c>
    </row>
    <row r="186" spans="1:37">
      <c r="A186" s="4"/>
      <c r="B186" s="21"/>
      <c r="C186" s="21"/>
      <c r="D186" s="21"/>
      <c r="E186" s="22"/>
      <c r="F186" s="22"/>
      <c r="G186" s="23"/>
      <c r="H186" s="23"/>
      <c r="I186" s="8" t="str">
        <f t="shared" si="34"/>
        <v/>
      </c>
      <c r="J186" s="2" t="str">
        <f t="shared" si="41"/>
        <v/>
      </c>
      <c r="K186" s="2" t="str">
        <f t="shared" si="35"/>
        <v/>
      </c>
      <c r="L186" s="2" t="str">
        <f t="shared" si="42"/>
        <v/>
      </c>
      <c r="M186" s="2" t="str">
        <f t="shared" si="47"/>
        <v/>
      </c>
      <c r="N186" s="2" t="str">
        <f t="shared" si="43"/>
        <v/>
      </c>
      <c r="O186" s="8" t="str">
        <f t="shared" si="44"/>
        <v/>
      </c>
      <c r="P186" s="8" t="str">
        <f t="shared" si="45"/>
        <v/>
      </c>
      <c r="Q186" s="40" t="str">
        <f t="shared" si="36"/>
        <v/>
      </c>
      <c r="R186" s="48" t="str">
        <f t="shared" si="46"/>
        <v/>
      </c>
      <c r="S186" s="8"/>
      <c r="U186" s="35">
        <f t="shared" si="37"/>
        <v>0</v>
      </c>
      <c r="V186" s="24">
        <f t="shared" si="38"/>
        <v>0</v>
      </c>
      <c r="W186" s="41">
        <f t="shared" si="49"/>
        <v>0</v>
      </c>
      <c r="X186" s="31"/>
      <c r="Y186" s="31"/>
      <c r="Z186" s="31"/>
      <c r="AA186" s="25">
        <f t="shared" si="39"/>
        <v>9.0359999999999996</v>
      </c>
      <c r="AB186" s="25">
        <f t="shared" si="40"/>
        <v>-184.49199999999999</v>
      </c>
      <c r="AD186" s="24">
        <f>IF(D186="M",IF(AG186&lt;78,BMILMS!$D$5*AG186^3+BMILMS!$E$5*AG186^2+BMILMS!$F$5*AG186+BMILMS!$G$5,IF(AG186&lt;150,BMILMS!$D$6*AG186^3+BMILMS!$E$6*AG186^2+BMILMS!$F$6*AG186+BMILMS!$G$6,BMILMS!$D$7*AG186^3+BMILMS!$E$7*AG186^2+BMILMS!$F$7*AG186+BMILMS!$G$7)),IF(AG186&lt;69,BMILMS!$D$9*AG186^3+BMILMS!$E$9*AG186^2+BMILMS!$F$9*AG186+BMILMS!$G$9,IF(AG186&lt;150,BMILMS!$D$10*AG186^3+BMILMS!$E$10*AG186^2+BMILMS!$F$10*AG186+BMILMS!$G$10,BMILMS!$D$11*AG186^3+BMILMS!$E$11*AG186^2+BMILMS!$F$11*AG186+BMILMS!$G$11)))</f>
        <v>0.79584630099999998</v>
      </c>
      <c r="AE186" s="24">
        <f>IF(D186="M",(IF(AG186&lt;2.5,BMILMS!$D$21*AG186^3+BMILMS!$E$21*AG186^2+BMILMS!$F$21*AG186+BMILMS!$G$21,IF(AG186&lt;9.5,BMILMS!$D$22*AG186^3+BMILMS!$E$22*AG186^2+BMILMS!$F$22*AG186+BMILMS!$G$22,IF(AG186&lt;26.75,BMILMS!$D$23*AG186^3+BMILMS!$E$23*AG186^2+BMILMS!$F$23*AG186+BMILMS!$G$23,IF(AG186&lt;90,BMILMS!$D$24*AG186^3+BMILMS!$E$24*AG186^2+BMILMS!$F$24*AG186+BMILMS!$G$24,BMILMS!$D$25*AG186^3+BMILMS!$E$25*AG186^2+BMILMS!$F$25*AG186+BMILMS!$G$25))))),(IF(AG186&lt;2.5,BMILMS!$D$27*AG186^3+BMILMS!$E$27*AG186^2+BMILMS!$F$27*AG186+BMILMS!$G$27,IF(AG186&lt;9.5,BMILMS!$D$28*AG186^3+BMILMS!$E$28*AG186^2+BMILMS!$F$28*AG186+BMILMS!$G$28,IF(AG186&lt;26.75,BMILMS!$D$29*AG186^3+BMILMS!$E$29*AG186^2+BMILMS!$F$29*AG186+BMILMS!$G$29,IF(AG186&lt;90,BMILMS!$D$30*AG186^3+BMILMS!$E$30*AG186^2+BMILMS!$F$30*AG186+BMILMS!$G$30,IF(AG186&lt;150,BMILMS!$D$31*AG186^3+BMILMS!$E$31*AG186^2+BMILMS!$F$31*AG186+BMILMS!$G$31,BMILMS!$D$32*AG186^3+BMILMS!$E$32*AG186^2+BMILMS!$F$32*AG186+BMILMS!$G$32)))))))</f>
        <v>12.568967990000001</v>
      </c>
      <c r="AF186" s="24">
        <f>IF(D186="M",(IF(AG186&lt;90,BMILMS!$D$14*AG186^3+BMILMS!$E$14*AG186^2+BMILMS!$F$14*AG186+BMILMS!$G$14,BMILMS!$D$15*AG186^3+BMILMS!$E$15*AG186^2+BMILMS!$F$15*AG186+BMILMS!$G$15)),(IF(AG186&lt;90,BMILMS!$D$17*AG186^3+BMILMS!$E$17*AG186^2+BMILMS!$F$17*AG186+BMILMS!$G$17,BMILMS!$D$18*AG186^3+BMILMS!$E$18*AG186^2+BMILMS!$F$18*AG186+BMILMS!$G$18)))</f>
        <v>8.8969350000000003E-2</v>
      </c>
      <c r="AG186" s="24">
        <f t="shared" si="48"/>
        <v>0</v>
      </c>
      <c r="AI186" s="38">
        <f>IF(D186="M",WeightSDS!P$5*$AG186^7+WeightSDS!Q$5*$AG186^6+WeightSDS!R$5*$AG186^5+WeightSDS!S$5*$AG186^4+WeightSDS!T$5*$AG186^3+WeightSDS!U$5*$AG186^2+WeightSDS!V$5*$AG186+WeightSDS!W$5,IF($AG186&lt;186,WeightSDS!P$8*$AG186^7+WeightSDS!Q$8*$AG186^6+WeightSDS!R$8*$AG186^5+WeightSDS!S$8*$AG186^4+WeightSDS!T$8*$AG186^3+WeightSDS!U$8*$AG186^2+WeightSDS!V$8*$AG186+WeightSDS!W$8,WeightSDS!$U$9-WeightSDS!$V$9*($AG186-WeightSDS!$W$9)))</f>
        <v>0.75407122999999998</v>
      </c>
      <c r="AJ186" s="24">
        <f>IF(D186="M",IF($AG186&lt;45,WeightSDS!M$23*$AG186^10+WeightSDS!N$23*$AG186^9+WeightSDS!O$23*$AG186^8+WeightSDS!P$23*$AG186^7+WeightSDS!Q$23*$AG186^6+WeightSDS!R$23*$AG186^5+WeightSDS!S$23*$AG186^4+WeightSDS!T$23*$AG186^3+WeightSDS!U$23*$AG186^2+WeightSDS!V$23*$AG186+WeightSDS!W$23,IF($AG186&lt;153,WeightSDS!M$25*$AG186^10+WeightSDS!N$25*$AG186^9+WeightSDS!O$25*$AG186^8+WeightSDS!P$25*$AG186^7+WeightSDS!Q$25*$AG186^6+WeightSDS!R$25*$AG186^5+WeightSDS!S$25*$AG186^4+WeightSDS!T$25*$AG186^3+WeightSDS!U$25*$AG186^2+WeightSDS!V$25*$AG186+WeightSDS!W$25,WeightSDS!M$27+WeightSDS!N$27/(1+EXP(WeightSDS!O$27+WeightSDS!P$27*$AG186)))),IF($AG186&lt;43.8,WeightSDS!M$29*$AG186^10+WeightSDS!N$29*$AG186^9+WeightSDS!O$29*$AG186^8+WeightSDS!P$29*$AG186^7+WeightSDS!Q$29*$AG186^6+WeightSDS!R$29*$AG186^5+WeightSDS!S$29*$AG186^4+WeightSDS!T$29*$AG186^3+WeightSDS!U$29*$AG186^2+WeightSDS!V$29*$AG186+WeightSDS!W$29-0.010431*(1-$AG186/210),IF($AG186&lt;123,WeightSDS!M$30*$AG186^10+WeightSDS!N$30*$AG186^9+WeightSDS!O$30*$AG186^8+WeightSDS!P$30*$AG186^7+WeightSDS!Q$30*$AG186^6+WeightSDS!R$30*$AG186^5+WeightSDS!S$30*$AG186^4+WeightSDS!T$30*$AG186^3+WeightSDS!U$30*$AG186^2+WeightSDS!V$30*$AG186+WeightSDS!W$30-0.010431*(1-1/$AG186),WeightSDS!M$32+WeightSDS!N$32/(1+EXP(WeightSDS!O$32+WeightSDS!P$32*$AG186))-0.010431*(1-$AG186/210))))</f>
        <v>2.9500001032655536</v>
      </c>
      <c r="AK186" s="24">
        <f>IF(D186="M",IF($AG186&lt;162,WeightSDS!P$12*$AG186^7+WeightSDS!Q$12*$AG186^6+WeightSDS!R$12*$AG186^5+WeightSDS!S$12*$AG186^4+WeightSDS!T$12*$AG186^3+WeightSDS!U$12*$AG186^2+WeightSDS!V$12*$AG186+WeightSDS!W$12,WeightSDS!P$14*$AG186^7+WeightSDS!Q$14*$AG186^6+WeightSDS!R$14*$AG186^5+WeightSDS!S$14*$AG186^4+WeightSDS!T$14*$AG186^3+WeightSDS!U$14*$AG186^2+WeightSDS!V$14*$AG186+WeightSDS!W$14),IF($AG186&lt;156,WeightSDS!O$17*$AG186^8+WeightSDS!P$17*$AG186^7+WeightSDS!Q$17*$AG186^6+WeightSDS!R$17*$AG186^5+WeightSDS!S$17*$AG186^4+WeightSDS!T$17*$AG186^3+WeightSDS!U$17*$AG186^2+WeightSDS!V$17*$AG186+WeightSDS!W$17,IF($AG186&lt;186,WeightSDS!$U$18+(WeightSDS!$V$18-WeightSDS!$U$18)/24*($AG186-186)+WeightSDS!$W$18*(-$AG186+186)^2-0.005,WeightSDS!$U$18+(WeightSDS!$V$18-WeightSDS!$U$18)/24*($AG186-186)-0.005)))</f>
        <v>0.14604529399999999</v>
      </c>
    </row>
    <row r="187" spans="1:37">
      <c r="A187" s="4"/>
      <c r="B187" s="21"/>
      <c r="C187" s="21"/>
      <c r="D187" s="21"/>
      <c r="E187" s="22"/>
      <c r="F187" s="22"/>
      <c r="G187" s="23"/>
      <c r="H187" s="23"/>
      <c r="I187" s="8" t="str">
        <f t="shared" si="34"/>
        <v/>
      </c>
      <c r="J187" s="2" t="str">
        <f t="shared" si="41"/>
        <v/>
      </c>
      <c r="K187" s="2" t="str">
        <f t="shared" si="35"/>
        <v/>
      </c>
      <c r="L187" s="2" t="str">
        <f t="shared" si="42"/>
        <v/>
      </c>
      <c r="M187" s="2" t="str">
        <f t="shared" si="47"/>
        <v/>
      </c>
      <c r="N187" s="2" t="str">
        <f t="shared" si="43"/>
        <v/>
      </c>
      <c r="O187" s="8" t="str">
        <f t="shared" si="44"/>
        <v/>
      </c>
      <c r="P187" s="8" t="str">
        <f t="shared" si="45"/>
        <v/>
      </c>
      <c r="Q187" s="40" t="str">
        <f t="shared" si="36"/>
        <v/>
      </c>
      <c r="R187" s="48" t="str">
        <f t="shared" si="46"/>
        <v/>
      </c>
      <c r="S187" s="8"/>
      <c r="U187" s="35">
        <f t="shared" si="37"/>
        <v>0</v>
      </c>
      <c r="V187" s="24">
        <f t="shared" si="38"/>
        <v>0</v>
      </c>
      <c r="W187" s="41">
        <f t="shared" si="49"/>
        <v>0</v>
      </c>
      <c r="X187" s="31"/>
      <c r="Y187" s="31"/>
      <c r="Z187" s="31"/>
      <c r="AA187" s="25">
        <f t="shared" si="39"/>
        <v>9.0359999999999996</v>
      </c>
      <c r="AB187" s="25">
        <f t="shared" si="40"/>
        <v>-184.49199999999999</v>
      </c>
      <c r="AD187" s="24">
        <f>IF(D187="M",IF(AG187&lt;78,BMILMS!$D$5*AG187^3+BMILMS!$E$5*AG187^2+BMILMS!$F$5*AG187+BMILMS!$G$5,IF(AG187&lt;150,BMILMS!$D$6*AG187^3+BMILMS!$E$6*AG187^2+BMILMS!$F$6*AG187+BMILMS!$G$6,BMILMS!$D$7*AG187^3+BMILMS!$E$7*AG187^2+BMILMS!$F$7*AG187+BMILMS!$G$7)),IF(AG187&lt;69,BMILMS!$D$9*AG187^3+BMILMS!$E$9*AG187^2+BMILMS!$F$9*AG187+BMILMS!$G$9,IF(AG187&lt;150,BMILMS!$D$10*AG187^3+BMILMS!$E$10*AG187^2+BMILMS!$F$10*AG187+BMILMS!$G$10,BMILMS!$D$11*AG187^3+BMILMS!$E$11*AG187^2+BMILMS!$F$11*AG187+BMILMS!$G$11)))</f>
        <v>0.79584630099999998</v>
      </c>
      <c r="AE187" s="24">
        <f>IF(D187="M",(IF(AG187&lt;2.5,BMILMS!$D$21*AG187^3+BMILMS!$E$21*AG187^2+BMILMS!$F$21*AG187+BMILMS!$G$21,IF(AG187&lt;9.5,BMILMS!$D$22*AG187^3+BMILMS!$E$22*AG187^2+BMILMS!$F$22*AG187+BMILMS!$G$22,IF(AG187&lt;26.75,BMILMS!$D$23*AG187^3+BMILMS!$E$23*AG187^2+BMILMS!$F$23*AG187+BMILMS!$G$23,IF(AG187&lt;90,BMILMS!$D$24*AG187^3+BMILMS!$E$24*AG187^2+BMILMS!$F$24*AG187+BMILMS!$G$24,BMILMS!$D$25*AG187^3+BMILMS!$E$25*AG187^2+BMILMS!$F$25*AG187+BMILMS!$G$25))))),(IF(AG187&lt;2.5,BMILMS!$D$27*AG187^3+BMILMS!$E$27*AG187^2+BMILMS!$F$27*AG187+BMILMS!$G$27,IF(AG187&lt;9.5,BMILMS!$D$28*AG187^3+BMILMS!$E$28*AG187^2+BMILMS!$F$28*AG187+BMILMS!$G$28,IF(AG187&lt;26.75,BMILMS!$D$29*AG187^3+BMILMS!$E$29*AG187^2+BMILMS!$F$29*AG187+BMILMS!$G$29,IF(AG187&lt;90,BMILMS!$D$30*AG187^3+BMILMS!$E$30*AG187^2+BMILMS!$F$30*AG187+BMILMS!$G$30,IF(AG187&lt;150,BMILMS!$D$31*AG187^3+BMILMS!$E$31*AG187^2+BMILMS!$F$31*AG187+BMILMS!$G$31,BMILMS!$D$32*AG187^3+BMILMS!$E$32*AG187^2+BMILMS!$F$32*AG187+BMILMS!$G$32)))))))</f>
        <v>12.568967990000001</v>
      </c>
      <c r="AF187" s="24">
        <f>IF(D187="M",(IF(AG187&lt;90,BMILMS!$D$14*AG187^3+BMILMS!$E$14*AG187^2+BMILMS!$F$14*AG187+BMILMS!$G$14,BMILMS!$D$15*AG187^3+BMILMS!$E$15*AG187^2+BMILMS!$F$15*AG187+BMILMS!$G$15)),(IF(AG187&lt;90,BMILMS!$D$17*AG187^3+BMILMS!$E$17*AG187^2+BMILMS!$F$17*AG187+BMILMS!$G$17,BMILMS!$D$18*AG187^3+BMILMS!$E$18*AG187^2+BMILMS!$F$18*AG187+BMILMS!$G$18)))</f>
        <v>8.8969350000000003E-2</v>
      </c>
      <c r="AG187" s="24">
        <f t="shared" si="48"/>
        <v>0</v>
      </c>
      <c r="AI187" s="38">
        <f>IF(D187="M",WeightSDS!P$5*$AG187^7+WeightSDS!Q$5*$AG187^6+WeightSDS!R$5*$AG187^5+WeightSDS!S$5*$AG187^4+WeightSDS!T$5*$AG187^3+WeightSDS!U$5*$AG187^2+WeightSDS!V$5*$AG187+WeightSDS!W$5,IF($AG187&lt;186,WeightSDS!P$8*$AG187^7+WeightSDS!Q$8*$AG187^6+WeightSDS!R$8*$AG187^5+WeightSDS!S$8*$AG187^4+WeightSDS!T$8*$AG187^3+WeightSDS!U$8*$AG187^2+WeightSDS!V$8*$AG187+WeightSDS!W$8,WeightSDS!$U$9-WeightSDS!$V$9*($AG187-WeightSDS!$W$9)))</f>
        <v>0.75407122999999998</v>
      </c>
      <c r="AJ187" s="24">
        <f>IF(D187="M",IF($AG187&lt;45,WeightSDS!M$23*$AG187^10+WeightSDS!N$23*$AG187^9+WeightSDS!O$23*$AG187^8+WeightSDS!P$23*$AG187^7+WeightSDS!Q$23*$AG187^6+WeightSDS!R$23*$AG187^5+WeightSDS!S$23*$AG187^4+WeightSDS!T$23*$AG187^3+WeightSDS!U$23*$AG187^2+WeightSDS!V$23*$AG187+WeightSDS!W$23,IF($AG187&lt;153,WeightSDS!M$25*$AG187^10+WeightSDS!N$25*$AG187^9+WeightSDS!O$25*$AG187^8+WeightSDS!P$25*$AG187^7+WeightSDS!Q$25*$AG187^6+WeightSDS!R$25*$AG187^5+WeightSDS!S$25*$AG187^4+WeightSDS!T$25*$AG187^3+WeightSDS!U$25*$AG187^2+WeightSDS!V$25*$AG187+WeightSDS!W$25,WeightSDS!M$27+WeightSDS!N$27/(1+EXP(WeightSDS!O$27+WeightSDS!P$27*$AG187)))),IF($AG187&lt;43.8,WeightSDS!M$29*$AG187^10+WeightSDS!N$29*$AG187^9+WeightSDS!O$29*$AG187^8+WeightSDS!P$29*$AG187^7+WeightSDS!Q$29*$AG187^6+WeightSDS!R$29*$AG187^5+WeightSDS!S$29*$AG187^4+WeightSDS!T$29*$AG187^3+WeightSDS!U$29*$AG187^2+WeightSDS!V$29*$AG187+WeightSDS!W$29-0.010431*(1-$AG187/210),IF($AG187&lt;123,WeightSDS!M$30*$AG187^10+WeightSDS!N$30*$AG187^9+WeightSDS!O$30*$AG187^8+WeightSDS!P$30*$AG187^7+WeightSDS!Q$30*$AG187^6+WeightSDS!R$30*$AG187^5+WeightSDS!S$30*$AG187^4+WeightSDS!T$30*$AG187^3+WeightSDS!U$30*$AG187^2+WeightSDS!V$30*$AG187+WeightSDS!W$30-0.010431*(1-1/$AG187),WeightSDS!M$32+WeightSDS!N$32/(1+EXP(WeightSDS!O$32+WeightSDS!P$32*$AG187))-0.010431*(1-$AG187/210))))</f>
        <v>2.9500001032655536</v>
      </c>
      <c r="AK187" s="24">
        <f>IF(D187="M",IF($AG187&lt;162,WeightSDS!P$12*$AG187^7+WeightSDS!Q$12*$AG187^6+WeightSDS!R$12*$AG187^5+WeightSDS!S$12*$AG187^4+WeightSDS!T$12*$AG187^3+WeightSDS!U$12*$AG187^2+WeightSDS!V$12*$AG187+WeightSDS!W$12,WeightSDS!P$14*$AG187^7+WeightSDS!Q$14*$AG187^6+WeightSDS!R$14*$AG187^5+WeightSDS!S$14*$AG187^4+WeightSDS!T$14*$AG187^3+WeightSDS!U$14*$AG187^2+WeightSDS!V$14*$AG187+WeightSDS!W$14),IF($AG187&lt;156,WeightSDS!O$17*$AG187^8+WeightSDS!P$17*$AG187^7+WeightSDS!Q$17*$AG187^6+WeightSDS!R$17*$AG187^5+WeightSDS!S$17*$AG187^4+WeightSDS!T$17*$AG187^3+WeightSDS!U$17*$AG187^2+WeightSDS!V$17*$AG187+WeightSDS!W$17,IF($AG187&lt;186,WeightSDS!$U$18+(WeightSDS!$V$18-WeightSDS!$U$18)/24*($AG187-186)+WeightSDS!$W$18*(-$AG187+186)^2-0.005,WeightSDS!$U$18+(WeightSDS!$V$18-WeightSDS!$U$18)/24*($AG187-186)-0.005)))</f>
        <v>0.14604529399999999</v>
      </c>
    </row>
    <row r="188" spans="1:37">
      <c r="A188" s="4"/>
      <c r="B188" s="21"/>
      <c r="C188" s="21"/>
      <c r="D188" s="21"/>
      <c r="E188" s="22"/>
      <c r="F188" s="22"/>
      <c r="G188" s="23"/>
      <c r="H188" s="23"/>
      <c r="I188" s="8" t="str">
        <f t="shared" si="34"/>
        <v/>
      </c>
      <c r="J188" s="2" t="str">
        <f t="shared" si="41"/>
        <v/>
      </c>
      <c r="K188" s="2" t="str">
        <f t="shared" si="35"/>
        <v/>
      </c>
      <c r="L188" s="2" t="str">
        <f t="shared" si="42"/>
        <v/>
      </c>
      <c r="M188" s="2" t="str">
        <f t="shared" si="47"/>
        <v/>
      </c>
      <c r="N188" s="2" t="str">
        <f t="shared" si="43"/>
        <v/>
      </c>
      <c r="O188" s="8" t="str">
        <f t="shared" si="44"/>
        <v/>
      </c>
      <c r="P188" s="8" t="str">
        <f t="shared" si="45"/>
        <v/>
      </c>
      <c r="Q188" s="40" t="str">
        <f t="shared" si="36"/>
        <v/>
      </c>
      <c r="R188" s="48" t="str">
        <f t="shared" si="46"/>
        <v/>
      </c>
      <c r="S188" s="8"/>
      <c r="U188" s="35">
        <f t="shared" si="37"/>
        <v>0</v>
      </c>
      <c r="V188" s="24">
        <f t="shared" si="38"/>
        <v>0</v>
      </c>
      <c r="W188" s="41">
        <f t="shared" si="49"/>
        <v>0</v>
      </c>
      <c r="X188" s="31"/>
      <c r="Y188" s="31"/>
      <c r="Z188" s="31"/>
      <c r="AA188" s="25">
        <f t="shared" si="39"/>
        <v>9.0359999999999996</v>
      </c>
      <c r="AB188" s="25">
        <f t="shared" si="40"/>
        <v>-184.49199999999999</v>
      </c>
      <c r="AD188" s="24">
        <f>IF(D188="M",IF(AG188&lt;78,BMILMS!$D$5*AG188^3+BMILMS!$E$5*AG188^2+BMILMS!$F$5*AG188+BMILMS!$G$5,IF(AG188&lt;150,BMILMS!$D$6*AG188^3+BMILMS!$E$6*AG188^2+BMILMS!$F$6*AG188+BMILMS!$G$6,BMILMS!$D$7*AG188^3+BMILMS!$E$7*AG188^2+BMILMS!$F$7*AG188+BMILMS!$G$7)),IF(AG188&lt;69,BMILMS!$D$9*AG188^3+BMILMS!$E$9*AG188^2+BMILMS!$F$9*AG188+BMILMS!$G$9,IF(AG188&lt;150,BMILMS!$D$10*AG188^3+BMILMS!$E$10*AG188^2+BMILMS!$F$10*AG188+BMILMS!$G$10,BMILMS!$D$11*AG188^3+BMILMS!$E$11*AG188^2+BMILMS!$F$11*AG188+BMILMS!$G$11)))</f>
        <v>0.79584630099999998</v>
      </c>
      <c r="AE188" s="24">
        <f>IF(D188="M",(IF(AG188&lt;2.5,BMILMS!$D$21*AG188^3+BMILMS!$E$21*AG188^2+BMILMS!$F$21*AG188+BMILMS!$G$21,IF(AG188&lt;9.5,BMILMS!$D$22*AG188^3+BMILMS!$E$22*AG188^2+BMILMS!$F$22*AG188+BMILMS!$G$22,IF(AG188&lt;26.75,BMILMS!$D$23*AG188^3+BMILMS!$E$23*AG188^2+BMILMS!$F$23*AG188+BMILMS!$G$23,IF(AG188&lt;90,BMILMS!$D$24*AG188^3+BMILMS!$E$24*AG188^2+BMILMS!$F$24*AG188+BMILMS!$G$24,BMILMS!$D$25*AG188^3+BMILMS!$E$25*AG188^2+BMILMS!$F$25*AG188+BMILMS!$G$25))))),(IF(AG188&lt;2.5,BMILMS!$D$27*AG188^3+BMILMS!$E$27*AG188^2+BMILMS!$F$27*AG188+BMILMS!$G$27,IF(AG188&lt;9.5,BMILMS!$D$28*AG188^3+BMILMS!$E$28*AG188^2+BMILMS!$F$28*AG188+BMILMS!$G$28,IF(AG188&lt;26.75,BMILMS!$D$29*AG188^3+BMILMS!$E$29*AG188^2+BMILMS!$F$29*AG188+BMILMS!$G$29,IF(AG188&lt;90,BMILMS!$D$30*AG188^3+BMILMS!$E$30*AG188^2+BMILMS!$F$30*AG188+BMILMS!$G$30,IF(AG188&lt;150,BMILMS!$D$31*AG188^3+BMILMS!$E$31*AG188^2+BMILMS!$F$31*AG188+BMILMS!$G$31,BMILMS!$D$32*AG188^3+BMILMS!$E$32*AG188^2+BMILMS!$F$32*AG188+BMILMS!$G$32)))))))</f>
        <v>12.568967990000001</v>
      </c>
      <c r="AF188" s="24">
        <f>IF(D188="M",(IF(AG188&lt;90,BMILMS!$D$14*AG188^3+BMILMS!$E$14*AG188^2+BMILMS!$F$14*AG188+BMILMS!$G$14,BMILMS!$D$15*AG188^3+BMILMS!$E$15*AG188^2+BMILMS!$F$15*AG188+BMILMS!$G$15)),(IF(AG188&lt;90,BMILMS!$D$17*AG188^3+BMILMS!$E$17*AG188^2+BMILMS!$F$17*AG188+BMILMS!$G$17,BMILMS!$D$18*AG188^3+BMILMS!$E$18*AG188^2+BMILMS!$F$18*AG188+BMILMS!$G$18)))</f>
        <v>8.8969350000000003E-2</v>
      </c>
      <c r="AG188" s="24">
        <f t="shared" si="48"/>
        <v>0</v>
      </c>
      <c r="AI188" s="38">
        <f>IF(D188="M",WeightSDS!P$5*$AG188^7+WeightSDS!Q$5*$AG188^6+WeightSDS!R$5*$AG188^5+WeightSDS!S$5*$AG188^4+WeightSDS!T$5*$AG188^3+WeightSDS!U$5*$AG188^2+WeightSDS!V$5*$AG188+WeightSDS!W$5,IF($AG188&lt;186,WeightSDS!P$8*$AG188^7+WeightSDS!Q$8*$AG188^6+WeightSDS!R$8*$AG188^5+WeightSDS!S$8*$AG188^4+WeightSDS!T$8*$AG188^3+WeightSDS!U$8*$AG188^2+WeightSDS!V$8*$AG188+WeightSDS!W$8,WeightSDS!$U$9-WeightSDS!$V$9*($AG188-WeightSDS!$W$9)))</f>
        <v>0.75407122999999998</v>
      </c>
      <c r="AJ188" s="24">
        <f>IF(D188="M",IF($AG188&lt;45,WeightSDS!M$23*$AG188^10+WeightSDS!N$23*$AG188^9+WeightSDS!O$23*$AG188^8+WeightSDS!P$23*$AG188^7+WeightSDS!Q$23*$AG188^6+WeightSDS!R$23*$AG188^5+WeightSDS!S$23*$AG188^4+WeightSDS!T$23*$AG188^3+WeightSDS!U$23*$AG188^2+WeightSDS!V$23*$AG188+WeightSDS!W$23,IF($AG188&lt;153,WeightSDS!M$25*$AG188^10+WeightSDS!N$25*$AG188^9+WeightSDS!O$25*$AG188^8+WeightSDS!P$25*$AG188^7+WeightSDS!Q$25*$AG188^6+WeightSDS!R$25*$AG188^5+WeightSDS!S$25*$AG188^4+WeightSDS!T$25*$AG188^3+WeightSDS!U$25*$AG188^2+WeightSDS!V$25*$AG188+WeightSDS!W$25,WeightSDS!M$27+WeightSDS!N$27/(1+EXP(WeightSDS!O$27+WeightSDS!P$27*$AG188)))),IF($AG188&lt;43.8,WeightSDS!M$29*$AG188^10+WeightSDS!N$29*$AG188^9+WeightSDS!O$29*$AG188^8+WeightSDS!P$29*$AG188^7+WeightSDS!Q$29*$AG188^6+WeightSDS!R$29*$AG188^5+WeightSDS!S$29*$AG188^4+WeightSDS!T$29*$AG188^3+WeightSDS!U$29*$AG188^2+WeightSDS!V$29*$AG188+WeightSDS!W$29-0.010431*(1-$AG188/210),IF($AG188&lt;123,WeightSDS!M$30*$AG188^10+WeightSDS!N$30*$AG188^9+WeightSDS!O$30*$AG188^8+WeightSDS!P$30*$AG188^7+WeightSDS!Q$30*$AG188^6+WeightSDS!R$30*$AG188^5+WeightSDS!S$30*$AG188^4+WeightSDS!T$30*$AG188^3+WeightSDS!U$30*$AG188^2+WeightSDS!V$30*$AG188+WeightSDS!W$30-0.010431*(1-1/$AG188),WeightSDS!M$32+WeightSDS!N$32/(1+EXP(WeightSDS!O$32+WeightSDS!P$32*$AG188))-0.010431*(1-$AG188/210))))</f>
        <v>2.9500001032655536</v>
      </c>
      <c r="AK188" s="24">
        <f>IF(D188="M",IF($AG188&lt;162,WeightSDS!P$12*$AG188^7+WeightSDS!Q$12*$AG188^6+WeightSDS!R$12*$AG188^5+WeightSDS!S$12*$AG188^4+WeightSDS!T$12*$AG188^3+WeightSDS!U$12*$AG188^2+WeightSDS!V$12*$AG188+WeightSDS!W$12,WeightSDS!P$14*$AG188^7+WeightSDS!Q$14*$AG188^6+WeightSDS!R$14*$AG188^5+WeightSDS!S$14*$AG188^4+WeightSDS!T$14*$AG188^3+WeightSDS!U$14*$AG188^2+WeightSDS!V$14*$AG188+WeightSDS!W$14),IF($AG188&lt;156,WeightSDS!O$17*$AG188^8+WeightSDS!P$17*$AG188^7+WeightSDS!Q$17*$AG188^6+WeightSDS!R$17*$AG188^5+WeightSDS!S$17*$AG188^4+WeightSDS!T$17*$AG188^3+WeightSDS!U$17*$AG188^2+WeightSDS!V$17*$AG188+WeightSDS!W$17,IF($AG188&lt;186,WeightSDS!$U$18+(WeightSDS!$V$18-WeightSDS!$U$18)/24*($AG188-186)+WeightSDS!$W$18*(-$AG188+186)^2-0.005,WeightSDS!$U$18+(WeightSDS!$V$18-WeightSDS!$U$18)/24*($AG188-186)-0.005)))</f>
        <v>0.14604529399999999</v>
      </c>
    </row>
    <row r="189" spans="1:37">
      <c r="A189" s="4"/>
      <c r="B189" s="21"/>
      <c r="C189" s="21"/>
      <c r="D189" s="21"/>
      <c r="E189" s="22"/>
      <c r="F189" s="22"/>
      <c r="G189" s="23"/>
      <c r="H189" s="23"/>
      <c r="I189" s="8" t="str">
        <f t="shared" si="34"/>
        <v/>
      </c>
      <c r="J189" s="2" t="str">
        <f t="shared" si="41"/>
        <v/>
      </c>
      <c r="K189" s="2" t="str">
        <f t="shared" si="35"/>
        <v/>
      </c>
      <c r="L189" s="2" t="str">
        <f t="shared" si="42"/>
        <v/>
      </c>
      <c r="M189" s="2" t="str">
        <f t="shared" si="47"/>
        <v/>
      </c>
      <c r="N189" s="2" t="str">
        <f t="shared" si="43"/>
        <v/>
      </c>
      <c r="O189" s="8" t="str">
        <f t="shared" si="44"/>
        <v/>
      </c>
      <c r="P189" s="8" t="str">
        <f t="shared" si="45"/>
        <v/>
      </c>
      <c r="Q189" s="40" t="str">
        <f t="shared" si="36"/>
        <v/>
      </c>
      <c r="R189" s="48" t="str">
        <f t="shared" si="46"/>
        <v/>
      </c>
      <c r="S189" s="8"/>
      <c r="U189" s="35">
        <f t="shared" si="37"/>
        <v>0</v>
      </c>
      <c r="V189" s="24">
        <f t="shared" si="38"/>
        <v>0</v>
      </c>
      <c r="W189" s="41">
        <f t="shared" si="49"/>
        <v>0</v>
      </c>
      <c r="X189" s="31"/>
      <c r="Y189" s="31"/>
      <c r="Z189" s="31"/>
      <c r="AA189" s="25">
        <f t="shared" si="39"/>
        <v>9.0359999999999996</v>
      </c>
      <c r="AB189" s="25">
        <f t="shared" si="40"/>
        <v>-184.49199999999999</v>
      </c>
      <c r="AD189" s="24">
        <f>IF(D189="M",IF(AG189&lt;78,BMILMS!$D$5*AG189^3+BMILMS!$E$5*AG189^2+BMILMS!$F$5*AG189+BMILMS!$G$5,IF(AG189&lt;150,BMILMS!$D$6*AG189^3+BMILMS!$E$6*AG189^2+BMILMS!$F$6*AG189+BMILMS!$G$6,BMILMS!$D$7*AG189^3+BMILMS!$E$7*AG189^2+BMILMS!$F$7*AG189+BMILMS!$G$7)),IF(AG189&lt;69,BMILMS!$D$9*AG189^3+BMILMS!$E$9*AG189^2+BMILMS!$F$9*AG189+BMILMS!$G$9,IF(AG189&lt;150,BMILMS!$D$10*AG189^3+BMILMS!$E$10*AG189^2+BMILMS!$F$10*AG189+BMILMS!$G$10,BMILMS!$D$11*AG189^3+BMILMS!$E$11*AG189^2+BMILMS!$F$11*AG189+BMILMS!$G$11)))</f>
        <v>0.79584630099999998</v>
      </c>
      <c r="AE189" s="24">
        <f>IF(D189="M",(IF(AG189&lt;2.5,BMILMS!$D$21*AG189^3+BMILMS!$E$21*AG189^2+BMILMS!$F$21*AG189+BMILMS!$G$21,IF(AG189&lt;9.5,BMILMS!$D$22*AG189^3+BMILMS!$E$22*AG189^2+BMILMS!$F$22*AG189+BMILMS!$G$22,IF(AG189&lt;26.75,BMILMS!$D$23*AG189^3+BMILMS!$E$23*AG189^2+BMILMS!$F$23*AG189+BMILMS!$G$23,IF(AG189&lt;90,BMILMS!$D$24*AG189^3+BMILMS!$E$24*AG189^2+BMILMS!$F$24*AG189+BMILMS!$G$24,BMILMS!$D$25*AG189^3+BMILMS!$E$25*AG189^2+BMILMS!$F$25*AG189+BMILMS!$G$25))))),(IF(AG189&lt;2.5,BMILMS!$D$27*AG189^3+BMILMS!$E$27*AG189^2+BMILMS!$F$27*AG189+BMILMS!$G$27,IF(AG189&lt;9.5,BMILMS!$D$28*AG189^3+BMILMS!$E$28*AG189^2+BMILMS!$F$28*AG189+BMILMS!$G$28,IF(AG189&lt;26.75,BMILMS!$D$29*AG189^3+BMILMS!$E$29*AG189^2+BMILMS!$F$29*AG189+BMILMS!$G$29,IF(AG189&lt;90,BMILMS!$D$30*AG189^3+BMILMS!$E$30*AG189^2+BMILMS!$F$30*AG189+BMILMS!$G$30,IF(AG189&lt;150,BMILMS!$D$31*AG189^3+BMILMS!$E$31*AG189^2+BMILMS!$F$31*AG189+BMILMS!$G$31,BMILMS!$D$32*AG189^3+BMILMS!$E$32*AG189^2+BMILMS!$F$32*AG189+BMILMS!$G$32)))))))</f>
        <v>12.568967990000001</v>
      </c>
      <c r="AF189" s="24">
        <f>IF(D189="M",(IF(AG189&lt;90,BMILMS!$D$14*AG189^3+BMILMS!$E$14*AG189^2+BMILMS!$F$14*AG189+BMILMS!$G$14,BMILMS!$D$15*AG189^3+BMILMS!$E$15*AG189^2+BMILMS!$F$15*AG189+BMILMS!$G$15)),(IF(AG189&lt;90,BMILMS!$D$17*AG189^3+BMILMS!$E$17*AG189^2+BMILMS!$F$17*AG189+BMILMS!$G$17,BMILMS!$D$18*AG189^3+BMILMS!$E$18*AG189^2+BMILMS!$F$18*AG189+BMILMS!$G$18)))</f>
        <v>8.8969350000000003E-2</v>
      </c>
      <c r="AG189" s="24">
        <f t="shared" si="48"/>
        <v>0</v>
      </c>
      <c r="AI189" s="38">
        <f>IF(D189="M",WeightSDS!P$5*$AG189^7+WeightSDS!Q$5*$AG189^6+WeightSDS!R$5*$AG189^5+WeightSDS!S$5*$AG189^4+WeightSDS!T$5*$AG189^3+WeightSDS!U$5*$AG189^2+WeightSDS!V$5*$AG189+WeightSDS!W$5,IF($AG189&lt;186,WeightSDS!P$8*$AG189^7+WeightSDS!Q$8*$AG189^6+WeightSDS!R$8*$AG189^5+WeightSDS!S$8*$AG189^4+WeightSDS!T$8*$AG189^3+WeightSDS!U$8*$AG189^2+WeightSDS!V$8*$AG189+WeightSDS!W$8,WeightSDS!$U$9-WeightSDS!$V$9*($AG189-WeightSDS!$W$9)))</f>
        <v>0.75407122999999998</v>
      </c>
      <c r="AJ189" s="24">
        <f>IF(D189="M",IF($AG189&lt;45,WeightSDS!M$23*$AG189^10+WeightSDS!N$23*$AG189^9+WeightSDS!O$23*$AG189^8+WeightSDS!P$23*$AG189^7+WeightSDS!Q$23*$AG189^6+WeightSDS!R$23*$AG189^5+WeightSDS!S$23*$AG189^4+WeightSDS!T$23*$AG189^3+WeightSDS!U$23*$AG189^2+WeightSDS!V$23*$AG189+WeightSDS!W$23,IF($AG189&lt;153,WeightSDS!M$25*$AG189^10+WeightSDS!N$25*$AG189^9+WeightSDS!O$25*$AG189^8+WeightSDS!P$25*$AG189^7+WeightSDS!Q$25*$AG189^6+WeightSDS!R$25*$AG189^5+WeightSDS!S$25*$AG189^4+WeightSDS!T$25*$AG189^3+WeightSDS!U$25*$AG189^2+WeightSDS!V$25*$AG189+WeightSDS!W$25,WeightSDS!M$27+WeightSDS!N$27/(1+EXP(WeightSDS!O$27+WeightSDS!P$27*$AG189)))),IF($AG189&lt;43.8,WeightSDS!M$29*$AG189^10+WeightSDS!N$29*$AG189^9+WeightSDS!O$29*$AG189^8+WeightSDS!P$29*$AG189^7+WeightSDS!Q$29*$AG189^6+WeightSDS!R$29*$AG189^5+WeightSDS!S$29*$AG189^4+WeightSDS!T$29*$AG189^3+WeightSDS!U$29*$AG189^2+WeightSDS!V$29*$AG189+WeightSDS!W$29-0.010431*(1-$AG189/210),IF($AG189&lt;123,WeightSDS!M$30*$AG189^10+WeightSDS!N$30*$AG189^9+WeightSDS!O$30*$AG189^8+WeightSDS!P$30*$AG189^7+WeightSDS!Q$30*$AG189^6+WeightSDS!R$30*$AG189^5+WeightSDS!S$30*$AG189^4+WeightSDS!T$30*$AG189^3+WeightSDS!U$30*$AG189^2+WeightSDS!V$30*$AG189+WeightSDS!W$30-0.010431*(1-1/$AG189),WeightSDS!M$32+WeightSDS!N$32/(1+EXP(WeightSDS!O$32+WeightSDS!P$32*$AG189))-0.010431*(1-$AG189/210))))</f>
        <v>2.9500001032655536</v>
      </c>
      <c r="AK189" s="24">
        <f>IF(D189="M",IF($AG189&lt;162,WeightSDS!P$12*$AG189^7+WeightSDS!Q$12*$AG189^6+WeightSDS!R$12*$AG189^5+WeightSDS!S$12*$AG189^4+WeightSDS!T$12*$AG189^3+WeightSDS!U$12*$AG189^2+WeightSDS!V$12*$AG189+WeightSDS!W$12,WeightSDS!P$14*$AG189^7+WeightSDS!Q$14*$AG189^6+WeightSDS!R$14*$AG189^5+WeightSDS!S$14*$AG189^4+WeightSDS!T$14*$AG189^3+WeightSDS!U$14*$AG189^2+WeightSDS!V$14*$AG189+WeightSDS!W$14),IF($AG189&lt;156,WeightSDS!O$17*$AG189^8+WeightSDS!P$17*$AG189^7+WeightSDS!Q$17*$AG189^6+WeightSDS!R$17*$AG189^5+WeightSDS!S$17*$AG189^4+WeightSDS!T$17*$AG189^3+WeightSDS!U$17*$AG189^2+WeightSDS!V$17*$AG189+WeightSDS!W$17,IF($AG189&lt;186,WeightSDS!$U$18+(WeightSDS!$V$18-WeightSDS!$U$18)/24*($AG189-186)+WeightSDS!$W$18*(-$AG189+186)^2-0.005,WeightSDS!$U$18+(WeightSDS!$V$18-WeightSDS!$U$18)/24*($AG189-186)-0.005)))</f>
        <v>0.14604529399999999</v>
      </c>
    </row>
    <row r="190" spans="1:37">
      <c r="A190" s="4"/>
      <c r="B190" s="21"/>
      <c r="C190" s="21"/>
      <c r="D190" s="21"/>
      <c r="E190" s="22"/>
      <c r="F190" s="22"/>
      <c r="G190" s="23"/>
      <c r="H190" s="23"/>
      <c r="I190" s="8" t="str">
        <f t="shared" si="34"/>
        <v/>
      </c>
      <c r="J190" s="2" t="str">
        <f t="shared" si="41"/>
        <v/>
      </c>
      <c r="K190" s="2" t="str">
        <f t="shared" si="35"/>
        <v/>
      </c>
      <c r="L190" s="2" t="str">
        <f t="shared" si="42"/>
        <v/>
      </c>
      <c r="M190" s="2" t="str">
        <f t="shared" si="47"/>
        <v/>
      </c>
      <c r="N190" s="2" t="str">
        <f t="shared" si="43"/>
        <v/>
      </c>
      <c r="O190" s="8" t="str">
        <f t="shared" si="44"/>
        <v/>
      </c>
      <c r="P190" s="8" t="str">
        <f t="shared" si="45"/>
        <v/>
      </c>
      <c r="Q190" s="40" t="str">
        <f t="shared" si="36"/>
        <v/>
      </c>
      <c r="R190" s="48" t="str">
        <f t="shared" si="46"/>
        <v/>
      </c>
      <c r="S190" s="8"/>
      <c r="U190" s="35">
        <f t="shared" si="37"/>
        <v>0</v>
      </c>
      <c r="V190" s="24">
        <f t="shared" si="38"/>
        <v>0</v>
      </c>
      <c r="W190" s="41">
        <f t="shared" si="49"/>
        <v>0</v>
      </c>
      <c r="X190" s="31"/>
      <c r="Y190" s="31"/>
      <c r="Z190" s="31"/>
      <c r="AA190" s="25">
        <f t="shared" si="39"/>
        <v>9.0359999999999996</v>
      </c>
      <c r="AB190" s="25">
        <f t="shared" si="40"/>
        <v>-184.49199999999999</v>
      </c>
      <c r="AD190" s="24">
        <f>IF(D190="M",IF(AG190&lt;78,BMILMS!$D$5*AG190^3+BMILMS!$E$5*AG190^2+BMILMS!$F$5*AG190+BMILMS!$G$5,IF(AG190&lt;150,BMILMS!$D$6*AG190^3+BMILMS!$E$6*AG190^2+BMILMS!$F$6*AG190+BMILMS!$G$6,BMILMS!$D$7*AG190^3+BMILMS!$E$7*AG190^2+BMILMS!$F$7*AG190+BMILMS!$G$7)),IF(AG190&lt;69,BMILMS!$D$9*AG190^3+BMILMS!$E$9*AG190^2+BMILMS!$F$9*AG190+BMILMS!$G$9,IF(AG190&lt;150,BMILMS!$D$10*AG190^3+BMILMS!$E$10*AG190^2+BMILMS!$F$10*AG190+BMILMS!$G$10,BMILMS!$D$11*AG190^3+BMILMS!$E$11*AG190^2+BMILMS!$F$11*AG190+BMILMS!$G$11)))</f>
        <v>0.79584630099999998</v>
      </c>
      <c r="AE190" s="24">
        <f>IF(D190="M",(IF(AG190&lt;2.5,BMILMS!$D$21*AG190^3+BMILMS!$E$21*AG190^2+BMILMS!$F$21*AG190+BMILMS!$G$21,IF(AG190&lt;9.5,BMILMS!$D$22*AG190^3+BMILMS!$E$22*AG190^2+BMILMS!$F$22*AG190+BMILMS!$G$22,IF(AG190&lt;26.75,BMILMS!$D$23*AG190^3+BMILMS!$E$23*AG190^2+BMILMS!$F$23*AG190+BMILMS!$G$23,IF(AG190&lt;90,BMILMS!$D$24*AG190^3+BMILMS!$E$24*AG190^2+BMILMS!$F$24*AG190+BMILMS!$G$24,BMILMS!$D$25*AG190^3+BMILMS!$E$25*AG190^2+BMILMS!$F$25*AG190+BMILMS!$G$25))))),(IF(AG190&lt;2.5,BMILMS!$D$27*AG190^3+BMILMS!$E$27*AG190^2+BMILMS!$F$27*AG190+BMILMS!$G$27,IF(AG190&lt;9.5,BMILMS!$D$28*AG190^3+BMILMS!$E$28*AG190^2+BMILMS!$F$28*AG190+BMILMS!$G$28,IF(AG190&lt;26.75,BMILMS!$D$29*AG190^3+BMILMS!$E$29*AG190^2+BMILMS!$F$29*AG190+BMILMS!$G$29,IF(AG190&lt;90,BMILMS!$D$30*AG190^3+BMILMS!$E$30*AG190^2+BMILMS!$F$30*AG190+BMILMS!$G$30,IF(AG190&lt;150,BMILMS!$D$31*AG190^3+BMILMS!$E$31*AG190^2+BMILMS!$F$31*AG190+BMILMS!$G$31,BMILMS!$D$32*AG190^3+BMILMS!$E$32*AG190^2+BMILMS!$F$32*AG190+BMILMS!$G$32)))))))</f>
        <v>12.568967990000001</v>
      </c>
      <c r="AF190" s="24">
        <f>IF(D190="M",(IF(AG190&lt;90,BMILMS!$D$14*AG190^3+BMILMS!$E$14*AG190^2+BMILMS!$F$14*AG190+BMILMS!$G$14,BMILMS!$D$15*AG190^3+BMILMS!$E$15*AG190^2+BMILMS!$F$15*AG190+BMILMS!$G$15)),(IF(AG190&lt;90,BMILMS!$D$17*AG190^3+BMILMS!$E$17*AG190^2+BMILMS!$F$17*AG190+BMILMS!$G$17,BMILMS!$D$18*AG190^3+BMILMS!$E$18*AG190^2+BMILMS!$F$18*AG190+BMILMS!$G$18)))</f>
        <v>8.8969350000000003E-2</v>
      </c>
      <c r="AG190" s="24">
        <f t="shared" si="48"/>
        <v>0</v>
      </c>
      <c r="AI190" s="38">
        <f>IF(D190="M",WeightSDS!P$5*$AG190^7+WeightSDS!Q$5*$AG190^6+WeightSDS!R$5*$AG190^5+WeightSDS!S$5*$AG190^4+WeightSDS!T$5*$AG190^3+WeightSDS!U$5*$AG190^2+WeightSDS!V$5*$AG190+WeightSDS!W$5,IF($AG190&lt;186,WeightSDS!P$8*$AG190^7+WeightSDS!Q$8*$AG190^6+WeightSDS!R$8*$AG190^5+WeightSDS!S$8*$AG190^4+WeightSDS!T$8*$AG190^3+WeightSDS!U$8*$AG190^2+WeightSDS!V$8*$AG190+WeightSDS!W$8,WeightSDS!$U$9-WeightSDS!$V$9*($AG190-WeightSDS!$W$9)))</f>
        <v>0.75407122999999998</v>
      </c>
      <c r="AJ190" s="24">
        <f>IF(D190="M",IF($AG190&lt;45,WeightSDS!M$23*$AG190^10+WeightSDS!N$23*$AG190^9+WeightSDS!O$23*$AG190^8+WeightSDS!P$23*$AG190^7+WeightSDS!Q$23*$AG190^6+WeightSDS!R$23*$AG190^5+WeightSDS!S$23*$AG190^4+WeightSDS!T$23*$AG190^3+WeightSDS!U$23*$AG190^2+WeightSDS!V$23*$AG190+WeightSDS!W$23,IF($AG190&lt;153,WeightSDS!M$25*$AG190^10+WeightSDS!N$25*$AG190^9+WeightSDS!O$25*$AG190^8+WeightSDS!P$25*$AG190^7+WeightSDS!Q$25*$AG190^6+WeightSDS!R$25*$AG190^5+WeightSDS!S$25*$AG190^4+WeightSDS!T$25*$AG190^3+WeightSDS!U$25*$AG190^2+WeightSDS!V$25*$AG190+WeightSDS!W$25,WeightSDS!M$27+WeightSDS!N$27/(1+EXP(WeightSDS!O$27+WeightSDS!P$27*$AG190)))),IF($AG190&lt;43.8,WeightSDS!M$29*$AG190^10+WeightSDS!N$29*$AG190^9+WeightSDS!O$29*$AG190^8+WeightSDS!P$29*$AG190^7+WeightSDS!Q$29*$AG190^6+WeightSDS!R$29*$AG190^5+WeightSDS!S$29*$AG190^4+WeightSDS!T$29*$AG190^3+WeightSDS!U$29*$AG190^2+WeightSDS!V$29*$AG190+WeightSDS!W$29-0.010431*(1-$AG190/210),IF($AG190&lt;123,WeightSDS!M$30*$AG190^10+WeightSDS!N$30*$AG190^9+WeightSDS!O$30*$AG190^8+WeightSDS!P$30*$AG190^7+WeightSDS!Q$30*$AG190^6+WeightSDS!R$30*$AG190^5+WeightSDS!S$30*$AG190^4+WeightSDS!T$30*$AG190^3+WeightSDS!U$30*$AG190^2+WeightSDS!V$30*$AG190+WeightSDS!W$30-0.010431*(1-1/$AG190),WeightSDS!M$32+WeightSDS!N$32/(1+EXP(WeightSDS!O$32+WeightSDS!P$32*$AG190))-0.010431*(1-$AG190/210))))</f>
        <v>2.9500001032655536</v>
      </c>
      <c r="AK190" s="24">
        <f>IF(D190="M",IF($AG190&lt;162,WeightSDS!P$12*$AG190^7+WeightSDS!Q$12*$AG190^6+WeightSDS!R$12*$AG190^5+WeightSDS!S$12*$AG190^4+WeightSDS!T$12*$AG190^3+WeightSDS!U$12*$AG190^2+WeightSDS!V$12*$AG190+WeightSDS!W$12,WeightSDS!P$14*$AG190^7+WeightSDS!Q$14*$AG190^6+WeightSDS!R$14*$AG190^5+WeightSDS!S$14*$AG190^4+WeightSDS!T$14*$AG190^3+WeightSDS!U$14*$AG190^2+WeightSDS!V$14*$AG190+WeightSDS!W$14),IF($AG190&lt;156,WeightSDS!O$17*$AG190^8+WeightSDS!P$17*$AG190^7+WeightSDS!Q$17*$AG190^6+WeightSDS!R$17*$AG190^5+WeightSDS!S$17*$AG190^4+WeightSDS!T$17*$AG190^3+WeightSDS!U$17*$AG190^2+WeightSDS!V$17*$AG190+WeightSDS!W$17,IF($AG190&lt;186,WeightSDS!$U$18+(WeightSDS!$V$18-WeightSDS!$U$18)/24*($AG190-186)+WeightSDS!$W$18*(-$AG190+186)^2-0.005,WeightSDS!$U$18+(WeightSDS!$V$18-WeightSDS!$U$18)/24*($AG190-186)-0.005)))</f>
        <v>0.14604529399999999</v>
      </c>
    </row>
    <row r="191" spans="1:37">
      <c r="A191" s="4"/>
      <c r="B191" s="21"/>
      <c r="C191" s="21"/>
      <c r="D191" s="21"/>
      <c r="E191" s="22"/>
      <c r="F191" s="22"/>
      <c r="G191" s="23"/>
      <c r="H191" s="23"/>
      <c r="I191" s="8" t="str">
        <f t="shared" si="34"/>
        <v/>
      </c>
      <c r="J191" s="2" t="str">
        <f t="shared" si="41"/>
        <v/>
      </c>
      <c r="K191" s="2" t="str">
        <f t="shared" si="35"/>
        <v/>
      </c>
      <c r="L191" s="2" t="str">
        <f t="shared" si="42"/>
        <v/>
      </c>
      <c r="M191" s="2" t="str">
        <f t="shared" si="47"/>
        <v/>
      </c>
      <c r="N191" s="2" t="str">
        <f t="shared" si="43"/>
        <v/>
      </c>
      <c r="O191" s="8" t="str">
        <f t="shared" si="44"/>
        <v/>
      </c>
      <c r="P191" s="8" t="str">
        <f t="shared" si="45"/>
        <v/>
      </c>
      <c r="Q191" s="40" t="str">
        <f t="shared" si="36"/>
        <v/>
      </c>
      <c r="R191" s="48" t="str">
        <f t="shared" si="46"/>
        <v/>
      </c>
      <c r="S191" s="8"/>
      <c r="U191" s="35">
        <f t="shared" si="37"/>
        <v>0</v>
      </c>
      <c r="V191" s="24">
        <f t="shared" si="38"/>
        <v>0</v>
      </c>
      <c r="W191" s="41">
        <f t="shared" si="49"/>
        <v>0</v>
      </c>
      <c r="X191" s="31"/>
      <c r="Y191" s="31"/>
      <c r="Z191" s="31"/>
      <c r="AA191" s="25">
        <f t="shared" si="39"/>
        <v>9.0359999999999996</v>
      </c>
      <c r="AB191" s="25">
        <f t="shared" si="40"/>
        <v>-184.49199999999999</v>
      </c>
      <c r="AD191" s="24">
        <f>IF(D191="M",IF(AG191&lt;78,BMILMS!$D$5*AG191^3+BMILMS!$E$5*AG191^2+BMILMS!$F$5*AG191+BMILMS!$G$5,IF(AG191&lt;150,BMILMS!$D$6*AG191^3+BMILMS!$E$6*AG191^2+BMILMS!$F$6*AG191+BMILMS!$G$6,BMILMS!$D$7*AG191^3+BMILMS!$E$7*AG191^2+BMILMS!$F$7*AG191+BMILMS!$G$7)),IF(AG191&lt;69,BMILMS!$D$9*AG191^3+BMILMS!$E$9*AG191^2+BMILMS!$F$9*AG191+BMILMS!$G$9,IF(AG191&lt;150,BMILMS!$D$10*AG191^3+BMILMS!$E$10*AG191^2+BMILMS!$F$10*AG191+BMILMS!$G$10,BMILMS!$D$11*AG191^3+BMILMS!$E$11*AG191^2+BMILMS!$F$11*AG191+BMILMS!$G$11)))</f>
        <v>0.79584630099999998</v>
      </c>
      <c r="AE191" s="24">
        <f>IF(D191="M",(IF(AG191&lt;2.5,BMILMS!$D$21*AG191^3+BMILMS!$E$21*AG191^2+BMILMS!$F$21*AG191+BMILMS!$G$21,IF(AG191&lt;9.5,BMILMS!$D$22*AG191^3+BMILMS!$E$22*AG191^2+BMILMS!$F$22*AG191+BMILMS!$G$22,IF(AG191&lt;26.75,BMILMS!$D$23*AG191^3+BMILMS!$E$23*AG191^2+BMILMS!$F$23*AG191+BMILMS!$G$23,IF(AG191&lt;90,BMILMS!$D$24*AG191^3+BMILMS!$E$24*AG191^2+BMILMS!$F$24*AG191+BMILMS!$G$24,BMILMS!$D$25*AG191^3+BMILMS!$E$25*AG191^2+BMILMS!$F$25*AG191+BMILMS!$G$25))))),(IF(AG191&lt;2.5,BMILMS!$D$27*AG191^3+BMILMS!$E$27*AG191^2+BMILMS!$F$27*AG191+BMILMS!$G$27,IF(AG191&lt;9.5,BMILMS!$D$28*AG191^3+BMILMS!$E$28*AG191^2+BMILMS!$F$28*AG191+BMILMS!$G$28,IF(AG191&lt;26.75,BMILMS!$D$29*AG191^3+BMILMS!$E$29*AG191^2+BMILMS!$F$29*AG191+BMILMS!$G$29,IF(AG191&lt;90,BMILMS!$D$30*AG191^3+BMILMS!$E$30*AG191^2+BMILMS!$F$30*AG191+BMILMS!$G$30,IF(AG191&lt;150,BMILMS!$D$31*AG191^3+BMILMS!$E$31*AG191^2+BMILMS!$F$31*AG191+BMILMS!$G$31,BMILMS!$D$32*AG191^3+BMILMS!$E$32*AG191^2+BMILMS!$F$32*AG191+BMILMS!$G$32)))))))</f>
        <v>12.568967990000001</v>
      </c>
      <c r="AF191" s="24">
        <f>IF(D191="M",(IF(AG191&lt;90,BMILMS!$D$14*AG191^3+BMILMS!$E$14*AG191^2+BMILMS!$F$14*AG191+BMILMS!$G$14,BMILMS!$D$15*AG191^3+BMILMS!$E$15*AG191^2+BMILMS!$F$15*AG191+BMILMS!$G$15)),(IF(AG191&lt;90,BMILMS!$D$17*AG191^3+BMILMS!$E$17*AG191^2+BMILMS!$F$17*AG191+BMILMS!$G$17,BMILMS!$D$18*AG191^3+BMILMS!$E$18*AG191^2+BMILMS!$F$18*AG191+BMILMS!$G$18)))</f>
        <v>8.8969350000000003E-2</v>
      </c>
      <c r="AG191" s="24">
        <f t="shared" si="48"/>
        <v>0</v>
      </c>
      <c r="AI191" s="38">
        <f>IF(D191="M",WeightSDS!P$5*$AG191^7+WeightSDS!Q$5*$AG191^6+WeightSDS!R$5*$AG191^5+WeightSDS!S$5*$AG191^4+WeightSDS!T$5*$AG191^3+WeightSDS!U$5*$AG191^2+WeightSDS!V$5*$AG191+WeightSDS!W$5,IF($AG191&lt;186,WeightSDS!P$8*$AG191^7+WeightSDS!Q$8*$AG191^6+WeightSDS!R$8*$AG191^5+WeightSDS!S$8*$AG191^4+WeightSDS!T$8*$AG191^3+WeightSDS!U$8*$AG191^2+WeightSDS!V$8*$AG191+WeightSDS!W$8,WeightSDS!$U$9-WeightSDS!$V$9*($AG191-WeightSDS!$W$9)))</f>
        <v>0.75407122999999998</v>
      </c>
      <c r="AJ191" s="24">
        <f>IF(D191="M",IF($AG191&lt;45,WeightSDS!M$23*$AG191^10+WeightSDS!N$23*$AG191^9+WeightSDS!O$23*$AG191^8+WeightSDS!P$23*$AG191^7+WeightSDS!Q$23*$AG191^6+WeightSDS!R$23*$AG191^5+WeightSDS!S$23*$AG191^4+WeightSDS!T$23*$AG191^3+WeightSDS!U$23*$AG191^2+WeightSDS!V$23*$AG191+WeightSDS!W$23,IF($AG191&lt;153,WeightSDS!M$25*$AG191^10+WeightSDS!N$25*$AG191^9+WeightSDS!O$25*$AG191^8+WeightSDS!P$25*$AG191^7+WeightSDS!Q$25*$AG191^6+WeightSDS!R$25*$AG191^5+WeightSDS!S$25*$AG191^4+WeightSDS!T$25*$AG191^3+WeightSDS!U$25*$AG191^2+WeightSDS!V$25*$AG191+WeightSDS!W$25,WeightSDS!M$27+WeightSDS!N$27/(1+EXP(WeightSDS!O$27+WeightSDS!P$27*$AG191)))),IF($AG191&lt;43.8,WeightSDS!M$29*$AG191^10+WeightSDS!N$29*$AG191^9+WeightSDS!O$29*$AG191^8+WeightSDS!P$29*$AG191^7+WeightSDS!Q$29*$AG191^6+WeightSDS!R$29*$AG191^5+WeightSDS!S$29*$AG191^4+WeightSDS!T$29*$AG191^3+WeightSDS!U$29*$AG191^2+WeightSDS!V$29*$AG191+WeightSDS!W$29-0.010431*(1-$AG191/210),IF($AG191&lt;123,WeightSDS!M$30*$AG191^10+WeightSDS!N$30*$AG191^9+WeightSDS!O$30*$AG191^8+WeightSDS!P$30*$AG191^7+WeightSDS!Q$30*$AG191^6+WeightSDS!R$30*$AG191^5+WeightSDS!S$30*$AG191^4+WeightSDS!T$30*$AG191^3+WeightSDS!U$30*$AG191^2+WeightSDS!V$30*$AG191+WeightSDS!W$30-0.010431*(1-1/$AG191),WeightSDS!M$32+WeightSDS!N$32/(1+EXP(WeightSDS!O$32+WeightSDS!P$32*$AG191))-0.010431*(1-$AG191/210))))</f>
        <v>2.9500001032655536</v>
      </c>
      <c r="AK191" s="24">
        <f>IF(D191="M",IF($AG191&lt;162,WeightSDS!P$12*$AG191^7+WeightSDS!Q$12*$AG191^6+WeightSDS!R$12*$AG191^5+WeightSDS!S$12*$AG191^4+WeightSDS!T$12*$AG191^3+WeightSDS!U$12*$AG191^2+WeightSDS!V$12*$AG191+WeightSDS!W$12,WeightSDS!P$14*$AG191^7+WeightSDS!Q$14*$AG191^6+WeightSDS!R$14*$AG191^5+WeightSDS!S$14*$AG191^4+WeightSDS!T$14*$AG191^3+WeightSDS!U$14*$AG191^2+WeightSDS!V$14*$AG191+WeightSDS!W$14),IF($AG191&lt;156,WeightSDS!O$17*$AG191^8+WeightSDS!P$17*$AG191^7+WeightSDS!Q$17*$AG191^6+WeightSDS!R$17*$AG191^5+WeightSDS!S$17*$AG191^4+WeightSDS!T$17*$AG191^3+WeightSDS!U$17*$AG191^2+WeightSDS!V$17*$AG191+WeightSDS!W$17,IF($AG191&lt;186,WeightSDS!$U$18+(WeightSDS!$V$18-WeightSDS!$U$18)/24*($AG191-186)+WeightSDS!$W$18*(-$AG191+186)^2-0.005,WeightSDS!$U$18+(WeightSDS!$V$18-WeightSDS!$U$18)/24*($AG191-186)-0.005)))</f>
        <v>0.14604529399999999</v>
      </c>
    </row>
    <row r="192" spans="1:37">
      <c r="A192" s="4"/>
      <c r="B192" s="21"/>
      <c r="C192" s="21"/>
      <c r="D192" s="21"/>
      <c r="E192" s="22"/>
      <c r="F192" s="22"/>
      <c r="G192" s="23"/>
      <c r="H192" s="23"/>
      <c r="I192" s="8" t="str">
        <f t="shared" si="34"/>
        <v/>
      </c>
      <c r="J192" s="2" t="str">
        <f t="shared" si="41"/>
        <v/>
      </c>
      <c r="K192" s="2" t="str">
        <f t="shared" si="35"/>
        <v/>
      </c>
      <c r="L192" s="2" t="str">
        <f t="shared" si="42"/>
        <v/>
      </c>
      <c r="M192" s="2" t="str">
        <f t="shared" si="47"/>
        <v/>
      </c>
      <c r="N192" s="2" t="str">
        <f t="shared" si="43"/>
        <v/>
      </c>
      <c r="O192" s="8" t="str">
        <f t="shared" si="44"/>
        <v/>
      </c>
      <c r="P192" s="8" t="str">
        <f t="shared" si="45"/>
        <v/>
      </c>
      <c r="Q192" s="40" t="str">
        <f t="shared" si="36"/>
        <v/>
      </c>
      <c r="R192" s="48" t="str">
        <f t="shared" si="46"/>
        <v/>
      </c>
      <c r="S192" s="8"/>
      <c r="U192" s="35">
        <f t="shared" si="37"/>
        <v>0</v>
      </c>
      <c r="V192" s="24">
        <f t="shared" si="38"/>
        <v>0</v>
      </c>
      <c r="W192" s="41">
        <f t="shared" si="49"/>
        <v>0</v>
      </c>
      <c r="X192" s="31"/>
      <c r="Y192" s="31"/>
      <c r="Z192" s="31"/>
      <c r="AA192" s="25">
        <f t="shared" si="39"/>
        <v>9.0359999999999996</v>
      </c>
      <c r="AB192" s="25">
        <f t="shared" si="40"/>
        <v>-184.49199999999999</v>
      </c>
      <c r="AD192" s="24">
        <f>IF(D192="M",IF(AG192&lt;78,BMILMS!$D$5*AG192^3+BMILMS!$E$5*AG192^2+BMILMS!$F$5*AG192+BMILMS!$G$5,IF(AG192&lt;150,BMILMS!$D$6*AG192^3+BMILMS!$E$6*AG192^2+BMILMS!$F$6*AG192+BMILMS!$G$6,BMILMS!$D$7*AG192^3+BMILMS!$E$7*AG192^2+BMILMS!$F$7*AG192+BMILMS!$G$7)),IF(AG192&lt;69,BMILMS!$D$9*AG192^3+BMILMS!$E$9*AG192^2+BMILMS!$F$9*AG192+BMILMS!$G$9,IF(AG192&lt;150,BMILMS!$D$10*AG192^3+BMILMS!$E$10*AG192^2+BMILMS!$F$10*AG192+BMILMS!$G$10,BMILMS!$D$11*AG192^3+BMILMS!$E$11*AG192^2+BMILMS!$F$11*AG192+BMILMS!$G$11)))</f>
        <v>0.79584630099999998</v>
      </c>
      <c r="AE192" s="24">
        <f>IF(D192="M",(IF(AG192&lt;2.5,BMILMS!$D$21*AG192^3+BMILMS!$E$21*AG192^2+BMILMS!$F$21*AG192+BMILMS!$G$21,IF(AG192&lt;9.5,BMILMS!$D$22*AG192^3+BMILMS!$E$22*AG192^2+BMILMS!$F$22*AG192+BMILMS!$G$22,IF(AG192&lt;26.75,BMILMS!$D$23*AG192^3+BMILMS!$E$23*AG192^2+BMILMS!$F$23*AG192+BMILMS!$G$23,IF(AG192&lt;90,BMILMS!$D$24*AG192^3+BMILMS!$E$24*AG192^2+BMILMS!$F$24*AG192+BMILMS!$G$24,BMILMS!$D$25*AG192^3+BMILMS!$E$25*AG192^2+BMILMS!$F$25*AG192+BMILMS!$G$25))))),(IF(AG192&lt;2.5,BMILMS!$D$27*AG192^3+BMILMS!$E$27*AG192^2+BMILMS!$F$27*AG192+BMILMS!$G$27,IF(AG192&lt;9.5,BMILMS!$D$28*AG192^3+BMILMS!$E$28*AG192^2+BMILMS!$F$28*AG192+BMILMS!$G$28,IF(AG192&lt;26.75,BMILMS!$D$29*AG192^3+BMILMS!$E$29*AG192^2+BMILMS!$F$29*AG192+BMILMS!$G$29,IF(AG192&lt;90,BMILMS!$D$30*AG192^3+BMILMS!$E$30*AG192^2+BMILMS!$F$30*AG192+BMILMS!$G$30,IF(AG192&lt;150,BMILMS!$D$31*AG192^3+BMILMS!$E$31*AG192^2+BMILMS!$F$31*AG192+BMILMS!$G$31,BMILMS!$D$32*AG192^3+BMILMS!$E$32*AG192^2+BMILMS!$F$32*AG192+BMILMS!$G$32)))))))</f>
        <v>12.568967990000001</v>
      </c>
      <c r="AF192" s="24">
        <f>IF(D192="M",(IF(AG192&lt;90,BMILMS!$D$14*AG192^3+BMILMS!$E$14*AG192^2+BMILMS!$F$14*AG192+BMILMS!$G$14,BMILMS!$D$15*AG192^3+BMILMS!$E$15*AG192^2+BMILMS!$F$15*AG192+BMILMS!$G$15)),(IF(AG192&lt;90,BMILMS!$D$17*AG192^3+BMILMS!$E$17*AG192^2+BMILMS!$F$17*AG192+BMILMS!$G$17,BMILMS!$D$18*AG192^3+BMILMS!$E$18*AG192^2+BMILMS!$F$18*AG192+BMILMS!$G$18)))</f>
        <v>8.8969350000000003E-2</v>
      </c>
      <c r="AG192" s="24">
        <f t="shared" si="48"/>
        <v>0</v>
      </c>
      <c r="AI192" s="38">
        <f>IF(D192="M",WeightSDS!P$5*$AG192^7+WeightSDS!Q$5*$AG192^6+WeightSDS!R$5*$AG192^5+WeightSDS!S$5*$AG192^4+WeightSDS!T$5*$AG192^3+WeightSDS!U$5*$AG192^2+WeightSDS!V$5*$AG192+WeightSDS!W$5,IF($AG192&lt;186,WeightSDS!P$8*$AG192^7+WeightSDS!Q$8*$AG192^6+WeightSDS!R$8*$AG192^5+WeightSDS!S$8*$AG192^4+WeightSDS!T$8*$AG192^3+WeightSDS!U$8*$AG192^2+WeightSDS!V$8*$AG192+WeightSDS!W$8,WeightSDS!$U$9-WeightSDS!$V$9*($AG192-WeightSDS!$W$9)))</f>
        <v>0.75407122999999998</v>
      </c>
      <c r="AJ192" s="24">
        <f>IF(D192="M",IF($AG192&lt;45,WeightSDS!M$23*$AG192^10+WeightSDS!N$23*$AG192^9+WeightSDS!O$23*$AG192^8+WeightSDS!P$23*$AG192^7+WeightSDS!Q$23*$AG192^6+WeightSDS!R$23*$AG192^5+WeightSDS!S$23*$AG192^4+WeightSDS!T$23*$AG192^3+WeightSDS!U$23*$AG192^2+WeightSDS!V$23*$AG192+WeightSDS!W$23,IF($AG192&lt;153,WeightSDS!M$25*$AG192^10+WeightSDS!N$25*$AG192^9+WeightSDS!O$25*$AG192^8+WeightSDS!P$25*$AG192^7+WeightSDS!Q$25*$AG192^6+WeightSDS!R$25*$AG192^5+WeightSDS!S$25*$AG192^4+WeightSDS!T$25*$AG192^3+WeightSDS!U$25*$AG192^2+WeightSDS!V$25*$AG192+WeightSDS!W$25,WeightSDS!M$27+WeightSDS!N$27/(1+EXP(WeightSDS!O$27+WeightSDS!P$27*$AG192)))),IF($AG192&lt;43.8,WeightSDS!M$29*$AG192^10+WeightSDS!N$29*$AG192^9+WeightSDS!O$29*$AG192^8+WeightSDS!P$29*$AG192^7+WeightSDS!Q$29*$AG192^6+WeightSDS!R$29*$AG192^5+WeightSDS!S$29*$AG192^4+WeightSDS!T$29*$AG192^3+WeightSDS!U$29*$AG192^2+WeightSDS!V$29*$AG192+WeightSDS!W$29-0.010431*(1-$AG192/210),IF($AG192&lt;123,WeightSDS!M$30*$AG192^10+WeightSDS!N$30*$AG192^9+WeightSDS!O$30*$AG192^8+WeightSDS!P$30*$AG192^7+WeightSDS!Q$30*$AG192^6+WeightSDS!R$30*$AG192^5+WeightSDS!S$30*$AG192^4+WeightSDS!T$30*$AG192^3+WeightSDS!U$30*$AG192^2+WeightSDS!V$30*$AG192+WeightSDS!W$30-0.010431*(1-1/$AG192),WeightSDS!M$32+WeightSDS!N$32/(1+EXP(WeightSDS!O$32+WeightSDS!P$32*$AG192))-0.010431*(1-$AG192/210))))</f>
        <v>2.9500001032655536</v>
      </c>
      <c r="AK192" s="24">
        <f>IF(D192="M",IF($AG192&lt;162,WeightSDS!P$12*$AG192^7+WeightSDS!Q$12*$AG192^6+WeightSDS!R$12*$AG192^5+WeightSDS!S$12*$AG192^4+WeightSDS!T$12*$AG192^3+WeightSDS!U$12*$AG192^2+WeightSDS!V$12*$AG192+WeightSDS!W$12,WeightSDS!P$14*$AG192^7+WeightSDS!Q$14*$AG192^6+WeightSDS!R$14*$AG192^5+WeightSDS!S$14*$AG192^4+WeightSDS!T$14*$AG192^3+WeightSDS!U$14*$AG192^2+WeightSDS!V$14*$AG192+WeightSDS!W$14),IF($AG192&lt;156,WeightSDS!O$17*$AG192^8+WeightSDS!P$17*$AG192^7+WeightSDS!Q$17*$AG192^6+WeightSDS!R$17*$AG192^5+WeightSDS!S$17*$AG192^4+WeightSDS!T$17*$AG192^3+WeightSDS!U$17*$AG192^2+WeightSDS!V$17*$AG192+WeightSDS!W$17,IF($AG192&lt;186,WeightSDS!$U$18+(WeightSDS!$V$18-WeightSDS!$U$18)/24*($AG192-186)+WeightSDS!$W$18*(-$AG192+186)^2-0.005,WeightSDS!$U$18+(WeightSDS!$V$18-WeightSDS!$U$18)/24*($AG192-186)-0.005)))</f>
        <v>0.14604529399999999</v>
      </c>
    </row>
    <row r="193" spans="1:37">
      <c r="A193" s="4"/>
      <c r="B193" s="21"/>
      <c r="C193" s="21"/>
      <c r="D193" s="21"/>
      <c r="E193" s="22"/>
      <c r="F193" s="22"/>
      <c r="G193" s="23"/>
      <c r="H193" s="23"/>
      <c r="I193" s="8" t="str">
        <f t="shared" si="34"/>
        <v/>
      </c>
      <c r="J193" s="2" t="str">
        <f t="shared" si="41"/>
        <v/>
      </c>
      <c r="K193" s="2" t="str">
        <f t="shared" si="35"/>
        <v/>
      </c>
      <c r="L193" s="2" t="str">
        <f t="shared" si="42"/>
        <v/>
      </c>
      <c r="M193" s="2" t="str">
        <f t="shared" si="47"/>
        <v/>
      </c>
      <c r="N193" s="2" t="str">
        <f t="shared" si="43"/>
        <v/>
      </c>
      <c r="O193" s="8" t="str">
        <f t="shared" si="44"/>
        <v/>
      </c>
      <c r="P193" s="8" t="str">
        <f t="shared" si="45"/>
        <v/>
      </c>
      <c r="Q193" s="40" t="str">
        <f t="shared" si="36"/>
        <v/>
      </c>
      <c r="R193" s="48" t="str">
        <f t="shared" si="46"/>
        <v/>
      </c>
      <c r="S193" s="8"/>
      <c r="U193" s="35">
        <f t="shared" si="37"/>
        <v>0</v>
      </c>
      <c r="V193" s="24">
        <f t="shared" si="38"/>
        <v>0</v>
      </c>
      <c r="W193" s="41">
        <f t="shared" si="49"/>
        <v>0</v>
      </c>
      <c r="X193" s="31"/>
      <c r="Y193" s="31"/>
      <c r="Z193" s="31"/>
      <c r="AA193" s="25">
        <f t="shared" si="39"/>
        <v>9.0359999999999996</v>
      </c>
      <c r="AB193" s="25">
        <f t="shared" si="40"/>
        <v>-184.49199999999999</v>
      </c>
      <c r="AD193" s="24">
        <f>IF(D193="M",IF(AG193&lt;78,BMILMS!$D$5*AG193^3+BMILMS!$E$5*AG193^2+BMILMS!$F$5*AG193+BMILMS!$G$5,IF(AG193&lt;150,BMILMS!$D$6*AG193^3+BMILMS!$E$6*AG193^2+BMILMS!$F$6*AG193+BMILMS!$G$6,BMILMS!$D$7*AG193^3+BMILMS!$E$7*AG193^2+BMILMS!$F$7*AG193+BMILMS!$G$7)),IF(AG193&lt;69,BMILMS!$D$9*AG193^3+BMILMS!$E$9*AG193^2+BMILMS!$F$9*AG193+BMILMS!$G$9,IF(AG193&lt;150,BMILMS!$D$10*AG193^3+BMILMS!$E$10*AG193^2+BMILMS!$F$10*AG193+BMILMS!$G$10,BMILMS!$D$11*AG193^3+BMILMS!$E$11*AG193^2+BMILMS!$F$11*AG193+BMILMS!$G$11)))</f>
        <v>0.79584630099999998</v>
      </c>
      <c r="AE193" s="24">
        <f>IF(D193="M",(IF(AG193&lt;2.5,BMILMS!$D$21*AG193^3+BMILMS!$E$21*AG193^2+BMILMS!$F$21*AG193+BMILMS!$G$21,IF(AG193&lt;9.5,BMILMS!$D$22*AG193^3+BMILMS!$E$22*AG193^2+BMILMS!$F$22*AG193+BMILMS!$G$22,IF(AG193&lt;26.75,BMILMS!$D$23*AG193^3+BMILMS!$E$23*AG193^2+BMILMS!$F$23*AG193+BMILMS!$G$23,IF(AG193&lt;90,BMILMS!$D$24*AG193^3+BMILMS!$E$24*AG193^2+BMILMS!$F$24*AG193+BMILMS!$G$24,BMILMS!$D$25*AG193^3+BMILMS!$E$25*AG193^2+BMILMS!$F$25*AG193+BMILMS!$G$25))))),(IF(AG193&lt;2.5,BMILMS!$D$27*AG193^3+BMILMS!$E$27*AG193^2+BMILMS!$F$27*AG193+BMILMS!$G$27,IF(AG193&lt;9.5,BMILMS!$D$28*AG193^3+BMILMS!$E$28*AG193^2+BMILMS!$F$28*AG193+BMILMS!$G$28,IF(AG193&lt;26.75,BMILMS!$D$29*AG193^3+BMILMS!$E$29*AG193^2+BMILMS!$F$29*AG193+BMILMS!$G$29,IF(AG193&lt;90,BMILMS!$D$30*AG193^3+BMILMS!$E$30*AG193^2+BMILMS!$F$30*AG193+BMILMS!$G$30,IF(AG193&lt;150,BMILMS!$D$31*AG193^3+BMILMS!$E$31*AG193^2+BMILMS!$F$31*AG193+BMILMS!$G$31,BMILMS!$D$32*AG193^3+BMILMS!$E$32*AG193^2+BMILMS!$F$32*AG193+BMILMS!$G$32)))))))</f>
        <v>12.568967990000001</v>
      </c>
      <c r="AF193" s="24">
        <f>IF(D193="M",(IF(AG193&lt;90,BMILMS!$D$14*AG193^3+BMILMS!$E$14*AG193^2+BMILMS!$F$14*AG193+BMILMS!$G$14,BMILMS!$D$15*AG193^3+BMILMS!$E$15*AG193^2+BMILMS!$F$15*AG193+BMILMS!$G$15)),(IF(AG193&lt;90,BMILMS!$D$17*AG193^3+BMILMS!$E$17*AG193^2+BMILMS!$F$17*AG193+BMILMS!$G$17,BMILMS!$D$18*AG193^3+BMILMS!$E$18*AG193^2+BMILMS!$F$18*AG193+BMILMS!$G$18)))</f>
        <v>8.8969350000000003E-2</v>
      </c>
      <c r="AG193" s="24">
        <f t="shared" si="48"/>
        <v>0</v>
      </c>
      <c r="AI193" s="38">
        <f>IF(D193="M",WeightSDS!P$5*$AG193^7+WeightSDS!Q$5*$AG193^6+WeightSDS!R$5*$AG193^5+WeightSDS!S$5*$AG193^4+WeightSDS!T$5*$AG193^3+WeightSDS!U$5*$AG193^2+WeightSDS!V$5*$AG193+WeightSDS!W$5,IF($AG193&lt;186,WeightSDS!P$8*$AG193^7+WeightSDS!Q$8*$AG193^6+WeightSDS!R$8*$AG193^5+WeightSDS!S$8*$AG193^4+WeightSDS!T$8*$AG193^3+WeightSDS!U$8*$AG193^2+WeightSDS!V$8*$AG193+WeightSDS!W$8,WeightSDS!$U$9-WeightSDS!$V$9*($AG193-WeightSDS!$W$9)))</f>
        <v>0.75407122999999998</v>
      </c>
      <c r="AJ193" s="24">
        <f>IF(D193="M",IF($AG193&lt;45,WeightSDS!M$23*$AG193^10+WeightSDS!N$23*$AG193^9+WeightSDS!O$23*$AG193^8+WeightSDS!P$23*$AG193^7+WeightSDS!Q$23*$AG193^6+WeightSDS!R$23*$AG193^5+WeightSDS!S$23*$AG193^4+WeightSDS!T$23*$AG193^3+WeightSDS!U$23*$AG193^2+WeightSDS!V$23*$AG193+WeightSDS!W$23,IF($AG193&lt;153,WeightSDS!M$25*$AG193^10+WeightSDS!N$25*$AG193^9+WeightSDS!O$25*$AG193^8+WeightSDS!P$25*$AG193^7+WeightSDS!Q$25*$AG193^6+WeightSDS!R$25*$AG193^5+WeightSDS!S$25*$AG193^4+WeightSDS!T$25*$AG193^3+WeightSDS!U$25*$AG193^2+WeightSDS!V$25*$AG193+WeightSDS!W$25,WeightSDS!M$27+WeightSDS!N$27/(1+EXP(WeightSDS!O$27+WeightSDS!P$27*$AG193)))),IF($AG193&lt;43.8,WeightSDS!M$29*$AG193^10+WeightSDS!N$29*$AG193^9+WeightSDS!O$29*$AG193^8+WeightSDS!P$29*$AG193^7+WeightSDS!Q$29*$AG193^6+WeightSDS!R$29*$AG193^5+WeightSDS!S$29*$AG193^4+WeightSDS!T$29*$AG193^3+WeightSDS!U$29*$AG193^2+WeightSDS!V$29*$AG193+WeightSDS!W$29-0.010431*(1-$AG193/210),IF($AG193&lt;123,WeightSDS!M$30*$AG193^10+WeightSDS!N$30*$AG193^9+WeightSDS!O$30*$AG193^8+WeightSDS!P$30*$AG193^7+WeightSDS!Q$30*$AG193^6+WeightSDS!R$30*$AG193^5+WeightSDS!S$30*$AG193^4+WeightSDS!T$30*$AG193^3+WeightSDS!U$30*$AG193^2+WeightSDS!V$30*$AG193+WeightSDS!W$30-0.010431*(1-1/$AG193),WeightSDS!M$32+WeightSDS!N$32/(1+EXP(WeightSDS!O$32+WeightSDS!P$32*$AG193))-0.010431*(1-$AG193/210))))</f>
        <v>2.9500001032655536</v>
      </c>
      <c r="AK193" s="24">
        <f>IF(D193="M",IF($AG193&lt;162,WeightSDS!P$12*$AG193^7+WeightSDS!Q$12*$AG193^6+WeightSDS!R$12*$AG193^5+WeightSDS!S$12*$AG193^4+WeightSDS!T$12*$AG193^3+WeightSDS!U$12*$AG193^2+WeightSDS!V$12*$AG193+WeightSDS!W$12,WeightSDS!P$14*$AG193^7+WeightSDS!Q$14*$AG193^6+WeightSDS!R$14*$AG193^5+WeightSDS!S$14*$AG193^4+WeightSDS!T$14*$AG193^3+WeightSDS!U$14*$AG193^2+WeightSDS!V$14*$AG193+WeightSDS!W$14),IF($AG193&lt;156,WeightSDS!O$17*$AG193^8+WeightSDS!P$17*$AG193^7+WeightSDS!Q$17*$AG193^6+WeightSDS!R$17*$AG193^5+WeightSDS!S$17*$AG193^4+WeightSDS!T$17*$AG193^3+WeightSDS!U$17*$AG193^2+WeightSDS!V$17*$AG193+WeightSDS!W$17,IF($AG193&lt;186,WeightSDS!$U$18+(WeightSDS!$V$18-WeightSDS!$U$18)/24*($AG193-186)+WeightSDS!$W$18*(-$AG193+186)^2-0.005,WeightSDS!$U$18+(WeightSDS!$V$18-WeightSDS!$U$18)/24*($AG193-186)-0.005)))</f>
        <v>0.14604529399999999</v>
      </c>
    </row>
    <row r="194" spans="1:37">
      <c r="A194" s="4"/>
      <c r="B194" s="21"/>
      <c r="C194" s="21"/>
      <c r="D194" s="21"/>
      <c r="E194" s="22"/>
      <c r="F194" s="22"/>
      <c r="G194" s="23"/>
      <c r="H194" s="23"/>
      <c r="I194" s="8" t="str">
        <f t="shared" si="34"/>
        <v/>
      </c>
      <c r="J194" s="2" t="str">
        <f t="shared" si="41"/>
        <v/>
      </c>
      <c r="K194" s="2" t="str">
        <f t="shared" si="35"/>
        <v/>
      </c>
      <c r="L194" s="2" t="str">
        <f t="shared" si="42"/>
        <v/>
      </c>
      <c r="M194" s="2" t="str">
        <f t="shared" si="47"/>
        <v/>
      </c>
      <c r="N194" s="2" t="str">
        <f t="shared" si="43"/>
        <v/>
      </c>
      <c r="O194" s="8" t="str">
        <f t="shared" si="44"/>
        <v/>
      </c>
      <c r="P194" s="8" t="str">
        <f t="shared" si="45"/>
        <v/>
      </c>
      <c r="Q194" s="40" t="str">
        <f t="shared" si="36"/>
        <v/>
      </c>
      <c r="R194" s="48" t="str">
        <f t="shared" si="46"/>
        <v/>
      </c>
      <c r="S194" s="8"/>
      <c r="U194" s="35">
        <f t="shared" si="37"/>
        <v>0</v>
      </c>
      <c r="V194" s="24">
        <f t="shared" si="38"/>
        <v>0</v>
      </c>
      <c r="W194" s="41">
        <f t="shared" si="49"/>
        <v>0</v>
      </c>
      <c r="X194" s="31"/>
      <c r="Y194" s="31"/>
      <c r="Z194" s="31"/>
      <c r="AA194" s="25">
        <f t="shared" si="39"/>
        <v>9.0359999999999996</v>
      </c>
      <c r="AB194" s="25">
        <f t="shared" si="40"/>
        <v>-184.49199999999999</v>
      </c>
      <c r="AD194" s="24">
        <f>IF(D194="M",IF(AG194&lt;78,BMILMS!$D$5*AG194^3+BMILMS!$E$5*AG194^2+BMILMS!$F$5*AG194+BMILMS!$G$5,IF(AG194&lt;150,BMILMS!$D$6*AG194^3+BMILMS!$E$6*AG194^2+BMILMS!$F$6*AG194+BMILMS!$G$6,BMILMS!$D$7*AG194^3+BMILMS!$E$7*AG194^2+BMILMS!$F$7*AG194+BMILMS!$G$7)),IF(AG194&lt;69,BMILMS!$D$9*AG194^3+BMILMS!$E$9*AG194^2+BMILMS!$F$9*AG194+BMILMS!$G$9,IF(AG194&lt;150,BMILMS!$D$10*AG194^3+BMILMS!$E$10*AG194^2+BMILMS!$F$10*AG194+BMILMS!$G$10,BMILMS!$D$11*AG194^3+BMILMS!$E$11*AG194^2+BMILMS!$F$11*AG194+BMILMS!$G$11)))</f>
        <v>0.79584630099999998</v>
      </c>
      <c r="AE194" s="24">
        <f>IF(D194="M",(IF(AG194&lt;2.5,BMILMS!$D$21*AG194^3+BMILMS!$E$21*AG194^2+BMILMS!$F$21*AG194+BMILMS!$G$21,IF(AG194&lt;9.5,BMILMS!$D$22*AG194^3+BMILMS!$E$22*AG194^2+BMILMS!$F$22*AG194+BMILMS!$G$22,IF(AG194&lt;26.75,BMILMS!$D$23*AG194^3+BMILMS!$E$23*AG194^2+BMILMS!$F$23*AG194+BMILMS!$G$23,IF(AG194&lt;90,BMILMS!$D$24*AG194^3+BMILMS!$E$24*AG194^2+BMILMS!$F$24*AG194+BMILMS!$G$24,BMILMS!$D$25*AG194^3+BMILMS!$E$25*AG194^2+BMILMS!$F$25*AG194+BMILMS!$G$25))))),(IF(AG194&lt;2.5,BMILMS!$D$27*AG194^3+BMILMS!$E$27*AG194^2+BMILMS!$F$27*AG194+BMILMS!$G$27,IF(AG194&lt;9.5,BMILMS!$D$28*AG194^3+BMILMS!$E$28*AG194^2+BMILMS!$F$28*AG194+BMILMS!$G$28,IF(AG194&lt;26.75,BMILMS!$D$29*AG194^3+BMILMS!$E$29*AG194^2+BMILMS!$F$29*AG194+BMILMS!$G$29,IF(AG194&lt;90,BMILMS!$D$30*AG194^3+BMILMS!$E$30*AG194^2+BMILMS!$F$30*AG194+BMILMS!$G$30,IF(AG194&lt;150,BMILMS!$D$31*AG194^3+BMILMS!$E$31*AG194^2+BMILMS!$F$31*AG194+BMILMS!$G$31,BMILMS!$D$32*AG194^3+BMILMS!$E$32*AG194^2+BMILMS!$F$32*AG194+BMILMS!$G$32)))))))</f>
        <v>12.568967990000001</v>
      </c>
      <c r="AF194" s="24">
        <f>IF(D194="M",(IF(AG194&lt;90,BMILMS!$D$14*AG194^3+BMILMS!$E$14*AG194^2+BMILMS!$F$14*AG194+BMILMS!$G$14,BMILMS!$D$15*AG194^3+BMILMS!$E$15*AG194^2+BMILMS!$F$15*AG194+BMILMS!$G$15)),(IF(AG194&lt;90,BMILMS!$D$17*AG194^3+BMILMS!$E$17*AG194^2+BMILMS!$F$17*AG194+BMILMS!$G$17,BMILMS!$D$18*AG194^3+BMILMS!$E$18*AG194^2+BMILMS!$F$18*AG194+BMILMS!$G$18)))</f>
        <v>8.8969350000000003E-2</v>
      </c>
      <c r="AG194" s="24">
        <f t="shared" si="48"/>
        <v>0</v>
      </c>
      <c r="AI194" s="38">
        <f>IF(D194="M",WeightSDS!P$5*$AG194^7+WeightSDS!Q$5*$AG194^6+WeightSDS!R$5*$AG194^5+WeightSDS!S$5*$AG194^4+WeightSDS!T$5*$AG194^3+WeightSDS!U$5*$AG194^2+WeightSDS!V$5*$AG194+WeightSDS!W$5,IF($AG194&lt;186,WeightSDS!P$8*$AG194^7+WeightSDS!Q$8*$AG194^6+WeightSDS!R$8*$AG194^5+WeightSDS!S$8*$AG194^4+WeightSDS!T$8*$AG194^3+WeightSDS!U$8*$AG194^2+WeightSDS!V$8*$AG194+WeightSDS!W$8,WeightSDS!$U$9-WeightSDS!$V$9*($AG194-WeightSDS!$W$9)))</f>
        <v>0.75407122999999998</v>
      </c>
      <c r="AJ194" s="24">
        <f>IF(D194="M",IF($AG194&lt;45,WeightSDS!M$23*$AG194^10+WeightSDS!N$23*$AG194^9+WeightSDS!O$23*$AG194^8+WeightSDS!P$23*$AG194^7+WeightSDS!Q$23*$AG194^6+WeightSDS!R$23*$AG194^5+WeightSDS!S$23*$AG194^4+WeightSDS!T$23*$AG194^3+WeightSDS!U$23*$AG194^2+WeightSDS!V$23*$AG194+WeightSDS!W$23,IF($AG194&lt;153,WeightSDS!M$25*$AG194^10+WeightSDS!N$25*$AG194^9+WeightSDS!O$25*$AG194^8+WeightSDS!P$25*$AG194^7+WeightSDS!Q$25*$AG194^6+WeightSDS!R$25*$AG194^5+WeightSDS!S$25*$AG194^4+WeightSDS!T$25*$AG194^3+WeightSDS!U$25*$AG194^2+WeightSDS!V$25*$AG194+WeightSDS!W$25,WeightSDS!M$27+WeightSDS!N$27/(1+EXP(WeightSDS!O$27+WeightSDS!P$27*$AG194)))),IF($AG194&lt;43.8,WeightSDS!M$29*$AG194^10+WeightSDS!N$29*$AG194^9+WeightSDS!O$29*$AG194^8+WeightSDS!P$29*$AG194^7+WeightSDS!Q$29*$AG194^6+WeightSDS!R$29*$AG194^5+WeightSDS!S$29*$AG194^4+WeightSDS!T$29*$AG194^3+WeightSDS!U$29*$AG194^2+WeightSDS!V$29*$AG194+WeightSDS!W$29-0.010431*(1-$AG194/210),IF($AG194&lt;123,WeightSDS!M$30*$AG194^10+WeightSDS!N$30*$AG194^9+WeightSDS!O$30*$AG194^8+WeightSDS!P$30*$AG194^7+WeightSDS!Q$30*$AG194^6+WeightSDS!R$30*$AG194^5+WeightSDS!S$30*$AG194^4+WeightSDS!T$30*$AG194^3+WeightSDS!U$30*$AG194^2+WeightSDS!V$30*$AG194+WeightSDS!W$30-0.010431*(1-1/$AG194),WeightSDS!M$32+WeightSDS!N$32/(1+EXP(WeightSDS!O$32+WeightSDS!P$32*$AG194))-0.010431*(1-$AG194/210))))</f>
        <v>2.9500001032655536</v>
      </c>
      <c r="AK194" s="24">
        <f>IF(D194="M",IF($AG194&lt;162,WeightSDS!P$12*$AG194^7+WeightSDS!Q$12*$AG194^6+WeightSDS!R$12*$AG194^5+WeightSDS!S$12*$AG194^4+WeightSDS!T$12*$AG194^3+WeightSDS!U$12*$AG194^2+WeightSDS!V$12*$AG194+WeightSDS!W$12,WeightSDS!P$14*$AG194^7+WeightSDS!Q$14*$AG194^6+WeightSDS!R$14*$AG194^5+WeightSDS!S$14*$AG194^4+WeightSDS!T$14*$AG194^3+WeightSDS!U$14*$AG194^2+WeightSDS!V$14*$AG194+WeightSDS!W$14),IF($AG194&lt;156,WeightSDS!O$17*$AG194^8+WeightSDS!P$17*$AG194^7+WeightSDS!Q$17*$AG194^6+WeightSDS!R$17*$AG194^5+WeightSDS!S$17*$AG194^4+WeightSDS!T$17*$AG194^3+WeightSDS!U$17*$AG194^2+WeightSDS!V$17*$AG194+WeightSDS!W$17,IF($AG194&lt;186,WeightSDS!$U$18+(WeightSDS!$V$18-WeightSDS!$U$18)/24*($AG194-186)+WeightSDS!$W$18*(-$AG194+186)^2-0.005,WeightSDS!$U$18+(WeightSDS!$V$18-WeightSDS!$U$18)/24*($AG194-186)-0.005)))</f>
        <v>0.14604529399999999</v>
      </c>
    </row>
    <row r="195" spans="1:37">
      <c r="A195" s="4"/>
      <c r="B195" s="21"/>
      <c r="C195" s="21"/>
      <c r="D195" s="21"/>
      <c r="E195" s="22"/>
      <c r="F195" s="22"/>
      <c r="G195" s="23"/>
      <c r="H195" s="23"/>
      <c r="I195" s="8" t="str">
        <f t="shared" ref="I195:I258" si="50">IF(COUNTA(D195,E195,F195,G195,H195)=5,IF(Q195&gt;17.583,"       *",(G195-(INDEX(IF(D195="F",Hfemalemean,Hmalemean),V195+1,U195+1)))/(INDEX(IF(D195="F",Hfemalesd,Hmalesd),V195+1,U195+1))),"")</f>
        <v/>
      </c>
      <c r="J195" s="2" t="str">
        <f t="shared" si="41"/>
        <v/>
      </c>
      <c r="K195" s="2" t="str">
        <f t="shared" ref="K195:K258" si="51">IF(COUNTA(D195,E195,F195,G195,H195)&lt;5,"",IF(Q195&lt;6,"       *",IF(Q195&gt;=17.583,"       *",(H195-G195*INDEX(IF(D195="F",muratafemale,muratamale),U195-4,1)-INDEX(IF(D195="F",muratafemale,muratamale),U195-4,2))/(G195*INDEX(IF(D195="F",muratafemale,muratamale),U195-4,1)+INDEX(IF(D195="F",muratafemale,muratamale),U195-4,2))*100)))</f>
        <v/>
      </c>
      <c r="L195" s="2" t="str">
        <f t="shared" si="42"/>
        <v/>
      </c>
      <c r="M195" s="2" t="str">
        <f t="shared" si="47"/>
        <v/>
      </c>
      <c r="N195" s="2" t="str">
        <f t="shared" si="43"/>
        <v/>
      </c>
      <c r="O195" s="8" t="str">
        <f t="shared" si="44"/>
        <v/>
      </c>
      <c r="P195" s="8" t="str">
        <f t="shared" si="45"/>
        <v/>
      </c>
      <c r="Q195" s="40" t="str">
        <f t="shared" ref="Q195:Q258" si="52">IF(COUNTA(D195,E195,F195,G195,H195)=5,W195,"")</f>
        <v/>
      </c>
      <c r="R195" s="48" t="str">
        <f t="shared" si="46"/>
        <v/>
      </c>
      <c r="S195" s="8"/>
      <c r="U195" s="35">
        <f t="shared" ref="U195:U258" si="53">DATEDIF(E195,F195,"Y")</f>
        <v>0</v>
      </c>
      <c r="V195" s="24">
        <f t="shared" ref="V195:V258" si="54">DATEDIF(E195,F195,"YM")</f>
        <v>0</v>
      </c>
      <c r="W195" s="41">
        <f t="shared" si="49"/>
        <v>0</v>
      </c>
      <c r="X195" s="31"/>
      <c r="Y195" s="31"/>
      <c r="Z195" s="31"/>
      <c r="AA195" s="25">
        <f t="shared" ref="AA195:AA258" si="55">IF(D195="M",2.06*10^-3*G195^2-0.1166*G195+6.5273,2.49*10^-3*G195^2-0.1858*G195+9.036)</f>
        <v>9.0359999999999996</v>
      </c>
      <c r="AB195" s="25">
        <f t="shared" ref="AB195:AB258" si="56">((G195/100)^3*INDEX(itoOI,IF(D195="M",0,3)+IF(G195&lt;140,1,IF(G195&lt;=149,2,3)),1)+(G195/100)^2*INDEX(itoOI,IF(D195="M",0,3)+IF(G195&lt;140,1,IF(G195&lt;=149,2,3)),2)+(G195/100)*INDEX(itoOI,IF(D195="M",0,3)+IF(G195&lt;140,1,IF(G195&lt;=149,2,3)),3)+INDEX(itoOI,IF(D195="M",0,3)+IF(G195&lt;140,1,IF(G195&lt;=149,2,3)),4))</f>
        <v>-184.49199999999999</v>
      </c>
      <c r="AD195" s="24">
        <f>IF(D195="M",IF(AG195&lt;78,BMILMS!$D$5*AG195^3+BMILMS!$E$5*AG195^2+BMILMS!$F$5*AG195+BMILMS!$G$5,IF(AG195&lt;150,BMILMS!$D$6*AG195^3+BMILMS!$E$6*AG195^2+BMILMS!$F$6*AG195+BMILMS!$G$6,BMILMS!$D$7*AG195^3+BMILMS!$E$7*AG195^2+BMILMS!$F$7*AG195+BMILMS!$G$7)),IF(AG195&lt;69,BMILMS!$D$9*AG195^3+BMILMS!$E$9*AG195^2+BMILMS!$F$9*AG195+BMILMS!$G$9,IF(AG195&lt;150,BMILMS!$D$10*AG195^3+BMILMS!$E$10*AG195^2+BMILMS!$F$10*AG195+BMILMS!$G$10,BMILMS!$D$11*AG195^3+BMILMS!$E$11*AG195^2+BMILMS!$F$11*AG195+BMILMS!$G$11)))</f>
        <v>0.79584630099999998</v>
      </c>
      <c r="AE195" s="24">
        <f>IF(D195="M",(IF(AG195&lt;2.5,BMILMS!$D$21*AG195^3+BMILMS!$E$21*AG195^2+BMILMS!$F$21*AG195+BMILMS!$G$21,IF(AG195&lt;9.5,BMILMS!$D$22*AG195^3+BMILMS!$E$22*AG195^2+BMILMS!$F$22*AG195+BMILMS!$G$22,IF(AG195&lt;26.75,BMILMS!$D$23*AG195^3+BMILMS!$E$23*AG195^2+BMILMS!$F$23*AG195+BMILMS!$G$23,IF(AG195&lt;90,BMILMS!$D$24*AG195^3+BMILMS!$E$24*AG195^2+BMILMS!$F$24*AG195+BMILMS!$G$24,BMILMS!$D$25*AG195^3+BMILMS!$E$25*AG195^2+BMILMS!$F$25*AG195+BMILMS!$G$25))))),(IF(AG195&lt;2.5,BMILMS!$D$27*AG195^3+BMILMS!$E$27*AG195^2+BMILMS!$F$27*AG195+BMILMS!$G$27,IF(AG195&lt;9.5,BMILMS!$D$28*AG195^3+BMILMS!$E$28*AG195^2+BMILMS!$F$28*AG195+BMILMS!$G$28,IF(AG195&lt;26.75,BMILMS!$D$29*AG195^3+BMILMS!$E$29*AG195^2+BMILMS!$F$29*AG195+BMILMS!$G$29,IF(AG195&lt;90,BMILMS!$D$30*AG195^3+BMILMS!$E$30*AG195^2+BMILMS!$F$30*AG195+BMILMS!$G$30,IF(AG195&lt;150,BMILMS!$D$31*AG195^3+BMILMS!$E$31*AG195^2+BMILMS!$F$31*AG195+BMILMS!$G$31,BMILMS!$D$32*AG195^3+BMILMS!$E$32*AG195^2+BMILMS!$F$32*AG195+BMILMS!$G$32)))))))</f>
        <v>12.568967990000001</v>
      </c>
      <c r="AF195" s="24">
        <f>IF(D195="M",(IF(AG195&lt;90,BMILMS!$D$14*AG195^3+BMILMS!$E$14*AG195^2+BMILMS!$F$14*AG195+BMILMS!$G$14,BMILMS!$D$15*AG195^3+BMILMS!$E$15*AG195^2+BMILMS!$F$15*AG195+BMILMS!$G$15)),(IF(AG195&lt;90,BMILMS!$D$17*AG195^3+BMILMS!$E$17*AG195^2+BMILMS!$F$17*AG195+BMILMS!$G$17,BMILMS!$D$18*AG195^3+BMILMS!$E$18*AG195^2+BMILMS!$F$18*AG195+BMILMS!$G$18)))</f>
        <v>8.8969350000000003E-2</v>
      </c>
      <c r="AG195" s="24">
        <f t="shared" si="48"/>
        <v>0</v>
      </c>
      <c r="AI195" s="38">
        <f>IF(D195="M",WeightSDS!P$5*$AG195^7+WeightSDS!Q$5*$AG195^6+WeightSDS!R$5*$AG195^5+WeightSDS!S$5*$AG195^4+WeightSDS!T$5*$AG195^3+WeightSDS!U$5*$AG195^2+WeightSDS!V$5*$AG195+WeightSDS!W$5,IF($AG195&lt;186,WeightSDS!P$8*$AG195^7+WeightSDS!Q$8*$AG195^6+WeightSDS!R$8*$AG195^5+WeightSDS!S$8*$AG195^4+WeightSDS!T$8*$AG195^3+WeightSDS!U$8*$AG195^2+WeightSDS!V$8*$AG195+WeightSDS!W$8,WeightSDS!$U$9-WeightSDS!$V$9*($AG195-WeightSDS!$W$9)))</f>
        <v>0.75407122999999998</v>
      </c>
      <c r="AJ195" s="24">
        <f>IF(D195="M",IF($AG195&lt;45,WeightSDS!M$23*$AG195^10+WeightSDS!N$23*$AG195^9+WeightSDS!O$23*$AG195^8+WeightSDS!P$23*$AG195^7+WeightSDS!Q$23*$AG195^6+WeightSDS!R$23*$AG195^5+WeightSDS!S$23*$AG195^4+WeightSDS!T$23*$AG195^3+WeightSDS!U$23*$AG195^2+WeightSDS!V$23*$AG195+WeightSDS!W$23,IF($AG195&lt;153,WeightSDS!M$25*$AG195^10+WeightSDS!N$25*$AG195^9+WeightSDS!O$25*$AG195^8+WeightSDS!P$25*$AG195^7+WeightSDS!Q$25*$AG195^6+WeightSDS!R$25*$AG195^5+WeightSDS!S$25*$AG195^4+WeightSDS!T$25*$AG195^3+WeightSDS!U$25*$AG195^2+WeightSDS!V$25*$AG195+WeightSDS!W$25,WeightSDS!M$27+WeightSDS!N$27/(1+EXP(WeightSDS!O$27+WeightSDS!P$27*$AG195)))),IF($AG195&lt;43.8,WeightSDS!M$29*$AG195^10+WeightSDS!N$29*$AG195^9+WeightSDS!O$29*$AG195^8+WeightSDS!P$29*$AG195^7+WeightSDS!Q$29*$AG195^6+WeightSDS!R$29*$AG195^5+WeightSDS!S$29*$AG195^4+WeightSDS!T$29*$AG195^3+WeightSDS!U$29*$AG195^2+WeightSDS!V$29*$AG195+WeightSDS!W$29-0.010431*(1-$AG195/210),IF($AG195&lt;123,WeightSDS!M$30*$AG195^10+WeightSDS!N$30*$AG195^9+WeightSDS!O$30*$AG195^8+WeightSDS!P$30*$AG195^7+WeightSDS!Q$30*$AG195^6+WeightSDS!R$30*$AG195^5+WeightSDS!S$30*$AG195^4+WeightSDS!T$30*$AG195^3+WeightSDS!U$30*$AG195^2+WeightSDS!V$30*$AG195+WeightSDS!W$30-0.010431*(1-1/$AG195),WeightSDS!M$32+WeightSDS!N$32/(1+EXP(WeightSDS!O$32+WeightSDS!P$32*$AG195))-0.010431*(1-$AG195/210))))</f>
        <v>2.9500001032655536</v>
      </c>
      <c r="AK195" s="24">
        <f>IF(D195="M",IF($AG195&lt;162,WeightSDS!P$12*$AG195^7+WeightSDS!Q$12*$AG195^6+WeightSDS!R$12*$AG195^5+WeightSDS!S$12*$AG195^4+WeightSDS!T$12*$AG195^3+WeightSDS!U$12*$AG195^2+WeightSDS!V$12*$AG195+WeightSDS!W$12,WeightSDS!P$14*$AG195^7+WeightSDS!Q$14*$AG195^6+WeightSDS!R$14*$AG195^5+WeightSDS!S$14*$AG195^4+WeightSDS!T$14*$AG195^3+WeightSDS!U$14*$AG195^2+WeightSDS!V$14*$AG195+WeightSDS!W$14),IF($AG195&lt;156,WeightSDS!O$17*$AG195^8+WeightSDS!P$17*$AG195^7+WeightSDS!Q$17*$AG195^6+WeightSDS!R$17*$AG195^5+WeightSDS!S$17*$AG195^4+WeightSDS!T$17*$AG195^3+WeightSDS!U$17*$AG195^2+WeightSDS!V$17*$AG195+WeightSDS!W$17,IF($AG195&lt;186,WeightSDS!$U$18+(WeightSDS!$V$18-WeightSDS!$U$18)/24*($AG195-186)+WeightSDS!$W$18*(-$AG195+186)^2-0.005,WeightSDS!$U$18+(WeightSDS!$V$18-WeightSDS!$U$18)/24*($AG195-186)-0.005)))</f>
        <v>0.14604529399999999</v>
      </c>
    </row>
    <row r="196" spans="1:37">
      <c r="A196" s="4"/>
      <c r="B196" s="21"/>
      <c r="C196" s="21"/>
      <c r="D196" s="21"/>
      <c r="E196" s="22"/>
      <c r="F196" s="22"/>
      <c r="G196" s="23"/>
      <c r="H196" s="23"/>
      <c r="I196" s="8" t="str">
        <f t="shared" si="50"/>
        <v/>
      </c>
      <c r="J196" s="2" t="str">
        <f t="shared" ref="J196:J259" si="57">IF(COUNTA(D196,E196,F196,G196,H196)=5,IF(Q196&lt;1,"       *",IF(Q196&gt;=6,"       *",IF(G196&gt;=120,"       *",IF(G196&lt;70,"       *",(H196-AA196)/AA196*100)))),"")</f>
        <v/>
      </c>
      <c r="K196" s="2" t="str">
        <f t="shared" si="51"/>
        <v/>
      </c>
      <c r="L196" s="2" t="str">
        <f t="shared" ref="L196:L259" si="58">IF(COUNTA(D196,E196,F196,G196,H196)=5,IF(G196&gt;=IF(D196="M",181,174),"*",IF(G196&lt;101,"       *",IF(Q196&lt;6,"       *",IF(Q196&gt;=17.583,"*",(H196-AB196)/AB196*100)))),"")</f>
        <v/>
      </c>
      <c r="M196" s="2" t="str">
        <f t="shared" si="47"/>
        <v/>
      </c>
      <c r="N196" s="2" t="str">
        <f t="shared" ref="N196:N259" si="59">IF(COUNTA(D196,E196,F196,G196,H196)=5,IF(Q196&gt;17.583,"   *",NORMSDIST(((M196/AE196)^(AD196)-1)/AD196/AF196)*100),"")</f>
        <v/>
      </c>
      <c r="O196" s="8" t="str">
        <f t="shared" ref="O196:O259" si="60">IF(COUNTA(D196,E196,F196,G196,H196)=5,IF(Q196&gt;17.583,"   *",((M196/AE196)^(AD196)-1)/AD196/AF196),"")</f>
        <v/>
      </c>
      <c r="P196" s="8" t="str">
        <f t="shared" ref="P196:P259" si="61">IF(COUNTA(D196,E196,F196,G196,H196)=5,IF(Q196&gt;17.583,"   *",((H196/AJ196)^(AI196)-1)/AI196/AK196),"")</f>
        <v/>
      </c>
      <c r="Q196" s="40" t="str">
        <f t="shared" si="52"/>
        <v/>
      </c>
      <c r="R196" s="48" t="str">
        <f t="shared" ref="R196:R259" si="62">IF(COUNTA(D196,E196,F196,G196,H196)=5,U196&amp;"歳"&amp;V196&amp;"か月","")</f>
        <v/>
      </c>
      <c r="S196" s="8"/>
      <c r="U196" s="35">
        <f t="shared" si="53"/>
        <v>0</v>
      </c>
      <c r="V196" s="24">
        <f t="shared" si="54"/>
        <v>0</v>
      </c>
      <c r="W196" s="41">
        <f t="shared" si="49"/>
        <v>0</v>
      </c>
      <c r="X196" s="31"/>
      <c r="Y196" s="31"/>
      <c r="Z196" s="31"/>
      <c r="AA196" s="25">
        <f t="shared" si="55"/>
        <v>9.0359999999999996</v>
      </c>
      <c r="AB196" s="25">
        <f t="shared" si="56"/>
        <v>-184.49199999999999</v>
      </c>
      <c r="AD196" s="24">
        <f>IF(D196="M",IF(AG196&lt;78,BMILMS!$D$5*AG196^3+BMILMS!$E$5*AG196^2+BMILMS!$F$5*AG196+BMILMS!$G$5,IF(AG196&lt;150,BMILMS!$D$6*AG196^3+BMILMS!$E$6*AG196^2+BMILMS!$F$6*AG196+BMILMS!$G$6,BMILMS!$D$7*AG196^3+BMILMS!$E$7*AG196^2+BMILMS!$F$7*AG196+BMILMS!$G$7)),IF(AG196&lt;69,BMILMS!$D$9*AG196^3+BMILMS!$E$9*AG196^2+BMILMS!$F$9*AG196+BMILMS!$G$9,IF(AG196&lt;150,BMILMS!$D$10*AG196^3+BMILMS!$E$10*AG196^2+BMILMS!$F$10*AG196+BMILMS!$G$10,BMILMS!$D$11*AG196^3+BMILMS!$E$11*AG196^2+BMILMS!$F$11*AG196+BMILMS!$G$11)))</f>
        <v>0.79584630099999998</v>
      </c>
      <c r="AE196" s="24">
        <f>IF(D196="M",(IF(AG196&lt;2.5,BMILMS!$D$21*AG196^3+BMILMS!$E$21*AG196^2+BMILMS!$F$21*AG196+BMILMS!$G$21,IF(AG196&lt;9.5,BMILMS!$D$22*AG196^3+BMILMS!$E$22*AG196^2+BMILMS!$F$22*AG196+BMILMS!$G$22,IF(AG196&lt;26.75,BMILMS!$D$23*AG196^3+BMILMS!$E$23*AG196^2+BMILMS!$F$23*AG196+BMILMS!$G$23,IF(AG196&lt;90,BMILMS!$D$24*AG196^3+BMILMS!$E$24*AG196^2+BMILMS!$F$24*AG196+BMILMS!$G$24,BMILMS!$D$25*AG196^3+BMILMS!$E$25*AG196^2+BMILMS!$F$25*AG196+BMILMS!$G$25))))),(IF(AG196&lt;2.5,BMILMS!$D$27*AG196^3+BMILMS!$E$27*AG196^2+BMILMS!$F$27*AG196+BMILMS!$G$27,IF(AG196&lt;9.5,BMILMS!$D$28*AG196^3+BMILMS!$E$28*AG196^2+BMILMS!$F$28*AG196+BMILMS!$G$28,IF(AG196&lt;26.75,BMILMS!$D$29*AG196^3+BMILMS!$E$29*AG196^2+BMILMS!$F$29*AG196+BMILMS!$G$29,IF(AG196&lt;90,BMILMS!$D$30*AG196^3+BMILMS!$E$30*AG196^2+BMILMS!$F$30*AG196+BMILMS!$G$30,IF(AG196&lt;150,BMILMS!$D$31*AG196^3+BMILMS!$E$31*AG196^2+BMILMS!$F$31*AG196+BMILMS!$G$31,BMILMS!$D$32*AG196^3+BMILMS!$E$32*AG196^2+BMILMS!$F$32*AG196+BMILMS!$G$32)))))))</f>
        <v>12.568967990000001</v>
      </c>
      <c r="AF196" s="24">
        <f>IF(D196="M",(IF(AG196&lt;90,BMILMS!$D$14*AG196^3+BMILMS!$E$14*AG196^2+BMILMS!$F$14*AG196+BMILMS!$G$14,BMILMS!$D$15*AG196^3+BMILMS!$E$15*AG196^2+BMILMS!$F$15*AG196+BMILMS!$G$15)),(IF(AG196&lt;90,BMILMS!$D$17*AG196^3+BMILMS!$E$17*AG196^2+BMILMS!$F$17*AG196+BMILMS!$G$17,BMILMS!$D$18*AG196^3+BMILMS!$E$18*AG196^2+BMILMS!$F$18*AG196+BMILMS!$G$18)))</f>
        <v>8.8969350000000003E-2</v>
      </c>
      <c r="AG196" s="24">
        <f t="shared" si="48"/>
        <v>0</v>
      </c>
      <c r="AI196" s="38">
        <f>IF(D196="M",WeightSDS!P$5*$AG196^7+WeightSDS!Q$5*$AG196^6+WeightSDS!R$5*$AG196^5+WeightSDS!S$5*$AG196^4+WeightSDS!T$5*$AG196^3+WeightSDS!U$5*$AG196^2+WeightSDS!V$5*$AG196+WeightSDS!W$5,IF($AG196&lt;186,WeightSDS!P$8*$AG196^7+WeightSDS!Q$8*$AG196^6+WeightSDS!R$8*$AG196^5+WeightSDS!S$8*$AG196^4+WeightSDS!T$8*$AG196^3+WeightSDS!U$8*$AG196^2+WeightSDS!V$8*$AG196+WeightSDS!W$8,WeightSDS!$U$9-WeightSDS!$V$9*($AG196-WeightSDS!$W$9)))</f>
        <v>0.75407122999999998</v>
      </c>
      <c r="AJ196" s="24">
        <f>IF(D196="M",IF($AG196&lt;45,WeightSDS!M$23*$AG196^10+WeightSDS!N$23*$AG196^9+WeightSDS!O$23*$AG196^8+WeightSDS!P$23*$AG196^7+WeightSDS!Q$23*$AG196^6+WeightSDS!R$23*$AG196^5+WeightSDS!S$23*$AG196^4+WeightSDS!T$23*$AG196^3+WeightSDS!U$23*$AG196^2+WeightSDS!V$23*$AG196+WeightSDS!W$23,IF($AG196&lt;153,WeightSDS!M$25*$AG196^10+WeightSDS!N$25*$AG196^9+WeightSDS!O$25*$AG196^8+WeightSDS!P$25*$AG196^7+WeightSDS!Q$25*$AG196^6+WeightSDS!R$25*$AG196^5+WeightSDS!S$25*$AG196^4+WeightSDS!T$25*$AG196^3+WeightSDS!U$25*$AG196^2+WeightSDS!V$25*$AG196+WeightSDS!W$25,WeightSDS!M$27+WeightSDS!N$27/(1+EXP(WeightSDS!O$27+WeightSDS!P$27*$AG196)))),IF($AG196&lt;43.8,WeightSDS!M$29*$AG196^10+WeightSDS!N$29*$AG196^9+WeightSDS!O$29*$AG196^8+WeightSDS!P$29*$AG196^7+WeightSDS!Q$29*$AG196^6+WeightSDS!R$29*$AG196^5+WeightSDS!S$29*$AG196^4+WeightSDS!T$29*$AG196^3+WeightSDS!U$29*$AG196^2+WeightSDS!V$29*$AG196+WeightSDS!W$29-0.010431*(1-$AG196/210),IF($AG196&lt;123,WeightSDS!M$30*$AG196^10+WeightSDS!N$30*$AG196^9+WeightSDS!O$30*$AG196^8+WeightSDS!P$30*$AG196^7+WeightSDS!Q$30*$AG196^6+WeightSDS!R$30*$AG196^5+WeightSDS!S$30*$AG196^4+WeightSDS!T$30*$AG196^3+WeightSDS!U$30*$AG196^2+WeightSDS!V$30*$AG196+WeightSDS!W$30-0.010431*(1-1/$AG196),WeightSDS!M$32+WeightSDS!N$32/(1+EXP(WeightSDS!O$32+WeightSDS!P$32*$AG196))-0.010431*(1-$AG196/210))))</f>
        <v>2.9500001032655536</v>
      </c>
      <c r="AK196" s="24">
        <f>IF(D196="M",IF($AG196&lt;162,WeightSDS!P$12*$AG196^7+WeightSDS!Q$12*$AG196^6+WeightSDS!R$12*$AG196^5+WeightSDS!S$12*$AG196^4+WeightSDS!T$12*$AG196^3+WeightSDS!U$12*$AG196^2+WeightSDS!V$12*$AG196+WeightSDS!W$12,WeightSDS!P$14*$AG196^7+WeightSDS!Q$14*$AG196^6+WeightSDS!R$14*$AG196^5+WeightSDS!S$14*$AG196^4+WeightSDS!T$14*$AG196^3+WeightSDS!U$14*$AG196^2+WeightSDS!V$14*$AG196+WeightSDS!W$14),IF($AG196&lt;156,WeightSDS!O$17*$AG196^8+WeightSDS!P$17*$AG196^7+WeightSDS!Q$17*$AG196^6+WeightSDS!R$17*$AG196^5+WeightSDS!S$17*$AG196^4+WeightSDS!T$17*$AG196^3+WeightSDS!U$17*$AG196^2+WeightSDS!V$17*$AG196+WeightSDS!W$17,IF($AG196&lt;186,WeightSDS!$U$18+(WeightSDS!$V$18-WeightSDS!$U$18)/24*($AG196-186)+WeightSDS!$W$18*(-$AG196+186)^2-0.005,WeightSDS!$U$18+(WeightSDS!$V$18-WeightSDS!$U$18)/24*($AG196-186)-0.005)))</f>
        <v>0.14604529399999999</v>
      </c>
    </row>
    <row r="197" spans="1:37">
      <c r="A197" s="4"/>
      <c r="B197" s="21"/>
      <c r="C197" s="21"/>
      <c r="D197" s="21"/>
      <c r="E197" s="22"/>
      <c r="F197" s="22"/>
      <c r="G197" s="23"/>
      <c r="H197" s="23"/>
      <c r="I197" s="8" t="str">
        <f t="shared" si="50"/>
        <v/>
      </c>
      <c r="J197" s="2" t="str">
        <f t="shared" si="57"/>
        <v/>
      </c>
      <c r="K197" s="2" t="str">
        <f t="shared" si="51"/>
        <v/>
      </c>
      <c r="L197" s="2" t="str">
        <f t="shared" si="58"/>
        <v/>
      </c>
      <c r="M197" s="2" t="str">
        <f t="shared" si="47"/>
        <v/>
      </c>
      <c r="N197" s="2" t="str">
        <f t="shared" si="59"/>
        <v/>
      </c>
      <c r="O197" s="8" t="str">
        <f t="shared" si="60"/>
        <v/>
      </c>
      <c r="P197" s="8" t="str">
        <f t="shared" si="61"/>
        <v/>
      </c>
      <c r="Q197" s="40" t="str">
        <f t="shared" si="52"/>
        <v/>
      </c>
      <c r="R197" s="48" t="str">
        <f t="shared" si="62"/>
        <v/>
      </c>
      <c r="S197" s="8"/>
      <c r="U197" s="35">
        <f t="shared" si="53"/>
        <v>0</v>
      </c>
      <c r="V197" s="24">
        <f t="shared" si="54"/>
        <v>0</v>
      </c>
      <c r="W197" s="41">
        <f t="shared" si="49"/>
        <v>0</v>
      </c>
      <c r="X197" s="31"/>
      <c r="Y197" s="31"/>
      <c r="Z197" s="31"/>
      <c r="AA197" s="25">
        <f t="shared" si="55"/>
        <v>9.0359999999999996</v>
      </c>
      <c r="AB197" s="25">
        <f t="shared" si="56"/>
        <v>-184.49199999999999</v>
      </c>
      <c r="AD197" s="24">
        <f>IF(D197="M",IF(AG197&lt;78,BMILMS!$D$5*AG197^3+BMILMS!$E$5*AG197^2+BMILMS!$F$5*AG197+BMILMS!$G$5,IF(AG197&lt;150,BMILMS!$D$6*AG197^3+BMILMS!$E$6*AG197^2+BMILMS!$F$6*AG197+BMILMS!$G$6,BMILMS!$D$7*AG197^3+BMILMS!$E$7*AG197^2+BMILMS!$F$7*AG197+BMILMS!$G$7)),IF(AG197&lt;69,BMILMS!$D$9*AG197^3+BMILMS!$E$9*AG197^2+BMILMS!$F$9*AG197+BMILMS!$G$9,IF(AG197&lt;150,BMILMS!$D$10*AG197^3+BMILMS!$E$10*AG197^2+BMILMS!$F$10*AG197+BMILMS!$G$10,BMILMS!$D$11*AG197^3+BMILMS!$E$11*AG197^2+BMILMS!$F$11*AG197+BMILMS!$G$11)))</f>
        <v>0.79584630099999998</v>
      </c>
      <c r="AE197" s="24">
        <f>IF(D197="M",(IF(AG197&lt;2.5,BMILMS!$D$21*AG197^3+BMILMS!$E$21*AG197^2+BMILMS!$F$21*AG197+BMILMS!$G$21,IF(AG197&lt;9.5,BMILMS!$D$22*AG197^3+BMILMS!$E$22*AG197^2+BMILMS!$F$22*AG197+BMILMS!$G$22,IF(AG197&lt;26.75,BMILMS!$D$23*AG197^3+BMILMS!$E$23*AG197^2+BMILMS!$F$23*AG197+BMILMS!$G$23,IF(AG197&lt;90,BMILMS!$D$24*AG197^3+BMILMS!$E$24*AG197^2+BMILMS!$F$24*AG197+BMILMS!$G$24,BMILMS!$D$25*AG197^3+BMILMS!$E$25*AG197^2+BMILMS!$F$25*AG197+BMILMS!$G$25))))),(IF(AG197&lt;2.5,BMILMS!$D$27*AG197^3+BMILMS!$E$27*AG197^2+BMILMS!$F$27*AG197+BMILMS!$G$27,IF(AG197&lt;9.5,BMILMS!$D$28*AG197^3+BMILMS!$E$28*AG197^2+BMILMS!$F$28*AG197+BMILMS!$G$28,IF(AG197&lt;26.75,BMILMS!$D$29*AG197^3+BMILMS!$E$29*AG197^2+BMILMS!$F$29*AG197+BMILMS!$G$29,IF(AG197&lt;90,BMILMS!$D$30*AG197^3+BMILMS!$E$30*AG197^2+BMILMS!$F$30*AG197+BMILMS!$G$30,IF(AG197&lt;150,BMILMS!$D$31*AG197^3+BMILMS!$E$31*AG197^2+BMILMS!$F$31*AG197+BMILMS!$G$31,BMILMS!$D$32*AG197^3+BMILMS!$E$32*AG197^2+BMILMS!$F$32*AG197+BMILMS!$G$32)))))))</f>
        <v>12.568967990000001</v>
      </c>
      <c r="AF197" s="24">
        <f>IF(D197="M",(IF(AG197&lt;90,BMILMS!$D$14*AG197^3+BMILMS!$E$14*AG197^2+BMILMS!$F$14*AG197+BMILMS!$G$14,BMILMS!$D$15*AG197^3+BMILMS!$E$15*AG197^2+BMILMS!$F$15*AG197+BMILMS!$G$15)),(IF(AG197&lt;90,BMILMS!$D$17*AG197^3+BMILMS!$E$17*AG197^2+BMILMS!$F$17*AG197+BMILMS!$G$17,BMILMS!$D$18*AG197^3+BMILMS!$E$18*AG197^2+BMILMS!$F$18*AG197+BMILMS!$G$18)))</f>
        <v>8.8969350000000003E-2</v>
      </c>
      <c r="AG197" s="24">
        <f t="shared" si="48"/>
        <v>0</v>
      </c>
      <c r="AI197" s="38">
        <f>IF(D197="M",WeightSDS!P$5*$AG197^7+WeightSDS!Q$5*$AG197^6+WeightSDS!R$5*$AG197^5+WeightSDS!S$5*$AG197^4+WeightSDS!T$5*$AG197^3+WeightSDS!U$5*$AG197^2+WeightSDS!V$5*$AG197+WeightSDS!W$5,IF($AG197&lt;186,WeightSDS!P$8*$AG197^7+WeightSDS!Q$8*$AG197^6+WeightSDS!R$8*$AG197^5+WeightSDS!S$8*$AG197^4+WeightSDS!T$8*$AG197^3+WeightSDS!U$8*$AG197^2+WeightSDS!V$8*$AG197+WeightSDS!W$8,WeightSDS!$U$9-WeightSDS!$V$9*($AG197-WeightSDS!$W$9)))</f>
        <v>0.75407122999999998</v>
      </c>
      <c r="AJ197" s="24">
        <f>IF(D197="M",IF($AG197&lt;45,WeightSDS!M$23*$AG197^10+WeightSDS!N$23*$AG197^9+WeightSDS!O$23*$AG197^8+WeightSDS!P$23*$AG197^7+WeightSDS!Q$23*$AG197^6+WeightSDS!R$23*$AG197^5+WeightSDS!S$23*$AG197^4+WeightSDS!T$23*$AG197^3+WeightSDS!U$23*$AG197^2+WeightSDS!V$23*$AG197+WeightSDS!W$23,IF($AG197&lt;153,WeightSDS!M$25*$AG197^10+WeightSDS!N$25*$AG197^9+WeightSDS!O$25*$AG197^8+WeightSDS!P$25*$AG197^7+WeightSDS!Q$25*$AG197^6+WeightSDS!R$25*$AG197^5+WeightSDS!S$25*$AG197^4+WeightSDS!T$25*$AG197^3+WeightSDS!U$25*$AG197^2+WeightSDS!V$25*$AG197+WeightSDS!W$25,WeightSDS!M$27+WeightSDS!N$27/(1+EXP(WeightSDS!O$27+WeightSDS!P$27*$AG197)))),IF($AG197&lt;43.8,WeightSDS!M$29*$AG197^10+WeightSDS!N$29*$AG197^9+WeightSDS!O$29*$AG197^8+WeightSDS!P$29*$AG197^7+WeightSDS!Q$29*$AG197^6+WeightSDS!R$29*$AG197^5+WeightSDS!S$29*$AG197^4+WeightSDS!T$29*$AG197^3+WeightSDS!U$29*$AG197^2+WeightSDS!V$29*$AG197+WeightSDS!W$29-0.010431*(1-$AG197/210),IF($AG197&lt;123,WeightSDS!M$30*$AG197^10+WeightSDS!N$30*$AG197^9+WeightSDS!O$30*$AG197^8+WeightSDS!P$30*$AG197^7+WeightSDS!Q$30*$AG197^6+WeightSDS!R$30*$AG197^5+WeightSDS!S$30*$AG197^4+WeightSDS!T$30*$AG197^3+WeightSDS!U$30*$AG197^2+WeightSDS!V$30*$AG197+WeightSDS!W$30-0.010431*(1-1/$AG197),WeightSDS!M$32+WeightSDS!N$32/(1+EXP(WeightSDS!O$32+WeightSDS!P$32*$AG197))-0.010431*(1-$AG197/210))))</f>
        <v>2.9500001032655536</v>
      </c>
      <c r="AK197" s="24">
        <f>IF(D197="M",IF($AG197&lt;162,WeightSDS!P$12*$AG197^7+WeightSDS!Q$12*$AG197^6+WeightSDS!R$12*$AG197^5+WeightSDS!S$12*$AG197^4+WeightSDS!T$12*$AG197^3+WeightSDS!U$12*$AG197^2+WeightSDS!V$12*$AG197+WeightSDS!W$12,WeightSDS!P$14*$AG197^7+WeightSDS!Q$14*$AG197^6+WeightSDS!R$14*$AG197^5+WeightSDS!S$14*$AG197^4+WeightSDS!T$14*$AG197^3+WeightSDS!U$14*$AG197^2+WeightSDS!V$14*$AG197+WeightSDS!W$14),IF($AG197&lt;156,WeightSDS!O$17*$AG197^8+WeightSDS!P$17*$AG197^7+WeightSDS!Q$17*$AG197^6+WeightSDS!R$17*$AG197^5+WeightSDS!S$17*$AG197^4+WeightSDS!T$17*$AG197^3+WeightSDS!U$17*$AG197^2+WeightSDS!V$17*$AG197+WeightSDS!W$17,IF($AG197&lt;186,WeightSDS!$U$18+(WeightSDS!$V$18-WeightSDS!$U$18)/24*($AG197-186)+WeightSDS!$W$18*(-$AG197+186)^2-0.005,WeightSDS!$U$18+(WeightSDS!$V$18-WeightSDS!$U$18)/24*($AG197-186)-0.005)))</f>
        <v>0.14604529399999999</v>
      </c>
    </row>
    <row r="198" spans="1:37">
      <c r="A198" s="4"/>
      <c r="B198" s="21"/>
      <c r="C198" s="21"/>
      <c r="D198" s="21"/>
      <c r="E198" s="22"/>
      <c r="F198" s="22"/>
      <c r="G198" s="23"/>
      <c r="H198" s="23"/>
      <c r="I198" s="8" t="str">
        <f t="shared" si="50"/>
        <v/>
      </c>
      <c r="J198" s="2" t="str">
        <f t="shared" si="57"/>
        <v/>
      </c>
      <c r="K198" s="2" t="str">
        <f t="shared" si="51"/>
        <v/>
      </c>
      <c r="L198" s="2" t="str">
        <f t="shared" si="58"/>
        <v/>
      </c>
      <c r="M198" s="2" t="str">
        <f t="shared" si="47"/>
        <v/>
      </c>
      <c r="N198" s="2" t="str">
        <f t="shared" si="59"/>
        <v/>
      </c>
      <c r="O198" s="8" t="str">
        <f t="shared" si="60"/>
        <v/>
      </c>
      <c r="P198" s="8" t="str">
        <f t="shared" si="61"/>
        <v/>
      </c>
      <c r="Q198" s="40" t="str">
        <f t="shared" si="52"/>
        <v/>
      </c>
      <c r="R198" s="48" t="str">
        <f t="shared" si="62"/>
        <v/>
      </c>
      <c r="S198" s="8"/>
      <c r="U198" s="35">
        <f t="shared" si="53"/>
        <v>0</v>
      </c>
      <c r="V198" s="24">
        <f t="shared" si="54"/>
        <v>0</v>
      </c>
      <c r="W198" s="41">
        <f t="shared" si="49"/>
        <v>0</v>
      </c>
      <c r="X198" s="31"/>
      <c r="Y198" s="31"/>
      <c r="Z198" s="31"/>
      <c r="AA198" s="25">
        <f t="shared" si="55"/>
        <v>9.0359999999999996</v>
      </c>
      <c r="AB198" s="25">
        <f t="shared" si="56"/>
        <v>-184.49199999999999</v>
      </c>
      <c r="AD198" s="24">
        <f>IF(D198="M",IF(AG198&lt;78,BMILMS!$D$5*AG198^3+BMILMS!$E$5*AG198^2+BMILMS!$F$5*AG198+BMILMS!$G$5,IF(AG198&lt;150,BMILMS!$D$6*AG198^3+BMILMS!$E$6*AG198^2+BMILMS!$F$6*AG198+BMILMS!$G$6,BMILMS!$D$7*AG198^3+BMILMS!$E$7*AG198^2+BMILMS!$F$7*AG198+BMILMS!$G$7)),IF(AG198&lt;69,BMILMS!$D$9*AG198^3+BMILMS!$E$9*AG198^2+BMILMS!$F$9*AG198+BMILMS!$G$9,IF(AG198&lt;150,BMILMS!$D$10*AG198^3+BMILMS!$E$10*AG198^2+BMILMS!$F$10*AG198+BMILMS!$G$10,BMILMS!$D$11*AG198^3+BMILMS!$E$11*AG198^2+BMILMS!$F$11*AG198+BMILMS!$G$11)))</f>
        <v>0.79584630099999998</v>
      </c>
      <c r="AE198" s="24">
        <f>IF(D198="M",(IF(AG198&lt;2.5,BMILMS!$D$21*AG198^3+BMILMS!$E$21*AG198^2+BMILMS!$F$21*AG198+BMILMS!$G$21,IF(AG198&lt;9.5,BMILMS!$D$22*AG198^3+BMILMS!$E$22*AG198^2+BMILMS!$F$22*AG198+BMILMS!$G$22,IF(AG198&lt;26.75,BMILMS!$D$23*AG198^3+BMILMS!$E$23*AG198^2+BMILMS!$F$23*AG198+BMILMS!$G$23,IF(AG198&lt;90,BMILMS!$D$24*AG198^3+BMILMS!$E$24*AG198^2+BMILMS!$F$24*AG198+BMILMS!$G$24,BMILMS!$D$25*AG198^3+BMILMS!$E$25*AG198^2+BMILMS!$F$25*AG198+BMILMS!$G$25))))),(IF(AG198&lt;2.5,BMILMS!$D$27*AG198^3+BMILMS!$E$27*AG198^2+BMILMS!$F$27*AG198+BMILMS!$G$27,IF(AG198&lt;9.5,BMILMS!$D$28*AG198^3+BMILMS!$E$28*AG198^2+BMILMS!$F$28*AG198+BMILMS!$G$28,IF(AG198&lt;26.75,BMILMS!$D$29*AG198^3+BMILMS!$E$29*AG198^2+BMILMS!$F$29*AG198+BMILMS!$G$29,IF(AG198&lt;90,BMILMS!$D$30*AG198^3+BMILMS!$E$30*AG198^2+BMILMS!$F$30*AG198+BMILMS!$G$30,IF(AG198&lt;150,BMILMS!$D$31*AG198^3+BMILMS!$E$31*AG198^2+BMILMS!$F$31*AG198+BMILMS!$G$31,BMILMS!$D$32*AG198^3+BMILMS!$E$32*AG198^2+BMILMS!$F$32*AG198+BMILMS!$G$32)))))))</f>
        <v>12.568967990000001</v>
      </c>
      <c r="AF198" s="24">
        <f>IF(D198="M",(IF(AG198&lt;90,BMILMS!$D$14*AG198^3+BMILMS!$E$14*AG198^2+BMILMS!$F$14*AG198+BMILMS!$G$14,BMILMS!$D$15*AG198^3+BMILMS!$E$15*AG198^2+BMILMS!$F$15*AG198+BMILMS!$G$15)),(IF(AG198&lt;90,BMILMS!$D$17*AG198^3+BMILMS!$E$17*AG198^2+BMILMS!$F$17*AG198+BMILMS!$G$17,BMILMS!$D$18*AG198^3+BMILMS!$E$18*AG198^2+BMILMS!$F$18*AG198+BMILMS!$G$18)))</f>
        <v>8.8969350000000003E-2</v>
      </c>
      <c r="AG198" s="24">
        <f t="shared" si="48"/>
        <v>0</v>
      </c>
      <c r="AI198" s="38">
        <f>IF(D198="M",WeightSDS!P$5*$AG198^7+WeightSDS!Q$5*$AG198^6+WeightSDS!R$5*$AG198^5+WeightSDS!S$5*$AG198^4+WeightSDS!T$5*$AG198^3+WeightSDS!U$5*$AG198^2+WeightSDS!V$5*$AG198+WeightSDS!W$5,IF($AG198&lt;186,WeightSDS!P$8*$AG198^7+WeightSDS!Q$8*$AG198^6+WeightSDS!R$8*$AG198^5+WeightSDS!S$8*$AG198^4+WeightSDS!T$8*$AG198^3+WeightSDS!U$8*$AG198^2+WeightSDS!V$8*$AG198+WeightSDS!W$8,WeightSDS!$U$9-WeightSDS!$V$9*($AG198-WeightSDS!$W$9)))</f>
        <v>0.75407122999999998</v>
      </c>
      <c r="AJ198" s="24">
        <f>IF(D198="M",IF($AG198&lt;45,WeightSDS!M$23*$AG198^10+WeightSDS!N$23*$AG198^9+WeightSDS!O$23*$AG198^8+WeightSDS!P$23*$AG198^7+WeightSDS!Q$23*$AG198^6+WeightSDS!R$23*$AG198^5+WeightSDS!S$23*$AG198^4+WeightSDS!T$23*$AG198^3+WeightSDS!U$23*$AG198^2+WeightSDS!V$23*$AG198+WeightSDS!W$23,IF($AG198&lt;153,WeightSDS!M$25*$AG198^10+WeightSDS!N$25*$AG198^9+WeightSDS!O$25*$AG198^8+WeightSDS!P$25*$AG198^7+WeightSDS!Q$25*$AG198^6+WeightSDS!R$25*$AG198^5+WeightSDS!S$25*$AG198^4+WeightSDS!T$25*$AG198^3+WeightSDS!U$25*$AG198^2+WeightSDS!V$25*$AG198+WeightSDS!W$25,WeightSDS!M$27+WeightSDS!N$27/(1+EXP(WeightSDS!O$27+WeightSDS!P$27*$AG198)))),IF($AG198&lt;43.8,WeightSDS!M$29*$AG198^10+WeightSDS!N$29*$AG198^9+WeightSDS!O$29*$AG198^8+WeightSDS!P$29*$AG198^7+WeightSDS!Q$29*$AG198^6+WeightSDS!R$29*$AG198^5+WeightSDS!S$29*$AG198^4+WeightSDS!T$29*$AG198^3+WeightSDS!U$29*$AG198^2+WeightSDS!V$29*$AG198+WeightSDS!W$29-0.010431*(1-$AG198/210),IF($AG198&lt;123,WeightSDS!M$30*$AG198^10+WeightSDS!N$30*$AG198^9+WeightSDS!O$30*$AG198^8+WeightSDS!P$30*$AG198^7+WeightSDS!Q$30*$AG198^6+WeightSDS!R$30*$AG198^5+WeightSDS!S$30*$AG198^4+WeightSDS!T$30*$AG198^3+WeightSDS!U$30*$AG198^2+WeightSDS!V$30*$AG198+WeightSDS!W$30-0.010431*(1-1/$AG198),WeightSDS!M$32+WeightSDS!N$32/(1+EXP(WeightSDS!O$32+WeightSDS!P$32*$AG198))-0.010431*(1-$AG198/210))))</f>
        <v>2.9500001032655536</v>
      </c>
      <c r="AK198" s="24">
        <f>IF(D198="M",IF($AG198&lt;162,WeightSDS!P$12*$AG198^7+WeightSDS!Q$12*$AG198^6+WeightSDS!R$12*$AG198^5+WeightSDS!S$12*$AG198^4+WeightSDS!T$12*$AG198^3+WeightSDS!U$12*$AG198^2+WeightSDS!V$12*$AG198+WeightSDS!W$12,WeightSDS!P$14*$AG198^7+WeightSDS!Q$14*$AG198^6+WeightSDS!R$14*$AG198^5+WeightSDS!S$14*$AG198^4+WeightSDS!T$14*$AG198^3+WeightSDS!U$14*$AG198^2+WeightSDS!V$14*$AG198+WeightSDS!W$14),IF($AG198&lt;156,WeightSDS!O$17*$AG198^8+WeightSDS!P$17*$AG198^7+WeightSDS!Q$17*$AG198^6+WeightSDS!R$17*$AG198^5+WeightSDS!S$17*$AG198^4+WeightSDS!T$17*$AG198^3+WeightSDS!U$17*$AG198^2+WeightSDS!V$17*$AG198+WeightSDS!W$17,IF($AG198&lt;186,WeightSDS!$U$18+(WeightSDS!$V$18-WeightSDS!$U$18)/24*($AG198-186)+WeightSDS!$W$18*(-$AG198+186)^2-0.005,WeightSDS!$U$18+(WeightSDS!$V$18-WeightSDS!$U$18)/24*($AG198-186)-0.005)))</f>
        <v>0.14604529399999999</v>
      </c>
    </row>
    <row r="199" spans="1:37">
      <c r="A199" s="4"/>
      <c r="B199" s="21"/>
      <c r="C199" s="21"/>
      <c r="D199" s="21"/>
      <c r="E199" s="22"/>
      <c r="F199" s="22"/>
      <c r="G199" s="23"/>
      <c r="H199" s="23"/>
      <c r="I199" s="8" t="str">
        <f t="shared" si="50"/>
        <v/>
      </c>
      <c r="J199" s="2" t="str">
        <f t="shared" si="57"/>
        <v/>
      </c>
      <c r="K199" s="2" t="str">
        <f t="shared" si="51"/>
        <v/>
      </c>
      <c r="L199" s="2" t="str">
        <f t="shared" si="58"/>
        <v/>
      </c>
      <c r="M199" s="2" t="str">
        <f t="shared" si="47"/>
        <v/>
      </c>
      <c r="N199" s="2" t="str">
        <f t="shared" si="59"/>
        <v/>
      </c>
      <c r="O199" s="8" t="str">
        <f t="shared" si="60"/>
        <v/>
      </c>
      <c r="P199" s="8" t="str">
        <f t="shared" si="61"/>
        <v/>
      </c>
      <c r="Q199" s="40" t="str">
        <f t="shared" si="52"/>
        <v/>
      </c>
      <c r="R199" s="48" t="str">
        <f t="shared" si="62"/>
        <v/>
      </c>
      <c r="S199" s="8"/>
      <c r="U199" s="35">
        <f t="shared" si="53"/>
        <v>0</v>
      </c>
      <c r="V199" s="24">
        <f t="shared" si="54"/>
        <v>0</v>
      </c>
      <c r="W199" s="41">
        <f t="shared" si="49"/>
        <v>0</v>
      </c>
      <c r="X199" s="31"/>
      <c r="Y199" s="31"/>
      <c r="Z199" s="31"/>
      <c r="AA199" s="25">
        <f t="shared" si="55"/>
        <v>9.0359999999999996</v>
      </c>
      <c r="AB199" s="25">
        <f t="shared" si="56"/>
        <v>-184.49199999999999</v>
      </c>
      <c r="AD199" s="24">
        <f>IF(D199="M",IF(AG199&lt;78,BMILMS!$D$5*AG199^3+BMILMS!$E$5*AG199^2+BMILMS!$F$5*AG199+BMILMS!$G$5,IF(AG199&lt;150,BMILMS!$D$6*AG199^3+BMILMS!$E$6*AG199^2+BMILMS!$F$6*AG199+BMILMS!$G$6,BMILMS!$D$7*AG199^3+BMILMS!$E$7*AG199^2+BMILMS!$F$7*AG199+BMILMS!$G$7)),IF(AG199&lt;69,BMILMS!$D$9*AG199^3+BMILMS!$E$9*AG199^2+BMILMS!$F$9*AG199+BMILMS!$G$9,IF(AG199&lt;150,BMILMS!$D$10*AG199^3+BMILMS!$E$10*AG199^2+BMILMS!$F$10*AG199+BMILMS!$G$10,BMILMS!$D$11*AG199^3+BMILMS!$E$11*AG199^2+BMILMS!$F$11*AG199+BMILMS!$G$11)))</f>
        <v>0.79584630099999998</v>
      </c>
      <c r="AE199" s="24">
        <f>IF(D199="M",(IF(AG199&lt;2.5,BMILMS!$D$21*AG199^3+BMILMS!$E$21*AG199^2+BMILMS!$F$21*AG199+BMILMS!$G$21,IF(AG199&lt;9.5,BMILMS!$D$22*AG199^3+BMILMS!$E$22*AG199^2+BMILMS!$F$22*AG199+BMILMS!$G$22,IF(AG199&lt;26.75,BMILMS!$D$23*AG199^3+BMILMS!$E$23*AG199^2+BMILMS!$F$23*AG199+BMILMS!$G$23,IF(AG199&lt;90,BMILMS!$D$24*AG199^3+BMILMS!$E$24*AG199^2+BMILMS!$F$24*AG199+BMILMS!$G$24,BMILMS!$D$25*AG199^3+BMILMS!$E$25*AG199^2+BMILMS!$F$25*AG199+BMILMS!$G$25))))),(IF(AG199&lt;2.5,BMILMS!$D$27*AG199^3+BMILMS!$E$27*AG199^2+BMILMS!$F$27*AG199+BMILMS!$G$27,IF(AG199&lt;9.5,BMILMS!$D$28*AG199^3+BMILMS!$E$28*AG199^2+BMILMS!$F$28*AG199+BMILMS!$G$28,IF(AG199&lt;26.75,BMILMS!$D$29*AG199^3+BMILMS!$E$29*AG199^2+BMILMS!$F$29*AG199+BMILMS!$G$29,IF(AG199&lt;90,BMILMS!$D$30*AG199^3+BMILMS!$E$30*AG199^2+BMILMS!$F$30*AG199+BMILMS!$G$30,IF(AG199&lt;150,BMILMS!$D$31*AG199^3+BMILMS!$E$31*AG199^2+BMILMS!$F$31*AG199+BMILMS!$G$31,BMILMS!$D$32*AG199^3+BMILMS!$E$32*AG199^2+BMILMS!$F$32*AG199+BMILMS!$G$32)))))))</f>
        <v>12.568967990000001</v>
      </c>
      <c r="AF199" s="24">
        <f>IF(D199="M",(IF(AG199&lt;90,BMILMS!$D$14*AG199^3+BMILMS!$E$14*AG199^2+BMILMS!$F$14*AG199+BMILMS!$G$14,BMILMS!$D$15*AG199^3+BMILMS!$E$15*AG199^2+BMILMS!$F$15*AG199+BMILMS!$G$15)),(IF(AG199&lt;90,BMILMS!$D$17*AG199^3+BMILMS!$E$17*AG199^2+BMILMS!$F$17*AG199+BMILMS!$G$17,BMILMS!$D$18*AG199^3+BMILMS!$E$18*AG199^2+BMILMS!$F$18*AG199+BMILMS!$G$18)))</f>
        <v>8.8969350000000003E-2</v>
      </c>
      <c r="AG199" s="24">
        <f t="shared" si="48"/>
        <v>0</v>
      </c>
      <c r="AI199" s="38">
        <f>IF(D199="M",WeightSDS!P$5*$AG199^7+WeightSDS!Q$5*$AG199^6+WeightSDS!R$5*$AG199^5+WeightSDS!S$5*$AG199^4+WeightSDS!T$5*$AG199^3+WeightSDS!U$5*$AG199^2+WeightSDS!V$5*$AG199+WeightSDS!W$5,IF($AG199&lt;186,WeightSDS!P$8*$AG199^7+WeightSDS!Q$8*$AG199^6+WeightSDS!R$8*$AG199^5+WeightSDS!S$8*$AG199^4+WeightSDS!T$8*$AG199^3+WeightSDS!U$8*$AG199^2+WeightSDS!V$8*$AG199+WeightSDS!W$8,WeightSDS!$U$9-WeightSDS!$V$9*($AG199-WeightSDS!$W$9)))</f>
        <v>0.75407122999999998</v>
      </c>
      <c r="AJ199" s="24">
        <f>IF(D199="M",IF($AG199&lt;45,WeightSDS!M$23*$AG199^10+WeightSDS!N$23*$AG199^9+WeightSDS!O$23*$AG199^8+WeightSDS!P$23*$AG199^7+WeightSDS!Q$23*$AG199^6+WeightSDS!R$23*$AG199^5+WeightSDS!S$23*$AG199^4+WeightSDS!T$23*$AG199^3+WeightSDS!U$23*$AG199^2+WeightSDS!V$23*$AG199+WeightSDS!W$23,IF($AG199&lt;153,WeightSDS!M$25*$AG199^10+WeightSDS!N$25*$AG199^9+WeightSDS!O$25*$AG199^8+WeightSDS!P$25*$AG199^7+WeightSDS!Q$25*$AG199^6+WeightSDS!R$25*$AG199^5+WeightSDS!S$25*$AG199^4+WeightSDS!T$25*$AG199^3+WeightSDS!U$25*$AG199^2+WeightSDS!V$25*$AG199+WeightSDS!W$25,WeightSDS!M$27+WeightSDS!N$27/(1+EXP(WeightSDS!O$27+WeightSDS!P$27*$AG199)))),IF($AG199&lt;43.8,WeightSDS!M$29*$AG199^10+WeightSDS!N$29*$AG199^9+WeightSDS!O$29*$AG199^8+WeightSDS!P$29*$AG199^7+WeightSDS!Q$29*$AG199^6+WeightSDS!R$29*$AG199^5+WeightSDS!S$29*$AG199^4+WeightSDS!T$29*$AG199^3+WeightSDS!U$29*$AG199^2+WeightSDS!V$29*$AG199+WeightSDS!W$29-0.010431*(1-$AG199/210),IF($AG199&lt;123,WeightSDS!M$30*$AG199^10+WeightSDS!N$30*$AG199^9+WeightSDS!O$30*$AG199^8+WeightSDS!P$30*$AG199^7+WeightSDS!Q$30*$AG199^6+WeightSDS!R$30*$AG199^5+WeightSDS!S$30*$AG199^4+WeightSDS!T$30*$AG199^3+WeightSDS!U$30*$AG199^2+WeightSDS!V$30*$AG199+WeightSDS!W$30-0.010431*(1-1/$AG199),WeightSDS!M$32+WeightSDS!N$32/(1+EXP(WeightSDS!O$32+WeightSDS!P$32*$AG199))-0.010431*(1-$AG199/210))))</f>
        <v>2.9500001032655536</v>
      </c>
      <c r="AK199" s="24">
        <f>IF(D199="M",IF($AG199&lt;162,WeightSDS!P$12*$AG199^7+WeightSDS!Q$12*$AG199^6+WeightSDS!R$12*$AG199^5+WeightSDS!S$12*$AG199^4+WeightSDS!T$12*$AG199^3+WeightSDS!U$12*$AG199^2+WeightSDS!V$12*$AG199+WeightSDS!W$12,WeightSDS!P$14*$AG199^7+WeightSDS!Q$14*$AG199^6+WeightSDS!R$14*$AG199^5+WeightSDS!S$14*$AG199^4+WeightSDS!T$14*$AG199^3+WeightSDS!U$14*$AG199^2+WeightSDS!V$14*$AG199+WeightSDS!W$14),IF($AG199&lt;156,WeightSDS!O$17*$AG199^8+WeightSDS!P$17*$AG199^7+WeightSDS!Q$17*$AG199^6+WeightSDS!R$17*$AG199^5+WeightSDS!S$17*$AG199^4+WeightSDS!T$17*$AG199^3+WeightSDS!U$17*$AG199^2+WeightSDS!V$17*$AG199+WeightSDS!W$17,IF($AG199&lt;186,WeightSDS!$U$18+(WeightSDS!$V$18-WeightSDS!$U$18)/24*($AG199-186)+WeightSDS!$W$18*(-$AG199+186)^2-0.005,WeightSDS!$U$18+(WeightSDS!$V$18-WeightSDS!$U$18)/24*($AG199-186)-0.005)))</f>
        <v>0.14604529399999999</v>
      </c>
    </row>
    <row r="200" spans="1:37">
      <c r="A200" s="4"/>
      <c r="B200" s="21"/>
      <c r="C200" s="21"/>
      <c r="D200" s="21"/>
      <c r="E200" s="22"/>
      <c r="F200" s="22"/>
      <c r="G200" s="23"/>
      <c r="H200" s="23"/>
      <c r="I200" s="8" t="str">
        <f t="shared" si="50"/>
        <v/>
      </c>
      <c r="J200" s="2" t="str">
        <f t="shared" si="57"/>
        <v/>
      </c>
      <c r="K200" s="2" t="str">
        <f t="shared" si="51"/>
        <v/>
      </c>
      <c r="L200" s="2" t="str">
        <f t="shared" si="58"/>
        <v/>
      </c>
      <c r="M200" s="2" t="str">
        <f t="shared" ref="M200:M263" si="63">IF(COUNTA(D200,E200,F200,G200,H200)=5,H200/G200^2*10000,"")</f>
        <v/>
      </c>
      <c r="N200" s="2" t="str">
        <f t="shared" si="59"/>
        <v/>
      </c>
      <c r="O200" s="8" t="str">
        <f t="shared" si="60"/>
        <v/>
      </c>
      <c r="P200" s="8" t="str">
        <f t="shared" si="61"/>
        <v/>
      </c>
      <c r="Q200" s="40" t="str">
        <f t="shared" si="52"/>
        <v/>
      </c>
      <c r="R200" s="48" t="str">
        <f t="shared" si="62"/>
        <v/>
      </c>
      <c r="S200" s="8"/>
      <c r="U200" s="35">
        <f t="shared" si="53"/>
        <v>0</v>
      </c>
      <c r="V200" s="24">
        <f t="shared" si="54"/>
        <v>0</v>
      </c>
      <c r="W200" s="41">
        <f t="shared" si="49"/>
        <v>0</v>
      </c>
      <c r="X200" s="31"/>
      <c r="Y200" s="31"/>
      <c r="Z200" s="31"/>
      <c r="AA200" s="25">
        <f t="shared" si="55"/>
        <v>9.0359999999999996</v>
      </c>
      <c r="AB200" s="25">
        <f t="shared" si="56"/>
        <v>-184.49199999999999</v>
      </c>
      <c r="AD200" s="24">
        <f>IF(D200="M",IF(AG200&lt;78,BMILMS!$D$5*AG200^3+BMILMS!$E$5*AG200^2+BMILMS!$F$5*AG200+BMILMS!$G$5,IF(AG200&lt;150,BMILMS!$D$6*AG200^3+BMILMS!$E$6*AG200^2+BMILMS!$F$6*AG200+BMILMS!$G$6,BMILMS!$D$7*AG200^3+BMILMS!$E$7*AG200^2+BMILMS!$F$7*AG200+BMILMS!$G$7)),IF(AG200&lt;69,BMILMS!$D$9*AG200^3+BMILMS!$E$9*AG200^2+BMILMS!$F$9*AG200+BMILMS!$G$9,IF(AG200&lt;150,BMILMS!$D$10*AG200^3+BMILMS!$E$10*AG200^2+BMILMS!$F$10*AG200+BMILMS!$G$10,BMILMS!$D$11*AG200^3+BMILMS!$E$11*AG200^2+BMILMS!$F$11*AG200+BMILMS!$G$11)))</f>
        <v>0.79584630099999998</v>
      </c>
      <c r="AE200" s="24">
        <f>IF(D200="M",(IF(AG200&lt;2.5,BMILMS!$D$21*AG200^3+BMILMS!$E$21*AG200^2+BMILMS!$F$21*AG200+BMILMS!$G$21,IF(AG200&lt;9.5,BMILMS!$D$22*AG200^3+BMILMS!$E$22*AG200^2+BMILMS!$F$22*AG200+BMILMS!$G$22,IF(AG200&lt;26.75,BMILMS!$D$23*AG200^3+BMILMS!$E$23*AG200^2+BMILMS!$F$23*AG200+BMILMS!$G$23,IF(AG200&lt;90,BMILMS!$D$24*AG200^3+BMILMS!$E$24*AG200^2+BMILMS!$F$24*AG200+BMILMS!$G$24,BMILMS!$D$25*AG200^3+BMILMS!$E$25*AG200^2+BMILMS!$F$25*AG200+BMILMS!$G$25))))),(IF(AG200&lt;2.5,BMILMS!$D$27*AG200^3+BMILMS!$E$27*AG200^2+BMILMS!$F$27*AG200+BMILMS!$G$27,IF(AG200&lt;9.5,BMILMS!$D$28*AG200^3+BMILMS!$E$28*AG200^2+BMILMS!$F$28*AG200+BMILMS!$G$28,IF(AG200&lt;26.75,BMILMS!$D$29*AG200^3+BMILMS!$E$29*AG200^2+BMILMS!$F$29*AG200+BMILMS!$G$29,IF(AG200&lt;90,BMILMS!$D$30*AG200^3+BMILMS!$E$30*AG200^2+BMILMS!$F$30*AG200+BMILMS!$G$30,IF(AG200&lt;150,BMILMS!$D$31*AG200^3+BMILMS!$E$31*AG200^2+BMILMS!$F$31*AG200+BMILMS!$G$31,BMILMS!$D$32*AG200^3+BMILMS!$E$32*AG200^2+BMILMS!$F$32*AG200+BMILMS!$G$32)))))))</f>
        <v>12.568967990000001</v>
      </c>
      <c r="AF200" s="24">
        <f>IF(D200="M",(IF(AG200&lt;90,BMILMS!$D$14*AG200^3+BMILMS!$E$14*AG200^2+BMILMS!$F$14*AG200+BMILMS!$G$14,BMILMS!$D$15*AG200^3+BMILMS!$E$15*AG200^2+BMILMS!$F$15*AG200+BMILMS!$G$15)),(IF(AG200&lt;90,BMILMS!$D$17*AG200^3+BMILMS!$E$17*AG200^2+BMILMS!$F$17*AG200+BMILMS!$G$17,BMILMS!$D$18*AG200^3+BMILMS!$E$18*AG200^2+BMILMS!$F$18*AG200+BMILMS!$G$18)))</f>
        <v>8.8969350000000003E-2</v>
      </c>
      <c r="AG200" s="24">
        <f t="shared" ref="AG200:AG263" si="64">U200*12+V200</f>
        <v>0</v>
      </c>
      <c r="AI200" s="38">
        <f>IF(D200="M",WeightSDS!P$5*$AG200^7+WeightSDS!Q$5*$AG200^6+WeightSDS!R$5*$AG200^5+WeightSDS!S$5*$AG200^4+WeightSDS!T$5*$AG200^3+WeightSDS!U$5*$AG200^2+WeightSDS!V$5*$AG200+WeightSDS!W$5,IF($AG200&lt;186,WeightSDS!P$8*$AG200^7+WeightSDS!Q$8*$AG200^6+WeightSDS!R$8*$AG200^5+WeightSDS!S$8*$AG200^4+WeightSDS!T$8*$AG200^3+WeightSDS!U$8*$AG200^2+WeightSDS!V$8*$AG200+WeightSDS!W$8,WeightSDS!$U$9-WeightSDS!$V$9*($AG200-WeightSDS!$W$9)))</f>
        <v>0.75407122999999998</v>
      </c>
      <c r="AJ200" s="24">
        <f>IF(D200="M",IF($AG200&lt;45,WeightSDS!M$23*$AG200^10+WeightSDS!N$23*$AG200^9+WeightSDS!O$23*$AG200^8+WeightSDS!P$23*$AG200^7+WeightSDS!Q$23*$AG200^6+WeightSDS!R$23*$AG200^5+WeightSDS!S$23*$AG200^4+WeightSDS!T$23*$AG200^3+WeightSDS!U$23*$AG200^2+WeightSDS!V$23*$AG200+WeightSDS!W$23,IF($AG200&lt;153,WeightSDS!M$25*$AG200^10+WeightSDS!N$25*$AG200^9+WeightSDS!O$25*$AG200^8+WeightSDS!P$25*$AG200^7+WeightSDS!Q$25*$AG200^6+WeightSDS!R$25*$AG200^5+WeightSDS!S$25*$AG200^4+WeightSDS!T$25*$AG200^3+WeightSDS!U$25*$AG200^2+WeightSDS!V$25*$AG200+WeightSDS!W$25,WeightSDS!M$27+WeightSDS!N$27/(1+EXP(WeightSDS!O$27+WeightSDS!P$27*$AG200)))),IF($AG200&lt;43.8,WeightSDS!M$29*$AG200^10+WeightSDS!N$29*$AG200^9+WeightSDS!O$29*$AG200^8+WeightSDS!P$29*$AG200^7+WeightSDS!Q$29*$AG200^6+WeightSDS!R$29*$AG200^5+WeightSDS!S$29*$AG200^4+WeightSDS!T$29*$AG200^3+WeightSDS!U$29*$AG200^2+WeightSDS!V$29*$AG200+WeightSDS!W$29-0.010431*(1-$AG200/210),IF($AG200&lt;123,WeightSDS!M$30*$AG200^10+WeightSDS!N$30*$AG200^9+WeightSDS!O$30*$AG200^8+WeightSDS!P$30*$AG200^7+WeightSDS!Q$30*$AG200^6+WeightSDS!R$30*$AG200^5+WeightSDS!S$30*$AG200^4+WeightSDS!T$30*$AG200^3+WeightSDS!U$30*$AG200^2+WeightSDS!V$30*$AG200+WeightSDS!W$30-0.010431*(1-1/$AG200),WeightSDS!M$32+WeightSDS!N$32/(1+EXP(WeightSDS!O$32+WeightSDS!P$32*$AG200))-0.010431*(1-$AG200/210))))</f>
        <v>2.9500001032655536</v>
      </c>
      <c r="AK200" s="24">
        <f>IF(D200="M",IF($AG200&lt;162,WeightSDS!P$12*$AG200^7+WeightSDS!Q$12*$AG200^6+WeightSDS!R$12*$AG200^5+WeightSDS!S$12*$AG200^4+WeightSDS!T$12*$AG200^3+WeightSDS!U$12*$AG200^2+WeightSDS!V$12*$AG200+WeightSDS!W$12,WeightSDS!P$14*$AG200^7+WeightSDS!Q$14*$AG200^6+WeightSDS!R$14*$AG200^5+WeightSDS!S$14*$AG200^4+WeightSDS!T$14*$AG200^3+WeightSDS!U$14*$AG200^2+WeightSDS!V$14*$AG200+WeightSDS!W$14),IF($AG200&lt;156,WeightSDS!O$17*$AG200^8+WeightSDS!P$17*$AG200^7+WeightSDS!Q$17*$AG200^6+WeightSDS!R$17*$AG200^5+WeightSDS!S$17*$AG200^4+WeightSDS!T$17*$AG200^3+WeightSDS!U$17*$AG200^2+WeightSDS!V$17*$AG200+WeightSDS!W$17,IF($AG200&lt;186,WeightSDS!$U$18+(WeightSDS!$V$18-WeightSDS!$U$18)/24*($AG200-186)+WeightSDS!$W$18*(-$AG200+186)^2-0.005,WeightSDS!$U$18+(WeightSDS!$V$18-WeightSDS!$U$18)/24*($AG200-186)-0.005)))</f>
        <v>0.14604529399999999</v>
      </c>
    </row>
    <row r="201" spans="1:37">
      <c r="A201" s="4"/>
      <c r="B201" s="21"/>
      <c r="C201" s="21"/>
      <c r="D201" s="21"/>
      <c r="E201" s="22"/>
      <c r="F201" s="22"/>
      <c r="G201" s="23"/>
      <c r="H201" s="23"/>
      <c r="I201" s="8" t="str">
        <f t="shared" si="50"/>
        <v/>
      </c>
      <c r="J201" s="2" t="str">
        <f t="shared" si="57"/>
        <v/>
      </c>
      <c r="K201" s="2" t="str">
        <f t="shared" si="51"/>
        <v/>
      </c>
      <c r="L201" s="2" t="str">
        <f t="shared" si="58"/>
        <v/>
      </c>
      <c r="M201" s="2" t="str">
        <f t="shared" si="63"/>
        <v/>
      </c>
      <c r="N201" s="2" t="str">
        <f t="shared" si="59"/>
        <v/>
      </c>
      <c r="O201" s="8" t="str">
        <f t="shared" si="60"/>
        <v/>
      </c>
      <c r="P201" s="8" t="str">
        <f t="shared" si="61"/>
        <v/>
      </c>
      <c r="Q201" s="40" t="str">
        <f t="shared" si="52"/>
        <v/>
      </c>
      <c r="R201" s="48" t="str">
        <f t="shared" si="62"/>
        <v/>
      </c>
      <c r="S201" s="8"/>
      <c r="U201" s="35">
        <f t="shared" si="53"/>
        <v>0</v>
      </c>
      <c r="V201" s="24">
        <f t="shared" si="54"/>
        <v>0</v>
      </c>
      <c r="W201" s="41">
        <f t="shared" si="49"/>
        <v>0</v>
      </c>
      <c r="X201" s="31"/>
      <c r="Y201" s="31"/>
      <c r="Z201" s="31"/>
      <c r="AA201" s="25">
        <f t="shared" si="55"/>
        <v>9.0359999999999996</v>
      </c>
      <c r="AB201" s="25">
        <f t="shared" si="56"/>
        <v>-184.49199999999999</v>
      </c>
      <c r="AD201" s="24">
        <f>IF(D201="M",IF(AG201&lt;78,BMILMS!$D$5*AG201^3+BMILMS!$E$5*AG201^2+BMILMS!$F$5*AG201+BMILMS!$G$5,IF(AG201&lt;150,BMILMS!$D$6*AG201^3+BMILMS!$E$6*AG201^2+BMILMS!$F$6*AG201+BMILMS!$G$6,BMILMS!$D$7*AG201^3+BMILMS!$E$7*AG201^2+BMILMS!$F$7*AG201+BMILMS!$G$7)),IF(AG201&lt;69,BMILMS!$D$9*AG201^3+BMILMS!$E$9*AG201^2+BMILMS!$F$9*AG201+BMILMS!$G$9,IF(AG201&lt;150,BMILMS!$D$10*AG201^3+BMILMS!$E$10*AG201^2+BMILMS!$F$10*AG201+BMILMS!$G$10,BMILMS!$D$11*AG201^3+BMILMS!$E$11*AG201^2+BMILMS!$F$11*AG201+BMILMS!$G$11)))</f>
        <v>0.79584630099999998</v>
      </c>
      <c r="AE201" s="24">
        <f>IF(D201="M",(IF(AG201&lt;2.5,BMILMS!$D$21*AG201^3+BMILMS!$E$21*AG201^2+BMILMS!$F$21*AG201+BMILMS!$G$21,IF(AG201&lt;9.5,BMILMS!$D$22*AG201^3+BMILMS!$E$22*AG201^2+BMILMS!$F$22*AG201+BMILMS!$G$22,IF(AG201&lt;26.75,BMILMS!$D$23*AG201^3+BMILMS!$E$23*AG201^2+BMILMS!$F$23*AG201+BMILMS!$G$23,IF(AG201&lt;90,BMILMS!$D$24*AG201^3+BMILMS!$E$24*AG201^2+BMILMS!$F$24*AG201+BMILMS!$G$24,BMILMS!$D$25*AG201^3+BMILMS!$E$25*AG201^2+BMILMS!$F$25*AG201+BMILMS!$G$25))))),(IF(AG201&lt;2.5,BMILMS!$D$27*AG201^3+BMILMS!$E$27*AG201^2+BMILMS!$F$27*AG201+BMILMS!$G$27,IF(AG201&lt;9.5,BMILMS!$D$28*AG201^3+BMILMS!$E$28*AG201^2+BMILMS!$F$28*AG201+BMILMS!$G$28,IF(AG201&lt;26.75,BMILMS!$D$29*AG201^3+BMILMS!$E$29*AG201^2+BMILMS!$F$29*AG201+BMILMS!$G$29,IF(AG201&lt;90,BMILMS!$D$30*AG201^3+BMILMS!$E$30*AG201^2+BMILMS!$F$30*AG201+BMILMS!$G$30,IF(AG201&lt;150,BMILMS!$D$31*AG201^3+BMILMS!$E$31*AG201^2+BMILMS!$F$31*AG201+BMILMS!$G$31,BMILMS!$D$32*AG201^3+BMILMS!$E$32*AG201^2+BMILMS!$F$32*AG201+BMILMS!$G$32)))))))</f>
        <v>12.568967990000001</v>
      </c>
      <c r="AF201" s="24">
        <f>IF(D201="M",(IF(AG201&lt;90,BMILMS!$D$14*AG201^3+BMILMS!$E$14*AG201^2+BMILMS!$F$14*AG201+BMILMS!$G$14,BMILMS!$D$15*AG201^3+BMILMS!$E$15*AG201^2+BMILMS!$F$15*AG201+BMILMS!$G$15)),(IF(AG201&lt;90,BMILMS!$D$17*AG201^3+BMILMS!$E$17*AG201^2+BMILMS!$F$17*AG201+BMILMS!$G$17,BMILMS!$D$18*AG201^3+BMILMS!$E$18*AG201^2+BMILMS!$F$18*AG201+BMILMS!$G$18)))</f>
        <v>8.8969350000000003E-2</v>
      </c>
      <c r="AG201" s="24">
        <f t="shared" si="64"/>
        <v>0</v>
      </c>
      <c r="AI201" s="38">
        <f>IF(D201="M",WeightSDS!P$5*$AG201^7+WeightSDS!Q$5*$AG201^6+WeightSDS!R$5*$AG201^5+WeightSDS!S$5*$AG201^4+WeightSDS!T$5*$AG201^3+WeightSDS!U$5*$AG201^2+WeightSDS!V$5*$AG201+WeightSDS!W$5,IF($AG201&lt;186,WeightSDS!P$8*$AG201^7+WeightSDS!Q$8*$AG201^6+WeightSDS!R$8*$AG201^5+WeightSDS!S$8*$AG201^4+WeightSDS!T$8*$AG201^3+WeightSDS!U$8*$AG201^2+WeightSDS!V$8*$AG201+WeightSDS!W$8,WeightSDS!$U$9-WeightSDS!$V$9*($AG201-WeightSDS!$W$9)))</f>
        <v>0.75407122999999998</v>
      </c>
      <c r="AJ201" s="24">
        <f>IF(D201="M",IF($AG201&lt;45,WeightSDS!M$23*$AG201^10+WeightSDS!N$23*$AG201^9+WeightSDS!O$23*$AG201^8+WeightSDS!P$23*$AG201^7+WeightSDS!Q$23*$AG201^6+WeightSDS!R$23*$AG201^5+WeightSDS!S$23*$AG201^4+WeightSDS!T$23*$AG201^3+WeightSDS!U$23*$AG201^2+WeightSDS!V$23*$AG201+WeightSDS!W$23,IF($AG201&lt;153,WeightSDS!M$25*$AG201^10+WeightSDS!N$25*$AG201^9+WeightSDS!O$25*$AG201^8+WeightSDS!P$25*$AG201^7+WeightSDS!Q$25*$AG201^6+WeightSDS!R$25*$AG201^5+WeightSDS!S$25*$AG201^4+WeightSDS!T$25*$AG201^3+WeightSDS!U$25*$AG201^2+WeightSDS!V$25*$AG201+WeightSDS!W$25,WeightSDS!M$27+WeightSDS!N$27/(1+EXP(WeightSDS!O$27+WeightSDS!P$27*$AG201)))),IF($AG201&lt;43.8,WeightSDS!M$29*$AG201^10+WeightSDS!N$29*$AG201^9+WeightSDS!O$29*$AG201^8+WeightSDS!P$29*$AG201^7+WeightSDS!Q$29*$AG201^6+WeightSDS!R$29*$AG201^5+WeightSDS!S$29*$AG201^4+WeightSDS!T$29*$AG201^3+WeightSDS!U$29*$AG201^2+WeightSDS!V$29*$AG201+WeightSDS!W$29-0.010431*(1-$AG201/210),IF($AG201&lt;123,WeightSDS!M$30*$AG201^10+WeightSDS!N$30*$AG201^9+WeightSDS!O$30*$AG201^8+WeightSDS!P$30*$AG201^7+WeightSDS!Q$30*$AG201^6+WeightSDS!R$30*$AG201^5+WeightSDS!S$30*$AG201^4+WeightSDS!T$30*$AG201^3+WeightSDS!U$30*$AG201^2+WeightSDS!V$30*$AG201+WeightSDS!W$30-0.010431*(1-1/$AG201),WeightSDS!M$32+WeightSDS!N$32/(1+EXP(WeightSDS!O$32+WeightSDS!P$32*$AG201))-0.010431*(1-$AG201/210))))</f>
        <v>2.9500001032655536</v>
      </c>
      <c r="AK201" s="24">
        <f>IF(D201="M",IF($AG201&lt;162,WeightSDS!P$12*$AG201^7+WeightSDS!Q$12*$AG201^6+WeightSDS!R$12*$AG201^5+WeightSDS!S$12*$AG201^4+WeightSDS!T$12*$AG201^3+WeightSDS!U$12*$AG201^2+WeightSDS!V$12*$AG201+WeightSDS!W$12,WeightSDS!P$14*$AG201^7+WeightSDS!Q$14*$AG201^6+WeightSDS!R$14*$AG201^5+WeightSDS!S$14*$AG201^4+WeightSDS!T$14*$AG201^3+WeightSDS!U$14*$AG201^2+WeightSDS!V$14*$AG201+WeightSDS!W$14),IF($AG201&lt;156,WeightSDS!O$17*$AG201^8+WeightSDS!P$17*$AG201^7+WeightSDS!Q$17*$AG201^6+WeightSDS!R$17*$AG201^5+WeightSDS!S$17*$AG201^4+WeightSDS!T$17*$AG201^3+WeightSDS!U$17*$AG201^2+WeightSDS!V$17*$AG201+WeightSDS!W$17,IF($AG201&lt;186,WeightSDS!$U$18+(WeightSDS!$V$18-WeightSDS!$U$18)/24*($AG201-186)+WeightSDS!$W$18*(-$AG201+186)^2-0.005,WeightSDS!$U$18+(WeightSDS!$V$18-WeightSDS!$U$18)/24*($AG201-186)-0.005)))</f>
        <v>0.14604529399999999</v>
      </c>
    </row>
    <row r="202" spans="1:37">
      <c r="A202" s="4"/>
      <c r="B202" s="21"/>
      <c r="C202" s="21"/>
      <c r="D202" s="21"/>
      <c r="E202" s="22"/>
      <c r="F202" s="22"/>
      <c r="G202" s="23"/>
      <c r="H202" s="23"/>
      <c r="I202" s="8" t="str">
        <f t="shared" si="50"/>
        <v/>
      </c>
      <c r="J202" s="2" t="str">
        <f t="shared" si="57"/>
        <v/>
      </c>
      <c r="K202" s="2" t="str">
        <f t="shared" si="51"/>
        <v/>
      </c>
      <c r="L202" s="2" t="str">
        <f t="shared" si="58"/>
        <v/>
      </c>
      <c r="M202" s="2" t="str">
        <f t="shared" si="63"/>
        <v/>
      </c>
      <c r="N202" s="2" t="str">
        <f t="shared" si="59"/>
        <v/>
      </c>
      <c r="O202" s="8" t="str">
        <f t="shared" si="60"/>
        <v/>
      </c>
      <c r="P202" s="8" t="str">
        <f t="shared" si="61"/>
        <v/>
      </c>
      <c r="Q202" s="40" t="str">
        <f t="shared" si="52"/>
        <v/>
      </c>
      <c r="R202" s="48" t="str">
        <f t="shared" si="62"/>
        <v/>
      </c>
      <c r="S202" s="8"/>
      <c r="U202" s="35">
        <f t="shared" si="53"/>
        <v>0</v>
      </c>
      <c r="V202" s="24">
        <f t="shared" si="54"/>
        <v>0</v>
      </c>
      <c r="W202" s="41">
        <f t="shared" si="49"/>
        <v>0</v>
      </c>
      <c r="X202" s="31"/>
      <c r="Y202" s="31"/>
      <c r="Z202" s="31"/>
      <c r="AA202" s="25">
        <f t="shared" si="55"/>
        <v>9.0359999999999996</v>
      </c>
      <c r="AB202" s="25">
        <f t="shared" si="56"/>
        <v>-184.49199999999999</v>
      </c>
      <c r="AD202" s="24">
        <f>IF(D202="M",IF(AG202&lt;78,BMILMS!$D$5*AG202^3+BMILMS!$E$5*AG202^2+BMILMS!$F$5*AG202+BMILMS!$G$5,IF(AG202&lt;150,BMILMS!$D$6*AG202^3+BMILMS!$E$6*AG202^2+BMILMS!$F$6*AG202+BMILMS!$G$6,BMILMS!$D$7*AG202^3+BMILMS!$E$7*AG202^2+BMILMS!$F$7*AG202+BMILMS!$G$7)),IF(AG202&lt;69,BMILMS!$D$9*AG202^3+BMILMS!$E$9*AG202^2+BMILMS!$F$9*AG202+BMILMS!$G$9,IF(AG202&lt;150,BMILMS!$D$10*AG202^3+BMILMS!$E$10*AG202^2+BMILMS!$F$10*AG202+BMILMS!$G$10,BMILMS!$D$11*AG202^3+BMILMS!$E$11*AG202^2+BMILMS!$F$11*AG202+BMILMS!$G$11)))</f>
        <v>0.79584630099999998</v>
      </c>
      <c r="AE202" s="24">
        <f>IF(D202="M",(IF(AG202&lt;2.5,BMILMS!$D$21*AG202^3+BMILMS!$E$21*AG202^2+BMILMS!$F$21*AG202+BMILMS!$G$21,IF(AG202&lt;9.5,BMILMS!$D$22*AG202^3+BMILMS!$E$22*AG202^2+BMILMS!$F$22*AG202+BMILMS!$G$22,IF(AG202&lt;26.75,BMILMS!$D$23*AG202^3+BMILMS!$E$23*AG202^2+BMILMS!$F$23*AG202+BMILMS!$G$23,IF(AG202&lt;90,BMILMS!$D$24*AG202^3+BMILMS!$E$24*AG202^2+BMILMS!$F$24*AG202+BMILMS!$G$24,BMILMS!$D$25*AG202^3+BMILMS!$E$25*AG202^2+BMILMS!$F$25*AG202+BMILMS!$G$25))))),(IF(AG202&lt;2.5,BMILMS!$D$27*AG202^3+BMILMS!$E$27*AG202^2+BMILMS!$F$27*AG202+BMILMS!$G$27,IF(AG202&lt;9.5,BMILMS!$D$28*AG202^3+BMILMS!$E$28*AG202^2+BMILMS!$F$28*AG202+BMILMS!$G$28,IF(AG202&lt;26.75,BMILMS!$D$29*AG202^3+BMILMS!$E$29*AG202^2+BMILMS!$F$29*AG202+BMILMS!$G$29,IF(AG202&lt;90,BMILMS!$D$30*AG202^3+BMILMS!$E$30*AG202^2+BMILMS!$F$30*AG202+BMILMS!$G$30,IF(AG202&lt;150,BMILMS!$D$31*AG202^3+BMILMS!$E$31*AG202^2+BMILMS!$F$31*AG202+BMILMS!$G$31,BMILMS!$D$32*AG202^3+BMILMS!$E$32*AG202^2+BMILMS!$F$32*AG202+BMILMS!$G$32)))))))</f>
        <v>12.568967990000001</v>
      </c>
      <c r="AF202" s="24">
        <f>IF(D202="M",(IF(AG202&lt;90,BMILMS!$D$14*AG202^3+BMILMS!$E$14*AG202^2+BMILMS!$F$14*AG202+BMILMS!$G$14,BMILMS!$D$15*AG202^3+BMILMS!$E$15*AG202^2+BMILMS!$F$15*AG202+BMILMS!$G$15)),(IF(AG202&lt;90,BMILMS!$D$17*AG202^3+BMILMS!$E$17*AG202^2+BMILMS!$F$17*AG202+BMILMS!$G$17,BMILMS!$D$18*AG202^3+BMILMS!$E$18*AG202^2+BMILMS!$F$18*AG202+BMILMS!$G$18)))</f>
        <v>8.8969350000000003E-2</v>
      </c>
      <c r="AG202" s="24">
        <f t="shared" si="64"/>
        <v>0</v>
      </c>
      <c r="AI202" s="38">
        <f>IF(D202="M",WeightSDS!P$5*$AG202^7+WeightSDS!Q$5*$AG202^6+WeightSDS!R$5*$AG202^5+WeightSDS!S$5*$AG202^4+WeightSDS!T$5*$AG202^3+WeightSDS!U$5*$AG202^2+WeightSDS!V$5*$AG202+WeightSDS!W$5,IF($AG202&lt;186,WeightSDS!P$8*$AG202^7+WeightSDS!Q$8*$AG202^6+WeightSDS!R$8*$AG202^5+WeightSDS!S$8*$AG202^4+WeightSDS!T$8*$AG202^3+WeightSDS!U$8*$AG202^2+WeightSDS!V$8*$AG202+WeightSDS!W$8,WeightSDS!$U$9-WeightSDS!$V$9*($AG202-WeightSDS!$W$9)))</f>
        <v>0.75407122999999998</v>
      </c>
      <c r="AJ202" s="24">
        <f>IF(D202="M",IF($AG202&lt;45,WeightSDS!M$23*$AG202^10+WeightSDS!N$23*$AG202^9+WeightSDS!O$23*$AG202^8+WeightSDS!P$23*$AG202^7+WeightSDS!Q$23*$AG202^6+WeightSDS!R$23*$AG202^5+WeightSDS!S$23*$AG202^4+WeightSDS!T$23*$AG202^3+WeightSDS!U$23*$AG202^2+WeightSDS!V$23*$AG202+WeightSDS!W$23,IF($AG202&lt;153,WeightSDS!M$25*$AG202^10+WeightSDS!N$25*$AG202^9+WeightSDS!O$25*$AG202^8+WeightSDS!P$25*$AG202^7+WeightSDS!Q$25*$AG202^6+WeightSDS!R$25*$AG202^5+WeightSDS!S$25*$AG202^4+WeightSDS!T$25*$AG202^3+WeightSDS!U$25*$AG202^2+WeightSDS!V$25*$AG202+WeightSDS!W$25,WeightSDS!M$27+WeightSDS!N$27/(1+EXP(WeightSDS!O$27+WeightSDS!P$27*$AG202)))),IF($AG202&lt;43.8,WeightSDS!M$29*$AG202^10+WeightSDS!N$29*$AG202^9+WeightSDS!O$29*$AG202^8+WeightSDS!P$29*$AG202^7+WeightSDS!Q$29*$AG202^6+WeightSDS!R$29*$AG202^5+WeightSDS!S$29*$AG202^4+WeightSDS!T$29*$AG202^3+WeightSDS!U$29*$AG202^2+WeightSDS!V$29*$AG202+WeightSDS!W$29-0.010431*(1-$AG202/210),IF($AG202&lt;123,WeightSDS!M$30*$AG202^10+WeightSDS!N$30*$AG202^9+WeightSDS!O$30*$AG202^8+WeightSDS!P$30*$AG202^7+WeightSDS!Q$30*$AG202^6+WeightSDS!R$30*$AG202^5+WeightSDS!S$30*$AG202^4+WeightSDS!T$30*$AG202^3+WeightSDS!U$30*$AG202^2+WeightSDS!V$30*$AG202+WeightSDS!W$30-0.010431*(1-1/$AG202),WeightSDS!M$32+WeightSDS!N$32/(1+EXP(WeightSDS!O$32+WeightSDS!P$32*$AG202))-0.010431*(1-$AG202/210))))</f>
        <v>2.9500001032655536</v>
      </c>
      <c r="AK202" s="24">
        <f>IF(D202="M",IF($AG202&lt;162,WeightSDS!P$12*$AG202^7+WeightSDS!Q$12*$AG202^6+WeightSDS!R$12*$AG202^5+WeightSDS!S$12*$AG202^4+WeightSDS!T$12*$AG202^3+WeightSDS!U$12*$AG202^2+WeightSDS!V$12*$AG202+WeightSDS!W$12,WeightSDS!P$14*$AG202^7+WeightSDS!Q$14*$AG202^6+WeightSDS!R$14*$AG202^5+WeightSDS!S$14*$AG202^4+WeightSDS!T$14*$AG202^3+WeightSDS!U$14*$AG202^2+WeightSDS!V$14*$AG202+WeightSDS!W$14),IF($AG202&lt;156,WeightSDS!O$17*$AG202^8+WeightSDS!P$17*$AG202^7+WeightSDS!Q$17*$AG202^6+WeightSDS!R$17*$AG202^5+WeightSDS!S$17*$AG202^4+WeightSDS!T$17*$AG202^3+WeightSDS!U$17*$AG202^2+WeightSDS!V$17*$AG202+WeightSDS!W$17,IF($AG202&lt;186,WeightSDS!$U$18+(WeightSDS!$V$18-WeightSDS!$U$18)/24*($AG202-186)+WeightSDS!$W$18*(-$AG202+186)^2-0.005,WeightSDS!$U$18+(WeightSDS!$V$18-WeightSDS!$U$18)/24*($AG202-186)-0.005)))</f>
        <v>0.14604529399999999</v>
      </c>
    </row>
    <row r="203" spans="1:37">
      <c r="A203" s="4"/>
      <c r="B203" s="21"/>
      <c r="C203" s="21"/>
      <c r="D203" s="21"/>
      <c r="E203" s="22"/>
      <c r="F203" s="22"/>
      <c r="G203" s="23"/>
      <c r="H203" s="23"/>
      <c r="I203" s="8" t="str">
        <f t="shared" si="50"/>
        <v/>
      </c>
      <c r="J203" s="2" t="str">
        <f t="shared" si="57"/>
        <v/>
      </c>
      <c r="K203" s="2" t="str">
        <f t="shared" si="51"/>
        <v/>
      </c>
      <c r="L203" s="2" t="str">
        <f t="shared" si="58"/>
        <v/>
      </c>
      <c r="M203" s="2" t="str">
        <f t="shared" si="63"/>
        <v/>
      </c>
      <c r="N203" s="2" t="str">
        <f t="shared" si="59"/>
        <v/>
      </c>
      <c r="O203" s="8" t="str">
        <f t="shared" si="60"/>
        <v/>
      </c>
      <c r="P203" s="8" t="str">
        <f t="shared" si="61"/>
        <v/>
      </c>
      <c r="Q203" s="40" t="str">
        <f t="shared" si="52"/>
        <v/>
      </c>
      <c r="R203" s="48" t="str">
        <f t="shared" si="62"/>
        <v/>
      </c>
      <c r="S203" s="8"/>
      <c r="U203" s="35">
        <f t="shared" si="53"/>
        <v>0</v>
      </c>
      <c r="V203" s="24">
        <f t="shared" si="54"/>
        <v>0</v>
      </c>
      <c r="W203" s="41">
        <f t="shared" si="49"/>
        <v>0</v>
      </c>
      <c r="X203" s="31"/>
      <c r="Y203" s="31"/>
      <c r="Z203" s="31"/>
      <c r="AA203" s="25">
        <f t="shared" si="55"/>
        <v>9.0359999999999996</v>
      </c>
      <c r="AB203" s="25">
        <f t="shared" si="56"/>
        <v>-184.49199999999999</v>
      </c>
      <c r="AD203" s="24">
        <f>IF(D203="M",IF(AG203&lt;78,BMILMS!$D$5*AG203^3+BMILMS!$E$5*AG203^2+BMILMS!$F$5*AG203+BMILMS!$G$5,IF(AG203&lt;150,BMILMS!$D$6*AG203^3+BMILMS!$E$6*AG203^2+BMILMS!$F$6*AG203+BMILMS!$G$6,BMILMS!$D$7*AG203^3+BMILMS!$E$7*AG203^2+BMILMS!$F$7*AG203+BMILMS!$G$7)),IF(AG203&lt;69,BMILMS!$D$9*AG203^3+BMILMS!$E$9*AG203^2+BMILMS!$F$9*AG203+BMILMS!$G$9,IF(AG203&lt;150,BMILMS!$D$10*AG203^3+BMILMS!$E$10*AG203^2+BMILMS!$F$10*AG203+BMILMS!$G$10,BMILMS!$D$11*AG203^3+BMILMS!$E$11*AG203^2+BMILMS!$F$11*AG203+BMILMS!$G$11)))</f>
        <v>0.79584630099999998</v>
      </c>
      <c r="AE203" s="24">
        <f>IF(D203="M",(IF(AG203&lt;2.5,BMILMS!$D$21*AG203^3+BMILMS!$E$21*AG203^2+BMILMS!$F$21*AG203+BMILMS!$G$21,IF(AG203&lt;9.5,BMILMS!$D$22*AG203^3+BMILMS!$E$22*AG203^2+BMILMS!$F$22*AG203+BMILMS!$G$22,IF(AG203&lt;26.75,BMILMS!$D$23*AG203^3+BMILMS!$E$23*AG203^2+BMILMS!$F$23*AG203+BMILMS!$G$23,IF(AG203&lt;90,BMILMS!$D$24*AG203^3+BMILMS!$E$24*AG203^2+BMILMS!$F$24*AG203+BMILMS!$G$24,BMILMS!$D$25*AG203^3+BMILMS!$E$25*AG203^2+BMILMS!$F$25*AG203+BMILMS!$G$25))))),(IF(AG203&lt;2.5,BMILMS!$D$27*AG203^3+BMILMS!$E$27*AG203^2+BMILMS!$F$27*AG203+BMILMS!$G$27,IF(AG203&lt;9.5,BMILMS!$D$28*AG203^3+BMILMS!$E$28*AG203^2+BMILMS!$F$28*AG203+BMILMS!$G$28,IF(AG203&lt;26.75,BMILMS!$D$29*AG203^3+BMILMS!$E$29*AG203^2+BMILMS!$F$29*AG203+BMILMS!$G$29,IF(AG203&lt;90,BMILMS!$D$30*AG203^3+BMILMS!$E$30*AG203^2+BMILMS!$F$30*AG203+BMILMS!$G$30,IF(AG203&lt;150,BMILMS!$D$31*AG203^3+BMILMS!$E$31*AG203^2+BMILMS!$F$31*AG203+BMILMS!$G$31,BMILMS!$D$32*AG203^3+BMILMS!$E$32*AG203^2+BMILMS!$F$32*AG203+BMILMS!$G$32)))))))</f>
        <v>12.568967990000001</v>
      </c>
      <c r="AF203" s="24">
        <f>IF(D203="M",(IF(AG203&lt;90,BMILMS!$D$14*AG203^3+BMILMS!$E$14*AG203^2+BMILMS!$F$14*AG203+BMILMS!$G$14,BMILMS!$D$15*AG203^3+BMILMS!$E$15*AG203^2+BMILMS!$F$15*AG203+BMILMS!$G$15)),(IF(AG203&lt;90,BMILMS!$D$17*AG203^3+BMILMS!$E$17*AG203^2+BMILMS!$F$17*AG203+BMILMS!$G$17,BMILMS!$D$18*AG203^3+BMILMS!$E$18*AG203^2+BMILMS!$F$18*AG203+BMILMS!$G$18)))</f>
        <v>8.8969350000000003E-2</v>
      </c>
      <c r="AG203" s="24">
        <f t="shared" si="64"/>
        <v>0</v>
      </c>
      <c r="AI203" s="38">
        <f>IF(D203="M",WeightSDS!P$5*$AG203^7+WeightSDS!Q$5*$AG203^6+WeightSDS!R$5*$AG203^5+WeightSDS!S$5*$AG203^4+WeightSDS!T$5*$AG203^3+WeightSDS!U$5*$AG203^2+WeightSDS!V$5*$AG203+WeightSDS!W$5,IF($AG203&lt;186,WeightSDS!P$8*$AG203^7+WeightSDS!Q$8*$AG203^6+WeightSDS!R$8*$AG203^5+WeightSDS!S$8*$AG203^4+WeightSDS!T$8*$AG203^3+WeightSDS!U$8*$AG203^2+WeightSDS!V$8*$AG203+WeightSDS!W$8,WeightSDS!$U$9-WeightSDS!$V$9*($AG203-WeightSDS!$W$9)))</f>
        <v>0.75407122999999998</v>
      </c>
      <c r="AJ203" s="24">
        <f>IF(D203="M",IF($AG203&lt;45,WeightSDS!M$23*$AG203^10+WeightSDS!N$23*$AG203^9+WeightSDS!O$23*$AG203^8+WeightSDS!P$23*$AG203^7+WeightSDS!Q$23*$AG203^6+WeightSDS!R$23*$AG203^5+WeightSDS!S$23*$AG203^4+WeightSDS!T$23*$AG203^3+WeightSDS!U$23*$AG203^2+WeightSDS!V$23*$AG203+WeightSDS!W$23,IF($AG203&lt;153,WeightSDS!M$25*$AG203^10+WeightSDS!N$25*$AG203^9+WeightSDS!O$25*$AG203^8+WeightSDS!P$25*$AG203^7+WeightSDS!Q$25*$AG203^6+WeightSDS!R$25*$AG203^5+WeightSDS!S$25*$AG203^4+WeightSDS!T$25*$AG203^3+WeightSDS!U$25*$AG203^2+WeightSDS!V$25*$AG203+WeightSDS!W$25,WeightSDS!M$27+WeightSDS!N$27/(1+EXP(WeightSDS!O$27+WeightSDS!P$27*$AG203)))),IF($AG203&lt;43.8,WeightSDS!M$29*$AG203^10+WeightSDS!N$29*$AG203^9+WeightSDS!O$29*$AG203^8+WeightSDS!P$29*$AG203^7+WeightSDS!Q$29*$AG203^6+WeightSDS!R$29*$AG203^5+WeightSDS!S$29*$AG203^4+WeightSDS!T$29*$AG203^3+WeightSDS!U$29*$AG203^2+WeightSDS!V$29*$AG203+WeightSDS!W$29-0.010431*(1-$AG203/210),IF($AG203&lt;123,WeightSDS!M$30*$AG203^10+WeightSDS!N$30*$AG203^9+WeightSDS!O$30*$AG203^8+WeightSDS!P$30*$AG203^7+WeightSDS!Q$30*$AG203^6+WeightSDS!R$30*$AG203^5+WeightSDS!S$30*$AG203^4+WeightSDS!T$30*$AG203^3+WeightSDS!U$30*$AG203^2+WeightSDS!V$30*$AG203+WeightSDS!W$30-0.010431*(1-1/$AG203),WeightSDS!M$32+WeightSDS!N$32/(1+EXP(WeightSDS!O$32+WeightSDS!P$32*$AG203))-0.010431*(1-$AG203/210))))</f>
        <v>2.9500001032655536</v>
      </c>
      <c r="AK203" s="24">
        <f>IF(D203="M",IF($AG203&lt;162,WeightSDS!P$12*$AG203^7+WeightSDS!Q$12*$AG203^6+WeightSDS!R$12*$AG203^5+WeightSDS!S$12*$AG203^4+WeightSDS!T$12*$AG203^3+WeightSDS!U$12*$AG203^2+WeightSDS!V$12*$AG203+WeightSDS!W$12,WeightSDS!P$14*$AG203^7+WeightSDS!Q$14*$AG203^6+WeightSDS!R$14*$AG203^5+WeightSDS!S$14*$AG203^4+WeightSDS!T$14*$AG203^3+WeightSDS!U$14*$AG203^2+WeightSDS!V$14*$AG203+WeightSDS!W$14),IF($AG203&lt;156,WeightSDS!O$17*$AG203^8+WeightSDS!P$17*$AG203^7+WeightSDS!Q$17*$AG203^6+WeightSDS!R$17*$AG203^5+WeightSDS!S$17*$AG203^4+WeightSDS!T$17*$AG203^3+WeightSDS!U$17*$AG203^2+WeightSDS!V$17*$AG203+WeightSDS!W$17,IF($AG203&lt;186,WeightSDS!$U$18+(WeightSDS!$V$18-WeightSDS!$U$18)/24*($AG203-186)+WeightSDS!$W$18*(-$AG203+186)^2-0.005,WeightSDS!$U$18+(WeightSDS!$V$18-WeightSDS!$U$18)/24*($AG203-186)-0.005)))</f>
        <v>0.14604529399999999</v>
      </c>
    </row>
    <row r="204" spans="1:37">
      <c r="A204" s="4"/>
      <c r="B204" s="21"/>
      <c r="C204" s="21"/>
      <c r="D204" s="21"/>
      <c r="E204" s="22"/>
      <c r="F204" s="22"/>
      <c r="G204" s="23"/>
      <c r="H204" s="23"/>
      <c r="I204" s="8" t="str">
        <f t="shared" si="50"/>
        <v/>
      </c>
      <c r="J204" s="2" t="str">
        <f t="shared" si="57"/>
        <v/>
      </c>
      <c r="K204" s="2" t="str">
        <f t="shared" si="51"/>
        <v/>
      </c>
      <c r="L204" s="2" t="str">
        <f t="shared" si="58"/>
        <v/>
      </c>
      <c r="M204" s="2" t="str">
        <f t="shared" si="63"/>
        <v/>
      </c>
      <c r="N204" s="2" t="str">
        <f t="shared" si="59"/>
        <v/>
      </c>
      <c r="O204" s="8" t="str">
        <f t="shared" si="60"/>
        <v/>
      </c>
      <c r="P204" s="8" t="str">
        <f t="shared" si="61"/>
        <v/>
      </c>
      <c r="Q204" s="40" t="str">
        <f t="shared" si="52"/>
        <v/>
      </c>
      <c r="R204" s="48" t="str">
        <f t="shared" si="62"/>
        <v/>
      </c>
      <c r="S204" s="8"/>
      <c r="U204" s="35">
        <f t="shared" si="53"/>
        <v>0</v>
      </c>
      <c r="V204" s="24">
        <f t="shared" si="54"/>
        <v>0</v>
      </c>
      <c r="W204" s="41">
        <f t="shared" si="49"/>
        <v>0</v>
      </c>
      <c r="X204" s="31"/>
      <c r="Y204" s="31"/>
      <c r="Z204" s="31"/>
      <c r="AA204" s="25">
        <f t="shared" si="55"/>
        <v>9.0359999999999996</v>
      </c>
      <c r="AB204" s="25">
        <f t="shared" si="56"/>
        <v>-184.49199999999999</v>
      </c>
      <c r="AD204" s="24">
        <f>IF(D204="M",IF(AG204&lt;78,BMILMS!$D$5*AG204^3+BMILMS!$E$5*AG204^2+BMILMS!$F$5*AG204+BMILMS!$G$5,IF(AG204&lt;150,BMILMS!$D$6*AG204^3+BMILMS!$E$6*AG204^2+BMILMS!$F$6*AG204+BMILMS!$G$6,BMILMS!$D$7*AG204^3+BMILMS!$E$7*AG204^2+BMILMS!$F$7*AG204+BMILMS!$G$7)),IF(AG204&lt;69,BMILMS!$D$9*AG204^3+BMILMS!$E$9*AG204^2+BMILMS!$F$9*AG204+BMILMS!$G$9,IF(AG204&lt;150,BMILMS!$D$10*AG204^3+BMILMS!$E$10*AG204^2+BMILMS!$F$10*AG204+BMILMS!$G$10,BMILMS!$D$11*AG204^3+BMILMS!$E$11*AG204^2+BMILMS!$F$11*AG204+BMILMS!$G$11)))</f>
        <v>0.79584630099999998</v>
      </c>
      <c r="AE204" s="24">
        <f>IF(D204="M",(IF(AG204&lt;2.5,BMILMS!$D$21*AG204^3+BMILMS!$E$21*AG204^2+BMILMS!$F$21*AG204+BMILMS!$G$21,IF(AG204&lt;9.5,BMILMS!$D$22*AG204^3+BMILMS!$E$22*AG204^2+BMILMS!$F$22*AG204+BMILMS!$G$22,IF(AG204&lt;26.75,BMILMS!$D$23*AG204^3+BMILMS!$E$23*AG204^2+BMILMS!$F$23*AG204+BMILMS!$G$23,IF(AG204&lt;90,BMILMS!$D$24*AG204^3+BMILMS!$E$24*AG204^2+BMILMS!$F$24*AG204+BMILMS!$G$24,BMILMS!$D$25*AG204^3+BMILMS!$E$25*AG204^2+BMILMS!$F$25*AG204+BMILMS!$G$25))))),(IF(AG204&lt;2.5,BMILMS!$D$27*AG204^3+BMILMS!$E$27*AG204^2+BMILMS!$F$27*AG204+BMILMS!$G$27,IF(AG204&lt;9.5,BMILMS!$D$28*AG204^3+BMILMS!$E$28*AG204^2+BMILMS!$F$28*AG204+BMILMS!$G$28,IF(AG204&lt;26.75,BMILMS!$D$29*AG204^3+BMILMS!$E$29*AG204^2+BMILMS!$F$29*AG204+BMILMS!$G$29,IF(AG204&lt;90,BMILMS!$D$30*AG204^3+BMILMS!$E$30*AG204^2+BMILMS!$F$30*AG204+BMILMS!$G$30,IF(AG204&lt;150,BMILMS!$D$31*AG204^3+BMILMS!$E$31*AG204^2+BMILMS!$F$31*AG204+BMILMS!$G$31,BMILMS!$D$32*AG204^3+BMILMS!$E$32*AG204^2+BMILMS!$F$32*AG204+BMILMS!$G$32)))))))</f>
        <v>12.568967990000001</v>
      </c>
      <c r="AF204" s="24">
        <f>IF(D204="M",(IF(AG204&lt;90,BMILMS!$D$14*AG204^3+BMILMS!$E$14*AG204^2+BMILMS!$F$14*AG204+BMILMS!$G$14,BMILMS!$D$15*AG204^3+BMILMS!$E$15*AG204^2+BMILMS!$F$15*AG204+BMILMS!$G$15)),(IF(AG204&lt;90,BMILMS!$D$17*AG204^3+BMILMS!$E$17*AG204^2+BMILMS!$F$17*AG204+BMILMS!$G$17,BMILMS!$D$18*AG204^3+BMILMS!$E$18*AG204^2+BMILMS!$F$18*AG204+BMILMS!$G$18)))</f>
        <v>8.8969350000000003E-2</v>
      </c>
      <c r="AG204" s="24">
        <f t="shared" si="64"/>
        <v>0</v>
      </c>
      <c r="AI204" s="38">
        <f>IF(D204="M",WeightSDS!P$5*$AG204^7+WeightSDS!Q$5*$AG204^6+WeightSDS!R$5*$AG204^5+WeightSDS!S$5*$AG204^4+WeightSDS!T$5*$AG204^3+WeightSDS!U$5*$AG204^2+WeightSDS!V$5*$AG204+WeightSDS!W$5,IF($AG204&lt;186,WeightSDS!P$8*$AG204^7+WeightSDS!Q$8*$AG204^6+WeightSDS!R$8*$AG204^5+WeightSDS!S$8*$AG204^4+WeightSDS!T$8*$AG204^3+WeightSDS!U$8*$AG204^2+WeightSDS!V$8*$AG204+WeightSDS!W$8,WeightSDS!$U$9-WeightSDS!$V$9*($AG204-WeightSDS!$W$9)))</f>
        <v>0.75407122999999998</v>
      </c>
      <c r="AJ204" s="24">
        <f>IF(D204="M",IF($AG204&lt;45,WeightSDS!M$23*$AG204^10+WeightSDS!N$23*$AG204^9+WeightSDS!O$23*$AG204^8+WeightSDS!P$23*$AG204^7+WeightSDS!Q$23*$AG204^6+WeightSDS!R$23*$AG204^5+WeightSDS!S$23*$AG204^4+WeightSDS!T$23*$AG204^3+WeightSDS!U$23*$AG204^2+WeightSDS!V$23*$AG204+WeightSDS!W$23,IF($AG204&lt;153,WeightSDS!M$25*$AG204^10+WeightSDS!N$25*$AG204^9+WeightSDS!O$25*$AG204^8+WeightSDS!P$25*$AG204^7+WeightSDS!Q$25*$AG204^6+WeightSDS!R$25*$AG204^5+WeightSDS!S$25*$AG204^4+WeightSDS!T$25*$AG204^3+WeightSDS!U$25*$AG204^2+WeightSDS!V$25*$AG204+WeightSDS!W$25,WeightSDS!M$27+WeightSDS!N$27/(1+EXP(WeightSDS!O$27+WeightSDS!P$27*$AG204)))),IF($AG204&lt;43.8,WeightSDS!M$29*$AG204^10+WeightSDS!N$29*$AG204^9+WeightSDS!O$29*$AG204^8+WeightSDS!P$29*$AG204^7+WeightSDS!Q$29*$AG204^6+WeightSDS!R$29*$AG204^5+WeightSDS!S$29*$AG204^4+WeightSDS!T$29*$AG204^3+WeightSDS!U$29*$AG204^2+WeightSDS!V$29*$AG204+WeightSDS!W$29-0.010431*(1-$AG204/210),IF($AG204&lt;123,WeightSDS!M$30*$AG204^10+WeightSDS!N$30*$AG204^9+WeightSDS!O$30*$AG204^8+WeightSDS!P$30*$AG204^7+WeightSDS!Q$30*$AG204^6+WeightSDS!R$30*$AG204^5+WeightSDS!S$30*$AG204^4+WeightSDS!T$30*$AG204^3+WeightSDS!U$30*$AG204^2+WeightSDS!V$30*$AG204+WeightSDS!W$30-0.010431*(1-1/$AG204),WeightSDS!M$32+WeightSDS!N$32/(1+EXP(WeightSDS!O$32+WeightSDS!P$32*$AG204))-0.010431*(1-$AG204/210))))</f>
        <v>2.9500001032655536</v>
      </c>
      <c r="AK204" s="24">
        <f>IF(D204="M",IF($AG204&lt;162,WeightSDS!P$12*$AG204^7+WeightSDS!Q$12*$AG204^6+WeightSDS!R$12*$AG204^5+WeightSDS!S$12*$AG204^4+WeightSDS!T$12*$AG204^3+WeightSDS!U$12*$AG204^2+WeightSDS!V$12*$AG204+WeightSDS!W$12,WeightSDS!P$14*$AG204^7+WeightSDS!Q$14*$AG204^6+WeightSDS!R$14*$AG204^5+WeightSDS!S$14*$AG204^4+WeightSDS!T$14*$AG204^3+WeightSDS!U$14*$AG204^2+WeightSDS!V$14*$AG204+WeightSDS!W$14),IF($AG204&lt;156,WeightSDS!O$17*$AG204^8+WeightSDS!P$17*$AG204^7+WeightSDS!Q$17*$AG204^6+WeightSDS!R$17*$AG204^5+WeightSDS!S$17*$AG204^4+WeightSDS!T$17*$AG204^3+WeightSDS!U$17*$AG204^2+WeightSDS!V$17*$AG204+WeightSDS!W$17,IF($AG204&lt;186,WeightSDS!$U$18+(WeightSDS!$V$18-WeightSDS!$U$18)/24*($AG204-186)+WeightSDS!$W$18*(-$AG204+186)^2-0.005,WeightSDS!$U$18+(WeightSDS!$V$18-WeightSDS!$U$18)/24*($AG204-186)-0.005)))</f>
        <v>0.14604529399999999</v>
      </c>
    </row>
    <row r="205" spans="1:37">
      <c r="A205" s="4"/>
      <c r="B205" s="21"/>
      <c r="C205" s="21"/>
      <c r="D205" s="21"/>
      <c r="E205" s="22"/>
      <c r="F205" s="22"/>
      <c r="G205" s="23"/>
      <c r="H205" s="23"/>
      <c r="I205" s="8" t="str">
        <f t="shared" si="50"/>
        <v/>
      </c>
      <c r="J205" s="2" t="str">
        <f t="shared" si="57"/>
        <v/>
      </c>
      <c r="K205" s="2" t="str">
        <f t="shared" si="51"/>
        <v/>
      </c>
      <c r="L205" s="2" t="str">
        <f t="shared" si="58"/>
        <v/>
      </c>
      <c r="M205" s="2" t="str">
        <f t="shared" si="63"/>
        <v/>
      </c>
      <c r="N205" s="2" t="str">
        <f t="shared" si="59"/>
        <v/>
      </c>
      <c r="O205" s="8" t="str">
        <f t="shared" si="60"/>
        <v/>
      </c>
      <c r="P205" s="8" t="str">
        <f t="shared" si="61"/>
        <v/>
      </c>
      <c r="Q205" s="40" t="str">
        <f t="shared" si="52"/>
        <v/>
      </c>
      <c r="R205" s="48" t="str">
        <f t="shared" si="62"/>
        <v/>
      </c>
      <c r="S205" s="8"/>
      <c r="U205" s="35">
        <f t="shared" si="53"/>
        <v>0</v>
      </c>
      <c r="V205" s="24">
        <f t="shared" si="54"/>
        <v>0</v>
      </c>
      <c r="W205" s="41">
        <f t="shared" si="49"/>
        <v>0</v>
      </c>
      <c r="X205" s="31"/>
      <c r="Y205" s="31"/>
      <c r="Z205" s="31"/>
      <c r="AA205" s="25">
        <f t="shared" si="55"/>
        <v>9.0359999999999996</v>
      </c>
      <c r="AB205" s="25">
        <f t="shared" si="56"/>
        <v>-184.49199999999999</v>
      </c>
      <c r="AD205" s="24">
        <f>IF(D205="M",IF(AG205&lt;78,BMILMS!$D$5*AG205^3+BMILMS!$E$5*AG205^2+BMILMS!$F$5*AG205+BMILMS!$G$5,IF(AG205&lt;150,BMILMS!$D$6*AG205^3+BMILMS!$E$6*AG205^2+BMILMS!$F$6*AG205+BMILMS!$G$6,BMILMS!$D$7*AG205^3+BMILMS!$E$7*AG205^2+BMILMS!$F$7*AG205+BMILMS!$G$7)),IF(AG205&lt;69,BMILMS!$D$9*AG205^3+BMILMS!$E$9*AG205^2+BMILMS!$F$9*AG205+BMILMS!$G$9,IF(AG205&lt;150,BMILMS!$D$10*AG205^3+BMILMS!$E$10*AG205^2+BMILMS!$F$10*AG205+BMILMS!$G$10,BMILMS!$D$11*AG205^3+BMILMS!$E$11*AG205^2+BMILMS!$F$11*AG205+BMILMS!$G$11)))</f>
        <v>0.79584630099999998</v>
      </c>
      <c r="AE205" s="24">
        <f>IF(D205="M",(IF(AG205&lt;2.5,BMILMS!$D$21*AG205^3+BMILMS!$E$21*AG205^2+BMILMS!$F$21*AG205+BMILMS!$G$21,IF(AG205&lt;9.5,BMILMS!$D$22*AG205^3+BMILMS!$E$22*AG205^2+BMILMS!$F$22*AG205+BMILMS!$G$22,IF(AG205&lt;26.75,BMILMS!$D$23*AG205^3+BMILMS!$E$23*AG205^2+BMILMS!$F$23*AG205+BMILMS!$G$23,IF(AG205&lt;90,BMILMS!$D$24*AG205^3+BMILMS!$E$24*AG205^2+BMILMS!$F$24*AG205+BMILMS!$G$24,BMILMS!$D$25*AG205^3+BMILMS!$E$25*AG205^2+BMILMS!$F$25*AG205+BMILMS!$G$25))))),(IF(AG205&lt;2.5,BMILMS!$D$27*AG205^3+BMILMS!$E$27*AG205^2+BMILMS!$F$27*AG205+BMILMS!$G$27,IF(AG205&lt;9.5,BMILMS!$D$28*AG205^3+BMILMS!$E$28*AG205^2+BMILMS!$F$28*AG205+BMILMS!$G$28,IF(AG205&lt;26.75,BMILMS!$D$29*AG205^3+BMILMS!$E$29*AG205^2+BMILMS!$F$29*AG205+BMILMS!$G$29,IF(AG205&lt;90,BMILMS!$D$30*AG205^3+BMILMS!$E$30*AG205^2+BMILMS!$F$30*AG205+BMILMS!$G$30,IF(AG205&lt;150,BMILMS!$D$31*AG205^3+BMILMS!$E$31*AG205^2+BMILMS!$F$31*AG205+BMILMS!$G$31,BMILMS!$D$32*AG205^3+BMILMS!$E$32*AG205^2+BMILMS!$F$32*AG205+BMILMS!$G$32)))))))</f>
        <v>12.568967990000001</v>
      </c>
      <c r="AF205" s="24">
        <f>IF(D205="M",(IF(AG205&lt;90,BMILMS!$D$14*AG205^3+BMILMS!$E$14*AG205^2+BMILMS!$F$14*AG205+BMILMS!$G$14,BMILMS!$D$15*AG205^3+BMILMS!$E$15*AG205^2+BMILMS!$F$15*AG205+BMILMS!$G$15)),(IF(AG205&lt;90,BMILMS!$D$17*AG205^3+BMILMS!$E$17*AG205^2+BMILMS!$F$17*AG205+BMILMS!$G$17,BMILMS!$D$18*AG205^3+BMILMS!$E$18*AG205^2+BMILMS!$F$18*AG205+BMILMS!$G$18)))</f>
        <v>8.8969350000000003E-2</v>
      </c>
      <c r="AG205" s="24">
        <f t="shared" si="64"/>
        <v>0</v>
      </c>
      <c r="AI205" s="38">
        <f>IF(D205="M",WeightSDS!P$5*$AG205^7+WeightSDS!Q$5*$AG205^6+WeightSDS!R$5*$AG205^5+WeightSDS!S$5*$AG205^4+WeightSDS!T$5*$AG205^3+WeightSDS!U$5*$AG205^2+WeightSDS!V$5*$AG205+WeightSDS!W$5,IF($AG205&lt;186,WeightSDS!P$8*$AG205^7+WeightSDS!Q$8*$AG205^6+WeightSDS!R$8*$AG205^5+WeightSDS!S$8*$AG205^4+WeightSDS!T$8*$AG205^3+WeightSDS!U$8*$AG205^2+WeightSDS!V$8*$AG205+WeightSDS!W$8,WeightSDS!$U$9-WeightSDS!$V$9*($AG205-WeightSDS!$W$9)))</f>
        <v>0.75407122999999998</v>
      </c>
      <c r="AJ205" s="24">
        <f>IF(D205="M",IF($AG205&lt;45,WeightSDS!M$23*$AG205^10+WeightSDS!N$23*$AG205^9+WeightSDS!O$23*$AG205^8+WeightSDS!P$23*$AG205^7+WeightSDS!Q$23*$AG205^6+WeightSDS!R$23*$AG205^5+WeightSDS!S$23*$AG205^4+WeightSDS!T$23*$AG205^3+WeightSDS!U$23*$AG205^2+WeightSDS!V$23*$AG205+WeightSDS!W$23,IF($AG205&lt;153,WeightSDS!M$25*$AG205^10+WeightSDS!N$25*$AG205^9+WeightSDS!O$25*$AG205^8+WeightSDS!P$25*$AG205^7+WeightSDS!Q$25*$AG205^6+WeightSDS!R$25*$AG205^5+WeightSDS!S$25*$AG205^4+WeightSDS!T$25*$AG205^3+WeightSDS!U$25*$AG205^2+WeightSDS!V$25*$AG205+WeightSDS!W$25,WeightSDS!M$27+WeightSDS!N$27/(1+EXP(WeightSDS!O$27+WeightSDS!P$27*$AG205)))),IF($AG205&lt;43.8,WeightSDS!M$29*$AG205^10+WeightSDS!N$29*$AG205^9+WeightSDS!O$29*$AG205^8+WeightSDS!P$29*$AG205^7+WeightSDS!Q$29*$AG205^6+WeightSDS!R$29*$AG205^5+WeightSDS!S$29*$AG205^4+WeightSDS!T$29*$AG205^3+WeightSDS!U$29*$AG205^2+WeightSDS!V$29*$AG205+WeightSDS!W$29-0.010431*(1-$AG205/210),IF($AG205&lt;123,WeightSDS!M$30*$AG205^10+WeightSDS!N$30*$AG205^9+WeightSDS!O$30*$AG205^8+WeightSDS!P$30*$AG205^7+WeightSDS!Q$30*$AG205^6+WeightSDS!R$30*$AG205^5+WeightSDS!S$30*$AG205^4+WeightSDS!T$30*$AG205^3+WeightSDS!U$30*$AG205^2+WeightSDS!V$30*$AG205+WeightSDS!W$30-0.010431*(1-1/$AG205),WeightSDS!M$32+WeightSDS!N$32/(1+EXP(WeightSDS!O$32+WeightSDS!P$32*$AG205))-0.010431*(1-$AG205/210))))</f>
        <v>2.9500001032655536</v>
      </c>
      <c r="AK205" s="24">
        <f>IF(D205="M",IF($AG205&lt;162,WeightSDS!P$12*$AG205^7+WeightSDS!Q$12*$AG205^6+WeightSDS!R$12*$AG205^5+WeightSDS!S$12*$AG205^4+WeightSDS!T$12*$AG205^3+WeightSDS!U$12*$AG205^2+WeightSDS!V$12*$AG205+WeightSDS!W$12,WeightSDS!P$14*$AG205^7+WeightSDS!Q$14*$AG205^6+WeightSDS!R$14*$AG205^5+WeightSDS!S$14*$AG205^4+WeightSDS!T$14*$AG205^3+WeightSDS!U$14*$AG205^2+WeightSDS!V$14*$AG205+WeightSDS!W$14),IF($AG205&lt;156,WeightSDS!O$17*$AG205^8+WeightSDS!P$17*$AG205^7+WeightSDS!Q$17*$AG205^6+WeightSDS!R$17*$AG205^5+WeightSDS!S$17*$AG205^4+WeightSDS!T$17*$AG205^3+WeightSDS!U$17*$AG205^2+WeightSDS!V$17*$AG205+WeightSDS!W$17,IF($AG205&lt;186,WeightSDS!$U$18+(WeightSDS!$V$18-WeightSDS!$U$18)/24*($AG205-186)+WeightSDS!$W$18*(-$AG205+186)^2-0.005,WeightSDS!$U$18+(WeightSDS!$V$18-WeightSDS!$U$18)/24*($AG205-186)-0.005)))</f>
        <v>0.14604529399999999</v>
      </c>
    </row>
    <row r="206" spans="1:37">
      <c r="A206" s="4"/>
      <c r="B206" s="21"/>
      <c r="C206" s="21"/>
      <c r="D206" s="21"/>
      <c r="E206" s="22"/>
      <c r="F206" s="22"/>
      <c r="G206" s="23"/>
      <c r="H206" s="23"/>
      <c r="I206" s="8" t="str">
        <f t="shared" si="50"/>
        <v/>
      </c>
      <c r="J206" s="2" t="str">
        <f t="shared" si="57"/>
        <v/>
      </c>
      <c r="K206" s="2" t="str">
        <f t="shared" si="51"/>
        <v/>
      </c>
      <c r="L206" s="2" t="str">
        <f t="shared" si="58"/>
        <v/>
      </c>
      <c r="M206" s="2" t="str">
        <f t="shared" si="63"/>
        <v/>
      </c>
      <c r="N206" s="2" t="str">
        <f t="shared" si="59"/>
        <v/>
      </c>
      <c r="O206" s="8" t="str">
        <f t="shared" si="60"/>
        <v/>
      </c>
      <c r="P206" s="8" t="str">
        <f t="shared" si="61"/>
        <v/>
      </c>
      <c r="Q206" s="40" t="str">
        <f t="shared" si="52"/>
        <v/>
      </c>
      <c r="R206" s="48" t="str">
        <f t="shared" si="62"/>
        <v/>
      </c>
      <c r="S206" s="8"/>
      <c r="U206" s="35">
        <f t="shared" si="53"/>
        <v>0</v>
      </c>
      <c r="V206" s="24">
        <f t="shared" si="54"/>
        <v>0</v>
      </c>
      <c r="W206" s="41">
        <f t="shared" si="49"/>
        <v>0</v>
      </c>
      <c r="X206" s="31"/>
      <c r="Y206" s="31"/>
      <c r="Z206" s="31"/>
      <c r="AA206" s="25">
        <f t="shared" si="55"/>
        <v>9.0359999999999996</v>
      </c>
      <c r="AB206" s="25">
        <f t="shared" si="56"/>
        <v>-184.49199999999999</v>
      </c>
      <c r="AD206" s="24">
        <f>IF(D206="M",IF(AG206&lt;78,BMILMS!$D$5*AG206^3+BMILMS!$E$5*AG206^2+BMILMS!$F$5*AG206+BMILMS!$G$5,IF(AG206&lt;150,BMILMS!$D$6*AG206^3+BMILMS!$E$6*AG206^2+BMILMS!$F$6*AG206+BMILMS!$G$6,BMILMS!$D$7*AG206^3+BMILMS!$E$7*AG206^2+BMILMS!$F$7*AG206+BMILMS!$G$7)),IF(AG206&lt;69,BMILMS!$D$9*AG206^3+BMILMS!$E$9*AG206^2+BMILMS!$F$9*AG206+BMILMS!$G$9,IF(AG206&lt;150,BMILMS!$D$10*AG206^3+BMILMS!$E$10*AG206^2+BMILMS!$F$10*AG206+BMILMS!$G$10,BMILMS!$D$11*AG206^3+BMILMS!$E$11*AG206^2+BMILMS!$F$11*AG206+BMILMS!$G$11)))</f>
        <v>0.79584630099999998</v>
      </c>
      <c r="AE206" s="24">
        <f>IF(D206="M",(IF(AG206&lt;2.5,BMILMS!$D$21*AG206^3+BMILMS!$E$21*AG206^2+BMILMS!$F$21*AG206+BMILMS!$G$21,IF(AG206&lt;9.5,BMILMS!$D$22*AG206^3+BMILMS!$E$22*AG206^2+BMILMS!$F$22*AG206+BMILMS!$G$22,IF(AG206&lt;26.75,BMILMS!$D$23*AG206^3+BMILMS!$E$23*AG206^2+BMILMS!$F$23*AG206+BMILMS!$G$23,IF(AG206&lt;90,BMILMS!$D$24*AG206^3+BMILMS!$E$24*AG206^2+BMILMS!$F$24*AG206+BMILMS!$G$24,BMILMS!$D$25*AG206^3+BMILMS!$E$25*AG206^2+BMILMS!$F$25*AG206+BMILMS!$G$25))))),(IF(AG206&lt;2.5,BMILMS!$D$27*AG206^3+BMILMS!$E$27*AG206^2+BMILMS!$F$27*AG206+BMILMS!$G$27,IF(AG206&lt;9.5,BMILMS!$D$28*AG206^3+BMILMS!$E$28*AG206^2+BMILMS!$F$28*AG206+BMILMS!$G$28,IF(AG206&lt;26.75,BMILMS!$D$29*AG206^3+BMILMS!$E$29*AG206^2+BMILMS!$F$29*AG206+BMILMS!$G$29,IF(AG206&lt;90,BMILMS!$D$30*AG206^3+BMILMS!$E$30*AG206^2+BMILMS!$F$30*AG206+BMILMS!$G$30,IF(AG206&lt;150,BMILMS!$D$31*AG206^3+BMILMS!$E$31*AG206^2+BMILMS!$F$31*AG206+BMILMS!$G$31,BMILMS!$D$32*AG206^3+BMILMS!$E$32*AG206^2+BMILMS!$F$32*AG206+BMILMS!$G$32)))))))</f>
        <v>12.568967990000001</v>
      </c>
      <c r="AF206" s="24">
        <f>IF(D206="M",(IF(AG206&lt;90,BMILMS!$D$14*AG206^3+BMILMS!$E$14*AG206^2+BMILMS!$F$14*AG206+BMILMS!$G$14,BMILMS!$D$15*AG206^3+BMILMS!$E$15*AG206^2+BMILMS!$F$15*AG206+BMILMS!$G$15)),(IF(AG206&lt;90,BMILMS!$D$17*AG206^3+BMILMS!$E$17*AG206^2+BMILMS!$F$17*AG206+BMILMS!$G$17,BMILMS!$D$18*AG206^3+BMILMS!$E$18*AG206^2+BMILMS!$F$18*AG206+BMILMS!$G$18)))</f>
        <v>8.8969350000000003E-2</v>
      </c>
      <c r="AG206" s="24">
        <f t="shared" si="64"/>
        <v>0</v>
      </c>
      <c r="AI206" s="38">
        <f>IF(D206="M",WeightSDS!P$5*$AG206^7+WeightSDS!Q$5*$AG206^6+WeightSDS!R$5*$AG206^5+WeightSDS!S$5*$AG206^4+WeightSDS!T$5*$AG206^3+WeightSDS!U$5*$AG206^2+WeightSDS!V$5*$AG206+WeightSDS!W$5,IF($AG206&lt;186,WeightSDS!P$8*$AG206^7+WeightSDS!Q$8*$AG206^6+WeightSDS!R$8*$AG206^5+WeightSDS!S$8*$AG206^4+WeightSDS!T$8*$AG206^3+WeightSDS!U$8*$AG206^2+WeightSDS!V$8*$AG206+WeightSDS!W$8,WeightSDS!$U$9-WeightSDS!$V$9*($AG206-WeightSDS!$W$9)))</f>
        <v>0.75407122999999998</v>
      </c>
      <c r="AJ206" s="24">
        <f>IF(D206="M",IF($AG206&lt;45,WeightSDS!M$23*$AG206^10+WeightSDS!N$23*$AG206^9+WeightSDS!O$23*$AG206^8+WeightSDS!P$23*$AG206^7+WeightSDS!Q$23*$AG206^6+WeightSDS!R$23*$AG206^5+WeightSDS!S$23*$AG206^4+WeightSDS!T$23*$AG206^3+WeightSDS!U$23*$AG206^2+WeightSDS!V$23*$AG206+WeightSDS!W$23,IF($AG206&lt;153,WeightSDS!M$25*$AG206^10+WeightSDS!N$25*$AG206^9+WeightSDS!O$25*$AG206^8+WeightSDS!P$25*$AG206^7+WeightSDS!Q$25*$AG206^6+WeightSDS!R$25*$AG206^5+WeightSDS!S$25*$AG206^4+WeightSDS!T$25*$AG206^3+WeightSDS!U$25*$AG206^2+WeightSDS!V$25*$AG206+WeightSDS!W$25,WeightSDS!M$27+WeightSDS!N$27/(1+EXP(WeightSDS!O$27+WeightSDS!P$27*$AG206)))),IF($AG206&lt;43.8,WeightSDS!M$29*$AG206^10+WeightSDS!N$29*$AG206^9+WeightSDS!O$29*$AG206^8+WeightSDS!P$29*$AG206^7+WeightSDS!Q$29*$AG206^6+WeightSDS!R$29*$AG206^5+WeightSDS!S$29*$AG206^4+WeightSDS!T$29*$AG206^3+WeightSDS!U$29*$AG206^2+WeightSDS!V$29*$AG206+WeightSDS!W$29-0.010431*(1-$AG206/210),IF($AG206&lt;123,WeightSDS!M$30*$AG206^10+WeightSDS!N$30*$AG206^9+WeightSDS!O$30*$AG206^8+WeightSDS!P$30*$AG206^7+WeightSDS!Q$30*$AG206^6+WeightSDS!R$30*$AG206^5+WeightSDS!S$30*$AG206^4+WeightSDS!T$30*$AG206^3+WeightSDS!U$30*$AG206^2+WeightSDS!V$30*$AG206+WeightSDS!W$30-0.010431*(1-1/$AG206),WeightSDS!M$32+WeightSDS!N$32/(1+EXP(WeightSDS!O$32+WeightSDS!P$32*$AG206))-0.010431*(1-$AG206/210))))</f>
        <v>2.9500001032655536</v>
      </c>
      <c r="AK206" s="24">
        <f>IF(D206="M",IF($AG206&lt;162,WeightSDS!P$12*$AG206^7+WeightSDS!Q$12*$AG206^6+WeightSDS!R$12*$AG206^5+WeightSDS!S$12*$AG206^4+WeightSDS!T$12*$AG206^3+WeightSDS!U$12*$AG206^2+WeightSDS!V$12*$AG206+WeightSDS!W$12,WeightSDS!P$14*$AG206^7+WeightSDS!Q$14*$AG206^6+WeightSDS!R$14*$AG206^5+WeightSDS!S$14*$AG206^4+WeightSDS!T$14*$AG206^3+WeightSDS!U$14*$AG206^2+WeightSDS!V$14*$AG206+WeightSDS!W$14),IF($AG206&lt;156,WeightSDS!O$17*$AG206^8+WeightSDS!P$17*$AG206^7+WeightSDS!Q$17*$AG206^6+WeightSDS!R$17*$AG206^5+WeightSDS!S$17*$AG206^4+WeightSDS!T$17*$AG206^3+WeightSDS!U$17*$AG206^2+WeightSDS!V$17*$AG206+WeightSDS!W$17,IF($AG206&lt;186,WeightSDS!$U$18+(WeightSDS!$V$18-WeightSDS!$U$18)/24*($AG206-186)+WeightSDS!$W$18*(-$AG206+186)^2-0.005,WeightSDS!$U$18+(WeightSDS!$V$18-WeightSDS!$U$18)/24*($AG206-186)-0.005)))</f>
        <v>0.14604529399999999</v>
      </c>
    </row>
    <row r="207" spans="1:37">
      <c r="A207" s="4"/>
      <c r="B207" s="21"/>
      <c r="C207" s="21"/>
      <c r="D207" s="21"/>
      <c r="E207" s="22"/>
      <c r="F207" s="22"/>
      <c r="G207" s="23"/>
      <c r="H207" s="23"/>
      <c r="I207" s="8" t="str">
        <f t="shared" si="50"/>
        <v/>
      </c>
      <c r="J207" s="2" t="str">
        <f t="shared" si="57"/>
        <v/>
      </c>
      <c r="K207" s="2" t="str">
        <f t="shared" si="51"/>
        <v/>
      </c>
      <c r="L207" s="2" t="str">
        <f t="shared" si="58"/>
        <v/>
      </c>
      <c r="M207" s="2" t="str">
        <f t="shared" si="63"/>
        <v/>
      </c>
      <c r="N207" s="2" t="str">
        <f t="shared" si="59"/>
        <v/>
      </c>
      <c r="O207" s="8" t="str">
        <f t="shared" si="60"/>
        <v/>
      </c>
      <c r="P207" s="8" t="str">
        <f t="shared" si="61"/>
        <v/>
      </c>
      <c r="Q207" s="40" t="str">
        <f t="shared" si="52"/>
        <v/>
      </c>
      <c r="R207" s="48" t="str">
        <f t="shared" si="62"/>
        <v/>
      </c>
      <c r="S207" s="8"/>
      <c r="U207" s="35">
        <f t="shared" si="53"/>
        <v>0</v>
      </c>
      <c r="V207" s="24">
        <f t="shared" si="54"/>
        <v>0</v>
      </c>
      <c r="W207" s="41">
        <f t="shared" si="49"/>
        <v>0</v>
      </c>
      <c r="X207" s="31"/>
      <c r="Y207" s="31"/>
      <c r="Z207" s="31"/>
      <c r="AA207" s="25">
        <f t="shared" si="55"/>
        <v>9.0359999999999996</v>
      </c>
      <c r="AB207" s="25">
        <f t="shared" si="56"/>
        <v>-184.49199999999999</v>
      </c>
      <c r="AD207" s="24">
        <f>IF(D207="M",IF(AG207&lt;78,BMILMS!$D$5*AG207^3+BMILMS!$E$5*AG207^2+BMILMS!$F$5*AG207+BMILMS!$G$5,IF(AG207&lt;150,BMILMS!$D$6*AG207^3+BMILMS!$E$6*AG207^2+BMILMS!$F$6*AG207+BMILMS!$G$6,BMILMS!$D$7*AG207^3+BMILMS!$E$7*AG207^2+BMILMS!$F$7*AG207+BMILMS!$G$7)),IF(AG207&lt;69,BMILMS!$D$9*AG207^3+BMILMS!$E$9*AG207^2+BMILMS!$F$9*AG207+BMILMS!$G$9,IF(AG207&lt;150,BMILMS!$D$10*AG207^3+BMILMS!$E$10*AG207^2+BMILMS!$F$10*AG207+BMILMS!$G$10,BMILMS!$D$11*AG207^3+BMILMS!$E$11*AG207^2+BMILMS!$F$11*AG207+BMILMS!$G$11)))</f>
        <v>0.79584630099999998</v>
      </c>
      <c r="AE207" s="24">
        <f>IF(D207="M",(IF(AG207&lt;2.5,BMILMS!$D$21*AG207^3+BMILMS!$E$21*AG207^2+BMILMS!$F$21*AG207+BMILMS!$G$21,IF(AG207&lt;9.5,BMILMS!$D$22*AG207^3+BMILMS!$E$22*AG207^2+BMILMS!$F$22*AG207+BMILMS!$G$22,IF(AG207&lt;26.75,BMILMS!$D$23*AG207^3+BMILMS!$E$23*AG207^2+BMILMS!$F$23*AG207+BMILMS!$G$23,IF(AG207&lt;90,BMILMS!$D$24*AG207^3+BMILMS!$E$24*AG207^2+BMILMS!$F$24*AG207+BMILMS!$G$24,BMILMS!$D$25*AG207^3+BMILMS!$E$25*AG207^2+BMILMS!$F$25*AG207+BMILMS!$G$25))))),(IF(AG207&lt;2.5,BMILMS!$D$27*AG207^3+BMILMS!$E$27*AG207^2+BMILMS!$F$27*AG207+BMILMS!$G$27,IF(AG207&lt;9.5,BMILMS!$D$28*AG207^3+BMILMS!$E$28*AG207^2+BMILMS!$F$28*AG207+BMILMS!$G$28,IF(AG207&lt;26.75,BMILMS!$D$29*AG207^3+BMILMS!$E$29*AG207^2+BMILMS!$F$29*AG207+BMILMS!$G$29,IF(AG207&lt;90,BMILMS!$D$30*AG207^3+BMILMS!$E$30*AG207^2+BMILMS!$F$30*AG207+BMILMS!$G$30,IF(AG207&lt;150,BMILMS!$D$31*AG207^3+BMILMS!$E$31*AG207^2+BMILMS!$F$31*AG207+BMILMS!$G$31,BMILMS!$D$32*AG207^3+BMILMS!$E$32*AG207^2+BMILMS!$F$32*AG207+BMILMS!$G$32)))))))</f>
        <v>12.568967990000001</v>
      </c>
      <c r="AF207" s="24">
        <f>IF(D207="M",(IF(AG207&lt;90,BMILMS!$D$14*AG207^3+BMILMS!$E$14*AG207^2+BMILMS!$F$14*AG207+BMILMS!$G$14,BMILMS!$D$15*AG207^3+BMILMS!$E$15*AG207^2+BMILMS!$F$15*AG207+BMILMS!$G$15)),(IF(AG207&lt;90,BMILMS!$D$17*AG207^3+BMILMS!$E$17*AG207^2+BMILMS!$F$17*AG207+BMILMS!$G$17,BMILMS!$D$18*AG207^3+BMILMS!$E$18*AG207^2+BMILMS!$F$18*AG207+BMILMS!$G$18)))</f>
        <v>8.8969350000000003E-2</v>
      </c>
      <c r="AG207" s="24">
        <f t="shared" si="64"/>
        <v>0</v>
      </c>
      <c r="AI207" s="38">
        <f>IF(D207="M",WeightSDS!P$5*$AG207^7+WeightSDS!Q$5*$AG207^6+WeightSDS!R$5*$AG207^5+WeightSDS!S$5*$AG207^4+WeightSDS!T$5*$AG207^3+WeightSDS!U$5*$AG207^2+WeightSDS!V$5*$AG207+WeightSDS!W$5,IF($AG207&lt;186,WeightSDS!P$8*$AG207^7+WeightSDS!Q$8*$AG207^6+WeightSDS!R$8*$AG207^5+WeightSDS!S$8*$AG207^4+WeightSDS!T$8*$AG207^3+WeightSDS!U$8*$AG207^2+WeightSDS!V$8*$AG207+WeightSDS!W$8,WeightSDS!$U$9-WeightSDS!$V$9*($AG207-WeightSDS!$W$9)))</f>
        <v>0.75407122999999998</v>
      </c>
      <c r="AJ207" s="24">
        <f>IF(D207="M",IF($AG207&lt;45,WeightSDS!M$23*$AG207^10+WeightSDS!N$23*$AG207^9+WeightSDS!O$23*$AG207^8+WeightSDS!P$23*$AG207^7+WeightSDS!Q$23*$AG207^6+WeightSDS!R$23*$AG207^5+WeightSDS!S$23*$AG207^4+WeightSDS!T$23*$AG207^3+WeightSDS!U$23*$AG207^2+WeightSDS!V$23*$AG207+WeightSDS!W$23,IF($AG207&lt;153,WeightSDS!M$25*$AG207^10+WeightSDS!N$25*$AG207^9+WeightSDS!O$25*$AG207^8+WeightSDS!P$25*$AG207^7+WeightSDS!Q$25*$AG207^6+WeightSDS!R$25*$AG207^5+WeightSDS!S$25*$AG207^4+WeightSDS!T$25*$AG207^3+WeightSDS!U$25*$AG207^2+WeightSDS!V$25*$AG207+WeightSDS!W$25,WeightSDS!M$27+WeightSDS!N$27/(1+EXP(WeightSDS!O$27+WeightSDS!P$27*$AG207)))),IF($AG207&lt;43.8,WeightSDS!M$29*$AG207^10+WeightSDS!N$29*$AG207^9+WeightSDS!O$29*$AG207^8+WeightSDS!P$29*$AG207^7+WeightSDS!Q$29*$AG207^6+WeightSDS!R$29*$AG207^5+WeightSDS!S$29*$AG207^4+WeightSDS!T$29*$AG207^3+WeightSDS!U$29*$AG207^2+WeightSDS!V$29*$AG207+WeightSDS!W$29-0.010431*(1-$AG207/210),IF($AG207&lt;123,WeightSDS!M$30*$AG207^10+WeightSDS!N$30*$AG207^9+WeightSDS!O$30*$AG207^8+WeightSDS!P$30*$AG207^7+WeightSDS!Q$30*$AG207^6+WeightSDS!R$30*$AG207^5+WeightSDS!S$30*$AG207^4+WeightSDS!T$30*$AG207^3+WeightSDS!U$30*$AG207^2+WeightSDS!V$30*$AG207+WeightSDS!W$30-0.010431*(1-1/$AG207),WeightSDS!M$32+WeightSDS!N$32/(1+EXP(WeightSDS!O$32+WeightSDS!P$32*$AG207))-0.010431*(1-$AG207/210))))</f>
        <v>2.9500001032655536</v>
      </c>
      <c r="AK207" s="24">
        <f>IF(D207="M",IF($AG207&lt;162,WeightSDS!P$12*$AG207^7+WeightSDS!Q$12*$AG207^6+WeightSDS!R$12*$AG207^5+WeightSDS!S$12*$AG207^4+WeightSDS!T$12*$AG207^3+WeightSDS!U$12*$AG207^2+WeightSDS!V$12*$AG207+WeightSDS!W$12,WeightSDS!P$14*$AG207^7+WeightSDS!Q$14*$AG207^6+WeightSDS!R$14*$AG207^5+WeightSDS!S$14*$AG207^4+WeightSDS!T$14*$AG207^3+WeightSDS!U$14*$AG207^2+WeightSDS!V$14*$AG207+WeightSDS!W$14),IF($AG207&lt;156,WeightSDS!O$17*$AG207^8+WeightSDS!P$17*$AG207^7+WeightSDS!Q$17*$AG207^6+WeightSDS!R$17*$AG207^5+WeightSDS!S$17*$AG207^4+WeightSDS!T$17*$AG207^3+WeightSDS!U$17*$AG207^2+WeightSDS!V$17*$AG207+WeightSDS!W$17,IF($AG207&lt;186,WeightSDS!$U$18+(WeightSDS!$V$18-WeightSDS!$U$18)/24*($AG207-186)+WeightSDS!$W$18*(-$AG207+186)^2-0.005,WeightSDS!$U$18+(WeightSDS!$V$18-WeightSDS!$U$18)/24*($AG207-186)-0.005)))</f>
        <v>0.14604529399999999</v>
      </c>
    </row>
    <row r="208" spans="1:37">
      <c r="A208" s="4"/>
      <c r="B208" s="21"/>
      <c r="C208" s="21"/>
      <c r="D208" s="21"/>
      <c r="E208" s="22"/>
      <c r="F208" s="22"/>
      <c r="G208" s="23"/>
      <c r="H208" s="23"/>
      <c r="I208" s="8" t="str">
        <f t="shared" si="50"/>
        <v/>
      </c>
      <c r="J208" s="2" t="str">
        <f t="shared" si="57"/>
        <v/>
      </c>
      <c r="K208" s="2" t="str">
        <f t="shared" si="51"/>
        <v/>
      </c>
      <c r="L208" s="2" t="str">
        <f t="shared" si="58"/>
        <v/>
      </c>
      <c r="M208" s="2" t="str">
        <f t="shared" si="63"/>
        <v/>
      </c>
      <c r="N208" s="2" t="str">
        <f t="shared" si="59"/>
        <v/>
      </c>
      <c r="O208" s="8" t="str">
        <f t="shared" si="60"/>
        <v/>
      </c>
      <c r="P208" s="8" t="str">
        <f t="shared" si="61"/>
        <v/>
      </c>
      <c r="Q208" s="40" t="str">
        <f t="shared" si="52"/>
        <v/>
      </c>
      <c r="R208" s="48" t="str">
        <f t="shared" si="62"/>
        <v/>
      </c>
      <c r="S208" s="8"/>
      <c r="U208" s="35">
        <f t="shared" si="53"/>
        <v>0</v>
      </c>
      <c r="V208" s="24">
        <f t="shared" si="54"/>
        <v>0</v>
      </c>
      <c r="W208" s="41">
        <f t="shared" si="49"/>
        <v>0</v>
      </c>
      <c r="X208" s="31"/>
      <c r="Y208" s="31"/>
      <c r="Z208" s="31"/>
      <c r="AA208" s="25">
        <f t="shared" si="55"/>
        <v>9.0359999999999996</v>
      </c>
      <c r="AB208" s="25">
        <f t="shared" si="56"/>
        <v>-184.49199999999999</v>
      </c>
      <c r="AD208" s="24">
        <f>IF(D208="M",IF(AG208&lt;78,BMILMS!$D$5*AG208^3+BMILMS!$E$5*AG208^2+BMILMS!$F$5*AG208+BMILMS!$G$5,IF(AG208&lt;150,BMILMS!$D$6*AG208^3+BMILMS!$E$6*AG208^2+BMILMS!$F$6*AG208+BMILMS!$G$6,BMILMS!$D$7*AG208^3+BMILMS!$E$7*AG208^2+BMILMS!$F$7*AG208+BMILMS!$G$7)),IF(AG208&lt;69,BMILMS!$D$9*AG208^3+BMILMS!$E$9*AG208^2+BMILMS!$F$9*AG208+BMILMS!$G$9,IF(AG208&lt;150,BMILMS!$D$10*AG208^3+BMILMS!$E$10*AG208^2+BMILMS!$F$10*AG208+BMILMS!$G$10,BMILMS!$D$11*AG208^3+BMILMS!$E$11*AG208^2+BMILMS!$F$11*AG208+BMILMS!$G$11)))</f>
        <v>0.79584630099999998</v>
      </c>
      <c r="AE208" s="24">
        <f>IF(D208="M",(IF(AG208&lt;2.5,BMILMS!$D$21*AG208^3+BMILMS!$E$21*AG208^2+BMILMS!$F$21*AG208+BMILMS!$G$21,IF(AG208&lt;9.5,BMILMS!$D$22*AG208^3+BMILMS!$E$22*AG208^2+BMILMS!$F$22*AG208+BMILMS!$G$22,IF(AG208&lt;26.75,BMILMS!$D$23*AG208^3+BMILMS!$E$23*AG208^2+BMILMS!$F$23*AG208+BMILMS!$G$23,IF(AG208&lt;90,BMILMS!$D$24*AG208^3+BMILMS!$E$24*AG208^2+BMILMS!$F$24*AG208+BMILMS!$G$24,BMILMS!$D$25*AG208^3+BMILMS!$E$25*AG208^2+BMILMS!$F$25*AG208+BMILMS!$G$25))))),(IF(AG208&lt;2.5,BMILMS!$D$27*AG208^3+BMILMS!$E$27*AG208^2+BMILMS!$F$27*AG208+BMILMS!$G$27,IF(AG208&lt;9.5,BMILMS!$D$28*AG208^3+BMILMS!$E$28*AG208^2+BMILMS!$F$28*AG208+BMILMS!$G$28,IF(AG208&lt;26.75,BMILMS!$D$29*AG208^3+BMILMS!$E$29*AG208^2+BMILMS!$F$29*AG208+BMILMS!$G$29,IF(AG208&lt;90,BMILMS!$D$30*AG208^3+BMILMS!$E$30*AG208^2+BMILMS!$F$30*AG208+BMILMS!$G$30,IF(AG208&lt;150,BMILMS!$D$31*AG208^3+BMILMS!$E$31*AG208^2+BMILMS!$F$31*AG208+BMILMS!$G$31,BMILMS!$D$32*AG208^3+BMILMS!$E$32*AG208^2+BMILMS!$F$32*AG208+BMILMS!$G$32)))))))</f>
        <v>12.568967990000001</v>
      </c>
      <c r="AF208" s="24">
        <f>IF(D208="M",(IF(AG208&lt;90,BMILMS!$D$14*AG208^3+BMILMS!$E$14*AG208^2+BMILMS!$F$14*AG208+BMILMS!$G$14,BMILMS!$D$15*AG208^3+BMILMS!$E$15*AG208^2+BMILMS!$F$15*AG208+BMILMS!$G$15)),(IF(AG208&lt;90,BMILMS!$D$17*AG208^3+BMILMS!$E$17*AG208^2+BMILMS!$F$17*AG208+BMILMS!$G$17,BMILMS!$D$18*AG208^3+BMILMS!$E$18*AG208^2+BMILMS!$F$18*AG208+BMILMS!$G$18)))</f>
        <v>8.8969350000000003E-2</v>
      </c>
      <c r="AG208" s="24">
        <f t="shared" si="64"/>
        <v>0</v>
      </c>
      <c r="AI208" s="38">
        <f>IF(D208="M",WeightSDS!P$5*$AG208^7+WeightSDS!Q$5*$AG208^6+WeightSDS!R$5*$AG208^5+WeightSDS!S$5*$AG208^4+WeightSDS!T$5*$AG208^3+WeightSDS!U$5*$AG208^2+WeightSDS!V$5*$AG208+WeightSDS!W$5,IF($AG208&lt;186,WeightSDS!P$8*$AG208^7+WeightSDS!Q$8*$AG208^6+WeightSDS!R$8*$AG208^5+WeightSDS!S$8*$AG208^4+WeightSDS!T$8*$AG208^3+WeightSDS!U$8*$AG208^2+WeightSDS!V$8*$AG208+WeightSDS!W$8,WeightSDS!$U$9-WeightSDS!$V$9*($AG208-WeightSDS!$W$9)))</f>
        <v>0.75407122999999998</v>
      </c>
      <c r="AJ208" s="24">
        <f>IF(D208="M",IF($AG208&lt;45,WeightSDS!M$23*$AG208^10+WeightSDS!N$23*$AG208^9+WeightSDS!O$23*$AG208^8+WeightSDS!P$23*$AG208^7+WeightSDS!Q$23*$AG208^6+WeightSDS!R$23*$AG208^5+WeightSDS!S$23*$AG208^4+WeightSDS!T$23*$AG208^3+WeightSDS!U$23*$AG208^2+WeightSDS!V$23*$AG208+WeightSDS!W$23,IF($AG208&lt;153,WeightSDS!M$25*$AG208^10+WeightSDS!N$25*$AG208^9+WeightSDS!O$25*$AG208^8+WeightSDS!P$25*$AG208^7+WeightSDS!Q$25*$AG208^6+WeightSDS!R$25*$AG208^5+WeightSDS!S$25*$AG208^4+WeightSDS!T$25*$AG208^3+WeightSDS!U$25*$AG208^2+WeightSDS!V$25*$AG208+WeightSDS!W$25,WeightSDS!M$27+WeightSDS!N$27/(1+EXP(WeightSDS!O$27+WeightSDS!P$27*$AG208)))),IF($AG208&lt;43.8,WeightSDS!M$29*$AG208^10+WeightSDS!N$29*$AG208^9+WeightSDS!O$29*$AG208^8+WeightSDS!P$29*$AG208^7+WeightSDS!Q$29*$AG208^6+WeightSDS!R$29*$AG208^5+WeightSDS!S$29*$AG208^4+WeightSDS!T$29*$AG208^3+WeightSDS!U$29*$AG208^2+WeightSDS!V$29*$AG208+WeightSDS!W$29-0.010431*(1-$AG208/210),IF($AG208&lt;123,WeightSDS!M$30*$AG208^10+WeightSDS!N$30*$AG208^9+WeightSDS!O$30*$AG208^8+WeightSDS!P$30*$AG208^7+WeightSDS!Q$30*$AG208^6+WeightSDS!R$30*$AG208^5+WeightSDS!S$30*$AG208^4+WeightSDS!T$30*$AG208^3+WeightSDS!U$30*$AG208^2+WeightSDS!V$30*$AG208+WeightSDS!W$30-0.010431*(1-1/$AG208),WeightSDS!M$32+WeightSDS!N$32/(1+EXP(WeightSDS!O$32+WeightSDS!P$32*$AG208))-0.010431*(1-$AG208/210))))</f>
        <v>2.9500001032655536</v>
      </c>
      <c r="AK208" s="24">
        <f>IF(D208="M",IF($AG208&lt;162,WeightSDS!P$12*$AG208^7+WeightSDS!Q$12*$AG208^6+WeightSDS!R$12*$AG208^5+WeightSDS!S$12*$AG208^4+WeightSDS!T$12*$AG208^3+WeightSDS!U$12*$AG208^2+WeightSDS!V$12*$AG208+WeightSDS!W$12,WeightSDS!P$14*$AG208^7+WeightSDS!Q$14*$AG208^6+WeightSDS!R$14*$AG208^5+WeightSDS!S$14*$AG208^4+WeightSDS!T$14*$AG208^3+WeightSDS!U$14*$AG208^2+WeightSDS!V$14*$AG208+WeightSDS!W$14),IF($AG208&lt;156,WeightSDS!O$17*$AG208^8+WeightSDS!P$17*$AG208^7+WeightSDS!Q$17*$AG208^6+WeightSDS!R$17*$AG208^5+WeightSDS!S$17*$AG208^4+WeightSDS!T$17*$AG208^3+WeightSDS!U$17*$AG208^2+WeightSDS!V$17*$AG208+WeightSDS!W$17,IF($AG208&lt;186,WeightSDS!$U$18+(WeightSDS!$V$18-WeightSDS!$U$18)/24*($AG208-186)+WeightSDS!$W$18*(-$AG208+186)^2-0.005,WeightSDS!$U$18+(WeightSDS!$V$18-WeightSDS!$U$18)/24*($AG208-186)-0.005)))</f>
        <v>0.14604529399999999</v>
      </c>
    </row>
    <row r="209" spans="1:37">
      <c r="A209" s="4"/>
      <c r="B209" s="21"/>
      <c r="C209" s="21"/>
      <c r="D209" s="21"/>
      <c r="E209" s="22"/>
      <c r="F209" s="22"/>
      <c r="G209" s="23"/>
      <c r="H209" s="23"/>
      <c r="I209" s="8" t="str">
        <f t="shared" si="50"/>
        <v/>
      </c>
      <c r="J209" s="2" t="str">
        <f t="shared" si="57"/>
        <v/>
      </c>
      <c r="K209" s="2" t="str">
        <f t="shared" si="51"/>
        <v/>
      </c>
      <c r="L209" s="2" t="str">
        <f t="shared" si="58"/>
        <v/>
      </c>
      <c r="M209" s="2" t="str">
        <f t="shared" si="63"/>
        <v/>
      </c>
      <c r="N209" s="2" t="str">
        <f t="shared" si="59"/>
        <v/>
      </c>
      <c r="O209" s="8" t="str">
        <f t="shared" si="60"/>
        <v/>
      </c>
      <c r="P209" s="8" t="str">
        <f t="shared" si="61"/>
        <v/>
      </c>
      <c r="Q209" s="40" t="str">
        <f t="shared" si="52"/>
        <v/>
      </c>
      <c r="R209" s="48" t="str">
        <f t="shared" si="62"/>
        <v/>
      </c>
      <c r="S209" s="8"/>
      <c r="U209" s="35">
        <f t="shared" si="53"/>
        <v>0</v>
      </c>
      <c r="V209" s="24">
        <f t="shared" si="54"/>
        <v>0</v>
      </c>
      <c r="W209" s="41">
        <f t="shared" si="49"/>
        <v>0</v>
      </c>
      <c r="X209" s="31"/>
      <c r="Y209" s="31"/>
      <c r="Z209" s="31"/>
      <c r="AA209" s="25">
        <f t="shared" si="55"/>
        <v>9.0359999999999996</v>
      </c>
      <c r="AB209" s="25">
        <f t="shared" si="56"/>
        <v>-184.49199999999999</v>
      </c>
      <c r="AD209" s="24">
        <f>IF(D209="M",IF(AG209&lt;78,BMILMS!$D$5*AG209^3+BMILMS!$E$5*AG209^2+BMILMS!$F$5*AG209+BMILMS!$G$5,IF(AG209&lt;150,BMILMS!$D$6*AG209^3+BMILMS!$E$6*AG209^2+BMILMS!$F$6*AG209+BMILMS!$G$6,BMILMS!$D$7*AG209^3+BMILMS!$E$7*AG209^2+BMILMS!$F$7*AG209+BMILMS!$G$7)),IF(AG209&lt;69,BMILMS!$D$9*AG209^3+BMILMS!$E$9*AG209^2+BMILMS!$F$9*AG209+BMILMS!$G$9,IF(AG209&lt;150,BMILMS!$D$10*AG209^3+BMILMS!$E$10*AG209^2+BMILMS!$F$10*AG209+BMILMS!$G$10,BMILMS!$D$11*AG209^3+BMILMS!$E$11*AG209^2+BMILMS!$F$11*AG209+BMILMS!$G$11)))</f>
        <v>0.79584630099999998</v>
      </c>
      <c r="AE209" s="24">
        <f>IF(D209="M",(IF(AG209&lt;2.5,BMILMS!$D$21*AG209^3+BMILMS!$E$21*AG209^2+BMILMS!$F$21*AG209+BMILMS!$G$21,IF(AG209&lt;9.5,BMILMS!$D$22*AG209^3+BMILMS!$E$22*AG209^2+BMILMS!$F$22*AG209+BMILMS!$G$22,IF(AG209&lt;26.75,BMILMS!$D$23*AG209^3+BMILMS!$E$23*AG209^2+BMILMS!$F$23*AG209+BMILMS!$G$23,IF(AG209&lt;90,BMILMS!$D$24*AG209^3+BMILMS!$E$24*AG209^2+BMILMS!$F$24*AG209+BMILMS!$G$24,BMILMS!$D$25*AG209^3+BMILMS!$E$25*AG209^2+BMILMS!$F$25*AG209+BMILMS!$G$25))))),(IF(AG209&lt;2.5,BMILMS!$D$27*AG209^3+BMILMS!$E$27*AG209^2+BMILMS!$F$27*AG209+BMILMS!$G$27,IF(AG209&lt;9.5,BMILMS!$D$28*AG209^3+BMILMS!$E$28*AG209^2+BMILMS!$F$28*AG209+BMILMS!$G$28,IF(AG209&lt;26.75,BMILMS!$D$29*AG209^3+BMILMS!$E$29*AG209^2+BMILMS!$F$29*AG209+BMILMS!$G$29,IF(AG209&lt;90,BMILMS!$D$30*AG209^3+BMILMS!$E$30*AG209^2+BMILMS!$F$30*AG209+BMILMS!$G$30,IF(AG209&lt;150,BMILMS!$D$31*AG209^3+BMILMS!$E$31*AG209^2+BMILMS!$F$31*AG209+BMILMS!$G$31,BMILMS!$D$32*AG209^3+BMILMS!$E$32*AG209^2+BMILMS!$F$32*AG209+BMILMS!$G$32)))))))</f>
        <v>12.568967990000001</v>
      </c>
      <c r="AF209" s="24">
        <f>IF(D209="M",(IF(AG209&lt;90,BMILMS!$D$14*AG209^3+BMILMS!$E$14*AG209^2+BMILMS!$F$14*AG209+BMILMS!$G$14,BMILMS!$D$15*AG209^3+BMILMS!$E$15*AG209^2+BMILMS!$F$15*AG209+BMILMS!$G$15)),(IF(AG209&lt;90,BMILMS!$D$17*AG209^3+BMILMS!$E$17*AG209^2+BMILMS!$F$17*AG209+BMILMS!$G$17,BMILMS!$D$18*AG209^3+BMILMS!$E$18*AG209^2+BMILMS!$F$18*AG209+BMILMS!$G$18)))</f>
        <v>8.8969350000000003E-2</v>
      </c>
      <c r="AG209" s="24">
        <f t="shared" si="64"/>
        <v>0</v>
      </c>
      <c r="AI209" s="38">
        <f>IF(D209="M",WeightSDS!P$5*$AG209^7+WeightSDS!Q$5*$AG209^6+WeightSDS!R$5*$AG209^5+WeightSDS!S$5*$AG209^4+WeightSDS!T$5*$AG209^3+WeightSDS!U$5*$AG209^2+WeightSDS!V$5*$AG209+WeightSDS!W$5,IF($AG209&lt;186,WeightSDS!P$8*$AG209^7+WeightSDS!Q$8*$AG209^6+WeightSDS!R$8*$AG209^5+WeightSDS!S$8*$AG209^4+WeightSDS!T$8*$AG209^3+WeightSDS!U$8*$AG209^2+WeightSDS!V$8*$AG209+WeightSDS!W$8,WeightSDS!$U$9-WeightSDS!$V$9*($AG209-WeightSDS!$W$9)))</f>
        <v>0.75407122999999998</v>
      </c>
      <c r="AJ209" s="24">
        <f>IF(D209="M",IF($AG209&lt;45,WeightSDS!M$23*$AG209^10+WeightSDS!N$23*$AG209^9+WeightSDS!O$23*$AG209^8+WeightSDS!P$23*$AG209^7+WeightSDS!Q$23*$AG209^6+WeightSDS!R$23*$AG209^5+WeightSDS!S$23*$AG209^4+WeightSDS!T$23*$AG209^3+WeightSDS!U$23*$AG209^2+WeightSDS!V$23*$AG209+WeightSDS!W$23,IF($AG209&lt;153,WeightSDS!M$25*$AG209^10+WeightSDS!N$25*$AG209^9+WeightSDS!O$25*$AG209^8+WeightSDS!P$25*$AG209^7+WeightSDS!Q$25*$AG209^6+WeightSDS!R$25*$AG209^5+WeightSDS!S$25*$AG209^4+WeightSDS!T$25*$AG209^3+WeightSDS!U$25*$AG209^2+WeightSDS!V$25*$AG209+WeightSDS!W$25,WeightSDS!M$27+WeightSDS!N$27/(1+EXP(WeightSDS!O$27+WeightSDS!P$27*$AG209)))),IF($AG209&lt;43.8,WeightSDS!M$29*$AG209^10+WeightSDS!N$29*$AG209^9+WeightSDS!O$29*$AG209^8+WeightSDS!P$29*$AG209^7+WeightSDS!Q$29*$AG209^6+WeightSDS!R$29*$AG209^5+WeightSDS!S$29*$AG209^4+WeightSDS!T$29*$AG209^3+WeightSDS!U$29*$AG209^2+WeightSDS!V$29*$AG209+WeightSDS!W$29-0.010431*(1-$AG209/210),IF($AG209&lt;123,WeightSDS!M$30*$AG209^10+WeightSDS!N$30*$AG209^9+WeightSDS!O$30*$AG209^8+WeightSDS!P$30*$AG209^7+WeightSDS!Q$30*$AG209^6+WeightSDS!R$30*$AG209^5+WeightSDS!S$30*$AG209^4+WeightSDS!T$30*$AG209^3+WeightSDS!U$30*$AG209^2+WeightSDS!V$30*$AG209+WeightSDS!W$30-0.010431*(1-1/$AG209),WeightSDS!M$32+WeightSDS!N$32/(1+EXP(WeightSDS!O$32+WeightSDS!P$32*$AG209))-0.010431*(1-$AG209/210))))</f>
        <v>2.9500001032655536</v>
      </c>
      <c r="AK209" s="24">
        <f>IF(D209="M",IF($AG209&lt;162,WeightSDS!P$12*$AG209^7+WeightSDS!Q$12*$AG209^6+WeightSDS!R$12*$AG209^5+WeightSDS!S$12*$AG209^4+WeightSDS!T$12*$AG209^3+WeightSDS!U$12*$AG209^2+WeightSDS!V$12*$AG209+WeightSDS!W$12,WeightSDS!P$14*$AG209^7+WeightSDS!Q$14*$AG209^6+WeightSDS!R$14*$AG209^5+WeightSDS!S$14*$AG209^4+WeightSDS!T$14*$AG209^3+WeightSDS!U$14*$AG209^2+WeightSDS!V$14*$AG209+WeightSDS!W$14),IF($AG209&lt;156,WeightSDS!O$17*$AG209^8+WeightSDS!P$17*$AG209^7+WeightSDS!Q$17*$AG209^6+WeightSDS!R$17*$AG209^5+WeightSDS!S$17*$AG209^4+WeightSDS!T$17*$AG209^3+WeightSDS!U$17*$AG209^2+WeightSDS!V$17*$AG209+WeightSDS!W$17,IF($AG209&lt;186,WeightSDS!$U$18+(WeightSDS!$V$18-WeightSDS!$U$18)/24*($AG209-186)+WeightSDS!$W$18*(-$AG209+186)^2-0.005,WeightSDS!$U$18+(WeightSDS!$V$18-WeightSDS!$U$18)/24*($AG209-186)-0.005)))</f>
        <v>0.14604529399999999</v>
      </c>
    </row>
    <row r="210" spans="1:37">
      <c r="A210" s="4"/>
      <c r="B210" s="21"/>
      <c r="C210" s="21"/>
      <c r="D210" s="21"/>
      <c r="E210" s="22"/>
      <c r="F210" s="22"/>
      <c r="G210" s="23"/>
      <c r="H210" s="23"/>
      <c r="I210" s="8" t="str">
        <f t="shared" si="50"/>
        <v/>
      </c>
      <c r="J210" s="2" t="str">
        <f t="shared" si="57"/>
        <v/>
      </c>
      <c r="K210" s="2" t="str">
        <f t="shared" si="51"/>
        <v/>
      </c>
      <c r="L210" s="2" t="str">
        <f t="shared" si="58"/>
        <v/>
      </c>
      <c r="M210" s="2" t="str">
        <f t="shared" si="63"/>
        <v/>
      </c>
      <c r="N210" s="2" t="str">
        <f t="shared" si="59"/>
        <v/>
      </c>
      <c r="O210" s="8" t="str">
        <f t="shared" si="60"/>
        <v/>
      </c>
      <c r="P210" s="8" t="str">
        <f t="shared" si="61"/>
        <v/>
      </c>
      <c r="Q210" s="40" t="str">
        <f t="shared" si="52"/>
        <v/>
      </c>
      <c r="R210" s="48" t="str">
        <f t="shared" si="62"/>
        <v/>
      </c>
      <c r="S210" s="8"/>
      <c r="U210" s="35">
        <f t="shared" si="53"/>
        <v>0</v>
      </c>
      <c r="V210" s="24">
        <f t="shared" si="54"/>
        <v>0</v>
      </c>
      <c r="W210" s="41">
        <f t="shared" si="49"/>
        <v>0</v>
      </c>
      <c r="X210" s="31"/>
      <c r="Y210" s="31"/>
      <c r="Z210" s="31"/>
      <c r="AA210" s="25">
        <f t="shared" si="55"/>
        <v>9.0359999999999996</v>
      </c>
      <c r="AB210" s="25">
        <f t="shared" si="56"/>
        <v>-184.49199999999999</v>
      </c>
      <c r="AD210" s="24">
        <f>IF(D210="M",IF(AG210&lt;78,BMILMS!$D$5*AG210^3+BMILMS!$E$5*AG210^2+BMILMS!$F$5*AG210+BMILMS!$G$5,IF(AG210&lt;150,BMILMS!$D$6*AG210^3+BMILMS!$E$6*AG210^2+BMILMS!$F$6*AG210+BMILMS!$G$6,BMILMS!$D$7*AG210^3+BMILMS!$E$7*AG210^2+BMILMS!$F$7*AG210+BMILMS!$G$7)),IF(AG210&lt;69,BMILMS!$D$9*AG210^3+BMILMS!$E$9*AG210^2+BMILMS!$F$9*AG210+BMILMS!$G$9,IF(AG210&lt;150,BMILMS!$D$10*AG210^3+BMILMS!$E$10*AG210^2+BMILMS!$F$10*AG210+BMILMS!$G$10,BMILMS!$D$11*AG210^3+BMILMS!$E$11*AG210^2+BMILMS!$F$11*AG210+BMILMS!$G$11)))</f>
        <v>0.79584630099999998</v>
      </c>
      <c r="AE210" s="24">
        <f>IF(D210="M",(IF(AG210&lt;2.5,BMILMS!$D$21*AG210^3+BMILMS!$E$21*AG210^2+BMILMS!$F$21*AG210+BMILMS!$G$21,IF(AG210&lt;9.5,BMILMS!$D$22*AG210^3+BMILMS!$E$22*AG210^2+BMILMS!$F$22*AG210+BMILMS!$G$22,IF(AG210&lt;26.75,BMILMS!$D$23*AG210^3+BMILMS!$E$23*AG210^2+BMILMS!$F$23*AG210+BMILMS!$G$23,IF(AG210&lt;90,BMILMS!$D$24*AG210^3+BMILMS!$E$24*AG210^2+BMILMS!$F$24*AG210+BMILMS!$G$24,BMILMS!$D$25*AG210^3+BMILMS!$E$25*AG210^2+BMILMS!$F$25*AG210+BMILMS!$G$25))))),(IF(AG210&lt;2.5,BMILMS!$D$27*AG210^3+BMILMS!$E$27*AG210^2+BMILMS!$F$27*AG210+BMILMS!$G$27,IF(AG210&lt;9.5,BMILMS!$D$28*AG210^3+BMILMS!$E$28*AG210^2+BMILMS!$F$28*AG210+BMILMS!$G$28,IF(AG210&lt;26.75,BMILMS!$D$29*AG210^3+BMILMS!$E$29*AG210^2+BMILMS!$F$29*AG210+BMILMS!$G$29,IF(AG210&lt;90,BMILMS!$D$30*AG210^3+BMILMS!$E$30*AG210^2+BMILMS!$F$30*AG210+BMILMS!$G$30,IF(AG210&lt;150,BMILMS!$D$31*AG210^3+BMILMS!$E$31*AG210^2+BMILMS!$F$31*AG210+BMILMS!$G$31,BMILMS!$D$32*AG210^3+BMILMS!$E$32*AG210^2+BMILMS!$F$32*AG210+BMILMS!$G$32)))))))</f>
        <v>12.568967990000001</v>
      </c>
      <c r="AF210" s="24">
        <f>IF(D210="M",(IF(AG210&lt;90,BMILMS!$D$14*AG210^3+BMILMS!$E$14*AG210^2+BMILMS!$F$14*AG210+BMILMS!$G$14,BMILMS!$D$15*AG210^3+BMILMS!$E$15*AG210^2+BMILMS!$F$15*AG210+BMILMS!$G$15)),(IF(AG210&lt;90,BMILMS!$D$17*AG210^3+BMILMS!$E$17*AG210^2+BMILMS!$F$17*AG210+BMILMS!$G$17,BMILMS!$D$18*AG210^3+BMILMS!$E$18*AG210^2+BMILMS!$F$18*AG210+BMILMS!$G$18)))</f>
        <v>8.8969350000000003E-2</v>
      </c>
      <c r="AG210" s="24">
        <f t="shared" si="64"/>
        <v>0</v>
      </c>
      <c r="AI210" s="38">
        <f>IF(D210="M",WeightSDS!P$5*$AG210^7+WeightSDS!Q$5*$AG210^6+WeightSDS!R$5*$AG210^5+WeightSDS!S$5*$AG210^4+WeightSDS!T$5*$AG210^3+WeightSDS!U$5*$AG210^2+WeightSDS!V$5*$AG210+WeightSDS!W$5,IF($AG210&lt;186,WeightSDS!P$8*$AG210^7+WeightSDS!Q$8*$AG210^6+WeightSDS!R$8*$AG210^5+WeightSDS!S$8*$AG210^4+WeightSDS!T$8*$AG210^3+WeightSDS!U$8*$AG210^2+WeightSDS!V$8*$AG210+WeightSDS!W$8,WeightSDS!$U$9-WeightSDS!$V$9*($AG210-WeightSDS!$W$9)))</f>
        <v>0.75407122999999998</v>
      </c>
      <c r="AJ210" s="24">
        <f>IF(D210="M",IF($AG210&lt;45,WeightSDS!M$23*$AG210^10+WeightSDS!N$23*$AG210^9+WeightSDS!O$23*$AG210^8+WeightSDS!P$23*$AG210^7+WeightSDS!Q$23*$AG210^6+WeightSDS!R$23*$AG210^5+WeightSDS!S$23*$AG210^4+WeightSDS!T$23*$AG210^3+WeightSDS!U$23*$AG210^2+WeightSDS!V$23*$AG210+WeightSDS!W$23,IF($AG210&lt;153,WeightSDS!M$25*$AG210^10+WeightSDS!N$25*$AG210^9+WeightSDS!O$25*$AG210^8+WeightSDS!P$25*$AG210^7+WeightSDS!Q$25*$AG210^6+WeightSDS!R$25*$AG210^5+WeightSDS!S$25*$AG210^4+WeightSDS!T$25*$AG210^3+WeightSDS!U$25*$AG210^2+WeightSDS!V$25*$AG210+WeightSDS!W$25,WeightSDS!M$27+WeightSDS!N$27/(1+EXP(WeightSDS!O$27+WeightSDS!P$27*$AG210)))),IF($AG210&lt;43.8,WeightSDS!M$29*$AG210^10+WeightSDS!N$29*$AG210^9+WeightSDS!O$29*$AG210^8+WeightSDS!P$29*$AG210^7+WeightSDS!Q$29*$AG210^6+WeightSDS!R$29*$AG210^5+WeightSDS!S$29*$AG210^4+WeightSDS!T$29*$AG210^3+WeightSDS!U$29*$AG210^2+WeightSDS!V$29*$AG210+WeightSDS!W$29-0.010431*(1-$AG210/210),IF($AG210&lt;123,WeightSDS!M$30*$AG210^10+WeightSDS!N$30*$AG210^9+WeightSDS!O$30*$AG210^8+WeightSDS!P$30*$AG210^7+WeightSDS!Q$30*$AG210^6+WeightSDS!R$30*$AG210^5+WeightSDS!S$30*$AG210^4+WeightSDS!T$30*$AG210^3+WeightSDS!U$30*$AG210^2+WeightSDS!V$30*$AG210+WeightSDS!W$30-0.010431*(1-1/$AG210),WeightSDS!M$32+WeightSDS!N$32/(1+EXP(WeightSDS!O$32+WeightSDS!P$32*$AG210))-0.010431*(1-$AG210/210))))</f>
        <v>2.9500001032655536</v>
      </c>
      <c r="AK210" s="24">
        <f>IF(D210="M",IF($AG210&lt;162,WeightSDS!P$12*$AG210^7+WeightSDS!Q$12*$AG210^6+WeightSDS!R$12*$AG210^5+WeightSDS!S$12*$AG210^4+WeightSDS!T$12*$AG210^3+WeightSDS!U$12*$AG210^2+WeightSDS!V$12*$AG210+WeightSDS!W$12,WeightSDS!P$14*$AG210^7+WeightSDS!Q$14*$AG210^6+WeightSDS!R$14*$AG210^5+WeightSDS!S$14*$AG210^4+WeightSDS!T$14*$AG210^3+WeightSDS!U$14*$AG210^2+WeightSDS!V$14*$AG210+WeightSDS!W$14),IF($AG210&lt;156,WeightSDS!O$17*$AG210^8+WeightSDS!P$17*$AG210^7+WeightSDS!Q$17*$AG210^6+WeightSDS!R$17*$AG210^5+WeightSDS!S$17*$AG210^4+WeightSDS!T$17*$AG210^3+WeightSDS!U$17*$AG210^2+WeightSDS!V$17*$AG210+WeightSDS!W$17,IF($AG210&lt;186,WeightSDS!$U$18+(WeightSDS!$V$18-WeightSDS!$U$18)/24*($AG210-186)+WeightSDS!$W$18*(-$AG210+186)^2-0.005,WeightSDS!$U$18+(WeightSDS!$V$18-WeightSDS!$U$18)/24*($AG210-186)-0.005)))</f>
        <v>0.14604529399999999</v>
      </c>
    </row>
    <row r="211" spans="1:37">
      <c r="A211" s="4"/>
      <c r="B211" s="21"/>
      <c r="C211" s="21"/>
      <c r="D211" s="21"/>
      <c r="E211" s="22"/>
      <c r="F211" s="22"/>
      <c r="G211" s="23"/>
      <c r="H211" s="23"/>
      <c r="I211" s="8" t="str">
        <f t="shared" si="50"/>
        <v/>
      </c>
      <c r="J211" s="2" t="str">
        <f t="shared" si="57"/>
        <v/>
      </c>
      <c r="K211" s="2" t="str">
        <f t="shared" si="51"/>
        <v/>
      </c>
      <c r="L211" s="2" t="str">
        <f t="shared" si="58"/>
        <v/>
      </c>
      <c r="M211" s="2" t="str">
        <f t="shared" si="63"/>
        <v/>
      </c>
      <c r="N211" s="2" t="str">
        <f t="shared" si="59"/>
        <v/>
      </c>
      <c r="O211" s="8" t="str">
        <f t="shared" si="60"/>
        <v/>
      </c>
      <c r="P211" s="8" t="str">
        <f t="shared" si="61"/>
        <v/>
      </c>
      <c r="Q211" s="40" t="str">
        <f t="shared" si="52"/>
        <v/>
      </c>
      <c r="R211" s="48" t="str">
        <f t="shared" si="62"/>
        <v/>
      </c>
      <c r="S211" s="8"/>
      <c r="U211" s="35">
        <f t="shared" si="53"/>
        <v>0</v>
      </c>
      <c r="V211" s="24">
        <f t="shared" si="54"/>
        <v>0</v>
      </c>
      <c r="W211" s="41">
        <f t="shared" si="49"/>
        <v>0</v>
      </c>
      <c r="X211" s="31"/>
      <c r="Y211" s="31"/>
      <c r="Z211" s="31"/>
      <c r="AA211" s="25">
        <f t="shared" si="55"/>
        <v>9.0359999999999996</v>
      </c>
      <c r="AB211" s="25">
        <f t="shared" si="56"/>
        <v>-184.49199999999999</v>
      </c>
      <c r="AD211" s="24">
        <f>IF(D211="M",IF(AG211&lt;78,BMILMS!$D$5*AG211^3+BMILMS!$E$5*AG211^2+BMILMS!$F$5*AG211+BMILMS!$G$5,IF(AG211&lt;150,BMILMS!$D$6*AG211^3+BMILMS!$E$6*AG211^2+BMILMS!$F$6*AG211+BMILMS!$G$6,BMILMS!$D$7*AG211^3+BMILMS!$E$7*AG211^2+BMILMS!$F$7*AG211+BMILMS!$G$7)),IF(AG211&lt;69,BMILMS!$D$9*AG211^3+BMILMS!$E$9*AG211^2+BMILMS!$F$9*AG211+BMILMS!$G$9,IF(AG211&lt;150,BMILMS!$D$10*AG211^3+BMILMS!$E$10*AG211^2+BMILMS!$F$10*AG211+BMILMS!$G$10,BMILMS!$D$11*AG211^3+BMILMS!$E$11*AG211^2+BMILMS!$F$11*AG211+BMILMS!$G$11)))</f>
        <v>0.79584630099999998</v>
      </c>
      <c r="AE211" s="24">
        <f>IF(D211="M",(IF(AG211&lt;2.5,BMILMS!$D$21*AG211^3+BMILMS!$E$21*AG211^2+BMILMS!$F$21*AG211+BMILMS!$G$21,IF(AG211&lt;9.5,BMILMS!$D$22*AG211^3+BMILMS!$E$22*AG211^2+BMILMS!$F$22*AG211+BMILMS!$G$22,IF(AG211&lt;26.75,BMILMS!$D$23*AG211^3+BMILMS!$E$23*AG211^2+BMILMS!$F$23*AG211+BMILMS!$G$23,IF(AG211&lt;90,BMILMS!$D$24*AG211^3+BMILMS!$E$24*AG211^2+BMILMS!$F$24*AG211+BMILMS!$G$24,BMILMS!$D$25*AG211^3+BMILMS!$E$25*AG211^2+BMILMS!$F$25*AG211+BMILMS!$G$25))))),(IF(AG211&lt;2.5,BMILMS!$D$27*AG211^3+BMILMS!$E$27*AG211^2+BMILMS!$F$27*AG211+BMILMS!$G$27,IF(AG211&lt;9.5,BMILMS!$D$28*AG211^3+BMILMS!$E$28*AG211^2+BMILMS!$F$28*AG211+BMILMS!$G$28,IF(AG211&lt;26.75,BMILMS!$D$29*AG211^3+BMILMS!$E$29*AG211^2+BMILMS!$F$29*AG211+BMILMS!$G$29,IF(AG211&lt;90,BMILMS!$D$30*AG211^3+BMILMS!$E$30*AG211^2+BMILMS!$F$30*AG211+BMILMS!$G$30,IF(AG211&lt;150,BMILMS!$D$31*AG211^3+BMILMS!$E$31*AG211^2+BMILMS!$F$31*AG211+BMILMS!$G$31,BMILMS!$D$32*AG211^3+BMILMS!$E$32*AG211^2+BMILMS!$F$32*AG211+BMILMS!$G$32)))))))</f>
        <v>12.568967990000001</v>
      </c>
      <c r="AF211" s="24">
        <f>IF(D211="M",(IF(AG211&lt;90,BMILMS!$D$14*AG211^3+BMILMS!$E$14*AG211^2+BMILMS!$F$14*AG211+BMILMS!$G$14,BMILMS!$D$15*AG211^3+BMILMS!$E$15*AG211^2+BMILMS!$F$15*AG211+BMILMS!$G$15)),(IF(AG211&lt;90,BMILMS!$D$17*AG211^3+BMILMS!$E$17*AG211^2+BMILMS!$F$17*AG211+BMILMS!$G$17,BMILMS!$D$18*AG211^3+BMILMS!$E$18*AG211^2+BMILMS!$F$18*AG211+BMILMS!$G$18)))</f>
        <v>8.8969350000000003E-2</v>
      </c>
      <c r="AG211" s="24">
        <f t="shared" si="64"/>
        <v>0</v>
      </c>
      <c r="AI211" s="38">
        <f>IF(D211="M",WeightSDS!P$5*$AG211^7+WeightSDS!Q$5*$AG211^6+WeightSDS!R$5*$AG211^5+WeightSDS!S$5*$AG211^4+WeightSDS!T$5*$AG211^3+WeightSDS!U$5*$AG211^2+WeightSDS!V$5*$AG211+WeightSDS!W$5,IF($AG211&lt;186,WeightSDS!P$8*$AG211^7+WeightSDS!Q$8*$AG211^6+WeightSDS!R$8*$AG211^5+WeightSDS!S$8*$AG211^4+WeightSDS!T$8*$AG211^3+WeightSDS!U$8*$AG211^2+WeightSDS!V$8*$AG211+WeightSDS!W$8,WeightSDS!$U$9-WeightSDS!$V$9*($AG211-WeightSDS!$W$9)))</f>
        <v>0.75407122999999998</v>
      </c>
      <c r="AJ211" s="24">
        <f>IF(D211="M",IF($AG211&lt;45,WeightSDS!M$23*$AG211^10+WeightSDS!N$23*$AG211^9+WeightSDS!O$23*$AG211^8+WeightSDS!P$23*$AG211^7+WeightSDS!Q$23*$AG211^6+WeightSDS!R$23*$AG211^5+WeightSDS!S$23*$AG211^4+WeightSDS!T$23*$AG211^3+WeightSDS!U$23*$AG211^2+WeightSDS!V$23*$AG211+WeightSDS!W$23,IF($AG211&lt;153,WeightSDS!M$25*$AG211^10+WeightSDS!N$25*$AG211^9+WeightSDS!O$25*$AG211^8+WeightSDS!P$25*$AG211^7+WeightSDS!Q$25*$AG211^6+WeightSDS!R$25*$AG211^5+WeightSDS!S$25*$AG211^4+WeightSDS!T$25*$AG211^3+WeightSDS!U$25*$AG211^2+WeightSDS!V$25*$AG211+WeightSDS!W$25,WeightSDS!M$27+WeightSDS!N$27/(1+EXP(WeightSDS!O$27+WeightSDS!P$27*$AG211)))),IF($AG211&lt;43.8,WeightSDS!M$29*$AG211^10+WeightSDS!N$29*$AG211^9+WeightSDS!O$29*$AG211^8+WeightSDS!P$29*$AG211^7+WeightSDS!Q$29*$AG211^6+WeightSDS!R$29*$AG211^5+WeightSDS!S$29*$AG211^4+WeightSDS!T$29*$AG211^3+WeightSDS!U$29*$AG211^2+WeightSDS!V$29*$AG211+WeightSDS!W$29-0.010431*(1-$AG211/210),IF($AG211&lt;123,WeightSDS!M$30*$AG211^10+WeightSDS!N$30*$AG211^9+WeightSDS!O$30*$AG211^8+WeightSDS!P$30*$AG211^7+WeightSDS!Q$30*$AG211^6+WeightSDS!R$30*$AG211^5+WeightSDS!S$30*$AG211^4+WeightSDS!T$30*$AG211^3+WeightSDS!U$30*$AG211^2+WeightSDS!V$30*$AG211+WeightSDS!W$30-0.010431*(1-1/$AG211),WeightSDS!M$32+WeightSDS!N$32/(1+EXP(WeightSDS!O$32+WeightSDS!P$32*$AG211))-0.010431*(1-$AG211/210))))</f>
        <v>2.9500001032655536</v>
      </c>
      <c r="AK211" s="24">
        <f>IF(D211="M",IF($AG211&lt;162,WeightSDS!P$12*$AG211^7+WeightSDS!Q$12*$AG211^6+WeightSDS!R$12*$AG211^5+WeightSDS!S$12*$AG211^4+WeightSDS!T$12*$AG211^3+WeightSDS!U$12*$AG211^2+WeightSDS!V$12*$AG211+WeightSDS!W$12,WeightSDS!P$14*$AG211^7+WeightSDS!Q$14*$AG211^6+WeightSDS!R$14*$AG211^5+WeightSDS!S$14*$AG211^4+WeightSDS!T$14*$AG211^3+WeightSDS!U$14*$AG211^2+WeightSDS!V$14*$AG211+WeightSDS!W$14),IF($AG211&lt;156,WeightSDS!O$17*$AG211^8+WeightSDS!P$17*$AG211^7+WeightSDS!Q$17*$AG211^6+WeightSDS!R$17*$AG211^5+WeightSDS!S$17*$AG211^4+WeightSDS!T$17*$AG211^3+WeightSDS!U$17*$AG211^2+WeightSDS!V$17*$AG211+WeightSDS!W$17,IF($AG211&lt;186,WeightSDS!$U$18+(WeightSDS!$V$18-WeightSDS!$U$18)/24*($AG211-186)+WeightSDS!$W$18*(-$AG211+186)^2-0.005,WeightSDS!$U$18+(WeightSDS!$V$18-WeightSDS!$U$18)/24*($AG211-186)-0.005)))</f>
        <v>0.14604529399999999</v>
      </c>
    </row>
    <row r="212" spans="1:37">
      <c r="A212" s="4"/>
      <c r="B212" s="21"/>
      <c r="C212" s="21"/>
      <c r="D212" s="21"/>
      <c r="E212" s="22"/>
      <c r="F212" s="22"/>
      <c r="G212" s="23"/>
      <c r="H212" s="23"/>
      <c r="I212" s="8" t="str">
        <f t="shared" si="50"/>
        <v/>
      </c>
      <c r="J212" s="2" t="str">
        <f t="shared" si="57"/>
        <v/>
      </c>
      <c r="K212" s="2" t="str">
        <f t="shared" si="51"/>
        <v/>
      </c>
      <c r="L212" s="2" t="str">
        <f t="shared" si="58"/>
        <v/>
      </c>
      <c r="M212" s="2" t="str">
        <f t="shared" si="63"/>
        <v/>
      </c>
      <c r="N212" s="2" t="str">
        <f t="shared" si="59"/>
        <v/>
      </c>
      <c r="O212" s="8" t="str">
        <f t="shared" si="60"/>
        <v/>
      </c>
      <c r="P212" s="8" t="str">
        <f t="shared" si="61"/>
        <v/>
      </c>
      <c r="Q212" s="40" t="str">
        <f t="shared" si="52"/>
        <v/>
      </c>
      <c r="R212" s="48" t="str">
        <f t="shared" si="62"/>
        <v/>
      </c>
      <c r="S212" s="8"/>
      <c r="U212" s="35">
        <f t="shared" si="53"/>
        <v>0</v>
      </c>
      <c r="V212" s="24">
        <f t="shared" si="54"/>
        <v>0</v>
      </c>
      <c r="W212" s="41">
        <f t="shared" si="49"/>
        <v>0</v>
      </c>
      <c r="X212" s="31"/>
      <c r="Y212" s="31"/>
      <c r="Z212" s="31"/>
      <c r="AA212" s="25">
        <f t="shared" si="55"/>
        <v>9.0359999999999996</v>
      </c>
      <c r="AB212" s="25">
        <f t="shared" si="56"/>
        <v>-184.49199999999999</v>
      </c>
      <c r="AD212" s="24">
        <f>IF(D212="M",IF(AG212&lt;78,BMILMS!$D$5*AG212^3+BMILMS!$E$5*AG212^2+BMILMS!$F$5*AG212+BMILMS!$G$5,IF(AG212&lt;150,BMILMS!$D$6*AG212^3+BMILMS!$E$6*AG212^2+BMILMS!$F$6*AG212+BMILMS!$G$6,BMILMS!$D$7*AG212^3+BMILMS!$E$7*AG212^2+BMILMS!$F$7*AG212+BMILMS!$G$7)),IF(AG212&lt;69,BMILMS!$D$9*AG212^3+BMILMS!$E$9*AG212^2+BMILMS!$F$9*AG212+BMILMS!$G$9,IF(AG212&lt;150,BMILMS!$D$10*AG212^3+BMILMS!$E$10*AG212^2+BMILMS!$F$10*AG212+BMILMS!$G$10,BMILMS!$D$11*AG212^3+BMILMS!$E$11*AG212^2+BMILMS!$F$11*AG212+BMILMS!$G$11)))</f>
        <v>0.79584630099999998</v>
      </c>
      <c r="AE212" s="24">
        <f>IF(D212="M",(IF(AG212&lt;2.5,BMILMS!$D$21*AG212^3+BMILMS!$E$21*AG212^2+BMILMS!$F$21*AG212+BMILMS!$G$21,IF(AG212&lt;9.5,BMILMS!$D$22*AG212^3+BMILMS!$E$22*AG212^2+BMILMS!$F$22*AG212+BMILMS!$G$22,IF(AG212&lt;26.75,BMILMS!$D$23*AG212^3+BMILMS!$E$23*AG212^2+BMILMS!$F$23*AG212+BMILMS!$G$23,IF(AG212&lt;90,BMILMS!$D$24*AG212^3+BMILMS!$E$24*AG212^2+BMILMS!$F$24*AG212+BMILMS!$G$24,BMILMS!$D$25*AG212^3+BMILMS!$E$25*AG212^2+BMILMS!$F$25*AG212+BMILMS!$G$25))))),(IF(AG212&lt;2.5,BMILMS!$D$27*AG212^3+BMILMS!$E$27*AG212^2+BMILMS!$F$27*AG212+BMILMS!$G$27,IF(AG212&lt;9.5,BMILMS!$D$28*AG212^3+BMILMS!$E$28*AG212^2+BMILMS!$F$28*AG212+BMILMS!$G$28,IF(AG212&lt;26.75,BMILMS!$D$29*AG212^3+BMILMS!$E$29*AG212^2+BMILMS!$F$29*AG212+BMILMS!$G$29,IF(AG212&lt;90,BMILMS!$D$30*AG212^3+BMILMS!$E$30*AG212^2+BMILMS!$F$30*AG212+BMILMS!$G$30,IF(AG212&lt;150,BMILMS!$D$31*AG212^3+BMILMS!$E$31*AG212^2+BMILMS!$F$31*AG212+BMILMS!$G$31,BMILMS!$D$32*AG212^3+BMILMS!$E$32*AG212^2+BMILMS!$F$32*AG212+BMILMS!$G$32)))))))</f>
        <v>12.568967990000001</v>
      </c>
      <c r="AF212" s="24">
        <f>IF(D212="M",(IF(AG212&lt;90,BMILMS!$D$14*AG212^3+BMILMS!$E$14*AG212^2+BMILMS!$F$14*AG212+BMILMS!$G$14,BMILMS!$D$15*AG212^3+BMILMS!$E$15*AG212^2+BMILMS!$F$15*AG212+BMILMS!$G$15)),(IF(AG212&lt;90,BMILMS!$D$17*AG212^3+BMILMS!$E$17*AG212^2+BMILMS!$F$17*AG212+BMILMS!$G$17,BMILMS!$D$18*AG212^3+BMILMS!$E$18*AG212^2+BMILMS!$F$18*AG212+BMILMS!$G$18)))</f>
        <v>8.8969350000000003E-2</v>
      </c>
      <c r="AG212" s="24">
        <f t="shared" si="64"/>
        <v>0</v>
      </c>
      <c r="AI212" s="38">
        <f>IF(D212="M",WeightSDS!P$5*$AG212^7+WeightSDS!Q$5*$AG212^6+WeightSDS!R$5*$AG212^5+WeightSDS!S$5*$AG212^4+WeightSDS!T$5*$AG212^3+WeightSDS!U$5*$AG212^2+WeightSDS!V$5*$AG212+WeightSDS!W$5,IF($AG212&lt;186,WeightSDS!P$8*$AG212^7+WeightSDS!Q$8*$AG212^6+WeightSDS!R$8*$AG212^5+WeightSDS!S$8*$AG212^4+WeightSDS!T$8*$AG212^3+WeightSDS!U$8*$AG212^2+WeightSDS!V$8*$AG212+WeightSDS!W$8,WeightSDS!$U$9-WeightSDS!$V$9*($AG212-WeightSDS!$W$9)))</f>
        <v>0.75407122999999998</v>
      </c>
      <c r="AJ212" s="24">
        <f>IF(D212="M",IF($AG212&lt;45,WeightSDS!M$23*$AG212^10+WeightSDS!N$23*$AG212^9+WeightSDS!O$23*$AG212^8+WeightSDS!P$23*$AG212^7+WeightSDS!Q$23*$AG212^6+WeightSDS!R$23*$AG212^5+WeightSDS!S$23*$AG212^4+WeightSDS!T$23*$AG212^3+WeightSDS!U$23*$AG212^2+WeightSDS!V$23*$AG212+WeightSDS!W$23,IF($AG212&lt;153,WeightSDS!M$25*$AG212^10+WeightSDS!N$25*$AG212^9+WeightSDS!O$25*$AG212^8+WeightSDS!P$25*$AG212^7+WeightSDS!Q$25*$AG212^6+WeightSDS!R$25*$AG212^5+WeightSDS!S$25*$AG212^4+WeightSDS!T$25*$AG212^3+WeightSDS!U$25*$AG212^2+WeightSDS!V$25*$AG212+WeightSDS!W$25,WeightSDS!M$27+WeightSDS!N$27/(1+EXP(WeightSDS!O$27+WeightSDS!P$27*$AG212)))),IF($AG212&lt;43.8,WeightSDS!M$29*$AG212^10+WeightSDS!N$29*$AG212^9+WeightSDS!O$29*$AG212^8+WeightSDS!P$29*$AG212^7+WeightSDS!Q$29*$AG212^6+WeightSDS!R$29*$AG212^5+WeightSDS!S$29*$AG212^4+WeightSDS!T$29*$AG212^3+WeightSDS!U$29*$AG212^2+WeightSDS!V$29*$AG212+WeightSDS!W$29-0.010431*(1-$AG212/210),IF($AG212&lt;123,WeightSDS!M$30*$AG212^10+WeightSDS!N$30*$AG212^9+WeightSDS!O$30*$AG212^8+WeightSDS!P$30*$AG212^7+WeightSDS!Q$30*$AG212^6+WeightSDS!R$30*$AG212^5+WeightSDS!S$30*$AG212^4+WeightSDS!T$30*$AG212^3+WeightSDS!U$30*$AG212^2+WeightSDS!V$30*$AG212+WeightSDS!W$30-0.010431*(1-1/$AG212),WeightSDS!M$32+WeightSDS!N$32/(1+EXP(WeightSDS!O$32+WeightSDS!P$32*$AG212))-0.010431*(1-$AG212/210))))</f>
        <v>2.9500001032655536</v>
      </c>
      <c r="AK212" s="24">
        <f>IF(D212="M",IF($AG212&lt;162,WeightSDS!P$12*$AG212^7+WeightSDS!Q$12*$AG212^6+WeightSDS!R$12*$AG212^5+WeightSDS!S$12*$AG212^4+WeightSDS!T$12*$AG212^3+WeightSDS!U$12*$AG212^2+WeightSDS!V$12*$AG212+WeightSDS!W$12,WeightSDS!P$14*$AG212^7+WeightSDS!Q$14*$AG212^6+WeightSDS!R$14*$AG212^5+WeightSDS!S$14*$AG212^4+WeightSDS!T$14*$AG212^3+WeightSDS!U$14*$AG212^2+WeightSDS!V$14*$AG212+WeightSDS!W$14),IF($AG212&lt;156,WeightSDS!O$17*$AG212^8+WeightSDS!P$17*$AG212^7+WeightSDS!Q$17*$AG212^6+WeightSDS!R$17*$AG212^5+WeightSDS!S$17*$AG212^4+WeightSDS!T$17*$AG212^3+WeightSDS!U$17*$AG212^2+WeightSDS!V$17*$AG212+WeightSDS!W$17,IF($AG212&lt;186,WeightSDS!$U$18+(WeightSDS!$V$18-WeightSDS!$U$18)/24*($AG212-186)+WeightSDS!$W$18*(-$AG212+186)^2-0.005,WeightSDS!$U$18+(WeightSDS!$V$18-WeightSDS!$U$18)/24*($AG212-186)-0.005)))</f>
        <v>0.14604529399999999</v>
      </c>
    </row>
    <row r="213" spans="1:37">
      <c r="A213" s="4"/>
      <c r="B213" s="21"/>
      <c r="C213" s="21"/>
      <c r="D213" s="21"/>
      <c r="E213" s="22"/>
      <c r="F213" s="22"/>
      <c r="G213" s="23"/>
      <c r="H213" s="23"/>
      <c r="I213" s="8" t="str">
        <f t="shared" si="50"/>
        <v/>
      </c>
      <c r="J213" s="2" t="str">
        <f t="shared" si="57"/>
        <v/>
      </c>
      <c r="K213" s="2" t="str">
        <f t="shared" si="51"/>
        <v/>
      </c>
      <c r="L213" s="2" t="str">
        <f t="shared" si="58"/>
        <v/>
      </c>
      <c r="M213" s="2" t="str">
        <f t="shared" si="63"/>
        <v/>
      </c>
      <c r="N213" s="2" t="str">
        <f t="shared" si="59"/>
        <v/>
      </c>
      <c r="O213" s="8" t="str">
        <f t="shared" si="60"/>
        <v/>
      </c>
      <c r="P213" s="8" t="str">
        <f t="shared" si="61"/>
        <v/>
      </c>
      <c r="Q213" s="40" t="str">
        <f t="shared" si="52"/>
        <v/>
      </c>
      <c r="R213" s="48" t="str">
        <f t="shared" si="62"/>
        <v/>
      </c>
      <c r="S213" s="8"/>
      <c r="U213" s="35">
        <f t="shared" si="53"/>
        <v>0</v>
      </c>
      <c r="V213" s="24">
        <f t="shared" si="54"/>
        <v>0</v>
      </c>
      <c r="W213" s="41">
        <f t="shared" si="49"/>
        <v>0</v>
      </c>
      <c r="X213" s="31"/>
      <c r="Y213" s="31"/>
      <c r="Z213" s="31"/>
      <c r="AA213" s="25">
        <f t="shared" si="55"/>
        <v>9.0359999999999996</v>
      </c>
      <c r="AB213" s="25">
        <f t="shared" si="56"/>
        <v>-184.49199999999999</v>
      </c>
      <c r="AD213" s="24">
        <f>IF(D213="M",IF(AG213&lt;78,BMILMS!$D$5*AG213^3+BMILMS!$E$5*AG213^2+BMILMS!$F$5*AG213+BMILMS!$G$5,IF(AG213&lt;150,BMILMS!$D$6*AG213^3+BMILMS!$E$6*AG213^2+BMILMS!$F$6*AG213+BMILMS!$G$6,BMILMS!$D$7*AG213^3+BMILMS!$E$7*AG213^2+BMILMS!$F$7*AG213+BMILMS!$G$7)),IF(AG213&lt;69,BMILMS!$D$9*AG213^3+BMILMS!$E$9*AG213^2+BMILMS!$F$9*AG213+BMILMS!$G$9,IF(AG213&lt;150,BMILMS!$D$10*AG213^3+BMILMS!$E$10*AG213^2+BMILMS!$F$10*AG213+BMILMS!$G$10,BMILMS!$D$11*AG213^3+BMILMS!$E$11*AG213^2+BMILMS!$F$11*AG213+BMILMS!$G$11)))</f>
        <v>0.79584630099999998</v>
      </c>
      <c r="AE213" s="24">
        <f>IF(D213="M",(IF(AG213&lt;2.5,BMILMS!$D$21*AG213^3+BMILMS!$E$21*AG213^2+BMILMS!$F$21*AG213+BMILMS!$G$21,IF(AG213&lt;9.5,BMILMS!$D$22*AG213^3+BMILMS!$E$22*AG213^2+BMILMS!$F$22*AG213+BMILMS!$G$22,IF(AG213&lt;26.75,BMILMS!$D$23*AG213^3+BMILMS!$E$23*AG213^2+BMILMS!$F$23*AG213+BMILMS!$G$23,IF(AG213&lt;90,BMILMS!$D$24*AG213^3+BMILMS!$E$24*AG213^2+BMILMS!$F$24*AG213+BMILMS!$G$24,BMILMS!$D$25*AG213^3+BMILMS!$E$25*AG213^2+BMILMS!$F$25*AG213+BMILMS!$G$25))))),(IF(AG213&lt;2.5,BMILMS!$D$27*AG213^3+BMILMS!$E$27*AG213^2+BMILMS!$F$27*AG213+BMILMS!$G$27,IF(AG213&lt;9.5,BMILMS!$D$28*AG213^3+BMILMS!$E$28*AG213^2+BMILMS!$F$28*AG213+BMILMS!$G$28,IF(AG213&lt;26.75,BMILMS!$D$29*AG213^3+BMILMS!$E$29*AG213^2+BMILMS!$F$29*AG213+BMILMS!$G$29,IF(AG213&lt;90,BMILMS!$D$30*AG213^3+BMILMS!$E$30*AG213^2+BMILMS!$F$30*AG213+BMILMS!$G$30,IF(AG213&lt;150,BMILMS!$D$31*AG213^3+BMILMS!$E$31*AG213^2+BMILMS!$F$31*AG213+BMILMS!$G$31,BMILMS!$D$32*AG213^3+BMILMS!$E$32*AG213^2+BMILMS!$F$32*AG213+BMILMS!$G$32)))))))</f>
        <v>12.568967990000001</v>
      </c>
      <c r="AF213" s="24">
        <f>IF(D213="M",(IF(AG213&lt;90,BMILMS!$D$14*AG213^3+BMILMS!$E$14*AG213^2+BMILMS!$F$14*AG213+BMILMS!$G$14,BMILMS!$D$15*AG213^3+BMILMS!$E$15*AG213^2+BMILMS!$F$15*AG213+BMILMS!$G$15)),(IF(AG213&lt;90,BMILMS!$D$17*AG213^3+BMILMS!$E$17*AG213^2+BMILMS!$F$17*AG213+BMILMS!$G$17,BMILMS!$D$18*AG213^3+BMILMS!$E$18*AG213^2+BMILMS!$F$18*AG213+BMILMS!$G$18)))</f>
        <v>8.8969350000000003E-2</v>
      </c>
      <c r="AG213" s="24">
        <f t="shared" si="64"/>
        <v>0</v>
      </c>
      <c r="AI213" s="38">
        <f>IF(D213="M",WeightSDS!P$5*$AG213^7+WeightSDS!Q$5*$AG213^6+WeightSDS!R$5*$AG213^5+WeightSDS!S$5*$AG213^4+WeightSDS!T$5*$AG213^3+WeightSDS!U$5*$AG213^2+WeightSDS!V$5*$AG213+WeightSDS!W$5,IF($AG213&lt;186,WeightSDS!P$8*$AG213^7+WeightSDS!Q$8*$AG213^6+WeightSDS!R$8*$AG213^5+WeightSDS!S$8*$AG213^4+WeightSDS!T$8*$AG213^3+WeightSDS!U$8*$AG213^2+WeightSDS!V$8*$AG213+WeightSDS!W$8,WeightSDS!$U$9-WeightSDS!$V$9*($AG213-WeightSDS!$W$9)))</f>
        <v>0.75407122999999998</v>
      </c>
      <c r="AJ213" s="24">
        <f>IF(D213="M",IF($AG213&lt;45,WeightSDS!M$23*$AG213^10+WeightSDS!N$23*$AG213^9+WeightSDS!O$23*$AG213^8+WeightSDS!P$23*$AG213^7+WeightSDS!Q$23*$AG213^6+WeightSDS!R$23*$AG213^5+WeightSDS!S$23*$AG213^4+WeightSDS!T$23*$AG213^3+WeightSDS!U$23*$AG213^2+WeightSDS!V$23*$AG213+WeightSDS!W$23,IF($AG213&lt;153,WeightSDS!M$25*$AG213^10+WeightSDS!N$25*$AG213^9+WeightSDS!O$25*$AG213^8+WeightSDS!P$25*$AG213^7+WeightSDS!Q$25*$AG213^6+WeightSDS!R$25*$AG213^5+WeightSDS!S$25*$AG213^4+WeightSDS!T$25*$AG213^3+WeightSDS!U$25*$AG213^2+WeightSDS!V$25*$AG213+WeightSDS!W$25,WeightSDS!M$27+WeightSDS!N$27/(1+EXP(WeightSDS!O$27+WeightSDS!P$27*$AG213)))),IF($AG213&lt;43.8,WeightSDS!M$29*$AG213^10+WeightSDS!N$29*$AG213^9+WeightSDS!O$29*$AG213^8+WeightSDS!P$29*$AG213^7+WeightSDS!Q$29*$AG213^6+WeightSDS!R$29*$AG213^5+WeightSDS!S$29*$AG213^4+WeightSDS!T$29*$AG213^3+WeightSDS!U$29*$AG213^2+WeightSDS!V$29*$AG213+WeightSDS!W$29-0.010431*(1-$AG213/210),IF($AG213&lt;123,WeightSDS!M$30*$AG213^10+WeightSDS!N$30*$AG213^9+WeightSDS!O$30*$AG213^8+WeightSDS!P$30*$AG213^7+WeightSDS!Q$30*$AG213^6+WeightSDS!R$30*$AG213^5+WeightSDS!S$30*$AG213^4+WeightSDS!T$30*$AG213^3+WeightSDS!U$30*$AG213^2+WeightSDS!V$30*$AG213+WeightSDS!W$30-0.010431*(1-1/$AG213),WeightSDS!M$32+WeightSDS!N$32/(1+EXP(WeightSDS!O$32+WeightSDS!P$32*$AG213))-0.010431*(1-$AG213/210))))</f>
        <v>2.9500001032655536</v>
      </c>
      <c r="AK213" s="24">
        <f>IF(D213="M",IF($AG213&lt;162,WeightSDS!P$12*$AG213^7+WeightSDS!Q$12*$AG213^6+WeightSDS!R$12*$AG213^5+WeightSDS!S$12*$AG213^4+WeightSDS!T$12*$AG213^3+WeightSDS!U$12*$AG213^2+WeightSDS!V$12*$AG213+WeightSDS!W$12,WeightSDS!P$14*$AG213^7+WeightSDS!Q$14*$AG213^6+WeightSDS!R$14*$AG213^5+WeightSDS!S$14*$AG213^4+WeightSDS!T$14*$AG213^3+WeightSDS!U$14*$AG213^2+WeightSDS!V$14*$AG213+WeightSDS!W$14),IF($AG213&lt;156,WeightSDS!O$17*$AG213^8+WeightSDS!P$17*$AG213^7+WeightSDS!Q$17*$AG213^6+WeightSDS!R$17*$AG213^5+WeightSDS!S$17*$AG213^4+WeightSDS!T$17*$AG213^3+WeightSDS!U$17*$AG213^2+WeightSDS!V$17*$AG213+WeightSDS!W$17,IF($AG213&lt;186,WeightSDS!$U$18+(WeightSDS!$V$18-WeightSDS!$U$18)/24*($AG213-186)+WeightSDS!$W$18*(-$AG213+186)^2-0.005,WeightSDS!$U$18+(WeightSDS!$V$18-WeightSDS!$U$18)/24*($AG213-186)-0.005)))</f>
        <v>0.14604529399999999</v>
      </c>
    </row>
    <row r="214" spans="1:37">
      <c r="A214" s="4"/>
      <c r="B214" s="21"/>
      <c r="C214" s="21"/>
      <c r="D214" s="21"/>
      <c r="E214" s="22"/>
      <c r="F214" s="22"/>
      <c r="G214" s="23"/>
      <c r="H214" s="23"/>
      <c r="I214" s="8" t="str">
        <f t="shared" si="50"/>
        <v/>
      </c>
      <c r="J214" s="2" t="str">
        <f t="shared" si="57"/>
        <v/>
      </c>
      <c r="K214" s="2" t="str">
        <f t="shared" si="51"/>
        <v/>
      </c>
      <c r="L214" s="2" t="str">
        <f t="shared" si="58"/>
        <v/>
      </c>
      <c r="M214" s="2" t="str">
        <f t="shared" si="63"/>
        <v/>
      </c>
      <c r="N214" s="2" t="str">
        <f t="shared" si="59"/>
        <v/>
      </c>
      <c r="O214" s="8" t="str">
        <f t="shared" si="60"/>
        <v/>
      </c>
      <c r="P214" s="8" t="str">
        <f t="shared" si="61"/>
        <v/>
      </c>
      <c r="Q214" s="40" t="str">
        <f t="shared" si="52"/>
        <v/>
      </c>
      <c r="R214" s="48" t="str">
        <f t="shared" si="62"/>
        <v/>
      </c>
      <c r="S214" s="8"/>
      <c r="U214" s="35">
        <f t="shared" si="53"/>
        <v>0</v>
      </c>
      <c r="V214" s="24">
        <f t="shared" si="54"/>
        <v>0</v>
      </c>
      <c r="W214" s="41">
        <f t="shared" si="49"/>
        <v>0</v>
      </c>
      <c r="X214" s="31"/>
      <c r="Y214" s="31"/>
      <c r="Z214" s="31"/>
      <c r="AA214" s="25">
        <f t="shared" si="55"/>
        <v>9.0359999999999996</v>
      </c>
      <c r="AB214" s="25">
        <f t="shared" si="56"/>
        <v>-184.49199999999999</v>
      </c>
      <c r="AD214" s="24">
        <f>IF(D214="M",IF(AG214&lt;78,BMILMS!$D$5*AG214^3+BMILMS!$E$5*AG214^2+BMILMS!$F$5*AG214+BMILMS!$G$5,IF(AG214&lt;150,BMILMS!$D$6*AG214^3+BMILMS!$E$6*AG214^2+BMILMS!$F$6*AG214+BMILMS!$G$6,BMILMS!$D$7*AG214^3+BMILMS!$E$7*AG214^2+BMILMS!$F$7*AG214+BMILMS!$G$7)),IF(AG214&lt;69,BMILMS!$D$9*AG214^3+BMILMS!$E$9*AG214^2+BMILMS!$F$9*AG214+BMILMS!$G$9,IF(AG214&lt;150,BMILMS!$D$10*AG214^3+BMILMS!$E$10*AG214^2+BMILMS!$F$10*AG214+BMILMS!$G$10,BMILMS!$D$11*AG214^3+BMILMS!$E$11*AG214^2+BMILMS!$F$11*AG214+BMILMS!$G$11)))</f>
        <v>0.79584630099999998</v>
      </c>
      <c r="AE214" s="24">
        <f>IF(D214="M",(IF(AG214&lt;2.5,BMILMS!$D$21*AG214^3+BMILMS!$E$21*AG214^2+BMILMS!$F$21*AG214+BMILMS!$G$21,IF(AG214&lt;9.5,BMILMS!$D$22*AG214^3+BMILMS!$E$22*AG214^2+BMILMS!$F$22*AG214+BMILMS!$G$22,IF(AG214&lt;26.75,BMILMS!$D$23*AG214^3+BMILMS!$E$23*AG214^2+BMILMS!$F$23*AG214+BMILMS!$G$23,IF(AG214&lt;90,BMILMS!$D$24*AG214^3+BMILMS!$E$24*AG214^2+BMILMS!$F$24*AG214+BMILMS!$G$24,BMILMS!$D$25*AG214^3+BMILMS!$E$25*AG214^2+BMILMS!$F$25*AG214+BMILMS!$G$25))))),(IF(AG214&lt;2.5,BMILMS!$D$27*AG214^3+BMILMS!$E$27*AG214^2+BMILMS!$F$27*AG214+BMILMS!$G$27,IF(AG214&lt;9.5,BMILMS!$D$28*AG214^3+BMILMS!$E$28*AG214^2+BMILMS!$F$28*AG214+BMILMS!$G$28,IF(AG214&lt;26.75,BMILMS!$D$29*AG214^3+BMILMS!$E$29*AG214^2+BMILMS!$F$29*AG214+BMILMS!$G$29,IF(AG214&lt;90,BMILMS!$D$30*AG214^3+BMILMS!$E$30*AG214^2+BMILMS!$F$30*AG214+BMILMS!$G$30,IF(AG214&lt;150,BMILMS!$D$31*AG214^3+BMILMS!$E$31*AG214^2+BMILMS!$F$31*AG214+BMILMS!$G$31,BMILMS!$D$32*AG214^3+BMILMS!$E$32*AG214^2+BMILMS!$F$32*AG214+BMILMS!$G$32)))))))</f>
        <v>12.568967990000001</v>
      </c>
      <c r="AF214" s="24">
        <f>IF(D214="M",(IF(AG214&lt;90,BMILMS!$D$14*AG214^3+BMILMS!$E$14*AG214^2+BMILMS!$F$14*AG214+BMILMS!$G$14,BMILMS!$D$15*AG214^3+BMILMS!$E$15*AG214^2+BMILMS!$F$15*AG214+BMILMS!$G$15)),(IF(AG214&lt;90,BMILMS!$D$17*AG214^3+BMILMS!$E$17*AG214^2+BMILMS!$F$17*AG214+BMILMS!$G$17,BMILMS!$D$18*AG214^3+BMILMS!$E$18*AG214^2+BMILMS!$F$18*AG214+BMILMS!$G$18)))</f>
        <v>8.8969350000000003E-2</v>
      </c>
      <c r="AG214" s="24">
        <f t="shared" si="64"/>
        <v>0</v>
      </c>
      <c r="AI214" s="38">
        <f>IF(D214="M",WeightSDS!P$5*$AG214^7+WeightSDS!Q$5*$AG214^6+WeightSDS!R$5*$AG214^5+WeightSDS!S$5*$AG214^4+WeightSDS!T$5*$AG214^3+WeightSDS!U$5*$AG214^2+WeightSDS!V$5*$AG214+WeightSDS!W$5,IF($AG214&lt;186,WeightSDS!P$8*$AG214^7+WeightSDS!Q$8*$AG214^6+WeightSDS!R$8*$AG214^5+WeightSDS!S$8*$AG214^4+WeightSDS!T$8*$AG214^3+WeightSDS!U$8*$AG214^2+WeightSDS!V$8*$AG214+WeightSDS!W$8,WeightSDS!$U$9-WeightSDS!$V$9*($AG214-WeightSDS!$W$9)))</f>
        <v>0.75407122999999998</v>
      </c>
      <c r="AJ214" s="24">
        <f>IF(D214="M",IF($AG214&lt;45,WeightSDS!M$23*$AG214^10+WeightSDS!N$23*$AG214^9+WeightSDS!O$23*$AG214^8+WeightSDS!P$23*$AG214^7+WeightSDS!Q$23*$AG214^6+WeightSDS!R$23*$AG214^5+WeightSDS!S$23*$AG214^4+WeightSDS!T$23*$AG214^3+WeightSDS!U$23*$AG214^2+WeightSDS!V$23*$AG214+WeightSDS!W$23,IF($AG214&lt;153,WeightSDS!M$25*$AG214^10+WeightSDS!N$25*$AG214^9+WeightSDS!O$25*$AG214^8+WeightSDS!P$25*$AG214^7+WeightSDS!Q$25*$AG214^6+WeightSDS!R$25*$AG214^5+WeightSDS!S$25*$AG214^4+WeightSDS!T$25*$AG214^3+WeightSDS!U$25*$AG214^2+WeightSDS!V$25*$AG214+WeightSDS!W$25,WeightSDS!M$27+WeightSDS!N$27/(1+EXP(WeightSDS!O$27+WeightSDS!P$27*$AG214)))),IF($AG214&lt;43.8,WeightSDS!M$29*$AG214^10+WeightSDS!N$29*$AG214^9+WeightSDS!O$29*$AG214^8+WeightSDS!P$29*$AG214^7+WeightSDS!Q$29*$AG214^6+WeightSDS!R$29*$AG214^5+WeightSDS!S$29*$AG214^4+WeightSDS!T$29*$AG214^3+WeightSDS!U$29*$AG214^2+WeightSDS!V$29*$AG214+WeightSDS!W$29-0.010431*(1-$AG214/210),IF($AG214&lt;123,WeightSDS!M$30*$AG214^10+WeightSDS!N$30*$AG214^9+WeightSDS!O$30*$AG214^8+WeightSDS!P$30*$AG214^7+WeightSDS!Q$30*$AG214^6+WeightSDS!R$30*$AG214^5+WeightSDS!S$30*$AG214^4+WeightSDS!T$30*$AG214^3+WeightSDS!U$30*$AG214^2+WeightSDS!V$30*$AG214+WeightSDS!W$30-0.010431*(1-1/$AG214),WeightSDS!M$32+WeightSDS!N$32/(1+EXP(WeightSDS!O$32+WeightSDS!P$32*$AG214))-0.010431*(1-$AG214/210))))</f>
        <v>2.9500001032655536</v>
      </c>
      <c r="AK214" s="24">
        <f>IF(D214="M",IF($AG214&lt;162,WeightSDS!P$12*$AG214^7+WeightSDS!Q$12*$AG214^6+WeightSDS!R$12*$AG214^5+WeightSDS!S$12*$AG214^4+WeightSDS!T$12*$AG214^3+WeightSDS!U$12*$AG214^2+WeightSDS!V$12*$AG214+WeightSDS!W$12,WeightSDS!P$14*$AG214^7+WeightSDS!Q$14*$AG214^6+WeightSDS!R$14*$AG214^5+WeightSDS!S$14*$AG214^4+WeightSDS!T$14*$AG214^3+WeightSDS!U$14*$AG214^2+WeightSDS!V$14*$AG214+WeightSDS!W$14),IF($AG214&lt;156,WeightSDS!O$17*$AG214^8+WeightSDS!P$17*$AG214^7+WeightSDS!Q$17*$AG214^6+WeightSDS!R$17*$AG214^5+WeightSDS!S$17*$AG214^4+WeightSDS!T$17*$AG214^3+WeightSDS!U$17*$AG214^2+WeightSDS!V$17*$AG214+WeightSDS!W$17,IF($AG214&lt;186,WeightSDS!$U$18+(WeightSDS!$V$18-WeightSDS!$U$18)/24*($AG214-186)+WeightSDS!$W$18*(-$AG214+186)^2-0.005,WeightSDS!$U$18+(WeightSDS!$V$18-WeightSDS!$U$18)/24*($AG214-186)-0.005)))</f>
        <v>0.14604529399999999</v>
      </c>
    </row>
    <row r="215" spans="1:37">
      <c r="A215" s="4"/>
      <c r="B215" s="21"/>
      <c r="C215" s="21"/>
      <c r="D215" s="21"/>
      <c r="E215" s="22"/>
      <c r="F215" s="22"/>
      <c r="G215" s="23"/>
      <c r="H215" s="23"/>
      <c r="I215" s="8" t="str">
        <f t="shared" si="50"/>
        <v/>
      </c>
      <c r="J215" s="2" t="str">
        <f t="shared" si="57"/>
        <v/>
      </c>
      <c r="K215" s="2" t="str">
        <f t="shared" si="51"/>
        <v/>
      </c>
      <c r="L215" s="2" t="str">
        <f t="shared" si="58"/>
        <v/>
      </c>
      <c r="M215" s="2" t="str">
        <f t="shared" si="63"/>
        <v/>
      </c>
      <c r="N215" s="2" t="str">
        <f t="shared" si="59"/>
        <v/>
      </c>
      <c r="O215" s="8" t="str">
        <f t="shared" si="60"/>
        <v/>
      </c>
      <c r="P215" s="8" t="str">
        <f t="shared" si="61"/>
        <v/>
      </c>
      <c r="Q215" s="40" t="str">
        <f t="shared" si="52"/>
        <v/>
      </c>
      <c r="R215" s="48" t="str">
        <f t="shared" si="62"/>
        <v/>
      </c>
      <c r="S215" s="8"/>
      <c r="U215" s="35">
        <f t="shared" si="53"/>
        <v>0</v>
      </c>
      <c r="V215" s="24">
        <f t="shared" si="54"/>
        <v>0</v>
      </c>
      <c r="W215" s="41">
        <f t="shared" si="49"/>
        <v>0</v>
      </c>
      <c r="X215" s="31"/>
      <c r="Y215" s="31"/>
      <c r="Z215" s="31"/>
      <c r="AA215" s="25">
        <f t="shared" si="55"/>
        <v>9.0359999999999996</v>
      </c>
      <c r="AB215" s="25">
        <f t="shared" si="56"/>
        <v>-184.49199999999999</v>
      </c>
      <c r="AD215" s="24">
        <f>IF(D215="M",IF(AG215&lt;78,BMILMS!$D$5*AG215^3+BMILMS!$E$5*AG215^2+BMILMS!$F$5*AG215+BMILMS!$G$5,IF(AG215&lt;150,BMILMS!$D$6*AG215^3+BMILMS!$E$6*AG215^2+BMILMS!$F$6*AG215+BMILMS!$G$6,BMILMS!$D$7*AG215^3+BMILMS!$E$7*AG215^2+BMILMS!$F$7*AG215+BMILMS!$G$7)),IF(AG215&lt;69,BMILMS!$D$9*AG215^3+BMILMS!$E$9*AG215^2+BMILMS!$F$9*AG215+BMILMS!$G$9,IF(AG215&lt;150,BMILMS!$D$10*AG215^3+BMILMS!$E$10*AG215^2+BMILMS!$F$10*AG215+BMILMS!$G$10,BMILMS!$D$11*AG215^3+BMILMS!$E$11*AG215^2+BMILMS!$F$11*AG215+BMILMS!$G$11)))</f>
        <v>0.79584630099999998</v>
      </c>
      <c r="AE215" s="24">
        <f>IF(D215="M",(IF(AG215&lt;2.5,BMILMS!$D$21*AG215^3+BMILMS!$E$21*AG215^2+BMILMS!$F$21*AG215+BMILMS!$G$21,IF(AG215&lt;9.5,BMILMS!$D$22*AG215^3+BMILMS!$E$22*AG215^2+BMILMS!$F$22*AG215+BMILMS!$G$22,IF(AG215&lt;26.75,BMILMS!$D$23*AG215^3+BMILMS!$E$23*AG215^2+BMILMS!$F$23*AG215+BMILMS!$G$23,IF(AG215&lt;90,BMILMS!$D$24*AG215^3+BMILMS!$E$24*AG215^2+BMILMS!$F$24*AG215+BMILMS!$G$24,BMILMS!$D$25*AG215^3+BMILMS!$E$25*AG215^2+BMILMS!$F$25*AG215+BMILMS!$G$25))))),(IF(AG215&lt;2.5,BMILMS!$D$27*AG215^3+BMILMS!$E$27*AG215^2+BMILMS!$F$27*AG215+BMILMS!$G$27,IF(AG215&lt;9.5,BMILMS!$D$28*AG215^3+BMILMS!$E$28*AG215^2+BMILMS!$F$28*AG215+BMILMS!$G$28,IF(AG215&lt;26.75,BMILMS!$D$29*AG215^3+BMILMS!$E$29*AG215^2+BMILMS!$F$29*AG215+BMILMS!$G$29,IF(AG215&lt;90,BMILMS!$D$30*AG215^3+BMILMS!$E$30*AG215^2+BMILMS!$F$30*AG215+BMILMS!$G$30,IF(AG215&lt;150,BMILMS!$D$31*AG215^3+BMILMS!$E$31*AG215^2+BMILMS!$F$31*AG215+BMILMS!$G$31,BMILMS!$D$32*AG215^3+BMILMS!$E$32*AG215^2+BMILMS!$F$32*AG215+BMILMS!$G$32)))))))</f>
        <v>12.568967990000001</v>
      </c>
      <c r="AF215" s="24">
        <f>IF(D215="M",(IF(AG215&lt;90,BMILMS!$D$14*AG215^3+BMILMS!$E$14*AG215^2+BMILMS!$F$14*AG215+BMILMS!$G$14,BMILMS!$D$15*AG215^3+BMILMS!$E$15*AG215^2+BMILMS!$F$15*AG215+BMILMS!$G$15)),(IF(AG215&lt;90,BMILMS!$D$17*AG215^3+BMILMS!$E$17*AG215^2+BMILMS!$F$17*AG215+BMILMS!$G$17,BMILMS!$D$18*AG215^3+BMILMS!$E$18*AG215^2+BMILMS!$F$18*AG215+BMILMS!$G$18)))</f>
        <v>8.8969350000000003E-2</v>
      </c>
      <c r="AG215" s="24">
        <f t="shared" si="64"/>
        <v>0</v>
      </c>
      <c r="AI215" s="38">
        <f>IF(D215="M",WeightSDS!P$5*$AG215^7+WeightSDS!Q$5*$AG215^6+WeightSDS!R$5*$AG215^5+WeightSDS!S$5*$AG215^4+WeightSDS!T$5*$AG215^3+WeightSDS!U$5*$AG215^2+WeightSDS!V$5*$AG215+WeightSDS!W$5,IF($AG215&lt;186,WeightSDS!P$8*$AG215^7+WeightSDS!Q$8*$AG215^6+WeightSDS!R$8*$AG215^5+WeightSDS!S$8*$AG215^4+WeightSDS!T$8*$AG215^3+WeightSDS!U$8*$AG215^2+WeightSDS!V$8*$AG215+WeightSDS!W$8,WeightSDS!$U$9-WeightSDS!$V$9*($AG215-WeightSDS!$W$9)))</f>
        <v>0.75407122999999998</v>
      </c>
      <c r="AJ215" s="24">
        <f>IF(D215="M",IF($AG215&lt;45,WeightSDS!M$23*$AG215^10+WeightSDS!N$23*$AG215^9+WeightSDS!O$23*$AG215^8+WeightSDS!P$23*$AG215^7+WeightSDS!Q$23*$AG215^6+WeightSDS!R$23*$AG215^5+WeightSDS!S$23*$AG215^4+WeightSDS!T$23*$AG215^3+WeightSDS!U$23*$AG215^2+WeightSDS!V$23*$AG215+WeightSDS!W$23,IF($AG215&lt;153,WeightSDS!M$25*$AG215^10+WeightSDS!N$25*$AG215^9+WeightSDS!O$25*$AG215^8+WeightSDS!P$25*$AG215^7+WeightSDS!Q$25*$AG215^6+WeightSDS!R$25*$AG215^5+WeightSDS!S$25*$AG215^4+WeightSDS!T$25*$AG215^3+WeightSDS!U$25*$AG215^2+WeightSDS!V$25*$AG215+WeightSDS!W$25,WeightSDS!M$27+WeightSDS!N$27/(1+EXP(WeightSDS!O$27+WeightSDS!P$27*$AG215)))),IF($AG215&lt;43.8,WeightSDS!M$29*$AG215^10+WeightSDS!N$29*$AG215^9+WeightSDS!O$29*$AG215^8+WeightSDS!P$29*$AG215^7+WeightSDS!Q$29*$AG215^6+WeightSDS!R$29*$AG215^5+WeightSDS!S$29*$AG215^4+WeightSDS!T$29*$AG215^3+WeightSDS!U$29*$AG215^2+WeightSDS!V$29*$AG215+WeightSDS!W$29-0.010431*(1-$AG215/210),IF($AG215&lt;123,WeightSDS!M$30*$AG215^10+WeightSDS!N$30*$AG215^9+WeightSDS!O$30*$AG215^8+WeightSDS!P$30*$AG215^7+WeightSDS!Q$30*$AG215^6+WeightSDS!R$30*$AG215^5+WeightSDS!S$30*$AG215^4+WeightSDS!T$30*$AG215^3+WeightSDS!U$30*$AG215^2+WeightSDS!V$30*$AG215+WeightSDS!W$30-0.010431*(1-1/$AG215),WeightSDS!M$32+WeightSDS!N$32/(1+EXP(WeightSDS!O$32+WeightSDS!P$32*$AG215))-0.010431*(1-$AG215/210))))</f>
        <v>2.9500001032655536</v>
      </c>
      <c r="AK215" s="24">
        <f>IF(D215="M",IF($AG215&lt;162,WeightSDS!P$12*$AG215^7+WeightSDS!Q$12*$AG215^6+WeightSDS!R$12*$AG215^5+WeightSDS!S$12*$AG215^4+WeightSDS!T$12*$AG215^3+WeightSDS!U$12*$AG215^2+WeightSDS!V$12*$AG215+WeightSDS!W$12,WeightSDS!P$14*$AG215^7+WeightSDS!Q$14*$AG215^6+WeightSDS!R$14*$AG215^5+WeightSDS!S$14*$AG215^4+WeightSDS!T$14*$AG215^3+WeightSDS!U$14*$AG215^2+WeightSDS!V$14*$AG215+WeightSDS!W$14),IF($AG215&lt;156,WeightSDS!O$17*$AG215^8+WeightSDS!P$17*$AG215^7+WeightSDS!Q$17*$AG215^6+WeightSDS!R$17*$AG215^5+WeightSDS!S$17*$AG215^4+WeightSDS!T$17*$AG215^3+WeightSDS!U$17*$AG215^2+WeightSDS!V$17*$AG215+WeightSDS!W$17,IF($AG215&lt;186,WeightSDS!$U$18+(WeightSDS!$V$18-WeightSDS!$U$18)/24*($AG215-186)+WeightSDS!$W$18*(-$AG215+186)^2-0.005,WeightSDS!$U$18+(WeightSDS!$V$18-WeightSDS!$U$18)/24*($AG215-186)-0.005)))</f>
        <v>0.14604529399999999</v>
      </c>
    </row>
    <row r="216" spans="1:37">
      <c r="A216" s="4"/>
      <c r="B216" s="21"/>
      <c r="C216" s="21"/>
      <c r="D216" s="21"/>
      <c r="E216" s="22"/>
      <c r="F216" s="22"/>
      <c r="G216" s="23"/>
      <c r="H216" s="23"/>
      <c r="I216" s="8" t="str">
        <f t="shared" si="50"/>
        <v/>
      </c>
      <c r="J216" s="2" t="str">
        <f t="shared" si="57"/>
        <v/>
      </c>
      <c r="K216" s="2" t="str">
        <f t="shared" si="51"/>
        <v/>
      </c>
      <c r="L216" s="2" t="str">
        <f t="shared" si="58"/>
        <v/>
      </c>
      <c r="M216" s="2" t="str">
        <f t="shared" si="63"/>
        <v/>
      </c>
      <c r="N216" s="2" t="str">
        <f t="shared" si="59"/>
        <v/>
      </c>
      <c r="O216" s="8" t="str">
        <f t="shared" si="60"/>
        <v/>
      </c>
      <c r="P216" s="8" t="str">
        <f t="shared" si="61"/>
        <v/>
      </c>
      <c r="Q216" s="40" t="str">
        <f t="shared" si="52"/>
        <v/>
      </c>
      <c r="R216" s="48" t="str">
        <f t="shared" si="62"/>
        <v/>
      </c>
      <c r="S216" s="8"/>
      <c r="U216" s="35">
        <f t="shared" si="53"/>
        <v>0</v>
      </c>
      <c r="V216" s="24">
        <f t="shared" si="54"/>
        <v>0</v>
      </c>
      <c r="W216" s="41">
        <f t="shared" si="49"/>
        <v>0</v>
      </c>
      <c r="X216" s="31"/>
      <c r="Y216" s="31"/>
      <c r="Z216" s="31"/>
      <c r="AA216" s="25">
        <f t="shared" si="55"/>
        <v>9.0359999999999996</v>
      </c>
      <c r="AB216" s="25">
        <f t="shared" si="56"/>
        <v>-184.49199999999999</v>
      </c>
      <c r="AD216" s="24">
        <f>IF(D216="M",IF(AG216&lt;78,BMILMS!$D$5*AG216^3+BMILMS!$E$5*AG216^2+BMILMS!$F$5*AG216+BMILMS!$G$5,IF(AG216&lt;150,BMILMS!$D$6*AG216^3+BMILMS!$E$6*AG216^2+BMILMS!$F$6*AG216+BMILMS!$G$6,BMILMS!$D$7*AG216^3+BMILMS!$E$7*AG216^2+BMILMS!$F$7*AG216+BMILMS!$G$7)),IF(AG216&lt;69,BMILMS!$D$9*AG216^3+BMILMS!$E$9*AG216^2+BMILMS!$F$9*AG216+BMILMS!$G$9,IF(AG216&lt;150,BMILMS!$D$10*AG216^3+BMILMS!$E$10*AG216^2+BMILMS!$F$10*AG216+BMILMS!$G$10,BMILMS!$D$11*AG216^3+BMILMS!$E$11*AG216^2+BMILMS!$F$11*AG216+BMILMS!$G$11)))</f>
        <v>0.79584630099999998</v>
      </c>
      <c r="AE216" s="24">
        <f>IF(D216="M",(IF(AG216&lt;2.5,BMILMS!$D$21*AG216^3+BMILMS!$E$21*AG216^2+BMILMS!$F$21*AG216+BMILMS!$G$21,IF(AG216&lt;9.5,BMILMS!$D$22*AG216^3+BMILMS!$E$22*AG216^2+BMILMS!$F$22*AG216+BMILMS!$G$22,IF(AG216&lt;26.75,BMILMS!$D$23*AG216^3+BMILMS!$E$23*AG216^2+BMILMS!$F$23*AG216+BMILMS!$G$23,IF(AG216&lt;90,BMILMS!$D$24*AG216^3+BMILMS!$E$24*AG216^2+BMILMS!$F$24*AG216+BMILMS!$G$24,BMILMS!$D$25*AG216^3+BMILMS!$E$25*AG216^2+BMILMS!$F$25*AG216+BMILMS!$G$25))))),(IF(AG216&lt;2.5,BMILMS!$D$27*AG216^3+BMILMS!$E$27*AG216^2+BMILMS!$F$27*AG216+BMILMS!$G$27,IF(AG216&lt;9.5,BMILMS!$D$28*AG216^3+BMILMS!$E$28*AG216^2+BMILMS!$F$28*AG216+BMILMS!$G$28,IF(AG216&lt;26.75,BMILMS!$D$29*AG216^3+BMILMS!$E$29*AG216^2+BMILMS!$F$29*AG216+BMILMS!$G$29,IF(AG216&lt;90,BMILMS!$D$30*AG216^3+BMILMS!$E$30*AG216^2+BMILMS!$F$30*AG216+BMILMS!$G$30,IF(AG216&lt;150,BMILMS!$D$31*AG216^3+BMILMS!$E$31*AG216^2+BMILMS!$F$31*AG216+BMILMS!$G$31,BMILMS!$D$32*AG216^3+BMILMS!$E$32*AG216^2+BMILMS!$F$32*AG216+BMILMS!$G$32)))))))</f>
        <v>12.568967990000001</v>
      </c>
      <c r="AF216" s="24">
        <f>IF(D216="M",(IF(AG216&lt;90,BMILMS!$D$14*AG216^3+BMILMS!$E$14*AG216^2+BMILMS!$F$14*AG216+BMILMS!$G$14,BMILMS!$D$15*AG216^3+BMILMS!$E$15*AG216^2+BMILMS!$F$15*AG216+BMILMS!$G$15)),(IF(AG216&lt;90,BMILMS!$D$17*AG216^3+BMILMS!$E$17*AG216^2+BMILMS!$F$17*AG216+BMILMS!$G$17,BMILMS!$D$18*AG216^3+BMILMS!$E$18*AG216^2+BMILMS!$F$18*AG216+BMILMS!$G$18)))</f>
        <v>8.8969350000000003E-2</v>
      </c>
      <c r="AG216" s="24">
        <f t="shared" si="64"/>
        <v>0</v>
      </c>
      <c r="AI216" s="38">
        <f>IF(D216="M",WeightSDS!P$5*$AG216^7+WeightSDS!Q$5*$AG216^6+WeightSDS!R$5*$AG216^5+WeightSDS!S$5*$AG216^4+WeightSDS!T$5*$AG216^3+WeightSDS!U$5*$AG216^2+WeightSDS!V$5*$AG216+WeightSDS!W$5,IF($AG216&lt;186,WeightSDS!P$8*$AG216^7+WeightSDS!Q$8*$AG216^6+WeightSDS!R$8*$AG216^5+WeightSDS!S$8*$AG216^4+WeightSDS!T$8*$AG216^3+WeightSDS!U$8*$AG216^2+WeightSDS!V$8*$AG216+WeightSDS!W$8,WeightSDS!$U$9-WeightSDS!$V$9*($AG216-WeightSDS!$W$9)))</f>
        <v>0.75407122999999998</v>
      </c>
      <c r="AJ216" s="24">
        <f>IF(D216="M",IF($AG216&lt;45,WeightSDS!M$23*$AG216^10+WeightSDS!N$23*$AG216^9+WeightSDS!O$23*$AG216^8+WeightSDS!P$23*$AG216^7+WeightSDS!Q$23*$AG216^6+WeightSDS!R$23*$AG216^5+WeightSDS!S$23*$AG216^4+WeightSDS!T$23*$AG216^3+WeightSDS!U$23*$AG216^2+WeightSDS!V$23*$AG216+WeightSDS!W$23,IF($AG216&lt;153,WeightSDS!M$25*$AG216^10+WeightSDS!N$25*$AG216^9+WeightSDS!O$25*$AG216^8+WeightSDS!P$25*$AG216^7+WeightSDS!Q$25*$AG216^6+WeightSDS!R$25*$AG216^5+WeightSDS!S$25*$AG216^4+WeightSDS!T$25*$AG216^3+WeightSDS!U$25*$AG216^2+WeightSDS!V$25*$AG216+WeightSDS!W$25,WeightSDS!M$27+WeightSDS!N$27/(1+EXP(WeightSDS!O$27+WeightSDS!P$27*$AG216)))),IF($AG216&lt;43.8,WeightSDS!M$29*$AG216^10+WeightSDS!N$29*$AG216^9+WeightSDS!O$29*$AG216^8+WeightSDS!P$29*$AG216^7+WeightSDS!Q$29*$AG216^6+WeightSDS!R$29*$AG216^5+WeightSDS!S$29*$AG216^4+WeightSDS!T$29*$AG216^3+WeightSDS!U$29*$AG216^2+WeightSDS!V$29*$AG216+WeightSDS!W$29-0.010431*(1-$AG216/210),IF($AG216&lt;123,WeightSDS!M$30*$AG216^10+WeightSDS!N$30*$AG216^9+WeightSDS!O$30*$AG216^8+WeightSDS!P$30*$AG216^7+WeightSDS!Q$30*$AG216^6+WeightSDS!R$30*$AG216^5+WeightSDS!S$30*$AG216^4+WeightSDS!T$30*$AG216^3+WeightSDS!U$30*$AG216^2+WeightSDS!V$30*$AG216+WeightSDS!W$30-0.010431*(1-1/$AG216),WeightSDS!M$32+WeightSDS!N$32/(1+EXP(WeightSDS!O$32+WeightSDS!P$32*$AG216))-0.010431*(1-$AG216/210))))</f>
        <v>2.9500001032655536</v>
      </c>
      <c r="AK216" s="24">
        <f>IF(D216="M",IF($AG216&lt;162,WeightSDS!P$12*$AG216^7+WeightSDS!Q$12*$AG216^6+WeightSDS!R$12*$AG216^5+WeightSDS!S$12*$AG216^4+WeightSDS!T$12*$AG216^3+WeightSDS!U$12*$AG216^2+WeightSDS!V$12*$AG216+WeightSDS!W$12,WeightSDS!P$14*$AG216^7+WeightSDS!Q$14*$AG216^6+WeightSDS!R$14*$AG216^5+WeightSDS!S$14*$AG216^4+WeightSDS!T$14*$AG216^3+WeightSDS!U$14*$AG216^2+WeightSDS!V$14*$AG216+WeightSDS!W$14),IF($AG216&lt;156,WeightSDS!O$17*$AG216^8+WeightSDS!P$17*$AG216^7+WeightSDS!Q$17*$AG216^6+WeightSDS!R$17*$AG216^5+WeightSDS!S$17*$AG216^4+WeightSDS!T$17*$AG216^3+WeightSDS!U$17*$AG216^2+WeightSDS!V$17*$AG216+WeightSDS!W$17,IF($AG216&lt;186,WeightSDS!$U$18+(WeightSDS!$V$18-WeightSDS!$U$18)/24*($AG216-186)+WeightSDS!$W$18*(-$AG216+186)^2-0.005,WeightSDS!$U$18+(WeightSDS!$V$18-WeightSDS!$U$18)/24*($AG216-186)-0.005)))</f>
        <v>0.14604529399999999</v>
      </c>
    </row>
    <row r="217" spans="1:37">
      <c r="A217" s="4"/>
      <c r="B217" s="21"/>
      <c r="C217" s="21"/>
      <c r="D217" s="21"/>
      <c r="E217" s="22"/>
      <c r="F217" s="22"/>
      <c r="G217" s="23"/>
      <c r="H217" s="23"/>
      <c r="I217" s="8" t="str">
        <f t="shared" si="50"/>
        <v/>
      </c>
      <c r="J217" s="2" t="str">
        <f t="shared" si="57"/>
        <v/>
      </c>
      <c r="K217" s="2" t="str">
        <f t="shared" si="51"/>
        <v/>
      </c>
      <c r="L217" s="2" t="str">
        <f t="shared" si="58"/>
        <v/>
      </c>
      <c r="M217" s="2" t="str">
        <f t="shared" si="63"/>
        <v/>
      </c>
      <c r="N217" s="2" t="str">
        <f t="shared" si="59"/>
        <v/>
      </c>
      <c r="O217" s="8" t="str">
        <f t="shared" si="60"/>
        <v/>
      </c>
      <c r="P217" s="8" t="str">
        <f t="shared" si="61"/>
        <v/>
      </c>
      <c r="Q217" s="40" t="str">
        <f>IF(COUNTA(D217,E217,F217,G217,H217)=5,W217,"")</f>
        <v/>
      </c>
      <c r="R217" s="48" t="str">
        <f t="shared" si="62"/>
        <v/>
      </c>
      <c r="S217" s="8"/>
      <c r="U217" s="35">
        <f t="shared" si="53"/>
        <v>0</v>
      </c>
      <c r="V217" s="24">
        <f t="shared" si="54"/>
        <v>0</v>
      </c>
      <c r="W217" s="41">
        <f t="shared" si="49"/>
        <v>0</v>
      </c>
      <c r="X217" s="31"/>
      <c r="Y217" s="31"/>
      <c r="Z217" s="31"/>
      <c r="AA217" s="25">
        <f t="shared" si="55"/>
        <v>9.0359999999999996</v>
      </c>
      <c r="AB217" s="25">
        <f t="shared" si="56"/>
        <v>-184.49199999999999</v>
      </c>
      <c r="AD217" s="24">
        <f>IF(D217="M",IF(AG217&lt;78,BMILMS!$D$5*AG217^3+BMILMS!$E$5*AG217^2+BMILMS!$F$5*AG217+BMILMS!$G$5,IF(AG217&lt;150,BMILMS!$D$6*AG217^3+BMILMS!$E$6*AG217^2+BMILMS!$F$6*AG217+BMILMS!$G$6,BMILMS!$D$7*AG217^3+BMILMS!$E$7*AG217^2+BMILMS!$F$7*AG217+BMILMS!$G$7)),IF(AG217&lt;69,BMILMS!$D$9*AG217^3+BMILMS!$E$9*AG217^2+BMILMS!$F$9*AG217+BMILMS!$G$9,IF(AG217&lt;150,BMILMS!$D$10*AG217^3+BMILMS!$E$10*AG217^2+BMILMS!$F$10*AG217+BMILMS!$G$10,BMILMS!$D$11*AG217^3+BMILMS!$E$11*AG217^2+BMILMS!$F$11*AG217+BMILMS!$G$11)))</f>
        <v>0.79584630099999998</v>
      </c>
      <c r="AE217" s="24">
        <f>IF(D217="M",(IF(AG217&lt;2.5,BMILMS!$D$21*AG217^3+BMILMS!$E$21*AG217^2+BMILMS!$F$21*AG217+BMILMS!$G$21,IF(AG217&lt;9.5,BMILMS!$D$22*AG217^3+BMILMS!$E$22*AG217^2+BMILMS!$F$22*AG217+BMILMS!$G$22,IF(AG217&lt;26.75,BMILMS!$D$23*AG217^3+BMILMS!$E$23*AG217^2+BMILMS!$F$23*AG217+BMILMS!$G$23,IF(AG217&lt;90,BMILMS!$D$24*AG217^3+BMILMS!$E$24*AG217^2+BMILMS!$F$24*AG217+BMILMS!$G$24,BMILMS!$D$25*AG217^3+BMILMS!$E$25*AG217^2+BMILMS!$F$25*AG217+BMILMS!$G$25))))),(IF(AG217&lt;2.5,BMILMS!$D$27*AG217^3+BMILMS!$E$27*AG217^2+BMILMS!$F$27*AG217+BMILMS!$G$27,IF(AG217&lt;9.5,BMILMS!$D$28*AG217^3+BMILMS!$E$28*AG217^2+BMILMS!$F$28*AG217+BMILMS!$G$28,IF(AG217&lt;26.75,BMILMS!$D$29*AG217^3+BMILMS!$E$29*AG217^2+BMILMS!$F$29*AG217+BMILMS!$G$29,IF(AG217&lt;90,BMILMS!$D$30*AG217^3+BMILMS!$E$30*AG217^2+BMILMS!$F$30*AG217+BMILMS!$G$30,IF(AG217&lt;150,BMILMS!$D$31*AG217^3+BMILMS!$E$31*AG217^2+BMILMS!$F$31*AG217+BMILMS!$G$31,BMILMS!$D$32*AG217^3+BMILMS!$E$32*AG217^2+BMILMS!$F$32*AG217+BMILMS!$G$32)))))))</f>
        <v>12.568967990000001</v>
      </c>
      <c r="AF217" s="24">
        <f>IF(D217="M",(IF(AG217&lt;90,BMILMS!$D$14*AG217^3+BMILMS!$E$14*AG217^2+BMILMS!$F$14*AG217+BMILMS!$G$14,BMILMS!$D$15*AG217^3+BMILMS!$E$15*AG217^2+BMILMS!$F$15*AG217+BMILMS!$G$15)),(IF(AG217&lt;90,BMILMS!$D$17*AG217^3+BMILMS!$E$17*AG217^2+BMILMS!$F$17*AG217+BMILMS!$G$17,BMILMS!$D$18*AG217^3+BMILMS!$E$18*AG217^2+BMILMS!$F$18*AG217+BMILMS!$G$18)))</f>
        <v>8.8969350000000003E-2</v>
      </c>
      <c r="AG217" s="24">
        <f t="shared" si="64"/>
        <v>0</v>
      </c>
      <c r="AI217" s="38">
        <f>IF(D217="M",WeightSDS!P$5*$AG217^7+WeightSDS!Q$5*$AG217^6+WeightSDS!R$5*$AG217^5+WeightSDS!S$5*$AG217^4+WeightSDS!T$5*$AG217^3+WeightSDS!U$5*$AG217^2+WeightSDS!V$5*$AG217+WeightSDS!W$5,IF($AG217&lt;186,WeightSDS!P$8*$AG217^7+WeightSDS!Q$8*$AG217^6+WeightSDS!R$8*$AG217^5+WeightSDS!S$8*$AG217^4+WeightSDS!T$8*$AG217^3+WeightSDS!U$8*$AG217^2+WeightSDS!V$8*$AG217+WeightSDS!W$8,WeightSDS!$U$9-WeightSDS!$V$9*($AG217-WeightSDS!$W$9)))</f>
        <v>0.75407122999999998</v>
      </c>
      <c r="AJ217" s="24">
        <f>IF(D217="M",IF($AG217&lt;45,WeightSDS!M$23*$AG217^10+WeightSDS!N$23*$AG217^9+WeightSDS!O$23*$AG217^8+WeightSDS!P$23*$AG217^7+WeightSDS!Q$23*$AG217^6+WeightSDS!R$23*$AG217^5+WeightSDS!S$23*$AG217^4+WeightSDS!T$23*$AG217^3+WeightSDS!U$23*$AG217^2+WeightSDS!V$23*$AG217+WeightSDS!W$23,IF($AG217&lt;153,WeightSDS!M$25*$AG217^10+WeightSDS!N$25*$AG217^9+WeightSDS!O$25*$AG217^8+WeightSDS!P$25*$AG217^7+WeightSDS!Q$25*$AG217^6+WeightSDS!R$25*$AG217^5+WeightSDS!S$25*$AG217^4+WeightSDS!T$25*$AG217^3+WeightSDS!U$25*$AG217^2+WeightSDS!V$25*$AG217+WeightSDS!W$25,WeightSDS!M$27+WeightSDS!N$27/(1+EXP(WeightSDS!O$27+WeightSDS!P$27*$AG217)))),IF($AG217&lt;43.8,WeightSDS!M$29*$AG217^10+WeightSDS!N$29*$AG217^9+WeightSDS!O$29*$AG217^8+WeightSDS!P$29*$AG217^7+WeightSDS!Q$29*$AG217^6+WeightSDS!R$29*$AG217^5+WeightSDS!S$29*$AG217^4+WeightSDS!T$29*$AG217^3+WeightSDS!U$29*$AG217^2+WeightSDS!V$29*$AG217+WeightSDS!W$29-0.010431*(1-$AG217/210),IF($AG217&lt;123,WeightSDS!M$30*$AG217^10+WeightSDS!N$30*$AG217^9+WeightSDS!O$30*$AG217^8+WeightSDS!P$30*$AG217^7+WeightSDS!Q$30*$AG217^6+WeightSDS!R$30*$AG217^5+WeightSDS!S$30*$AG217^4+WeightSDS!T$30*$AG217^3+WeightSDS!U$30*$AG217^2+WeightSDS!V$30*$AG217+WeightSDS!W$30-0.010431*(1-1/$AG217),WeightSDS!M$32+WeightSDS!N$32/(1+EXP(WeightSDS!O$32+WeightSDS!P$32*$AG217))-0.010431*(1-$AG217/210))))</f>
        <v>2.9500001032655536</v>
      </c>
      <c r="AK217" s="24">
        <f>IF(D217="M",IF($AG217&lt;162,WeightSDS!P$12*$AG217^7+WeightSDS!Q$12*$AG217^6+WeightSDS!R$12*$AG217^5+WeightSDS!S$12*$AG217^4+WeightSDS!T$12*$AG217^3+WeightSDS!U$12*$AG217^2+WeightSDS!V$12*$AG217+WeightSDS!W$12,WeightSDS!P$14*$AG217^7+WeightSDS!Q$14*$AG217^6+WeightSDS!R$14*$AG217^5+WeightSDS!S$14*$AG217^4+WeightSDS!T$14*$AG217^3+WeightSDS!U$14*$AG217^2+WeightSDS!V$14*$AG217+WeightSDS!W$14),IF($AG217&lt;156,WeightSDS!O$17*$AG217^8+WeightSDS!P$17*$AG217^7+WeightSDS!Q$17*$AG217^6+WeightSDS!R$17*$AG217^5+WeightSDS!S$17*$AG217^4+WeightSDS!T$17*$AG217^3+WeightSDS!U$17*$AG217^2+WeightSDS!V$17*$AG217+WeightSDS!W$17,IF($AG217&lt;186,WeightSDS!$U$18+(WeightSDS!$V$18-WeightSDS!$U$18)/24*($AG217-186)+WeightSDS!$W$18*(-$AG217+186)^2-0.005,WeightSDS!$U$18+(WeightSDS!$V$18-WeightSDS!$U$18)/24*($AG217-186)-0.005)))</f>
        <v>0.14604529399999999</v>
      </c>
    </row>
    <row r="218" spans="1:37">
      <c r="A218" s="4"/>
      <c r="B218" s="21"/>
      <c r="C218" s="21"/>
      <c r="D218" s="21"/>
      <c r="E218" s="22"/>
      <c r="F218" s="22"/>
      <c r="G218" s="23"/>
      <c r="H218" s="23"/>
      <c r="I218" s="8" t="str">
        <f t="shared" si="50"/>
        <v/>
      </c>
      <c r="J218" s="2" t="str">
        <f t="shared" si="57"/>
        <v/>
      </c>
      <c r="K218" s="2" t="str">
        <f t="shared" si="51"/>
        <v/>
      </c>
      <c r="L218" s="2" t="str">
        <f t="shared" si="58"/>
        <v/>
      </c>
      <c r="M218" s="2" t="str">
        <f t="shared" si="63"/>
        <v/>
      </c>
      <c r="N218" s="2" t="str">
        <f t="shared" si="59"/>
        <v/>
      </c>
      <c r="O218" s="8" t="str">
        <f t="shared" si="60"/>
        <v/>
      </c>
      <c r="P218" s="8" t="str">
        <f t="shared" si="61"/>
        <v/>
      </c>
      <c r="Q218" s="40" t="str">
        <f t="shared" si="52"/>
        <v/>
      </c>
      <c r="R218" s="48" t="str">
        <f t="shared" si="62"/>
        <v/>
      </c>
      <c r="S218" s="8"/>
      <c r="T218" s="3"/>
      <c r="U218" s="35">
        <f t="shared" si="53"/>
        <v>0</v>
      </c>
      <c r="V218" s="24">
        <f t="shared" si="54"/>
        <v>0</v>
      </c>
      <c r="W218" s="41">
        <f t="shared" si="49"/>
        <v>0</v>
      </c>
      <c r="X218" s="31"/>
      <c r="Y218" s="31"/>
      <c r="Z218" s="31"/>
      <c r="AA218" s="25">
        <f t="shared" si="55"/>
        <v>9.0359999999999996</v>
      </c>
      <c r="AB218" s="25">
        <f t="shared" si="56"/>
        <v>-184.49199999999999</v>
      </c>
      <c r="AD218" s="24">
        <f>IF(D218="M",IF(AG218&lt;78,BMILMS!$D$5*AG218^3+BMILMS!$E$5*AG218^2+BMILMS!$F$5*AG218+BMILMS!$G$5,IF(AG218&lt;150,BMILMS!$D$6*AG218^3+BMILMS!$E$6*AG218^2+BMILMS!$F$6*AG218+BMILMS!$G$6,BMILMS!$D$7*AG218^3+BMILMS!$E$7*AG218^2+BMILMS!$F$7*AG218+BMILMS!$G$7)),IF(AG218&lt;69,BMILMS!$D$9*AG218^3+BMILMS!$E$9*AG218^2+BMILMS!$F$9*AG218+BMILMS!$G$9,IF(AG218&lt;150,BMILMS!$D$10*AG218^3+BMILMS!$E$10*AG218^2+BMILMS!$F$10*AG218+BMILMS!$G$10,BMILMS!$D$11*AG218^3+BMILMS!$E$11*AG218^2+BMILMS!$F$11*AG218+BMILMS!$G$11)))</f>
        <v>0.79584630099999998</v>
      </c>
      <c r="AE218" s="24">
        <f>IF(D218="M",(IF(AG218&lt;2.5,BMILMS!$D$21*AG218^3+BMILMS!$E$21*AG218^2+BMILMS!$F$21*AG218+BMILMS!$G$21,IF(AG218&lt;9.5,BMILMS!$D$22*AG218^3+BMILMS!$E$22*AG218^2+BMILMS!$F$22*AG218+BMILMS!$G$22,IF(AG218&lt;26.75,BMILMS!$D$23*AG218^3+BMILMS!$E$23*AG218^2+BMILMS!$F$23*AG218+BMILMS!$G$23,IF(AG218&lt;90,BMILMS!$D$24*AG218^3+BMILMS!$E$24*AG218^2+BMILMS!$F$24*AG218+BMILMS!$G$24,BMILMS!$D$25*AG218^3+BMILMS!$E$25*AG218^2+BMILMS!$F$25*AG218+BMILMS!$G$25))))),(IF(AG218&lt;2.5,BMILMS!$D$27*AG218^3+BMILMS!$E$27*AG218^2+BMILMS!$F$27*AG218+BMILMS!$G$27,IF(AG218&lt;9.5,BMILMS!$D$28*AG218^3+BMILMS!$E$28*AG218^2+BMILMS!$F$28*AG218+BMILMS!$G$28,IF(AG218&lt;26.75,BMILMS!$D$29*AG218^3+BMILMS!$E$29*AG218^2+BMILMS!$F$29*AG218+BMILMS!$G$29,IF(AG218&lt;90,BMILMS!$D$30*AG218^3+BMILMS!$E$30*AG218^2+BMILMS!$F$30*AG218+BMILMS!$G$30,IF(AG218&lt;150,BMILMS!$D$31*AG218^3+BMILMS!$E$31*AG218^2+BMILMS!$F$31*AG218+BMILMS!$G$31,BMILMS!$D$32*AG218^3+BMILMS!$E$32*AG218^2+BMILMS!$F$32*AG218+BMILMS!$G$32)))))))</f>
        <v>12.568967990000001</v>
      </c>
      <c r="AF218" s="24">
        <f>IF(D218="M",(IF(AG218&lt;90,BMILMS!$D$14*AG218^3+BMILMS!$E$14*AG218^2+BMILMS!$F$14*AG218+BMILMS!$G$14,BMILMS!$D$15*AG218^3+BMILMS!$E$15*AG218^2+BMILMS!$F$15*AG218+BMILMS!$G$15)),(IF(AG218&lt;90,BMILMS!$D$17*AG218^3+BMILMS!$E$17*AG218^2+BMILMS!$F$17*AG218+BMILMS!$G$17,BMILMS!$D$18*AG218^3+BMILMS!$E$18*AG218^2+BMILMS!$F$18*AG218+BMILMS!$G$18)))</f>
        <v>8.8969350000000003E-2</v>
      </c>
      <c r="AG218" s="24">
        <f t="shared" si="64"/>
        <v>0</v>
      </c>
      <c r="AI218" s="38">
        <f>IF(D218="M",WeightSDS!P$5*$AG218^7+WeightSDS!Q$5*$AG218^6+WeightSDS!R$5*$AG218^5+WeightSDS!S$5*$AG218^4+WeightSDS!T$5*$AG218^3+WeightSDS!U$5*$AG218^2+WeightSDS!V$5*$AG218+WeightSDS!W$5,IF($AG218&lt;186,WeightSDS!P$8*$AG218^7+WeightSDS!Q$8*$AG218^6+WeightSDS!R$8*$AG218^5+WeightSDS!S$8*$AG218^4+WeightSDS!T$8*$AG218^3+WeightSDS!U$8*$AG218^2+WeightSDS!V$8*$AG218+WeightSDS!W$8,WeightSDS!$U$9-WeightSDS!$V$9*($AG218-WeightSDS!$W$9)))</f>
        <v>0.75407122999999998</v>
      </c>
      <c r="AJ218" s="24">
        <f>IF(D218="M",IF($AG218&lt;45,WeightSDS!M$23*$AG218^10+WeightSDS!N$23*$AG218^9+WeightSDS!O$23*$AG218^8+WeightSDS!P$23*$AG218^7+WeightSDS!Q$23*$AG218^6+WeightSDS!R$23*$AG218^5+WeightSDS!S$23*$AG218^4+WeightSDS!T$23*$AG218^3+WeightSDS!U$23*$AG218^2+WeightSDS!V$23*$AG218+WeightSDS!W$23,IF($AG218&lt;153,WeightSDS!M$25*$AG218^10+WeightSDS!N$25*$AG218^9+WeightSDS!O$25*$AG218^8+WeightSDS!P$25*$AG218^7+WeightSDS!Q$25*$AG218^6+WeightSDS!R$25*$AG218^5+WeightSDS!S$25*$AG218^4+WeightSDS!T$25*$AG218^3+WeightSDS!U$25*$AG218^2+WeightSDS!V$25*$AG218+WeightSDS!W$25,WeightSDS!M$27+WeightSDS!N$27/(1+EXP(WeightSDS!O$27+WeightSDS!P$27*$AG218)))),IF($AG218&lt;43.8,WeightSDS!M$29*$AG218^10+WeightSDS!N$29*$AG218^9+WeightSDS!O$29*$AG218^8+WeightSDS!P$29*$AG218^7+WeightSDS!Q$29*$AG218^6+WeightSDS!R$29*$AG218^5+WeightSDS!S$29*$AG218^4+WeightSDS!T$29*$AG218^3+WeightSDS!U$29*$AG218^2+WeightSDS!V$29*$AG218+WeightSDS!W$29-0.010431*(1-$AG218/210),IF($AG218&lt;123,WeightSDS!M$30*$AG218^10+WeightSDS!N$30*$AG218^9+WeightSDS!O$30*$AG218^8+WeightSDS!P$30*$AG218^7+WeightSDS!Q$30*$AG218^6+WeightSDS!R$30*$AG218^5+WeightSDS!S$30*$AG218^4+WeightSDS!T$30*$AG218^3+WeightSDS!U$30*$AG218^2+WeightSDS!V$30*$AG218+WeightSDS!W$30-0.010431*(1-1/$AG218),WeightSDS!M$32+WeightSDS!N$32/(1+EXP(WeightSDS!O$32+WeightSDS!P$32*$AG218))-0.010431*(1-$AG218/210))))</f>
        <v>2.9500001032655536</v>
      </c>
      <c r="AK218" s="24">
        <f>IF(D218="M",IF($AG218&lt;162,WeightSDS!P$12*$AG218^7+WeightSDS!Q$12*$AG218^6+WeightSDS!R$12*$AG218^5+WeightSDS!S$12*$AG218^4+WeightSDS!T$12*$AG218^3+WeightSDS!U$12*$AG218^2+WeightSDS!V$12*$AG218+WeightSDS!W$12,WeightSDS!P$14*$AG218^7+WeightSDS!Q$14*$AG218^6+WeightSDS!R$14*$AG218^5+WeightSDS!S$14*$AG218^4+WeightSDS!T$14*$AG218^3+WeightSDS!U$14*$AG218^2+WeightSDS!V$14*$AG218+WeightSDS!W$14),IF($AG218&lt;156,WeightSDS!O$17*$AG218^8+WeightSDS!P$17*$AG218^7+WeightSDS!Q$17*$AG218^6+WeightSDS!R$17*$AG218^5+WeightSDS!S$17*$AG218^4+WeightSDS!T$17*$AG218^3+WeightSDS!U$17*$AG218^2+WeightSDS!V$17*$AG218+WeightSDS!W$17,IF($AG218&lt;186,WeightSDS!$U$18+(WeightSDS!$V$18-WeightSDS!$U$18)/24*($AG218-186)+WeightSDS!$W$18*(-$AG218+186)^2-0.005,WeightSDS!$U$18+(WeightSDS!$V$18-WeightSDS!$U$18)/24*($AG218-186)-0.005)))</f>
        <v>0.14604529399999999</v>
      </c>
    </row>
    <row r="219" spans="1:37">
      <c r="A219" s="4"/>
      <c r="B219" s="21"/>
      <c r="C219" s="21"/>
      <c r="D219" s="21"/>
      <c r="E219" s="22"/>
      <c r="F219" s="22"/>
      <c r="G219" s="23"/>
      <c r="H219" s="23"/>
      <c r="I219" s="8" t="str">
        <f t="shared" si="50"/>
        <v/>
      </c>
      <c r="J219" s="2" t="str">
        <f t="shared" si="57"/>
        <v/>
      </c>
      <c r="K219" s="2" t="str">
        <f t="shared" si="51"/>
        <v/>
      </c>
      <c r="L219" s="2" t="str">
        <f t="shared" si="58"/>
        <v/>
      </c>
      <c r="M219" s="2" t="str">
        <f t="shared" si="63"/>
        <v/>
      </c>
      <c r="N219" s="2" t="str">
        <f t="shared" si="59"/>
        <v/>
      </c>
      <c r="O219" s="8" t="str">
        <f t="shared" si="60"/>
        <v/>
      </c>
      <c r="P219" s="8" t="str">
        <f t="shared" si="61"/>
        <v/>
      </c>
      <c r="Q219" s="40" t="str">
        <f t="shared" si="52"/>
        <v/>
      </c>
      <c r="R219" s="48" t="str">
        <f t="shared" si="62"/>
        <v/>
      </c>
      <c r="S219" s="8"/>
      <c r="U219" s="35">
        <f t="shared" si="53"/>
        <v>0</v>
      </c>
      <c r="V219" s="24">
        <f t="shared" si="54"/>
        <v>0</v>
      </c>
      <c r="W219" s="41">
        <f t="shared" si="49"/>
        <v>0</v>
      </c>
      <c r="X219" s="31"/>
      <c r="Y219" s="31"/>
      <c r="Z219" s="31"/>
      <c r="AA219" s="25">
        <f t="shared" si="55"/>
        <v>9.0359999999999996</v>
      </c>
      <c r="AB219" s="25">
        <f t="shared" si="56"/>
        <v>-184.49199999999999</v>
      </c>
      <c r="AD219" s="24">
        <f>IF(D219="M",IF(AG219&lt;78,BMILMS!$D$5*AG219^3+BMILMS!$E$5*AG219^2+BMILMS!$F$5*AG219+BMILMS!$G$5,IF(AG219&lt;150,BMILMS!$D$6*AG219^3+BMILMS!$E$6*AG219^2+BMILMS!$F$6*AG219+BMILMS!$G$6,BMILMS!$D$7*AG219^3+BMILMS!$E$7*AG219^2+BMILMS!$F$7*AG219+BMILMS!$G$7)),IF(AG219&lt;69,BMILMS!$D$9*AG219^3+BMILMS!$E$9*AG219^2+BMILMS!$F$9*AG219+BMILMS!$G$9,IF(AG219&lt;150,BMILMS!$D$10*AG219^3+BMILMS!$E$10*AG219^2+BMILMS!$F$10*AG219+BMILMS!$G$10,BMILMS!$D$11*AG219^3+BMILMS!$E$11*AG219^2+BMILMS!$F$11*AG219+BMILMS!$G$11)))</f>
        <v>0.79584630099999998</v>
      </c>
      <c r="AE219" s="24">
        <f>IF(D219="M",(IF(AG219&lt;2.5,BMILMS!$D$21*AG219^3+BMILMS!$E$21*AG219^2+BMILMS!$F$21*AG219+BMILMS!$G$21,IF(AG219&lt;9.5,BMILMS!$D$22*AG219^3+BMILMS!$E$22*AG219^2+BMILMS!$F$22*AG219+BMILMS!$G$22,IF(AG219&lt;26.75,BMILMS!$D$23*AG219^3+BMILMS!$E$23*AG219^2+BMILMS!$F$23*AG219+BMILMS!$G$23,IF(AG219&lt;90,BMILMS!$D$24*AG219^3+BMILMS!$E$24*AG219^2+BMILMS!$F$24*AG219+BMILMS!$G$24,BMILMS!$D$25*AG219^3+BMILMS!$E$25*AG219^2+BMILMS!$F$25*AG219+BMILMS!$G$25))))),(IF(AG219&lt;2.5,BMILMS!$D$27*AG219^3+BMILMS!$E$27*AG219^2+BMILMS!$F$27*AG219+BMILMS!$G$27,IF(AG219&lt;9.5,BMILMS!$D$28*AG219^3+BMILMS!$E$28*AG219^2+BMILMS!$F$28*AG219+BMILMS!$G$28,IF(AG219&lt;26.75,BMILMS!$D$29*AG219^3+BMILMS!$E$29*AG219^2+BMILMS!$F$29*AG219+BMILMS!$G$29,IF(AG219&lt;90,BMILMS!$D$30*AG219^3+BMILMS!$E$30*AG219^2+BMILMS!$F$30*AG219+BMILMS!$G$30,IF(AG219&lt;150,BMILMS!$D$31*AG219^3+BMILMS!$E$31*AG219^2+BMILMS!$F$31*AG219+BMILMS!$G$31,BMILMS!$D$32*AG219^3+BMILMS!$E$32*AG219^2+BMILMS!$F$32*AG219+BMILMS!$G$32)))))))</f>
        <v>12.568967990000001</v>
      </c>
      <c r="AF219" s="24">
        <f>IF(D219="M",(IF(AG219&lt;90,BMILMS!$D$14*AG219^3+BMILMS!$E$14*AG219^2+BMILMS!$F$14*AG219+BMILMS!$G$14,BMILMS!$D$15*AG219^3+BMILMS!$E$15*AG219^2+BMILMS!$F$15*AG219+BMILMS!$G$15)),(IF(AG219&lt;90,BMILMS!$D$17*AG219^3+BMILMS!$E$17*AG219^2+BMILMS!$F$17*AG219+BMILMS!$G$17,BMILMS!$D$18*AG219^3+BMILMS!$E$18*AG219^2+BMILMS!$F$18*AG219+BMILMS!$G$18)))</f>
        <v>8.8969350000000003E-2</v>
      </c>
      <c r="AG219" s="24">
        <f t="shared" si="64"/>
        <v>0</v>
      </c>
      <c r="AI219" s="38">
        <f>IF(D219="M",WeightSDS!P$5*$AG219^7+WeightSDS!Q$5*$AG219^6+WeightSDS!R$5*$AG219^5+WeightSDS!S$5*$AG219^4+WeightSDS!T$5*$AG219^3+WeightSDS!U$5*$AG219^2+WeightSDS!V$5*$AG219+WeightSDS!W$5,IF($AG219&lt;186,WeightSDS!P$8*$AG219^7+WeightSDS!Q$8*$AG219^6+WeightSDS!R$8*$AG219^5+WeightSDS!S$8*$AG219^4+WeightSDS!T$8*$AG219^3+WeightSDS!U$8*$AG219^2+WeightSDS!V$8*$AG219+WeightSDS!W$8,WeightSDS!$U$9-WeightSDS!$V$9*($AG219-WeightSDS!$W$9)))</f>
        <v>0.75407122999999998</v>
      </c>
      <c r="AJ219" s="24">
        <f>IF(D219="M",IF($AG219&lt;45,WeightSDS!M$23*$AG219^10+WeightSDS!N$23*$AG219^9+WeightSDS!O$23*$AG219^8+WeightSDS!P$23*$AG219^7+WeightSDS!Q$23*$AG219^6+WeightSDS!R$23*$AG219^5+WeightSDS!S$23*$AG219^4+WeightSDS!T$23*$AG219^3+WeightSDS!U$23*$AG219^2+WeightSDS!V$23*$AG219+WeightSDS!W$23,IF($AG219&lt;153,WeightSDS!M$25*$AG219^10+WeightSDS!N$25*$AG219^9+WeightSDS!O$25*$AG219^8+WeightSDS!P$25*$AG219^7+WeightSDS!Q$25*$AG219^6+WeightSDS!R$25*$AG219^5+WeightSDS!S$25*$AG219^4+WeightSDS!T$25*$AG219^3+WeightSDS!U$25*$AG219^2+WeightSDS!V$25*$AG219+WeightSDS!W$25,WeightSDS!M$27+WeightSDS!N$27/(1+EXP(WeightSDS!O$27+WeightSDS!P$27*$AG219)))),IF($AG219&lt;43.8,WeightSDS!M$29*$AG219^10+WeightSDS!N$29*$AG219^9+WeightSDS!O$29*$AG219^8+WeightSDS!P$29*$AG219^7+WeightSDS!Q$29*$AG219^6+WeightSDS!R$29*$AG219^5+WeightSDS!S$29*$AG219^4+WeightSDS!T$29*$AG219^3+WeightSDS!U$29*$AG219^2+WeightSDS!V$29*$AG219+WeightSDS!W$29-0.010431*(1-$AG219/210),IF($AG219&lt;123,WeightSDS!M$30*$AG219^10+WeightSDS!N$30*$AG219^9+WeightSDS!O$30*$AG219^8+WeightSDS!P$30*$AG219^7+WeightSDS!Q$30*$AG219^6+WeightSDS!R$30*$AG219^5+WeightSDS!S$30*$AG219^4+WeightSDS!T$30*$AG219^3+WeightSDS!U$30*$AG219^2+WeightSDS!V$30*$AG219+WeightSDS!W$30-0.010431*(1-1/$AG219),WeightSDS!M$32+WeightSDS!N$32/(1+EXP(WeightSDS!O$32+WeightSDS!P$32*$AG219))-0.010431*(1-$AG219/210))))</f>
        <v>2.9500001032655536</v>
      </c>
      <c r="AK219" s="24">
        <f>IF(D219="M",IF($AG219&lt;162,WeightSDS!P$12*$AG219^7+WeightSDS!Q$12*$AG219^6+WeightSDS!R$12*$AG219^5+WeightSDS!S$12*$AG219^4+WeightSDS!T$12*$AG219^3+WeightSDS!U$12*$AG219^2+WeightSDS!V$12*$AG219+WeightSDS!W$12,WeightSDS!P$14*$AG219^7+WeightSDS!Q$14*$AG219^6+WeightSDS!R$14*$AG219^5+WeightSDS!S$14*$AG219^4+WeightSDS!T$14*$AG219^3+WeightSDS!U$14*$AG219^2+WeightSDS!V$14*$AG219+WeightSDS!W$14),IF($AG219&lt;156,WeightSDS!O$17*$AG219^8+WeightSDS!P$17*$AG219^7+WeightSDS!Q$17*$AG219^6+WeightSDS!R$17*$AG219^5+WeightSDS!S$17*$AG219^4+WeightSDS!T$17*$AG219^3+WeightSDS!U$17*$AG219^2+WeightSDS!V$17*$AG219+WeightSDS!W$17,IF($AG219&lt;186,WeightSDS!$U$18+(WeightSDS!$V$18-WeightSDS!$U$18)/24*($AG219-186)+WeightSDS!$W$18*(-$AG219+186)^2-0.005,WeightSDS!$U$18+(WeightSDS!$V$18-WeightSDS!$U$18)/24*($AG219-186)-0.005)))</f>
        <v>0.14604529399999999</v>
      </c>
    </row>
    <row r="220" spans="1:37">
      <c r="A220" s="4"/>
      <c r="B220" s="21"/>
      <c r="C220" s="21"/>
      <c r="D220" s="21"/>
      <c r="E220" s="22"/>
      <c r="F220" s="22"/>
      <c r="G220" s="23"/>
      <c r="H220" s="23"/>
      <c r="I220" s="8" t="str">
        <f t="shared" si="50"/>
        <v/>
      </c>
      <c r="J220" s="2" t="str">
        <f t="shared" si="57"/>
        <v/>
      </c>
      <c r="K220" s="2" t="str">
        <f t="shared" si="51"/>
        <v/>
      </c>
      <c r="L220" s="2" t="str">
        <f t="shared" si="58"/>
        <v/>
      </c>
      <c r="M220" s="2" t="str">
        <f t="shared" si="63"/>
        <v/>
      </c>
      <c r="N220" s="2" t="str">
        <f t="shared" si="59"/>
        <v/>
      </c>
      <c r="O220" s="8" t="str">
        <f t="shared" si="60"/>
        <v/>
      </c>
      <c r="P220" s="8" t="str">
        <f t="shared" si="61"/>
        <v/>
      </c>
      <c r="Q220" s="40" t="str">
        <f t="shared" si="52"/>
        <v/>
      </c>
      <c r="R220" s="48" t="str">
        <f t="shared" si="62"/>
        <v/>
      </c>
      <c r="S220" s="8"/>
      <c r="U220" s="35">
        <f t="shared" si="53"/>
        <v>0</v>
      </c>
      <c r="V220" s="24">
        <f t="shared" si="54"/>
        <v>0</v>
      </c>
      <c r="W220" s="41">
        <f t="shared" si="49"/>
        <v>0</v>
      </c>
      <c r="X220" s="31"/>
      <c r="Y220" s="31"/>
      <c r="Z220" s="31"/>
      <c r="AA220" s="25">
        <f t="shared" si="55"/>
        <v>9.0359999999999996</v>
      </c>
      <c r="AB220" s="25">
        <f t="shared" si="56"/>
        <v>-184.49199999999999</v>
      </c>
      <c r="AD220" s="24">
        <f>IF(D220="M",IF(AG220&lt;78,BMILMS!$D$5*AG220^3+BMILMS!$E$5*AG220^2+BMILMS!$F$5*AG220+BMILMS!$G$5,IF(AG220&lt;150,BMILMS!$D$6*AG220^3+BMILMS!$E$6*AG220^2+BMILMS!$F$6*AG220+BMILMS!$G$6,BMILMS!$D$7*AG220^3+BMILMS!$E$7*AG220^2+BMILMS!$F$7*AG220+BMILMS!$G$7)),IF(AG220&lt;69,BMILMS!$D$9*AG220^3+BMILMS!$E$9*AG220^2+BMILMS!$F$9*AG220+BMILMS!$G$9,IF(AG220&lt;150,BMILMS!$D$10*AG220^3+BMILMS!$E$10*AG220^2+BMILMS!$F$10*AG220+BMILMS!$G$10,BMILMS!$D$11*AG220^3+BMILMS!$E$11*AG220^2+BMILMS!$F$11*AG220+BMILMS!$G$11)))</f>
        <v>0.79584630099999998</v>
      </c>
      <c r="AE220" s="24">
        <f>IF(D220="M",(IF(AG220&lt;2.5,BMILMS!$D$21*AG220^3+BMILMS!$E$21*AG220^2+BMILMS!$F$21*AG220+BMILMS!$G$21,IF(AG220&lt;9.5,BMILMS!$D$22*AG220^3+BMILMS!$E$22*AG220^2+BMILMS!$F$22*AG220+BMILMS!$G$22,IF(AG220&lt;26.75,BMILMS!$D$23*AG220^3+BMILMS!$E$23*AG220^2+BMILMS!$F$23*AG220+BMILMS!$G$23,IF(AG220&lt;90,BMILMS!$D$24*AG220^3+BMILMS!$E$24*AG220^2+BMILMS!$F$24*AG220+BMILMS!$G$24,BMILMS!$D$25*AG220^3+BMILMS!$E$25*AG220^2+BMILMS!$F$25*AG220+BMILMS!$G$25))))),(IF(AG220&lt;2.5,BMILMS!$D$27*AG220^3+BMILMS!$E$27*AG220^2+BMILMS!$F$27*AG220+BMILMS!$G$27,IF(AG220&lt;9.5,BMILMS!$D$28*AG220^3+BMILMS!$E$28*AG220^2+BMILMS!$F$28*AG220+BMILMS!$G$28,IF(AG220&lt;26.75,BMILMS!$D$29*AG220^3+BMILMS!$E$29*AG220^2+BMILMS!$F$29*AG220+BMILMS!$G$29,IF(AG220&lt;90,BMILMS!$D$30*AG220^3+BMILMS!$E$30*AG220^2+BMILMS!$F$30*AG220+BMILMS!$G$30,IF(AG220&lt;150,BMILMS!$D$31*AG220^3+BMILMS!$E$31*AG220^2+BMILMS!$F$31*AG220+BMILMS!$G$31,BMILMS!$D$32*AG220^3+BMILMS!$E$32*AG220^2+BMILMS!$F$32*AG220+BMILMS!$G$32)))))))</f>
        <v>12.568967990000001</v>
      </c>
      <c r="AF220" s="24">
        <f>IF(D220="M",(IF(AG220&lt;90,BMILMS!$D$14*AG220^3+BMILMS!$E$14*AG220^2+BMILMS!$F$14*AG220+BMILMS!$G$14,BMILMS!$D$15*AG220^3+BMILMS!$E$15*AG220^2+BMILMS!$F$15*AG220+BMILMS!$G$15)),(IF(AG220&lt;90,BMILMS!$D$17*AG220^3+BMILMS!$E$17*AG220^2+BMILMS!$F$17*AG220+BMILMS!$G$17,BMILMS!$D$18*AG220^3+BMILMS!$E$18*AG220^2+BMILMS!$F$18*AG220+BMILMS!$G$18)))</f>
        <v>8.8969350000000003E-2</v>
      </c>
      <c r="AG220" s="24">
        <f t="shared" si="64"/>
        <v>0</v>
      </c>
      <c r="AI220" s="38">
        <f>IF(D220="M",WeightSDS!P$5*$AG220^7+WeightSDS!Q$5*$AG220^6+WeightSDS!R$5*$AG220^5+WeightSDS!S$5*$AG220^4+WeightSDS!T$5*$AG220^3+WeightSDS!U$5*$AG220^2+WeightSDS!V$5*$AG220+WeightSDS!W$5,IF($AG220&lt;186,WeightSDS!P$8*$AG220^7+WeightSDS!Q$8*$AG220^6+WeightSDS!R$8*$AG220^5+WeightSDS!S$8*$AG220^4+WeightSDS!T$8*$AG220^3+WeightSDS!U$8*$AG220^2+WeightSDS!V$8*$AG220+WeightSDS!W$8,WeightSDS!$U$9-WeightSDS!$V$9*($AG220-WeightSDS!$W$9)))</f>
        <v>0.75407122999999998</v>
      </c>
      <c r="AJ220" s="24">
        <f>IF(D220="M",IF($AG220&lt;45,WeightSDS!M$23*$AG220^10+WeightSDS!N$23*$AG220^9+WeightSDS!O$23*$AG220^8+WeightSDS!P$23*$AG220^7+WeightSDS!Q$23*$AG220^6+WeightSDS!R$23*$AG220^5+WeightSDS!S$23*$AG220^4+WeightSDS!T$23*$AG220^3+WeightSDS!U$23*$AG220^2+WeightSDS!V$23*$AG220+WeightSDS!W$23,IF($AG220&lt;153,WeightSDS!M$25*$AG220^10+WeightSDS!N$25*$AG220^9+WeightSDS!O$25*$AG220^8+WeightSDS!P$25*$AG220^7+WeightSDS!Q$25*$AG220^6+WeightSDS!R$25*$AG220^5+WeightSDS!S$25*$AG220^4+WeightSDS!T$25*$AG220^3+WeightSDS!U$25*$AG220^2+WeightSDS!V$25*$AG220+WeightSDS!W$25,WeightSDS!M$27+WeightSDS!N$27/(1+EXP(WeightSDS!O$27+WeightSDS!P$27*$AG220)))),IF($AG220&lt;43.8,WeightSDS!M$29*$AG220^10+WeightSDS!N$29*$AG220^9+WeightSDS!O$29*$AG220^8+WeightSDS!P$29*$AG220^7+WeightSDS!Q$29*$AG220^6+WeightSDS!R$29*$AG220^5+WeightSDS!S$29*$AG220^4+WeightSDS!T$29*$AG220^3+WeightSDS!U$29*$AG220^2+WeightSDS!V$29*$AG220+WeightSDS!W$29-0.010431*(1-$AG220/210),IF($AG220&lt;123,WeightSDS!M$30*$AG220^10+WeightSDS!N$30*$AG220^9+WeightSDS!O$30*$AG220^8+WeightSDS!P$30*$AG220^7+WeightSDS!Q$30*$AG220^6+WeightSDS!R$30*$AG220^5+WeightSDS!S$30*$AG220^4+WeightSDS!T$30*$AG220^3+WeightSDS!U$30*$AG220^2+WeightSDS!V$30*$AG220+WeightSDS!W$30-0.010431*(1-1/$AG220),WeightSDS!M$32+WeightSDS!N$32/(1+EXP(WeightSDS!O$32+WeightSDS!P$32*$AG220))-0.010431*(1-$AG220/210))))</f>
        <v>2.9500001032655536</v>
      </c>
      <c r="AK220" s="24">
        <f>IF(D220="M",IF($AG220&lt;162,WeightSDS!P$12*$AG220^7+WeightSDS!Q$12*$AG220^6+WeightSDS!R$12*$AG220^5+WeightSDS!S$12*$AG220^4+WeightSDS!T$12*$AG220^3+WeightSDS!U$12*$AG220^2+WeightSDS!V$12*$AG220+WeightSDS!W$12,WeightSDS!P$14*$AG220^7+WeightSDS!Q$14*$AG220^6+WeightSDS!R$14*$AG220^5+WeightSDS!S$14*$AG220^4+WeightSDS!T$14*$AG220^3+WeightSDS!U$14*$AG220^2+WeightSDS!V$14*$AG220+WeightSDS!W$14),IF($AG220&lt;156,WeightSDS!O$17*$AG220^8+WeightSDS!P$17*$AG220^7+WeightSDS!Q$17*$AG220^6+WeightSDS!R$17*$AG220^5+WeightSDS!S$17*$AG220^4+WeightSDS!T$17*$AG220^3+WeightSDS!U$17*$AG220^2+WeightSDS!V$17*$AG220+WeightSDS!W$17,IF($AG220&lt;186,WeightSDS!$U$18+(WeightSDS!$V$18-WeightSDS!$U$18)/24*($AG220-186)+WeightSDS!$W$18*(-$AG220+186)^2-0.005,WeightSDS!$U$18+(WeightSDS!$V$18-WeightSDS!$U$18)/24*($AG220-186)-0.005)))</f>
        <v>0.14604529399999999</v>
      </c>
    </row>
    <row r="221" spans="1:37">
      <c r="A221" s="4"/>
      <c r="B221" s="21"/>
      <c r="C221" s="21"/>
      <c r="D221" s="21"/>
      <c r="E221" s="22"/>
      <c r="F221" s="22"/>
      <c r="G221" s="23"/>
      <c r="H221" s="23"/>
      <c r="I221" s="8" t="str">
        <f t="shared" si="50"/>
        <v/>
      </c>
      <c r="J221" s="2" t="str">
        <f t="shared" si="57"/>
        <v/>
      </c>
      <c r="K221" s="2" t="str">
        <f t="shared" si="51"/>
        <v/>
      </c>
      <c r="L221" s="2" t="str">
        <f t="shared" si="58"/>
        <v/>
      </c>
      <c r="M221" s="2" t="str">
        <f t="shared" si="63"/>
        <v/>
      </c>
      <c r="N221" s="2" t="str">
        <f t="shared" si="59"/>
        <v/>
      </c>
      <c r="O221" s="8" t="str">
        <f t="shared" si="60"/>
        <v/>
      </c>
      <c r="P221" s="8" t="str">
        <f t="shared" si="61"/>
        <v/>
      </c>
      <c r="Q221" s="40" t="str">
        <f t="shared" si="52"/>
        <v/>
      </c>
      <c r="R221" s="48" t="str">
        <f t="shared" si="62"/>
        <v/>
      </c>
      <c r="S221" s="8"/>
      <c r="U221" s="35">
        <f t="shared" si="53"/>
        <v>0</v>
      </c>
      <c r="V221" s="24">
        <f t="shared" si="54"/>
        <v>0</v>
      </c>
      <c r="W221" s="41">
        <f t="shared" si="49"/>
        <v>0</v>
      </c>
      <c r="X221" s="31"/>
      <c r="Y221" s="31"/>
      <c r="Z221" s="31"/>
      <c r="AA221" s="25">
        <f t="shared" si="55"/>
        <v>9.0359999999999996</v>
      </c>
      <c r="AB221" s="25">
        <f t="shared" si="56"/>
        <v>-184.49199999999999</v>
      </c>
      <c r="AD221" s="24">
        <f>IF(D221="M",IF(AG221&lt;78,BMILMS!$D$5*AG221^3+BMILMS!$E$5*AG221^2+BMILMS!$F$5*AG221+BMILMS!$G$5,IF(AG221&lt;150,BMILMS!$D$6*AG221^3+BMILMS!$E$6*AG221^2+BMILMS!$F$6*AG221+BMILMS!$G$6,BMILMS!$D$7*AG221^3+BMILMS!$E$7*AG221^2+BMILMS!$F$7*AG221+BMILMS!$G$7)),IF(AG221&lt;69,BMILMS!$D$9*AG221^3+BMILMS!$E$9*AG221^2+BMILMS!$F$9*AG221+BMILMS!$G$9,IF(AG221&lt;150,BMILMS!$D$10*AG221^3+BMILMS!$E$10*AG221^2+BMILMS!$F$10*AG221+BMILMS!$G$10,BMILMS!$D$11*AG221^3+BMILMS!$E$11*AG221^2+BMILMS!$F$11*AG221+BMILMS!$G$11)))</f>
        <v>0.79584630099999998</v>
      </c>
      <c r="AE221" s="24">
        <f>IF(D221="M",(IF(AG221&lt;2.5,BMILMS!$D$21*AG221^3+BMILMS!$E$21*AG221^2+BMILMS!$F$21*AG221+BMILMS!$G$21,IF(AG221&lt;9.5,BMILMS!$D$22*AG221^3+BMILMS!$E$22*AG221^2+BMILMS!$F$22*AG221+BMILMS!$G$22,IF(AG221&lt;26.75,BMILMS!$D$23*AG221^3+BMILMS!$E$23*AG221^2+BMILMS!$F$23*AG221+BMILMS!$G$23,IF(AG221&lt;90,BMILMS!$D$24*AG221^3+BMILMS!$E$24*AG221^2+BMILMS!$F$24*AG221+BMILMS!$G$24,BMILMS!$D$25*AG221^3+BMILMS!$E$25*AG221^2+BMILMS!$F$25*AG221+BMILMS!$G$25))))),(IF(AG221&lt;2.5,BMILMS!$D$27*AG221^3+BMILMS!$E$27*AG221^2+BMILMS!$F$27*AG221+BMILMS!$G$27,IF(AG221&lt;9.5,BMILMS!$D$28*AG221^3+BMILMS!$E$28*AG221^2+BMILMS!$F$28*AG221+BMILMS!$G$28,IF(AG221&lt;26.75,BMILMS!$D$29*AG221^3+BMILMS!$E$29*AG221^2+BMILMS!$F$29*AG221+BMILMS!$G$29,IF(AG221&lt;90,BMILMS!$D$30*AG221^3+BMILMS!$E$30*AG221^2+BMILMS!$F$30*AG221+BMILMS!$G$30,IF(AG221&lt;150,BMILMS!$D$31*AG221^3+BMILMS!$E$31*AG221^2+BMILMS!$F$31*AG221+BMILMS!$G$31,BMILMS!$D$32*AG221^3+BMILMS!$E$32*AG221^2+BMILMS!$F$32*AG221+BMILMS!$G$32)))))))</f>
        <v>12.568967990000001</v>
      </c>
      <c r="AF221" s="24">
        <f>IF(D221="M",(IF(AG221&lt;90,BMILMS!$D$14*AG221^3+BMILMS!$E$14*AG221^2+BMILMS!$F$14*AG221+BMILMS!$G$14,BMILMS!$D$15*AG221^3+BMILMS!$E$15*AG221^2+BMILMS!$F$15*AG221+BMILMS!$G$15)),(IF(AG221&lt;90,BMILMS!$D$17*AG221^3+BMILMS!$E$17*AG221^2+BMILMS!$F$17*AG221+BMILMS!$G$17,BMILMS!$D$18*AG221^3+BMILMS!$E$18*AG221^2+BMILMS!$F$18*AG221+BMILMS!$G$18)))</f>
        <v>8.8969350000000003E-2</v>
      </c>
      <c r="AG221" s="24">
        <f t="shared" si="64"/>
        <v>0</v>
      </c>
      <c r="AI221" s="38">
        <f>IF(D221="M",WeightSDS!P$5*$AG221^7+WeightSDS!Q$5*$AG221^6+WeightSDS!R$5*$AG221^5+WeightSDS!S$5*$AG221^4+WeightSDS!T$5*$AG221^3+WeightSDS!U$5*$AG221^2+WeightSDS!V$5*$AG221+WeightSDS!W$5,IF($AG221&lt;186,WeightSDS!P$8*$AG221^7+WeightSDS!Q$8*$AG221^6+WeightSDS!R$8*$AG221^5+WeightSDS!S$8*$AG221^4+WeightSDS!T$8*$AG221^3+WeightSDS!U$8*$AG221^2+WeightSDS!V$8*$AG221+WeightSDS!W$8,WeightSDS!$U$9-WeightSDS!$V$9*($AG221-WeightSDS!$W$9)))</f>
        <v>0.75407122999999998</v>
      </c>
      <c r="AJ221" s="24">
        <f>IF(D221="M",IF($AG221&lt;45,WeightSDS!M$23*$AG221^10+WeightSDS!N$23*$AG221^9+WeightSDS!O$23*$AG221^8+WeightSDS!P$23*$AG221^7+WeightSDS!Q$23*$AG221^6+WeightSDS!R$23*$AG221^5+WeightSDS!S$23*$AG221^4+WeightSDS!T$23*$AG221^3+WeightSDS!U$23*$AG221^2+WeightSDS!V$23*$AG221+WeightSDS!W$23,IF($AG221&lt;153,WeightSDS!M$25*$AG221^10+WeightSDS!N$25*$AG221^9+WeightSDS!O$25*$AG221^8+WeightSDS!P$25*$AG221^7+WeightSDS!Q$25*$AG221^6+WeightSDS!R$25*$AG221^5+WeightSDS!S$25*$AG221^4+WeightSDS!T$25*$AG221^3+WeightSDS!U$25*$AG221^2+WeightSDS!V$25*$AG221+WeightSDS!W$25,WeightSDS!M$27+WeightSDS!N$27/(1+EXP(WeightSDS!O$27+WeightSDS!P$27*$AG221)))),IF($AG221&lt;43.8,WeightSDS!M$29*$AG221^10+WeightSDS!N$29*$AG221^9+WeightSDS!O$29*$AG221^8+WeightSDS!P$29*$AG221^7+WeightSDS!Q$29*$AG221^6+WeightSDS!R$29*$AG221^5+WeightSDS!S$29*$AG221^4+WeightSDS!T$29*$AG221^3+WeightSDS!U$29*$AG221^2+WeightSDS!V$29*$AG221+WeightSDS!W$29-0.010431*(1-$AG221/210),IF($AG221&lt;123,WeightSDS!M$30*$AG221^10+WeightSDS!N$30*$AG221^9+WeightSDS!O$30*$AG221^8+WeightSDS!P$30*$AG221^7+WeightSDS!Q$30*$AG221^6+WeightSDS!R$30*$AG221^5+WeightSDS!S$30*$AG221^4+WeightSDS!T$30*$AG221^3+WeightSDS!U$30*$AG221^2+WeightSDS!V$30*$AG221+WeightSDS!W$30-0.010431*(1-1/$AG221),WeightSDS!M$32+WeightSDS!N$32/(1+EXP(WeightSDS!O$32+WeightSDS!P$32*$AG221))-0.010431*(1-$AG221/210))))</f>
        <v>2.9500001032655536</v>
      </c>
      <c r="AK221" s="24">
        <f>IF(D221="M",IF($AG221&lt;162,WeightSDS!P$12*$AG221^7+WeightSDS!Q$12*$AG221^6+WeightSDS!R$12*$AG221^5+WeightSDS!S$12*$AG221^4+WeightSDS!T$12*$AG221^3+WeightSDS!U$12*$AG221^2+WeightSDS!V$12*$AG221+WeightSDS!W$12,WeightSDS!P$14*$AG221^7+WeightSDS!Q$14*$AG221^6+WeightSDS!R$14*$AG221^5+WeightSDS!S$14*$AG221^4+WeightSDS!T$14*$AG221^3+WeightSDS!U$14*$AG221^2+WeightSDS!V$14*$AG221+WeightSDS!W$14),IF($AG221&lt;156,WeightSDS!O$17*$AG221^8+WeightSDS!P$17*$AG221^7+WeightSDS!Q$17*$AG221^6+WeightSDS!R$17*$AG221^5+WeightSDS!S$17*$AG221^4+WeightSDS!T$17*$AG221^3+WeightSDS!U$17*$AG221^2+WeightSDS!V$17*$AG221+WeightSDS!W$17,IF($AG221&lt;186,WeightSDS!$U$18+(WeightSDS!$V$18-WeightSDS!$U$18)/24*($AG221-186)+WeightSDS!$W$18*(-$AG221+186)^2-0.005,WeightSDS!$U$18+(WeightSDS!$V$18-WeightSDS!$U$18)/24*($AG221-186)-0.005)))</f>
        <v>0.14604529399999999</v>
      </c>
    </row>
    <row r="222" spans="1:37">
      <c r="A222" s="4"/>
      <c r="B222" s="21"/>
      <c r="C222" s="21"/>
      <c r="D222" s="21"/>
      <c r="E222" s="22"/>
      <c r="F222" s="22"/>
      <c r="G222" s="23"/>
      <c r="H222" s="23"/>
      <c r="I222" s="8" t="str">
        <f t="shared" si="50"/>
        <v/>
      </c>
      <c r="J222" s="2" t="str">
        <f t="shared" si="57"/>
        <v/>
      </c>
      <c r="K222" s="2" t="str">
        <f t="shared" si="51"/>
        <v/>
      </c>
      <c r="L222" s="2" t="str">
        <f t="shared" si="58"/>
        <v/>
      </c>
      <c r="M222" s="2" t="str">
        <f t="shared" si="63"/>
        <v/>
      </c>
      <c r="N222" s="2" t="str">
        <f t="shared" si="59"/>
        <v/>
      </c>
      <c r="O222" s="8" t="str">
        <f t="shared" si="60"/>
        <v/>
      </c>
      <c r="P222" s="8" t="str">
        <f t="shared" si="61"/>
        <v/>
      </c>
      <c r="Q222" s="40" t="str">
        <f t="shared" si="52"/>
        <v/>
      </c>
      <c r="R222" s="48" t="str">
        <f t="shared" si="62"/>
        <v/>
      </c>
      <c r="S222" s="8"/>
      <c r="U222" s="35">
        <f t="shared" si="53"/>
        <v>0</v>
      </c>
      <c r="V222" s="24">
        <f t="shared" si="54"/>
        <v>0</v>
      </c>
      <c r="W222" s="41">
        <f t="shared" ref="W222:W285" si="65">DATEDIF(E222,F222,"Y")+(F222-(DATE(YEAR(E222)+DATEDIF(E222,F222,"Y"),MONTH(E222),DAY(E222))))/(365+IF(MOD(YEAR((DATE(YEAR(F222)-1,MONTH(E222),DAY(E222)))),4)=0,IF((DATE(YEAR(F222)-1,MONTH(E222),DAY(E222)))&gt;DATE(YEAR((DATE(YEAR(F222)-1,MONTH(E222),DAY(E222)))),2,29),0,1),0)+IF(MOD(YEAR(F222),4)=0,IF(F222&gt;DATE(YEAR(F222),2,29),1,0),0))</f>
        <v>0</v>
      </c>
      <c r="X222" s="31"/>
      <c r="Y222" s="31"/>
      <c r="Z222" s="31"/>
      <c r="AA222" s="25">
        <f t="shared" si="55"/>
        <v>9.0359999999999996</v>
      </c>
      <c r="AB222" s="25">
        <f t="shared" si="56"/>
        <v>-184.49199999999999</v>
      </c>
      <c r="AD222" s="24">
        <f>IF(D222="M",IF(AG222&lt;78,BMILMS!$D$5*AG222^3+BMILMS!$E$5*AG222^2+BMILMS!$F$5*AG222+BMILMS!$G$5,IF(AG222&lt;150,BMILMS!$D$6*AG222^3+BMILMS!$E$6*AG222^2+BMILMS!$F$6*AG222+BMILMS!$G$6,BMILMS!$D$7*AG222^3+BMILMS!$E$7*AG222^2+BMILMS!$F$7*AG222+BMILMS!$G$7)),IF(AG222&lt;69,BMILMS!$D$9*AG222^3+BMILMS!$E$9*AG222^2+BMILMS!$F$9*AG222+BMILMS!$G$9,IF(AG222&lt;150,BMILMS!$D$10*AG222^3+BMILMS!$E$10*AG222^2+BMILMS!$F$10*AG222+BMILMS!$G$10,BMILMS!$D$11*AG222^3+BMILMS!$E$11*AG222^2+BMILMS!$F$11*AG222+BMILMS!$G$11)))</f>
        <v>0.79584630099999998</v>
      </c>
      <c r="AE222" s="24">
        <f>IF(D222="M",(IF(AG222&lt;2.5,BMILMS!$D$21*AG222^3+BMILMS!$E$21*AG222^2+BMILMS!$F$21*AG222+BMILMS!$G$21,IF(AG222&lt;9.5,BMILMS!$D$22*AG222^3+BMILMS!$E$22*AG222^2+BMILMS!$F$22*AG222+BMILMS!$G$22,IF(AG222&lt;26.75,BMILMS!$D$23*AG222^3+BMILMS!$E$23*AG222^2+BMILMS!$F$23*AG222+BMILMS!$G$23,IF(AG222&lt;90,BMILMS!$D$24*AG222^3+BMILMS!$E$24*AG222^2+BMILMS!$F$24*AG222+BMILMS!$G$24,BMILMS!$D$25*AG222^3+BMILMS!$E$25*AG222^2+BMILMS!$F$25*AG222+BMILMS!$G$25))))),(IF(AG222&lt;2.5,BMILMS!$D$27*AG222^3+BMILMS!$E$27*AG222^2+BMILMS!$F$27*AG222+BMILMS!$G$27,IF(AG222&lt;9.5,BMILMS!$D$28*AG222^3+BMILMS!$E$28*AG222^2+BMILMS!$F$28*AG222+BMILMS!$G$28,IF(AG222&lt;26.75,BMILMS!$D$29*AG222^3+BMILMS!$E$29*AG222^2+BMILMS!$F$29*AG222+BMILMS!$G$29,IF(AG222&lt;90,BMILMS!$D$30*AG222^3+BMILMS!$E$30*AG222^2+BMILMS!$F$30*AG222+BMILMS!$G$30,IF(AG222&lt;150,BMILMS!$D$31*AG222^3+BMILMS!$E$31*AG222^2+BMILMS!$F$31*AG222+BMILMS!$G$31,BMILMS!$D$32*AG222^3+BMILMS!$E$32*AG222^2+BMILMS!$F$32*AG222+BMILMS!$G$32)))))))</f>
        <v>12.568967990000001</v>
      </c>
      <c r="AF222" s="24">
        <f>IF(D222="M",(IF(AG222&lt;90,BMILMS!$D$14*AG222^3+BMILMS!$E$14*AG222^2+BMILMS!$F$14*AG222+BMILMS!$G$14,BMILMS!$D$15*AG222^3+BMILMS!$E$15*AG222^2+BMILMS!$F$15*AG222+BMILMS!$G$15)),(IF(AG222&lt;90,BMILMS!$D$17*AG222^3+BMILMS!$E$17*AG222^2+BMILMS!$F$17*AG222+BMILMS!$G$17,BMILMS!$D$18*AG222^3+BMILMS!$E$18*AG222^2+BMILMS!$F$18*AG222+BMILMS!$G$18)))</f>
        <v>8.8969350000000003E-2</v>
      </c>
      <c r="AG222" s="24">
        <f t="shared" si="64"/>
        <v>0</v>
      </c>
      <c r="AI222" s="38">
        <f>IF(D222="M",WeightSDS!P$5*$AG222^7+WeightSDS!Q$5*$AG222^6+WeightSDS!R$5*$AG222^5+WeightSDS!S$5*$AG222^4+WeightSDS!T$5*$AG222^3+WeightSDS!U$5*$AG222^2+WeightSDS!V$5*$AG222+WeightSDS!W$5,IF($AG222&lt;186,WeightSDS!P$8*$AG222^7+WeightSDS!Q$8*$AG222^6+WeightSDS!R$8*$AG222^5+WeightSDS!S$8*$AG222^4+WeightSDS!T$8*$AG222^3+WeightSDS!U$8*$AG222^2+WeightSDS!V$8*$AG222+WeightSDS!W$8,WeightSDS!$U$9-WeightSDS!$V$9*($AG222-WeightSDS!$W$9)))</f>
        <v>0.75407122999999998</v>
      </c>
      <c r="AJ222" s="24">
        <f>IF(D222="M",IF($AG222&lt;45,WeightSDS!M$23*$AG222^10+WeightSDS!N$23*$AG222^9+WeightSDS!O$23*$AG222^8+WeightSDS!P$23*$AG222^7+WeightSDS!Q$23*$AG222^6+WeightSDS!R$23*$AG222^5+WeightSDS!S$23*$AG222^4+WeightSDS!T$23*$AG222^3+WeightSDS!U$23*$AG222^2+WeightSDS!V$23*$AG222+WeightSDS!W$23,IF($AG222&lt;153,WeightSDS!M$25*$AG222^10+WeightSDS!N$25*$AG222^9+WeightSDS!O$25*$AG222^8+WeightSDS!P$25*$AG222^7+WeightSDS!Q$25*$AG222^6+WeightSDS!R$25*$AG222^5+WeightSDS!S$25*$AG222^4+WeightSDS!T$25*$AG222^3+WeightSDS!U$25*$AG222^2+WeightSDS!V$25*$AG222+WeightSDS!W$25,WeightSDS!M$27+WeightSDS!N$27/(1+EXP(WeightSDS!O$27+WeightSDS!P$27*$AG222)))),IF($AG222&lt;43.8,WeightSDS!M$29*$AG222^10+WeightSDS!N$29*$AG222^9+WeightSDS!O$29*$AG222^8+WeightSDS!P$29*$AG222^7+WeightSDS!Q$29*$AG222^6+WeightSDS!R$29*$AG222^5+WeightSDS!S$29*$AG222^4+WeightSDS!T$29*$AG222^3+WeightSDS!U$29*$AG222^2+WeightSDS!V$29*$AG222+WeightSDS!W$29-0.010431*(1-$AG222/210),IF($AG222&lt;123,WeightSDS!M$30*$AG222^10+WeightSDS!N$30*$AG222^9+WeightSDS!O$30*$AG222^8+WeightSDS!P$30*$AG222^7+WeightSDS!Q$30*$AG222^6+WeightSDS!R$30*$AG222^5+WeightSDS!S$30*$AG222^4+WeightSDS!T$30*$AG222^3+WeightSDS!U$30*$AG222^2+WeightSDS!V$30*$AG222+WeightSDS!W$30-0.010431*(1-1/$AG222),WeightSDS!M$32+WeightSDS!N$32/(1+EXP(WeightSDS!O$32+WeightSDS!P$32*$AG222))-0.010431*(1-$AG222/210))))</f>
        <v>2.9500001032655536</v>
      </c>
      <c r="AK222" s="24">
        <f>IF(D222="M",IF($AG222&lt;162,WeightSDS!P$12*$AG222^7+WeightSDS!Q$12*$AG222^6+WeightSDS!R$12*$AG222^5+WeightSDS!S$12*$AG222^4+WeightSDS!T$12*$AG222^3+WeightSDS!U$12*$AG222^2+WeightSDS!V$12*$AG222+WeightSDS!W$12,WeightSDS!P$14*$AG222^7+WeightSDS!Q$14*$AG222^6+WeightSDS!R$14*$AG222^5+WeightSDS!S$14*$AG222^4+WeightSDS!T$14*$AG222^3+WeightSDS!U$14*$AG222^2+WeightSDS!V$14*$AG222+WeightSDS!W$14),IF($AG222&lt;156,WeightSDS!O$17*$AG222^8+WeightSDS!P$17*$AG222^7+WeightSDS!Q$17*$AG222^6+WeightSDS!R$17*$AG222^5+WeightSDS!S$17*$AG222^4+WeightSDS!T$17*$AG222^3+WeightSDS!U$17*$AG222^2+WeightSDS!V$17*$AG222+WeightSDS!W$17,IF($AG222&lt;186,WeightSDS!$U$18+(WeightSDS!$V$18-WeightSDS!$U$18)/24*($AG222-186)+WeightSDS!$W$18*(-$AG222+186)^2-0.005,WeightSDS!$U$18+(WeightSDS!$V$18-WeightSDS!$U$18)/24*($AG222-186)-0.005)))</f>
        <v>0.14604529399999999</v>
      </c>
    </row>
    <row r="223" spans="1:37">
      <c r="A223" s="4"/>
      <c r="B223" s="21"/>
      <c r="C223" s="21"/>
      <c r="D223" s="21"/>
      <c r="E223" s="22"/>
      <c r="F223" s="22"/>
      <c r="G223" s="23"/>
      <c r="H223" s="23"/>
      <c r="I223" s="8" t="str">
        <f t="shared" si="50"/>
        <v/>
      </c>
      <c r="J223" s="2" t="str">
        <f t="shared" si="57"/>
        <v/>
      </c>
      <c r="K223" s="2" t="str">
        <f t="shared" si="51"/>
        <v/>
      </c>
      <c r="L223" s="2" t="str">
        <f t="shared" si="58"/>
        <v/>
      </c>
      <c r="M223" s="2" t="str">
        <f t="shared" si="63"/>
        <v/>
      </c>
      <c r="N223" s="2" t="str">
        <f t="shared" si="59"/>
        <v/>
      </c>
      <c r="O223" s="8" t="str">
        <f t="shared" si="60"/>
        <v/>
      </c>
      <c r="P223" s="8" t="str">
        <f t="shared" si="61"/>
        <v/>
      </c>
      <c r="Q223" s="40" t="str">
        <f t="shared" si="52"/>
        <v/>
      </c>
      <c r="R223" s="48" t="str">
        <f t="shared" si="62"/>
        <v/>
      </c>
      <c r="S223" s="8"/>
      <c r="U223" s="35">
        <f t="shared" si="53"/>
        <v>0</v>
      </c>
      <c r="V223" s="24">
        <f t="shared" si="54"/>
        <v>0</v>
      </c>
      <c r="W223" s="41">
        <f t="shared" si="65"/>
        <v>0</v>
      </c>
      <c r="X223" s="31"/>
      <c r="Y223" s="31"/>
      <c r="Z223" s="31"/>
      <c r="AA223" s="25">
        <f t="shared" si="55"/>
        <v>9.0359999999999996</v>
      </c>
      <c r="AB223" s="25">
        <f t="shared" si="56"/>
        <v>-184.49199999999999</v>
      </c>
      <c r="AD223" s="24">
        <f>IF(D223="M",IF(AG223&lt;78,BMILMS!$D$5*AG223^3+BMILMS!$E$5*AG223^2+BMILMS!$F$5*AG223+BMILMS!$G$5,IF(AG223&lt;150,BMILMS!$D$6*AG223^3+BMILMS!$E$6*AG223^2+BMILMS!$F$6*AG223+BMILMS!$G$6,BMILMS!$D$7*AG223^3+BMILMS!$E$7*AG223^2+BMILMS!$F$7*AG223+BMILMS!$G$7)),IF(AG223&lt;69,BMILMS!$D$9*AG223^3+BMILMS!$E$9*AG223^2+BMILMS!$F$9*AG223+BMILMS!$G$9,IF(AG223&lt;150,BMILMS!$D$10*AG223^3+BMILMS!$E$10*AG223^2+BMILMS!$F$10*AG223+BMILMS!$G$10,BMILMS!$D$11*AG223^3+BMILMS!$E$11*AG223^2+BMILMS!$F$11*AG223+BMILMS!$G$11)))</f>
        <v>0.79584630099999998</v>
      </c>
      <c r="AE223" s="24">
        <f>IF(D223="M",(IF(AG223&lt;2.5,BMILMS!$D$21*AG223^3+BMILMS!$E$21*AG223^2+BMILMS!$F$21*AG223+BMILMS!$G$21,IF(AG223&lt;9.5,BMILMS!$D$22*AG223^3+BMILMS!$E$22*AG223^2+BMILMS!$F$22*AG223+BMILMS!$G$22,IF(AG223&lt;26.75,BMILMS!$D$23*AG223^3+BMILMS!$E$23*AG223^2+BMILMS!$F$23*AG223+BMILMS!$G$23,IF(AG223&lt;90,BMILMS!$D$24*AG223^3+BMILMS!$E$24*AG223^2+BMILMS!$F$24*AG223+BMILMS!$G$24,BMILMS!$D$25*AG223^3+BMILMS!$E$25*AG223^2+BMILMS!$F$25*AG223+BMILMS!$G$25))))),(IF(AG223&lt;2.5,BMILMS!$D$27*AG223^3+BMILMS!$E$27*AG223^2+BMILMS!$F$27*AG223+BMILMS!$G$27,IF(AG223&lt;9.5,BMILMS!$D$28*AG223^3+BMILMS!$E$28*AG223^2+BMILMS!$F$28*AG223+BMILMS!$G$28,IF(AG223&lt;26.75,BMILMS!$D$29*AG223^3+BMILMS!$E$29*AG223^2+BMILMS!$F$29*AG223+BMILMS!$G$29,IF(AG223&lt;90,BMILMS!$D$30*AG223^3+BMILMS!$E$30*AG223^2+BMILMS!$F$30*AG223+BMILMS!$G$30,IF(AG223&lt;150,BMILMS!$D$31*AG223^3+BMILMS!$E$31*AG223^2+BMILMS!$F$31*AG223+BMILMS!$G$31,BMILMS!$D$32*AG223^3+BMILMS!$E$32*AG223^2+BMILMS!$F$32*AG223+BMILMS!$G$32)))))))</f>
        <v>12.568967990000001</v>
      </c>
      <c r="AF223" s="24">
        <f>IF(D223="M",(IF(AG223&lt;90,BMILMS!$D$14*AG223^3+BMILMS!$E$14*AG223^2+BMILMS!$F$14*AG223+BMILMS!$G$14,BMILMS!$D$15*AG223^3+BMILMS!$E$15*AG223^2+BMILMS!$F$15*AG223+BMILMS!$G$15)),(IF(AG223&lt;90,BMILMS!$D$17*AG223^3+BMILMS!$E$17*AG223^2+BMILMS!$F$17*AG223+BMILMS!$G$17,BMILMS!$D$18*AG223^3+BMILMS!$E$18*AG223^2+BMILMS!$F$18*AG223+BMILMS!$G$18)))</f>
        <v>8.8969350000000003E-2</v>
      </c>
      <c r="AG223" s="24">
        <f t="shared" si="64"/>
        <v>0</v>
      </c>
      <c r="AI223" s="38">
        <f>IF(D223="M",WeightSDS!P$5*$AG223^7+WeightSDS!Q$5*$AG223^6+WeightSDS!R$5*$AG223^5+WeightSDS!S$5*$AG223^4+WeightSDS!T$5*$AG223^3+WeightSDS!U$5*$AG223^2+WeightSDS!V$5*$AG223+WeightSDS!W$5,IF($AG223&lt;186,WeightSDS!P$8*$AG223^7+WeightSDS!Q$8*$AG223^6+WeightSDS!R$8*$AG223^5+WeightSDS!S$8*$AG223^4+WeightSDS!T$8*$AG223^3+WeightSDS!U$8*$AG223^2+WeightSDS!V$8*$AG223+WeightSDS!W$8,WeightSDS!$U$9-WeightSDS!$V$9*($AG223-WeightSDS!$W$9)))</f>
        <v>0.75407122999999998</v>
      </c>
      <c r="AJ223" s="24">
        <f>IF(D223="M",IF($AG223&lt;45,WeightSDS!M$23*$AG223^10+WeightSDS!N$23*$AG223^9+WeightSDS!O$23*$AG223^8+WeightSDS!P$23*$AG223^7+WeightSDS!Q$23*$AG223^6+WeightSDS!R$23*$AG223^5+WeightSDS!S$23*$AG223^4+WeightSDS!T$23*$AG223^3+WeightSDS!U$23*$AG223^2+WeightSDS!V$23*$AG223+WeightSDS!W$23,IF($AG223&lt;153,WeightSDS!M$25*$AG223^10+WeightSDS!N$25*$AG223^9+WeightSDS!O$25*$AG223^8+WeightSDS!P$25*$AG223^7+WeightSDS!Q$25*$AG223^6+WeightSDS!R$25*$AG223^5+WeightSDS!S$25*$AG223^4+WeightSDS!T$25*$AG223^3+WeightSDS!U$25*$AG223^2+WeightSDS!V$25*$AG223+WeightSDS!W$25,WeightSDS!M$27+WeightSDS!N$27/(1+EXP(WeightSDS!O$27+WeightSDS!P$27*$AG223)))),IF($AG223&lt;43.8,WeightSDS!M$29*$AG223^10+WeightSDS!N$29*$AG223^9+WeightSDS!O$29*$AG223^8+WeightSDS!P$29*$AG223^7+WeightSDS!Q$29*$AG223^6+WeightSDS!R$29*$AG223^5+WeightSDS!S$29*$AG223^4+WeightSDS!T$29*$AG223^3+WeightSDS!U$29*$AG223^2+WeightSDS!V$29*$AG223+WeightSDS!W$29-0.010431*(1-$AG223/210),IF($AG223&lt;123,WeightSDS!M$30*$AG223^10+WeightSDS!N$30*$AG223^9+WeightSDS!O$30*$AG223^8+WeightSDS!P$30*$AG223^7+WeightSDS!Q$30*$AG223^6+WeightSDS!R$30*$AG223^5+WeightSDS!S$30*$AG223^4+WeightSDS!T$30*$AG223^3+WeightSDS!U$30*$AG223^2+WeightSDS!V$30*$AG223+WeightSDS!W$30-0.010431*(1-1/$AG223),WeightSDS!M$32+WeightSDS!N$32/(1+EXP(WeightSDS!O$32+WeightSDS!P$32*$AG223))-0.010431*(1-$AG223/210))))</f>
        <v>2.9500001032655536</v>
      </c>
      <c r="AK223" s="24">
        <f>IF(D223="M",IF($AG223&lt;162,WeightSDS!P$12*$AG223^7+WeightSDS!Q$12*$AG223^6+WeightSDS!R$12*$AG223^5+WeightSDS!S$12*$AG223^4+WeightSDS!T$12*$AG223^3+WeightSDS!U$12*$AG223^2+WeightSDS!V$12*$AG223+WeightSDS!W$12,WeightSDS!P$14*$AG223^7+WeightSDS!Q$14*$AG223^6+WeightSDS!R$14*$AG223^5+WeightSDS!S$14*$AG223^4+WeightSDS!T$14*$AG223^3+WeightSDS!U$14*$AG223^2+WeightSDS!V$14*$AG223+WeightSDS!W$14),IF($AG223&lt;156,WeightSDS!O$17*$AG223^8+WeightSDS!P$17*$AG223^7+WeightSDS!Q$17*$AG223^6+WeightSDS!R$17*$AG223^5+WeightSDS!S$17*$AG223^4+WeightSDS!T$17*$AG223^3+WeightSDS!U$17*$AG223^2+WeightSDS!V$17*$AG223+WeightSDS!W$17,IF($AG223&lt;186,WeightSDS!$U$18+(WeightSDS!$V$18-WeightSDS!$U$18)/24*($AG223-186)+WeightSDS!$W$18*(-$AG223+186)^2-0.005,WeightSDS!$U$18+(WeightSDS!$V$18-WeightSDS!$U$18)/24*($AG223-186)-0.005)))</f>
        <v>0.14604529399999999</v>
      </c>
    </row>
    <row r="224" spans="1:37">
      <c r="A224" s="4"/>
      <c r="B224" s="21"/>
      <c r="C224" s="21"/>
      <c r="D224" s="21"/>
      <c r="E224" s="22"/>
      <c r="F224" s="22"/>
      <c r="G224" s="23"/>
      <c r="H224" s="23"/>
      <c r="I224" s="8" t="str">
        <f t="shared" si="50"/>
        <v/>
      </c>
      <c r="J224" s="2" t="str">
        <f t="shared" si="57"/>
        <v/>
      </c>
      <c r="K224" s="2" t="str">
        <f t="shared" si="51"/>
        <v/>
      </c>
      <c r="L224" s="2" t="str">
        <f t="shared" si="58"/>
        <v/>
      </c>
      <c r="M224" s="2" t="str">
        <f t="shared" si="63"/>
        <v/>
      </c>
      <c r="N224" s="2" t="str">
        <f t="shared" si="59"/>
        <v/>
      </c>
      <c r="O224" s="8" t="str">
        <f t="shared" si="60"/>
        <v/>
      </c>
      <c r="P224" s="8" t="str">
        <f t="shared" si="61"/>
        <v/>
      </c>
      <c r="Q224" s="40" t="str">
        <f t="shared" si="52"/>
        <v/>
      </c>
      <c r="R224" s="48" t="str">
        <f t="shared" si="62"/>
        <v/>
      </c>
      <c r="S224" s="8"/>
      <c r="U224" s="35">
        <f t="shared" si="53"/>
        <v>0</v>
      </c>
      <c r="V224" s="24">
        <f t="shared" si="54"/>
        <v>0</v>
      </c>
      <c r="W224" s="41">
        <f t="shared" si="65"/>
        <v>0</v>
      </c>
      <c r="X224" s="31"/>
      <c r="Y224" s="31"/>
      <c r="Z224" s="31"/>
      <c r="AA224" s="25">
        <f t="shared" si="55"/>
        <v>9.0359999999999996</v>
      </c>
      <c r="AB224" s="25">
        <f t="shared" si="56"/>
        <v>-184.49199999999999</v>
      </c>
      <c r="AD224" s="24">
        <f>IF(D224="M",IF(AG224&lt;78,BMILMS!$D$5*AG224^3+BMILMS!$E$5*AG224^2+BMILMS!$F$5*AG224+BMILMS!$G$5,IF(AG224&lt;150,BMILMS!$D$6*AG224^3+BMILMS!$E$6*AG224^2+BMILMS!$F$6*AG224+BMILMS!$G$6,BMILMS!$D$7*AG224^3+BMILMS!$E$7*AG224^2+BMILMS!$F$7*AG224+BMILMS!$G$7)),IF(AG224&lt;69,BMILMS!$D$9*AG224^3+BMILMS!$E$9*AG224^2+BMILMS!$F$9*AG224+BMILMS!$G$9,IF(AG224&lt;150,BMILMS!$D$10*AG224^3+BMILMS!$E$10*AG224^2+BMILMS!$F$10*AG224+BMILMS!$G$10,BMILMS!$D$11*AG224^3+BMILMS!$E$11*AG224^2+BMILMS!$F$11*AG224+BMILMS!$G$11)))</f>
        <v>0.79584630099999998</v>
      </c>
      <c r="AE224" s="24">
        <f>IF(D224="M",(IF(AG224&lt;2.5,BMILMS!$D$21*AG224^3+BMILMS!$E$21*AG224^2+BMILMS!$F$21*AG224+BMILMS!$G$21,IF(AG224&lt;9.5,BMILMS!$D$22*AG224^3+BMILMS!$E$22*AG224^2+BMILMS!$F$22*AG224+BMILMS!$G$22,IF(AG224&lt;26.75,BMILMS!$D$23*AG224^3+BMILMS!$E$23*AG224^2+BMILMS!$F$23*AG224+BMILMS!$G$23,IF(AG224&lt;90,BMILMS!$D$24*AG224^3+BMILMS!$E$24*AG224^2+BMILMS!$F$24*AG224+BMILMS!$G$24,BMILMS!$D$25*AG224^3+BMILMS!$E$25*AG224^2+BMILMS!$F$25*AG224+BMILMS!$G$25))))),(IF(AG224&lt;2.5,BMILMS!$D$27*AG224^3+BMILMS!$E$27*AG224^2+BMILMS!$F$27*AG224+BMILMS!$G$27,IF(AG224&lt;9.5,BMILMS!$D$28*AG224^3+BMILMS!$E$28*AG224^2+BMILMS!$F$28*AG224+BMILMS!$G$28,IF(AG224&lt;26.75,BMILMS!$D$29*AG224^3+BMILMS!$E$29*AG224^2+BMILMS!$F$29*AG224+BMILMS!$G$29,IF(AG224&lt;90,BMILMS!$D$30*AG224^3+BMILMS!$E$30*AG224^2+BMILMS!$F$30*AG224+BMILMS!$G$30,IF(AG224&lt;150,BMILMS!$D$31*AG224^3+BMILMS!$E$31*AG224^2+BMILMS!$F$31*AG224+BMILMS!$G$31,BMILMS!$D$32*AG224^3+BMILMS!$E$32*AG224^2+BMILMS!$F$32*AG224+BMILMS!$G$32)))))))</f>
        <v>12.568967990000001</v>
      </c>
      <c r="AF224" s="24">
        <f>IF(D224="M",(IF(AG224&lt;90,BMILMS!$D$14*AG224^3+BMILMS!$E$14*AG224^2+BMILMS!$F$14*AG224+BMILMS!$G$14,BMILMS!$D$15*AG224^3+BMILMS!$E$15*AG224^2+BMILMS!$F$15*AG224+BMILMS!$G$15)),(IF(AG224&lt;90,BMILMS!$D$17*AG224^3+BMILMS!$E$17*AG224^2+BMILMS!$F$17*AG224+BMILMS!$G$17,BMILMS!$D$18*AG224^3+BMILMS!$E$18*AG224^2+BMILMS!$F$18*AG224+BMILMS!$G$18)))</f>
        <v>8.8969350000000003E-2</v>
      </c>
      <c r="AG224" s="24">
        <f t="shared" si="64"/>
        <v>0</v>
      </c>
      <c r="AI224" s="38">
        <f>IF(D224="M",WeightSDS!P$5*$AG224^7+WeightSDS!Q$5*$AG224^6+WeightSDS!R$5*$AG224^5+WeightSDS!S$5*$AG224^4+WeightSDS!T$5*$AG224^3+WeightSDS!U$5*$AG224^2+WeightSDS!V$5*$AG224+WeightSDS!W$5,IF($AG224&lt;186,WeightSDS!P$8*$AG224^7+WeightSDS!Q$8*$AG224^6+WeightSDS!R$8*$AG224^5+WeightSDS!S$8*$AG224^4+WeightSDS!T$8*$AG224^3+WeightSDS!U$8*$AG224^2+WeightSDS!V$8*$AG224+WeightSDS!W$8,WeightSDS!$U$9-WeightSDS!$V$9*($AG224-WeightSDS!$W$9)))</f>
        <v>0.75407122999999998</v>
      </c>
      <c r="AJ224" s="24">
        <f>IF(D224="M",IF($AG224&lt;45,WeightSDS!M$23*$AG224^10+WeightSDS!N$23*$AG224^9+WeightSDS!O$23*$AG224^8+WeightSDS!P$23*$AG224^7+WeightSDS!Q$23*$AG224^6+WeightSDS!R$23*$AG224^5+WeightSDS!S$23*$AG224^4+WeightSDS!T$23*$AG224^3+WeightSDS!U$23*$AG224^2+WeightSDS!V$23*$AG224+WeightSDS!W$23,IF($AG224&lt;153,WeightSDS!M$25*$AG224^10+WeightSDS!N$25*$AG224^9+WeightSDS!O$25*$AG224^8+WeightSDS!P$25*$AG224^7+WeightSDS!Q$25*$AG224^6+WeightSDS!R$25*$AG224^5+WeightSDS!S$25*$AG224^4+WeightSDS!T$25*$AG224^3+WeightSDS!U$25*$AG224^2+WeightSDS!V$25*$AG224+WeightSDS!W$25,WeightSDS!M$27+WeightSDS!N$27/(1+EXP(WeightSDS!O$27+WeightSDS!P$27*$AG224)))),IF($AG224&lt;43.8,WeightSDS!M$29*$AG224^10+WeightSDS!N$29*$AG224^9+WeightSDS!O$29*$AG224^8+WeightSDS!P$29*$AG224^7+WeightSDS!Q$29*$AG224^6+WeightSDS!R$29*$AG224^5+WeightSDS!S$29*$AG224^4+WeightSDS!T$29*$AG224^3+WeightSDS!U$29*$AG224^2+WeightSDS!V$29*$AG224+WeightSDS!W$29-0.010431*(1-$AG224/210),IF($AG224&lt;123,WeightSDS!M$30*$AG224^10+WeightSDS!N$30*$AG224^9+WeightSDS!O$30*$AG224^8+WeightSDS!P$30*$AG224^7+WeightSDS!Q$30*$AG224^6+WeightSDS!R$30*$AG224^5+WeightSDS!S$30*$AG224^4+WeightSDS!T$30*$AG224^3+WeightSDS!U$30*$AG224^2+WeightSDS!V$30*$AG224+WeightSDS!W$30-0.010431*(1-1/$AG224),WeightSDS!M$32+WeightSDS!N$32/(1+EXP(WeightSDS!O$32+WeightSDS!P$32*$AG224))-0.010431*(1-$AG224/210))))</f>
        <v>2.9500001032655536</v>
      </c>
      <c r="AK224" s="24">
        <f>IF(D224="M",IF($AG224&lt;162,WeightSDS!P$12*$AG224^7+WeightSDS!Q$12*$AG224^6+WeightSDS!R$12*$AG224^5+WeightSDS!S$12*$AG224^4+WeightSDS!T$12*$AG224^3+WeightSDS!U$12*$AG224^2+WeightSDS!V$12*$AG224+WeightSDS!W$12,WeightSDS!P$14*$AG224^7+WeightSDS!Q$14*$AG224^6+WeightSDS!R$14*$AG224^5+WeightSDS!S$14*$AG224^4+WeightSDS!T$14*$AG224^3+WeightSDS!U$14*$AG224^2+WeightSDS!V$14*$AG224+WeightSDS!W$14),IF($AG224&lt;156,WeightSDS!O$17*$AG224^8+WeightSDS!P$17*$AG224^7+WeightSDS!Q$17*$AG224^6+WeightSDS!R$17*$AG224^5+WeightSDS!S$17*$AG224^4+WeightSDS!T$17*$AG224^3+WeightSDS!U$17*$AG224^2+WeightSDS!V$17*$AG224+WeightSDS!W$17,IF($AG224&lt;186,WeightSDS!$U$18+(WeightSDS!$V$18-WeightSDS!$U$18)/24*($AG224-186)+WeightSDS!$W$18*(-$AG224+186)^2-0.005,WeightSDS!$U$18+(WeightSDS!$V$18-WeightSDS!$U$18)/24*($AG224-186)-0.005)))</f>
        <v>0.14604529399999999</v>
      </c>
    </row>
    <row r="225" spans="1:37">
      <c r="A225" s="4"/>
      <c r="B225" s="21"/>
      <c r="C225" s="21"/>
      <c r="D225" s="21"/>
      <c r="E225" s="22"/>
      <c r="F225" s="22"/>
      <c r="G225" s="23"/>
      <c r="H225" s="23"/>
      <c r="I225" s="8" t="str">
        <f t="shared" si="50"/>
        <v/>
      </c>
      <c r="J225" s="2" t="str">
        <f t="shared" si="57"/>
        <v/>
      </c>
      <c r="K225" s="2" t="str">
        <f t="shared" si="51"/>
        <v/>
      </c>
      <c r="L225" s="2" t="str">
        <f t="shared" si="58"/>
        <v/>
      </c>
      <c r="M225" s="2" t="str">
        <f t="shared" si="63"/>
        <v/>
      </c>
      <c r="N225" s="2" t="str">
        <f t="shared" si="59"/>
        <v/>
      </c>
      <c r="O225" s="8" t="str">
        <f t="shared" si="60"/>
        <v/>
      </c>
      <c r="P225" s="8" t="str">
        <f t="shared" si="61"/>
        <v/>
      </c>
      <c r="Q225" s="40" t="str">
        <f t="shared" si="52"/>
        <v/>
      </c>
      <c r="R225" s="48" t="str">
        <f t="shared" si="62"/>
        <v/>
      </c>
      <c r="S225" s="8"/>
      <c r="U225" s="35">
        <f t="shared" si="53"/>
        <v>0</v>
      </c>
      <c r="V225" s="24">
        <f t="shared" si="54"/>
        <v>0</v>
      </c>
      <c r="W225" s="41">
        <f t="shared" si="65"/>
        <v>0</v>
      </c>
      <c r="X225" s="31"/>
      <c r="Y225" s="31"/>
      <c r="Z225" s="31"/>
      <c r="AA225" s="25">
        <f t="shared" si="55"/>
        <v>9.0359999999999996</v>
      </c>
      <c r="AB225" s="25">
        <f t="shared" si="56"/>
        <v>-184.49199999999999</v>
      </c>
      <c r="AD225" s="24">
        <f>IF(D225="M",IF(AG225&lt;78,BMILMS!$D$5*AG225^3+BMILMS!$E$5*AG225^2+BMILMS!$F$5*AG225+BMILMS!$G$5,IF(AG225&lt;150,BMILMS!$D$6*AG225^3+BMILMS!$E$6*AG225^2+BMILMS!$F$6*AG225+BMILMS!$G$6,BMILMS!$D$7*AG225^3+BMILMS!$E$7*AG225^2+BMILMS!$F$7*AG225+BMILMS!$G$7)),IF(AG225&lt;69,BMILMS!$D$9*AG225^3+BMILMS!$E$9*AG225^2+BMILMS!$F$9*AG225+BMILMS!$G$9,IF(AG225&lt;150,BMILMS!$D$10*AG225^3+BMILMS!$E$10*AG225^2+BMILMS!$F$10*AG225+BMILMS!$G$10,BMILMS!$D$11*AG225^3+BMILMS!$E$11*AG225^2+BMILMS!$F$11*AG225+BMILMS!$G$11)))</f>
        <v>0.79584630099999998</v>
      </c>
      <c r="AE225" s="24">
        <f>IF(D225="M",(IF(AG225&lt;2.5,BMILMS!$D$21*AG225^3+BMILMS!$E$21*AG225^2+BMILMS!$F$21*AG225+BMILMS!$G$21,IF(AG225&lt;9.5,BMILMS!$D$22*AG225^3+BMILMS!$E$22*AG225^2+BMILMS!$F$22*AG225+BMILMS!$G$22,IF(AG225&lt;26.75,BMILMS!$D$23*AG225^3+BMILMS!$E$23*AG225^2+BMILMS!$F$23*AG225+BMILMS!$G$23,IF(AG225&lt;90,BMILMS!$D$24*AG225^3+BMILMS!$E$24*AG225^2+BMILMS!$F$24*AG225+BMILMS!$G$24,BMILMS!$D$25*AG225^3+BMILMS!$E$25*AG225^2+BMILMS!$F$25*AG225+BMILMS!$G$25))))),(IF(AG225&lt;2.5,BMILMS!$D$27*AG225^3+BMILMS!$E$27*AG225^2+BMILMS!$F$27*AG225+BMILMS!$G$27,IF(AG225&lt;9.5,BMILMS!$D$28*AG225^3+BMILMS!$E$28*AG225^2+BMILMS!$F$28*AG225+BMILMS!$G$28,IF(AG225&lt;26.75,BMILMS!$D$29*AG225^3+BMILMS!$E$29*AG225^2+BMILMS!$F$29*AG225+BMILMS!$G$29,IF(AG225&lt;90,BMILMS!$D$30*AG225^3+BMILMS!$E$30*AG225^2+BMILMS!$F$30*AG225+BMILMS!$G$30,IF(AG225&lt;150,BMILMS!$D$31*AG225^3+BMILMS!$E$31*AG225^2+BMILMS!$F$31*AG225+BMILMS!$G$31,BMILMS!$D$32*AG225^3+BMILMS!$E$32*AG225^2+BMILMS!$F$32*AG225+BMILMS!$G$32)))))))</f>
        <v>12.568967990000001</v>
      </c>
      <c r="AF225" s="24">
        <f>IF(D225="M",(IF(AG225&lt;90,BMILMS!$D$14*AG225^3+BMILMS!$E$14*AG225^2+BMILMS!$F$14*AG225+BMILMS!$G$14,BMILMS!$D$15*AG225^3+BMILMS!$E$15*AG225^2+BMILMS!$F$15*AG225+BMILMS!$G$15)),(IF(AG225&lt;90,BMILMS!$D$17*AG225^3+BMILMS!$E$17*AG225^2+BMILMS!$F$17*AG225+BMILMS!$G$17,BMILMS!$D$18*AG225^3+BMILMS!$E$18*AG225^2+BMILMS!$F$18*AG225+BMILMS!$G$18)))</f>
        <v>8.8969350000000003E-2</v>
      </c>
      <c r="AG225" s="24">
        <f t="shared" si="64"/>
        <v>0</v>
      </c>
      <c r="AI225" s="38">
        <f>IF(D225="M",WeightSDS!P$5*$AG225^7+WeightSDS!Q$5*$AG225^6+WeightSDS!R$5*$AG225^5+WeightSDS!S$5*$AG225^4+WeightSDS!T$5*$AG225^3+WeightSDS!U$5*$AG225^2+WeightSDS!V$5*$AG225+WeightSDS!W$5,IF($AG225&lt;186,WeightSDS!P$8*$AG225^7+WeightSDS!Q$8*$AG225^6+WeightSDS!R$8*$AG225^5+WeightSDS!S$8*$AG225^4+WeightSDS!T$8*$AG225^3+WeightSDS!U$8*$AG225^2+WeightSDS!V$8*$AG225+WeightSDS!W$8,WeightSDS!$U$9-WeightSDS!$V$9*($AG225-WeightSDS!$W$9)))</f>
        <v>0.75407122999999998</v>
      </c>
      <c r="AJ225" s="24">
        <f>IF(D225="M",IF($AG225&lt;45,WeightSDS!M$23*$AG225^10+WeightSDS!N$23*$AG225^9+WeightSDS!O$23*$AG225^8+WeightSDS!P$23*$AG225^7+WeightSDS!Q$23*$AG225^6+WeightSDS!R$23*$AG225^5+WeightSDS!S$23*$AG225^4+WeightSDS!T$23*$AG225^3+WeightSDS!U$23*$AG225^2+WeightSDS!V$23*$AG225+WeightSDS!W$23,IF($AG225&lt;153,WeightSDS!M$25*$AG225^10+WeightSDS!N$25*$AG225^9+WeightSDS!O$25*$AG225^8+WeightSDS!P$25*$AG225^7+WeightSDS!Q$25*$AG225^6+WeightSDS!R$25*$AG225^5+WeightSDS!S$25*$AG225^4+WeightSDS!T$25*$AG225^3+WeightSDS!U$25*$AG225^2+WeightSDS!V$25*$AG225+WeightSDS!W$25,WeightSDS!M$27+WeightSDS!N$27/(1+EXP(WeightSDS!O$27+WeightSDS!P$27*$AG225)))),IF($AG225&lt;43.8,WeightSDS!M$29*$AG225^10+WeightSDS!N$29*$AG225^9+WeightSDS!O$29*$AG225^8+WeightSDS!P$29*$AG225^7+WeightSDS!Q$29*$AG225^6+WeightSDS!R$29*$AG225^5+WeightSDS!S$29*$AG225^4+WeightSDS!T$29*$AG225^3+WeightSDS!U$29*$AG225^2+WeightSDS!V$29*$AG225+WeightSDS!W$29-0.010431*(1-$AG225/210),IF($AG225&lt;123,WeightSDS!M$30*$AG225^10+WeightSDS!N$30*$AG225^9+WeightSDS!O$30*$AG225^8+WeightSDS!P$30*$AG225^7+WeightSDS!Q$30*$AG225^6+WeightSDS!R$30*$AG225^5+WeightSDS!S$30*$AG225^4+WeightSDS!T$30*$AG225^3+WeightSDS!U$30*$AG225^2+WeightSDS!V$30*$AG225+WeightSDS!W$30-0.010431*(1-1/$AG225),WeightSDS!M$32+WeightSDS!N$32/(1+EXP(WeightSDS!O$32+WeightSDS!P$32*$AG225))-0.010431*(1-$AG225/210))))</f>
        <v>2.9500001032655536</v>
      </c>
      <c r="AK225" s="24">
        <f>IF(D225="M",IF($AG225&lt;162,WeightSDS!P$12*$AG225^7+WeightSDS!Q$12*$AG225^6+WeightSDS!R$12*$AG225^5+WeightSDS!S$12*$AG225^4+WeightSDS!T$12*$AG225^3+WeightSDS!U$12*$AG225^2+WeightSDS!V$12*$AG225+WeightSDS!W$12,WeightSDS!P$14*$AG225^7+WeightSDS!Q$14*$AG225^6+WeightSDS!R$14*$AG225^5+WeightSDS!S$14*$AG225^4+WeightSDS!T$14*$AG225^3+WeightSDS!U$14*$AG225^2+WeightSDS!V$14*$AG225+WeightSDS!W$14),IF($AG225&lt;156,WeightSDS!O$17*$AG225^8+WeightSDS!P$17*$AG225^7+WeightSDS!Q$17*$AG225^6+WeightSDS!R$17*$AG225^5+WeightSDS!S$17*$AG225^4+WeightSDS!T$17*$AG225^3+WeightSDS!U$17*$AG225^2+WeightSDS!V$17*$AG225+WeightSDS!W$17,IF($AG225&lt;186,WeightSDS!$U$18+(WeightSDS!$V$18-WeightSDS!$U$18)/24*($AG225-186)+WeightSDS!$W$18*(-$AG225+186)^2-0.005,WeightSDS!$U$18+(WeightSDS!$V$18-WeightSDS!$U$18)/24*($AG225-186)-0.005)))</f>
        <v>0.14604529399999999</v>
      </c>
    </row>
    <row r="226" spans="1:37">
      <c r="A226" s="4"/>
      <c r="B226" s="21"/>
      <c r="C226" s="21"/>
      <c r="D226" s="21"/>
      <c r="E226" s="22"/>
      <c r="F226" s="22"/>
      <c r="G226" s="23"/>
      <c r="H226" s="23"/>
      <c r="I226" s="8" t="str">
        <f t="shared" si="50"/>
        <v/>
      </c>
      <c r="J226" s="2" t="str">
        <f t="shared" si="57"/>
        <v/>
      </c>
      <c r="K226" s="2" t="str">
        <f t="shared" si="51"/>
        <v/>
      </c>
      <c r="L226" s="2" t="str">
        <f t="shared" si="58"/>
        <v/>
      </c>
      <c r="M226" s="2" t="str">
        <f t="shared" si="63"/>
        <v/>
      </c>
      <c r="N226" s="2" t="str">
        <f t="shared" si="59"/>
        <v/>
      </c>
      <c r="O226" s="8" t="str">
        <f t="shared" si="60"/>
        <v/>
      </c>
      <c r="P226" s="8" t="str">
        <f t="shared" si="61"/>
        <v/>
      </c>
      <c r="Q226" s="40" t="str">
        <f t="shared" si="52"/>
        <v/>
      </c>
      <c r="R226" s="48" t="str">
        <f t="shared" si="62"/>
        <v/>
      </c>
      <c r="S226" s="8"/>
      <c r="U226" s="35">
        <f t="shared" si="53"/>
        <v>0</v>
      </c>
      <c r="V226" s="24">
        <f t="shared" si="54"/>
        <v>0</v>
      </c>
      <c r="W226" s="41">
        <f t="shared" si="65"/>
        <v>0</v>
      </c>
      <c r="X226" s="31"/>
      <c r="Y226" s="31"/>
      <c r="Z226" s="31"/>
      <c r="AA226" s="25">
        <f t="shared" si="55"/>
        <v>9.0359999999999996</v>
      </c>
      <c r="AB226" s="25">
        <f t="shared" si="56"/>
        <v>-184.49199999999999</v>
      </c>
      <c r="AD226" s="24">
        <f>IF(D226="M",IF(AG226&lt;78,BMILMS!$D$5*AG226^3+BMILMS!$E$5*AG226^2+BMILMS!$F$5*AG226+BMILMS!$G$5,IF(AG226&lt;150,BMILMS!$D$6*AG226^3+BMILMS!$E$6*AG226^2+BMILMS!$F$6*AG226+BMILMS!$G$6,BMILMS!$D$7*AG226^3+BMILMS!$E$7*AG226^2+BMILMS!$F$7*AG226+BMILMS!$G$7)),IF(AG226&lt;69,BMILMS!$D$9*AG226^3+BMILMS!$E$9*AG226^2+BMILMS!$F$9*AG226+BMILMS!$G$9,IF(AG226&lt;150,BMILMS!$D$10*AG226^3+BMILMS!$E$10*AG226^2+BMILMS!$F$10*AG226+BMILMS!$G$10,BMILMS!$D$11*AG226^3+BMILMS!$E$11*AG226^2+BMILMS!$F$11*AG226+BMILMS!$G$11)))</f>
        <v>0.79584630099999998</v>
      </c>
      <c r="AE226" s="24">
        <f>IF(D226="M",(IF(AG226&lt;2.5,BMILMS!$D$21*AG226^3+BMILMS!$E$21*AG226^2+BMILMS!$F$21*AG226+BMILMS!$G$21,IF(AG226&lt;9.5,BMILMS!$D$22*AG226^3+BMILMS!$E$22*AG226^2+BMILMS!$F$22*AG226+BMILMS!$G$22,IF(AG226&lt;26.75,BMILMS!$D$23*AG226^3+BMILMS!$E$23*AG226^2+BMILMS!$F$23*AG226+BMILMS!$G$23,IF(AG226&lt;90,BMILMS!$D$24*AG226^3+BMILMS!$E$24*AG226^2+BMILMS!$F$24*AG226+BMILMS!$G$24,BMILMS!$D$25*AG226^3+BMILMS!$E$25*AG226^2+BMILMS!$F$25*AG226+BMILMS!$G$25))))),(IF(AG226&lt;2.5,BMILMS!$D$27*AG226^3+BMILMS!$E$27*AG226^2+BMILMS!$F$27*AG226+BMILMS!$G$27,IF(AG226&lt;9.5,BMILMS!$D$28*AG226^3+BMILMS!$E$28*AG226^2+BMILMS!$F$28*AG226+BMILMS!$G$28,IF(AG226&lt;26.75,BMILMS!$D$29*AG226^3+BMILMS!$E$29*AG226^2+BMILMS!$F$29*AG226+BMILMS!$G$29,IF(AG226&lt;90,BMILMS!$D$30*AG226^3+BMILMS!$E$30*AG226^2+BMILMS!$F$30*AG226+BMILMS!$G$30,IF(AG226&lt;150,BMILMS!$D$31*AG226^3+BMILMS!$E$31*AG226^2+BMILMS!$F$31*AG226+BMILMS!$G$31,BMILMS!$D$32*AG226^3+BMILMS!$E$32*AG226^2+BMILMS!$F$32*AG226+BMILMS!$G$32)))))))</f>
        <v>12.568967990000001</v>
      </c>
      <c r="AF226" s="24">
        <f>IF(D226="M",(IF(AG226&lt;90,BMILMS!$D$14*AG226^3+BMILMS!$E$14*AG226^2+BMILMS!$F$14*AG226+BMILMS!$G$14,BMILMS!$D$15*AG226^3+BMILMS!$E$15*AG226^2+BMILMS!$F$15*AG226+BMILMS!$G$15)),(IF(AG226&lt;90,BMILMS!$D$17*AG226^3+BMILMS!$E$17*AG226^2+BMILMS!$F$17*AG226+BMILMS!$G$17,BMILMS!$D$18*AG226^3+BMILMS!$E$18*AG226^2+BMILMS!$F$18*AG226+BMILMS!$G$18)))</f>
        <v>8.8969350000000003E-2</v>
      </c>
      <c r="AG226" s="24">
        <f t="shared" si="64"/>
        <v>0</v>
      </c>
      <c r="AI226" s="38">
        <f>IF(D226="M",WeightSDS!P$5*$AG226^7+WeightSDS!Q$5*$AG226^6+WeightSDS!R$5*$AG226^5+WeightSDS!S$5*$AG226^4+WeightSDS!T$5*$AG226^3+WeightSDS!U$5*$AG226^2+WeightSDS!V$5*$AG226+WeightSDS!W$5,IF($AG226&lt;186,WeightSDS!P$8*$AG226^7+WeightSDS!Q$8*$AG226^6+WeightSDS!R$8*$AG226^5+WeightSDS!S$8*$AG226^4+WeightSDS!T$8*$AG226^3+WeightSDS!U$8*$AG226^2+WeightSDS!V$8*$AG226+WeightSDS!W$8,WeightSDS!$U$9-WeightSDS!$V$9*($AG226-WeightSDS!$W$9)))</f>
        <v>0.75407122999999998</v>
      </c>
      <c r="AJ226" s="24">
        <f>IF(D226="M",IF($AG226&lt;45,WeightSDS!M$23*$AG226^10+WeightSDS!N$23*$AG226^9+WeightSDS!O$23*$AG226^8+WeightSDS!P$23*$AG226^7+WeightSDS!Q$23*$AG226^6+WeightSDS!R$23*$AG226^5+WeightSDS!S$23*$AG226^4+WeightSDS!T$23*$AG226^3+WeightSDS!U$23*$AG226^2+WeightSDS!V$23*$AG226+WeightSDS!W$23,IF($AG226&lt;153,WeightSDS!M$25*$AG226^10+WeightSDS!N$25*$AG226^9+WeightSDS!O$25*$AG226^8+WeightSDS!P$25*$AG226^7+WeightSDS!Q$25*$AG226^6+WeightSDS!R$25*$AG226^5+WeightSDS!S$25*$AG226^4+WeightSDS!T$25*$AG226^3+WeightSDS!U$25*$AG226^2+WeightSDS!V$25*$AG226+WeightSDS!W$25,WeightSDS!M$27+WeightSDS!N$27/(1+EXP(WeightSDS!O$27+WeightSDS!P$27*$AG226)))),IF($AG226&lt;43.8,WeightSDS!M$29*$AG226^10+WeightSDS!N$29*$AG226^9+WeightSDS!O$29*$AG226^8+WeightSDS!P$29*$AG226^7+WeightSDS!Q$29*$AG226^6+WeightSDS!R$29*$AG226^5+WeightSDS!S$29*$AG226^4+WeightSDS!T$29*$AG226^3+WeightSDS!U$29*$AG226^2+WeightSDS!V$29*$AG226+WeightSDS!W$29-0.010431*(1-$AG226/210),IF($AG226&lt;123,WeightSDS!M$30*$AG226^10+WeightSDS!N$30*$AG226^9+WeightSDS!O$30*$AG226^8+WeightSDS!P$30*$AG226^7+WeightSDS!Q$30*$AG226^6+WeightSDS!R$30*$AG226^5+WeightSDS!S$30*$AG226^4+WeightSDS!T$30*$AG226^3+WeightSDS!U$30*$AG226^2+WeightSDS!V$30*$AG226+WeightSDS!W$30-0.010431*(1-1/$AG226),WeightSDS!M$32+WeightSDS!N$32/(1+EXP(WeightSDS!O$32+WeightSDS!P$32*$AG226))-0.010431*(1-$AG226/210))))</f>
        <v>2.9500001032655536</v>
      </c>
      <c r="AK226" s="24">
        <f>IF(D226="M",IF($AG226&lt;162,WeightSDS!P$12*$AG226^7+WeightSDS!Q$12*$AG226^6+WeightSDS!R$12*$AG226^5+WeightSDS!S$12*$AG226^4+WeightSDS!T$12*$AG226^3+WeightSDS!U$12*$AG226^2+WeightSDS!V$12*$AG226+WeightSDS!W$12,WeightSDS!P$14*$AG226^7+WeightSDS!Q$14*$AG226^6+WeightSDS!R$14*$AG226^5+WeightSDS!S$14*$AG226^4+WeightSDS!T$14*$AG226^3+WeightSDS!U$14*$AG226^2+WeightSDS!V$14*$AG226+WeightSDS!W$14),IF($AG226&lt;156,WeightSDS!O$17*$AG226^8+WeightSDS!P$17*$AG226^7+WeightSDS!Q$17*$AG226^6+WeightSDS!R$17*$AG226^5+WeightSDS!S$17*$AG226^4+WeightSDS!T$17*$AG226^3+WeightSDS!U$17*$AG226^2+WeightSDS!V$17*$AG226+WeightSDS!W$17,IF($AG226&lt;186,WeightSDS!$U$18+(WeightSDS!$V$18-WeightSDS!$U$18)/24*($AG226-186)+WeightSDS!$W$18*(-$AG226+186)^2-0.005,WeightSDS!$U$18+(WeightSDS!$V$18-WeightSDS!$U$18)/24*($AG226-186)-0.005)))</f>
        <v>0.14604529399999999</v>
      </c>
    </row>
    <row r="227" spans="1:37">
      <c r="A227" s="4"/>
      <c r="B227" s="21"/>
      <c r="C227" s="21"/>
      <c r="D227" s="21"/>
      <c r="E227" s="22"/>
      <c r="F227" s="22"/>
      <c r="G227" s="23"/>
      <c r="H227" s="23"/>
      <c r="I227" s="8" t="str">
        <f t="shared" si="50"/>
        <v/>
      </c>
      <c r="J227" s="2" t="str">
        <f t="shared" si="57"/>
        <v/>
      </c>
      <c r="K227" s="2" t="str">
        <f t="shared" si="51"/>
        <v/>
      </c>
      <c r="L227" s="2" t="str">
        <f t="shared" si="58"/>
        <v/>
      </c>
      <c r="M227" s="2" t="str">
        <f t="shared" si="63"/>
        <v/>
      </c>
      <c r="N227" s="2" t="str">
        <f t="shared" si="59"/>
        <v/>
      </c>
      <c r="O227" s="8" t="str">
        <f t="shared" si="60"/>
        <v/>
      </c>
      <c r="P227" s="8" t="str">
        <f t="shared" si="61"/>
        <v/>
      </c>
      <c r="Q227" s="40" t="str">
        <f t="shared" si="52"/>
        <v/>
      </c>
      <c r="R227" s="48" t="str">
        <f t="shared" si="62"/>
        <v/>
      </c>
      <c r="S227" s="8"/>
      <c r="U227" s="35">
        <f t="shared" si="53"/>
        <v>0</v>
      </c>
      <c r="V227" s="24">
        <f t="shared" si="54"/>
        <v>0</v>
      </c>
      <c r="W227" s="41">
        <f t="shared" si="65"/>
        <v>0</v>
      </c>
      <c r="X227" s="31"/>
      <c r="Y227" s="31"/>
      <c r="Z227" s="31"/>
      <c r="AA227" s="25">
        <f t="shared" si="55"/>
        <v>9.0359999999999996</v>
      </c>
      <c r="AB227" s="25">
        <f t="shared" si="56"/>
        <v>-184.49199999999999</v>
      </c>
      <c r="AD227" s="24">
        <f>IF(D227="M",IF(AG227&lt;78,BMILMS!$D$5*AG227^3+BMILMS!$E$5*AG227^2+BMILMS!$F$5*AG227+BMILMS!$G$5,IF(AG227&lt;150,BMILMS!$D$6*AG227^3+BMILMS!$E$6*AG227^2+BMILMS!$F$6*AG227+BMILMS!$G$6,BMILMS!$D$7*AG227^3+BMILMS!$E$7*AG227^2+BMILMS!$F$7*AG227+BMILMS!$G$7)),IF(AG227&lt;69,BMILMS!$D$9*AG227^3+BMILMS!$E$9*AG227^2+BMILMS!$F$9*AG227+BMILMS!$G$9,IF(AG227&lt;150,BMILMS!$D$10*AG227^3+BMILMS!$E$10*AG227^2+BMILMS!$F$10*AG227+BMILMS!$G$10,BMILMS!$D$11*AG227^3+BMILMS!$E$11*AG227^2+BMILMS!$F$11*AG227+BMILMS!$G$11)))</f>
        <v>0.79584630099999998</v>
      </c>
      <c r="AE227" s="24">
        <f>IF(D227="M",(IF(AG227&lt;2.5,BMILMS!$D$21*AG227^3+BMILMS!$E$21*AG227^2+BMILMS!$F$21*AG227+BMILMS!$G$21,IF(AG227&lt;9.5,BMILMS!$D$22*AG227^3+BMILMS!$E$22*AG227^2+BMILMS!$F$22*AG227+BMILMS!$G$22,IF(AG227&lt;26.75,BMILMS!$D$23*AG227^3+BMILMS!$E$23*AG227^2+BMILMS!$F$23*AG227+BMILMS!$G$23,IF(AG227&lt;90,BMILMS!$D$24*AG227^3+BMILMS!$E$24*AG227^2+BMILMS!$F$24*AG227+BMILMS!$G$24,BMILMS!$D$25*AG227^3+BMILMS!$E$25*AG227^2+BMILMS!$F$25*AG227+BMILMS!$G$25))))),(IF(AG227&lt;2.5,BMILMS!$D$27*AG227^3+BMILMS!$E$27*AG227^2+BMILMS!$F$27*AG227+BMILMS!$G$27,IF(AG227&lt;9.5,BMILMS!$D$28*AG227^3+BMILMS!$E$28*AG227^2+BMILMS!$F$28*AG227+BMILMS!$G$28,IF(AG227&lt;26.75,BMILMS!$D$29*AG227^3+BMILMS!$E$29*AG227^2+BMILMS!$F$29*AG227+BMILMS!$G$29,IF(AG227&lt;90,BMILMS!$D$30*AG227^3+BMILMS!$E$30*AG227^2+BMILMS!$F$30*AG227+BMILMS!$G$30,IF(AG227&lt;150,BMILMS!$D$31*AG227^3+BMILMS!$E$31*AG227^2+BMILMS!$F$31*AG227+BMILMS!$G$31,BMILMS!$D$32*AG227^3+BMILMS!$E$32*AG227^2+BMILMS!$F$32*AG227+BMILMS!$G$32)))))))</f>
        <v>12.568967990000001</v>
      </c>
      <c r="AF227" s="24">
        <f>IF(D227="M",(IF(AG227&lt;90,BMILMS!$D$14*AG227^3+BMILMS!$E$14*AG227^2+BMILMS!$F$14*AG227+BMILMS!$G$14,BMILMS!$D$15*AG227^3+BMILMS!$E$15*AG227^2+BMILMS!$F$15*AG227+BMILMS!$G$15)),(IF(AG227&lt;90,BMILMS!$D$17*AG227^3+BMILMS!$E$17*AG227^2+BMILMS!$F$17*AG227+BMILMS!$G$17,BMILMS!$D$18*AG227^3+BMILMS!$E$18*AG227^2+BMILMS!$F$18*AG227+BMILMS!$G$18)))</f>
        <v>8.8969350000000003E-2</v>
      </c>
      <c r="AG227" s="24">
        <f t="shared" si="64"/>
        <v>0</v>
      </c>
      <c r="AI227" s="38">
        <f>IF(D227="M",WeightSDS!P$5*$AG227^7+WeightSDS!Q$5*$AG227^6+WeightSDS!R$5*$AG227^5+WeightSDS!S$5*$AG227^4+WeightSDS!T$5*$AG227^3+WeightSDS!U$5*$AG227^2+WeightSDS!V$5*$AG227+WeightSDS!W$5,IF($AG227&lt;186,WeightSDS!P$8*$AG227^7+WeightSDS!Q$8*$AG227^6+WeightSDS!R$8*$AG227^5+WeightSDS!S$8*$AG227^4+WeightSDS!T$8*$AG227^3+WeightSDS!U$8*$AG227^2+WeightSDS!V$8*$AG227+WeightSDS!W$8,WeightSDS!$U$9-WeightSDS!$V$9*($AG227-WeightSDS!$W$9)))</f>
        <v>0.75407122999999998</v>
      </c>
      <c r="AJ227" s="24">
        <f>IF(D227="M",IF($AG227&lt;45,WeightSDS!M$23*$AG227^10+WeightSDS!N$23*$AG227^9+WeightSDS!O$23*$AG227^8+WeightSDS!P$23*$AG227^7+WeightSDS!Q$23*$AG227^6+WeightSDS!R$23*$AG227^5+WeightSDS!S$23*$AG227^4+WeightSDS!T$23*$AG227^3+WeightSDS!U$23*$AG227^2+WeightSDS!V$23*$AG227+WeightSDS!W$23,IF($AG227&lt;153,WeightSDS!M$25*$AG227^10+WeightSDS!N$25*$AG227^9+WeightSDS!O$25*$AG227^8+WeightSDS!P$25*$AG227^7+WeightSDS!Q$25*$AG227^6+WeightSDS!R$25*$AG227^5+WeightSDS!S$25*$AG227^4+WeightSDS!T$25*$AG227^3+WeightSDS!U$25*$AG227^2+WeightSDS!V$25*$AG227+WeightSDS!W$25,WeightSDS!M$27+WeightSDS!N$27/(1+EXP(WeightSDS!O$27+WeightSDS!P$27*$AG227)))),IF($AG227&lt;43.8,WeightSDS!M$29*$AG227^10+WeightSDS!N$29*$AG227^9+WeightSDS!O$29*$AG227^8+WeightSDS!P$29*$AG227^7+WeightSDS!Q$29*$AG227^6+WeightSDS!R$29*$AG227^5+WeightSDS!S$29*$AG227^4+WeightSDS!T$29*$AG227^3+WeightSDS!U$29*$AG227^2+WeightSDS!V$29*$AG227+WeightSDS!W$29-0.010431*(1-$AG227/210),IF($AG227&lt;123,WeightSDS!M$30*$AG227^10+WeightSDS!N$30*$AG227^9+WeightSDS!O$30*$AG227^8+WeightSDS!P$30*$AG227^7+WeightSDS!Q$30*$AG227^6+WeightSDS!R$30*$AG227^5+WeightSDS!S$30*$AG227^4+WeightSDS!T$30*$AG227^3+WeightSDS!U$30*$AG227^2+WeightSDS!V$30*$AG227+WeightSDS!W$30-0.010431*(1-1/$AG227),WeightSDS!M$32+WeightSDS!N$32/(1+EXP(WeightSDS!O$32+WeightSDS!P$32*$AG227))-0.010431*(1-$AG227/210))))</f>
        <v>2.9500001032655536</v>
      </c>
      <c r="AK227" s="24">
        <f>IF(D227="M",IF($AG227&lt;162,WeightSDS!P$12*$AG227^7+WeightSDS!Q$12*$AG227^6+WeightSDS!R$12*$AG227^5+WeightSDS!S$12*$AG227^4+WeightSDS!T$12*$AG227^3+WeightSDS!U$12*$AG227^2+WeightSDS!V$12*$AG227+WeightSDS!W$12,WeightSDS!P$14*$AG227^7+WeightSDS!Q$14*$AG227^6+WeightSDS!R$14*$AG227^5+WeightSDS!S$14*$AG227^4+WeightSDS!T$14*$AG227^3+WeightSDS!U$14*$AG227^2+WeightSDS!V$14*$AG227+WeightSDS!W$14),IF($AG227&lt;156,WeightSDS!O$17*$AG227^8+WeightSDS!P$17*$AG227^7+WeightSDS!Q$17*$AG227^6+WeightSDS!R$17*$AG227^5+WeightSDS!S$17*$AG227^4+WeightSDS!T$17*$AG227^3+WeightSDS!U$17*$AG227^2+WeightSDS!V$17*$AG227+WeightSDS!W$17,IF($AG227&lt;186,WeightSDS!$U$18+(WeightSDS!$V$18-WeightSDS!$U$18)/24*($AG227-186)+WeightSDS!$W$18*(-$AG227+186)^2-0.005,WeightSDS!$U$18+(WeightSDS!$V$18-WeightSDS!$U$18)/24*($AG227-186)-0.005)))</f>
        <v>0.14604529399999999</v>
      </c>
    </row>
    <row r="228" spans="1:37">
      <c r="A228" s="4"/>
      <c r="B228" s="21"/>
      <c r="C228" s="21"/>
      <c r="D228" s="21"/>
      <c r="E228" s="22"/>
      <c r="F228" s="22"/>
      <c r="G228" s="23"/>
      <c r="H228" s="23"/>
      <c r="I228" s="8" t="str">
        <f t="shared" si="50"/>
        <v/>
      </c>
      <c r="J228" s="2" t="str">
        <f t="shared" si="57"/>
        <v/>
      </c>
      <c r="K228" s="2" t="str">
        <f t="shared" si="51"/>
        <v/>
      </c>
      <c r="L228" s="2" t="str">
        <f t="shared" si="58"/>
        <v/>
      </c>
      <c r="M228" s="2" t="str">
        <f t="shared" si="63"/>
        <v/>
      </c>
      <c r="N228" s="2" t="str">
        <f t="shared" si="59"/>
        <v/>
      </c>
      <c r="O228" s="8" t="str">
        <f t="shared" si="60"/>
        <v/>
      </c>
      <c r="P228" s="8" t="str">
        <f t="shared" si="61"/>
        <v/>
      </c>
      <c r="Q228" s="40" t="str">
        <f t="shared" si="52"/>
        <v/>
      </c>
      <c r="R228" s="48" t="str">
        <f t="shared" si="62"/>
        <v/>
      </c>
      <c r="S228" s="8"/>
      <c r="U228" s="35">
        <f t="shared" si="53"/>
        <v>0</v>
      </c>
      <c r="V228" s="24">
        <f t="shared" si="54"/>
        <v>0</v>
      </c>
      <c r="W228" s="41">
        <f t="shared" si="65"/>
        <v>0</v>
      </c>
      <c r="X228" s="31"/>
      <c r="Y228" s="31"/>
      <c r="Z228" s="31"/>
      <c r="AA228" s="25">
        <f t="shared" si="55"/>
        <v>9.0359999999999996</v>
      </c>
      <c r="AB228" s="25">
        <f t="shared" si="56"/>
        <v>-184.49199999999999</v>
      </c>
      <c r="AD228" s="24">
        <f>IF(D228="M",IF(AG228&lt;78,BMILMS!$D$5*AG228^3+BMILMS!$E$5*AG228^2+BMILMS!$F$5*AG228+BMILMS!$G$5,IF(AG228&lt;150,BMILMS!$D$6*AG228^3+BMILMS!$E$6*AG228^2+BMILMS!$F$6*AG228+BMILMS!$G$6,BMILMS!$D$7*AG228^3+BMILMS!$E$7*AG228^2+BMILMS!$F$7*AG228+BMILMS!$G$7)),IF(AG228&lt;69,BMILMS!$D$9*AG228^3+BMILMS!$E$9*AG228^2+BMILMS!$F$9*AG228+BMILMS!$G$9,IF(AG228&lt;150,BMILMS!$D$10*AG228^3+BMILMS!$E$10*AG228^2+BMILMS!$F$10*AG228+BMILMS!$G$10,BMILMS!$D$11*AG228^3+BMILMS!$E$11*AG228^2+BMILMS!$F$11*AG228+BMILMS!$G$11)))</f>
        <v>0.79584630099999998</v>
      </c>
      <c r="AE228" s="24">
        <f>IF(D228="M",(IF(AG228&lt;2.5,BMILMS!$D$21*AG228^3+BMILMS!$E$21*AG228^2+BMILMS!$F$21*AG228+BMILMS!$G$21,IF(AG228&lt;9.5,BMILMS!$D$22*AG228^3+BMILMS!$E$22*AG228^2+BMILMS!$F$22*AG228+BMILMS!$G$22,IF(AG228&lt;26.75,BMILMS!$D$23*AG228^3+BMILMS!$E$23*AG228^2+BMILMS!$F$23*AG228+BMILMS!$G$23,IF(AG228&lt;90,BMILMS!$D$24*AG228^3+BMILMS!$E$24*AG228^2+BMILMS!$F$24*AG228+BMILMS!$G$24,BMILMS!$D$25*AG228^3+BMILMS!$E$25*AG228^2+BMILMS!$F$25*AG228+BMILMS!$G$25))))),(IF(AG228&lt;2.5,BMILMS!$D$27*AG228^3+BMILMS!$E$27*AG228^2+BMILMS!$F$27*AG228+BMILMS!$G$27,IF(AG228&lt;9.5,BMILMS!$D$28*AG228^3+BMILMS!$E$28*AG228^2+BMILMS!$F$28*AG228+BMILMS!$G$28,IF(AG228&lt;26.75,BMILMS!$D$29*AG228^3+BMILMS!$E$29*AG228^2+BMILMS!$F$29*AG228+BMILMS!$G$29,IF(AG228&lt;90,BMILMS!$D$30*AG228^3+BMILMS!$E$30*AG228^2+BMILMS!$F$30*AG228+BMILMS!$G$30,IF(AG228&lt;150,BMILMS!$D$31*AG228^3+BMILMS!$E$31*AG228^2+BMILMS!$F$31*AG228+BMILMS!$G$31,BMILMS!$D$32*AG228^3+BMILMS!$E$32*AG228^2+BMILMS!$F$32*AG228+BMILMS!$G$32)))))))</f>
        <v>12.568967990000001</v>
      </c>
      <c r="AF228" s="24">
        <f>IF(D228="M",(IF(AG228&lt;90,BMILMS!$D$14*AG228^3+BMILMS!$E$14*AG228^2+BMILMS!$F$14*AG228+BMILMS!$G$14,BMILMS!$D$15*AG228^3+BMILMS!$E$15*AG228^2+BMILMS!$F$15*AG228+BMILMS!$G$15)),(IF(AG228&lt;90,BMILMS!$D$17*AG228^3+BMILMS!$E$17*AG228^2+BMILMS!$F$17*AG228+BMILMS!$G$17,BMILMS!$D$18*AG228^3+BMILMS!$E$18*AG228^2+BMILMS!$F$18*AG228+BMILMS!$G$18)))</f>
        <v>8.8969350000000003E-2</v>
      </c>
      <c r="AG228" s="24">
        <f t="shared" si="64"/>
        <v>0</v>
      </c>
      <c r="AI228" s="38">
        <f>IF(D228="M",WeightSDS!P$5*$AG228^7+WeightSDS!Q$5*$AG228^6+WeightSDS!R$5*$AG228^5+WeightSDS!S$5*$AG228^4+WeightSDS!T$5*$AG228^3+WeightSDS!U$5*$AG228^2+WeightSDS!V$5*$AG228+WeightSDS!W$5,IF($AG228&lt;186,WeightSDS!P$8*$AG228^7+WeightSDS!Q$8*$AG228^6+WeightSDS!R$8*$AG228^5+WeightSDS!S$8*$AG228^4+WeightSDS!T$8*$AG228^3+WeightSDS!U$8*$AG228^2+WeightSDS!V$8*$AG228+WeightSDS!W$8,WeightSDS!$U$9-WeightSDS!$V$9*($AG228-WeightSDS!$W$9)))</f>
        <v>0.75407122999999998</v>
      </c>
      <c r="AJ228" s="24">
        <f>IF(D228="M",IF($AG228&lt;45,WeightSDS!M$23*$AG228^10+WeightSDS!N$23*$AG228^9+WeightSDS!O$23*$AG228^8+WeightSDS!P$23*$AG228^7+WeightSDS!Q$23*$AG228^6+WeightSDS!R$23*$AG228^5+WeightSDS!S$23*$AG228^4+WeightSDS!T$23*$AG228^3+WeightSDS!U$23*$AG228^2+WeightSDS!V$23*$AG228+WeightSDS!W$23,IF($AG228&lt;153,WeightSDS!M$25*$AG228^10+WeightSDS!N$25*$AG228^9+WeightSDS!O$25*$AG228^8+WeightSDS!P$25*$AG228^7+WeightSDS!Q$25*$AG228^6+WeightSDS!R$25*$AG228^5+WeightSDS!S$25*$AG228^4+WeightSDS!T$25*$AG228^3+WeightSDS!U$25*$AG228^2+WeightSDS!V$25*$AG228+WeightSDS!W$25,WeightSDS!M$27+WeightSDS!N$27/(1+EXP(WeightSDS!O$27+WeightSDS!P$27*$AG228)))),IF($AG228&lt;43.8,WeightSDS!M$29*$AG228^10+WeightSDS!N$29*$AG228^9+WeightSDS!O$29*$AG228^8+WeightSDS!P$29*$AG228^7+WeightSDS!Q$29*$AG228^6+WeightSDS!R$29*$AG228^5+WeightSDS!S$29*$AG228^4+WeightSDS!T$29*$AG228^3+WeightSDS!U$29*$AG228^2+WeightSDS!V$29*$AG228+WeightSDS!W$29-0.010431*(1-$AG228/210),IF($AG228&lt;123,WeightSDS!M$30*$AG228^10+WeightSDS!N$30*$AG228^9+WeightSDS!O$30*$AG228^8+WeightSDS!P$30*$AG228^7+WeightSDS!Q$30*$AG228^6+WeightSDS!R$30*$AG228^5+WeightSDS!S$30*$AG228^4+WeightSDS!T$30*$AG228^3+WeightSDS!U$30*$AG228^2+WeightSDS!V$30*$AG228+WeightSDS!W$30-0.010431*(1-1/$AG228),WeightSDS!M$32+WeightSDS!N$32/(1+EXP(WeightSDS!O$32+WeightSDS!P$32*$AG228))-0.010431*(1-$AG228/210))))</f>
        <v>2.9500001032655536</v>
      </c>
      <c r="AK228" s="24">
        <f>IF(D228="M",IF($AG228&lt;162,WeightSDS!P$12*$AG228^7+WeightSDS!Q$12*$AG228^6+WeightSDS!R$12*$AG228^5+WeightSDS!S$12*$AG228^4+WeightSDS!T$12*$AG228^3+WeightSDS!U$12*$AG228^2+WeightSDS!V$12*$AG228+WeightSDS!W$12,WeightSDS!P$14*$AG228^7+WeightSDS!Q$14*$AG228^6+WeightSDS!R$14*$AG228^5+WeightSDS!S$14*$AG228^4+WeightSDS!T$14*$AG228^3+WeightSDS!U$14*$AG228^2+WeightSDS!V$14*$AG228+WeightSDS!W$14),IF($AG228&lt;156,WeightSDS!O$17*$AG228^8+WeightSDS!P$17*$AG228^7+WeightSDS!Q$17*$AG228^6+WeightSDS!R$17*$AG228^5+WeightSDS!S$17*$AG228^4+WeightSDS!T$17*$AG228^3+WeightSDS!U$17*$AG228^2+WeightSDS!V$17*$AG228+WeightSDS!W$17,IF($AG228&lt;186,WeightSDS!$U$18+(WeightSDS!$V$18-WeightSDS!$U$18)/24*($AG228-186)+WeightSDS!$W$18*(-$AG228+186)^2-0.005,WeightSDS!$U$18+(WeightSDS!$V$18-WeightSDS!$U$18)/24*($AG228-186)-0.005)))</f>
        <v>0.14604529399999999</v>
      </c>
    </row>
    <row r="229" spans="1:37">
      <c r="A229" s="4"/>
      <c r="B229" s="21"/>
      <c r="C229" s="21"/>
      <c r="D229" s="21"/>
      <c r="E229" s="22"/>
      <c r="F229" s="22"/>
      <c r="G229" s="23"/>
      <c r="H229" s="23"/>
      <c r="I229" s="8" t="str">
        <f t="shared" si="50"/>
        <v/>
      </c>
      <c r="J229" s="2" t="str">
        <f t="shared" si="57"/>
        <v/>
      </c>
      <c r="K229" s="2" t="str">
        <f t="shared" si="51"/>
        <v/>
      </c>
      <c r="L229" s="2" t="str">
        <f t="shared" si="58"/>
        <v/>
      </c>
      <c r="M229" s="2" t="str">
        <f t="shared" si="63"/>
        <v/>
      </c>
      <c r="N229" s="2" t="str">
        <f t="shared" si="59"/>
        <v/>
      </c>
      <c r="O229" s="8" t="str">
        <f t="shared" si="60"/>
        <v/>
      </c>
      <c r="P229" s="8" t="str">
        <f t="shared" si="61"/>
        <v/>
      </c>
      <c r="Q229" s="40" t="str">
        <f t="shared" si="52"/>
        <v/>
      </c>
      <c r="R229" s="48" t="str">
        <f t="shared" si="62"/>
        <v/>
      </c>
      <c r="S229" s="8"/>
      <c r="U229" s="35">
        <f t="shared" si="53"/>
        <v>0</v>
      </c>
      <c r="V229" s="24">
        <f t="shared" si="54"/>
        <v>0</v>
      </c>
      <c r="W229" s="41">
        <f t="shared" si="65"/>
        <v>0</v>
      </c>
      <c r="X229" s="31"/>
      <c r="Y229" s="31"/>
      <c r="Z229" s="31"/>
      <c r="AA229" s="25">
        <f t="shared" si="55"/>
        <v>9.0359999999999996</v>
      </c>
      <c r="AB229" s="25">
        <f t="shared" si="56"/>
        <v>-184.49199999999999</v>
      </c>
      <c r="AD229" s="24">
        <f>IF(D229="M",IF(AG229&lt;78,BMILMS!$D$5*AG229^3+BMILMS!$E$5*AG229^2+BMILMS!$F$5*AG229+BMILMS!$G$5,IF(AG229&lt;150,BMILMS!$D$6*AG229^3+BMILMS!$E$6*AG229^2+BMILMS!$F$6*AG229+BMILMS!$G$6,BMILMS!$D$7*AG229^3+BMILMS!$E$7*AG229^2+BMILMS!$F$7*AG229+BMILMS!$G$7)),IF(AG229&lt;69,BMILMS!$D$9*AG229^3+BMILMS!$E$9*AG229^2+BMILMS!$F$9*AG229+BMILMS!$G$9,IF(AG229&lt;150,BMILMS!$D$10*AG229^3+BMILMS!$E$10*AG229^2+BMILMS!$F$10*AG229+BMILMS!$G$10,BMILMS!$D$11*AG229^3+BMILMS!$E$11*AG229^2+BMILMS!$F$11*AG229+BMILMS!$G$11)))</f>
        <v>0.79584630099999998</v>
      </c>
      <c r="AE229" s="24">
        <f>IF(D229="M",(IF(AG229&lt;2.5,BMILMS!$D$21*AG229^3+BMILMS!$E$21*AG229^2+BMILMS!$F$21*AG229+BMILMS!$G$21,IF(AG229&lt;9.5,BMILMS!$D$22*AG229^3+BMILMS!$E$22*AG229^2+BMILMS!$F$22*AG229+BMILMS!$G$22,IF(AG229&lt;26.75,BMILMS!$D$23*AG229^3+BMILMS!$E$23*AG229^2+BMILMS!$F$23*AG229+BMILMS!$G$23,IF(AG229&lt;90,BMILMS!$D$24*AG229^3+BMILMS!$E$24*AG229^2+BMILMS!$F$24*AG229+BMILMS!$G$24,BMILMS!$D$25*AG229^3+BMILMS!$E$25*AG229^2+BMILMS!$F$25*AG229+BMILMS!$G$25))))),(IF(AG229&lt;2.5,BMILMS!$D$27*AG229^3+BMILMS!$E$27*AG229^2+BMILMS!$F$27*AG229+BMILMS!$G$27,IF(AG229&lt;9.5,BMILMS!$D$28*AG229^3+BMILMS!$E$28*AG229^2+BMILMS!$F$28*AG229+BMILMS!$G$28,IF(AG229&lt;26.75,BMILMS!$D$29*AG229^3+BMILMS!$E$29*AG229^2+BMILMS!$F$29*AG229+BMILMS!$G$29,IF(AG229&lt;90,BMILMS!$D$30*AG229^3+BMILMS!$E$30*AG229^2+BMILMS!$F$30*AG229+BMILMS!$G$30,IF(AG229&lt;150,BMILMS!$D$31*AG229^3+BMILMS!$E$31*AG229^2+BMILMS!$F$31*AG229+BMILMS!$G$31,BMILMS!$D$32*AG229^3+BMILMS!$E$32*AG229^2+BMILMS!$F$32*AG229+BMILMS!$G$32)))))))</f>
        <v>12.568967990000001</v>
      </c>
      <c r="AF229" s="24">
        <f>IF(D229="M",(IF(AG229&lt;90,BMILMS!$D$14*AG229^3+BMILMS!$E$14*AG229^2+BMILMS!$F$14*AG229+BMILMS!$G$14,BMILMS!$D$15*AG229^3+BMILMS!$E$15*AG229^2+BMILMS!$F$15*AG229+BMILMS!$G$15)),(IF(AG229&lt;90,BMILMS!$D$17*AG229^3+BMILMS!$E$17*AG229^2+BMILMS!$F$17*AG229+BMILMS!$G$17,BMILMS!$D$18*AG229^3+BMILMS!$E$18*AG229^2+BMILMS!$F$18*AG229+BMILMS!$G$18)))</f>
        <v>8.8969350000000003E-2</v>
      </c>
      <c r="AG229" s="24">
        <f t="shared" si="64"/>
        <v>0</v>
      </c>
      <c r="AI229" s="38">
        <f>IF(D229="M",WeightSDS!P$5*$AG229^7+WeightSDS!Q$5*$AG229^6+WeightSDS!R$5*$AG229^5+WeightSDS!S$5*$AG229^4+WeightSDS!T$5*$AG229^3+WeightSDS!U$5*$AG229^2+WeightSDS!V$5*$AG229+WeightSDS!W$5,IF($AG229&lt;186,WeightSDS!P$8*$AG229^7+WeightSDS!Q$8*$AG229^6+WeightSDS!R$8*$AG229^5+WeightSDS!S$8*$AG229^4+WeightSDS!T$8*$AG229^3+WeightSDS!U$8*$AG229^2+WeightSDS!V$8*$AG229+WeightSDS!W$8,WeightSDS!$U$9-WeightSDS!$V$9*($AG229-WeightSDS!$W$9)))</f>
        <v>0.75407122999999998</v>
      </c>
      <c r="AJ229" s="24">
        <f>IF(D229="M",IF($AG229&lt;45,WeightSDS!M$23*$AG229^10+WeightSDS!N$23*$AG229^9+WeightSDS!O$23*$AG229^8+WeightSDS!P$23*$AG229^7+WeightSDS!Q$23*$AG229^6+WeightSDS!R$23*$AG229^5+WeightSDS!S$23*$AG229^4+WeightSDS!T$23*$AG229^3+WeightSDS!U$23*$AG229^2+WeightSDS!V$23*$AG229+WeightSDS!W$23,IF($AG229&lt;153,WeightSDS!M$25*$AG229^10+WeightSDS!N$25*$AG229^9+WeightSDS!O$25*$AG229^8+WeightSDS!P$25*$AG229^7+WeightSDS!Q$25*$AG229^6+WeightSDS!R$25*$AG229^5+WeightSDS!S$25*$AG229^4+WeightSDS!T$25*$AG229^3+WeightSDS!U$25*$AG229^2+WeightSDS!V$25*$AG229+WeightSDS!W$25,WeightSDS!M$27+WeightSDS!N$27/(1+EXP(WeightSDS!O$27+WeightSDS!P$27*$AG229)))),IF($AG229&lt;43.8,WeightSDS!M$29*$AG229^10+WeightSDS!N$29*$AG229^9+WeightSDS!O$29*$AG229^8+WeightSDS!P$29*$AG229^7+WeightSDS!Q$29*$AG229^6+WeightSDS!R$29*$AG229^5+WeightSDS!S$29*$AG229^4+WeightSDS!T$29*$AG229^3+WeightSDS!U$29*$AG229^2+WeightSDS!V$29*$AG229+WeightSDS!W$29-0.010431*(1-$AG229/210),IF($AG229&lt;123,WeightSDS!M$30*$AG229^10+WeightSDS!N$30*$AG229^9+WeightSDS!O$30*$AG229^8+WeightSDS!P$30*$AG229^7+WeightSDS!Q$30*$AG229^6+WeightSDS!R$30*$AG229^5+WeightSDS!S$30*$AG229^4+WeightSDS!T$30*$AG229^3+WeightSDS!U$30*$AG229^2+WeightSDS!V$30*$AG229+WeightSDS!W$30-0.010431*(1-1/$AG229),WeightSDS!M$32+WeightSDS!N$32/(1+EXP(WeightSDS!O$32+WeightSDS!P$32*$AG229))-0.010431*(1-$AG229/210))))</f>
        <v>2.9500001032655536</v>
      </c>
      <c r="AK229" s="24">
        <f>IF(D229="M",IF($AG229&lt;162,WeightSDS!P$12*$AG229^7+WeightSDS!Q$12*$AG229^6+WeightSDS!R$12*$AG229^5+WeightSDS!S$12*$AG229^4+WeightSDS!T$12*$AG229^3+WeightSDS!U$12*$AG229^2+WeightSDS!V$12*$AG229+WeightSDS!W$12,WeightSDS!P$14*$AG229^7+WeightSDS!Q$14*$AG229^6+WeightSDS!R$14*$AG229^5+WeightSDS!S$14*$AG229^4+WeightSDS!T$14*$AG229^3+WeightSDS!U$14*$AG229^2+WeightSDS!V$14*$AG229+WeightSDS!W$14),IF($AG229&lt;156,WeightSDS!O$17*$AG229^8+WeightSDS!P$17*$AG229^7+WeightSDS!Q$17*$AG229^6+WeightSDS!R$17*$AG229^5+WeightSDS!S$17*$AG229^4+WeightSDS!T$17*$AG229^3+WeightSDS!U$17*$AG229^2+WeightSDS!V$17*$AG229+WeightSDS!W$17,IF($AG229&lt;186,WeightSDS!$U$18+(WeightSDS!$V$18-WeightSDS!$U$18)/24*($AG229-186)+WeightSDS!$W$18*(-$AG229+186)^2-0.005,WeightSDS!$U$18+(WeightSDS!$V$18-WeightSDS!$U$18)/24*($AG229-186)-0.005)))</f>
        <v>0.14604529399999999</v>
      </c>
    </row>
    <row r="230" spans="1:37">
      <c r="A230" s="4"/>
      <c r="B230" s="21"/>
      <c r="C230" s="21"/>
      <c r="D230" s="21"/>
      <c r="E230" s="22"/>
      <c r="F230" s="22"/>
      <c r="G230" s="23"/>
      <c r="H230" s="23"/>
      <c r="I230" s="8" t="str">
        <f t="shared" si="50"/>
        <v/>
      </c>
      <c r="J230" s="2" t="str">
        <f t="shared" si="57"/>
        <v/>
      </c>
      <c r="K230" s="2" t="str">
        <f t="shared" si="51"/>
        <v/>
      </c>
      <c r="L230" s="2" t="str">
        <f t="shared" si="58"/>
        <v/>
      </c>
      <c r="M230" s="2" t="str">
        <f t="shared" si="63"/>
        <v/>
      </c>
      <c r="N230" s="2" t="str">
        <f t="shared" si="59"/>
        <v/>
      </c>
      <c r="O230" s="8" t="str">
        <f t="shared" si="60"/>
        <v/>
      </c>
      <c r="P230" s="8" t="str">
        <f t="shared" si="61"/>
        <v/>
      </c>
      <c r="Q230" s="40" t="str">
        <f t="shared" si="52"/>
        <v/>
      </c>
      <c r="R230" s="48" t="str">
        <f t="shared" si="62"/>
        <v/>
      </c>
      <c r="S230" s="8"/>
      <c r="U230" s="35">
        <f t="shared" si="53"/>
        <v>0</v>
      </c>
      <c r="V230" s="24">
        <f t="shared" si="54"/>
        <v>0</v>
      </c>
      <c r="W230" s="41">
        <f t="shared" si="65"/>
        <v>0</v>
      </c>
      <c r="X230" s="31"/>
      <c r="Y230" s="31"/>
      <c r="Z230" s="31"/>
      <c r="AA230" s="25">
        <f t="shared" si="55"/>
        <v>9.0359999999999996</v>
      </c>
      <c r="AB230" s="25">
        <f t="shared" si="56"/>
        <v>-184.49199999999999</v>
      </c>
      <c r="AD230" s="24">
        <f>IF(D230="M",IF(AG230&lt;78,BMILMS!$D$5*AG230^3+BMILMS!$E$5*AG230^2+BMILMS!$F$5*AG230+BMILMS!$G$5,IF(AG230&lt;150,BMILMS!$D$6*AG230^3+BMILMS!$E$6*AG230^2+BMILMS!$F$6*AG230+BMILMS!$G$6,BMILMS!$D$7*AG230^3+BMILMS!$E$7*AG230^2+BMILMS!$F$7*AG230+BMILMS!$G$7)),IF(AG230&lt;69,BMILMS!$D$9*AG230^3+BMILMS!$E$9*AG230^2+BMILMS!$F$9*AG230+BMILMS!$G$9,IF(AG230&lt;150,BMILMS!$D$10*AG230^3+BMILMS!$E$10*AG230^2+BMILMS!$F$10*AG230+BMILMS!$G$10,BMILMS!$D$11*AG230^3+BMILMS!$E$11*AG230^2+BMILMS!$F$11*AG230+BMILMS!$G$11)))</f>
        <v>0.79584630099999998</v>
      </c>
      <c r="AE230" s="24">
        <f>IF(D230="M",(IF(AG230&lt;2.5,BMILMS!$D$21*AG230^3+BMILMS!$E$21*AG230^2+BMILMS!$F$21*AG230+BMILMS!$G$21,IF(AG230&lt;9.5,BMILMS!$D$22*AG230^3+BMILMS!$E$22*AG230^2+BMILMS!$F$22*AG230+BMILMS!$G$22,IF(AG230&lt;26.75,BMILMS!$D$23*AG230^3+BMILMS!$E$23*AG230^2+BMILMS!$F$23*AG230+BMILMS!$G$23,IF(AG230&lt;90,BMILMS!$D$24*AG230^3+BMILMS!$E$24*AG230^2+BMILMS!$F$24*AG230+BMILMS!$G$24,BMILMS!$D$25*AG230^3+BMILMS!$E$25*AG230^2+BMILMS!$F$25*AG230+BMILMS!$G$25))))),(IF(AG230&lt;2.5,BMILMS!$D$27*AG230^3+BMILMS!$E$27*AG230^2+BMILMS!$F$27*AG230+BMILMS!$G$27,IF(AG230&lt;9.5,BMILMS!$D$28*AG230^3+BMILMS!$E$28*AG230^2+BMILMS!$F$28*AG230+BMILMS!$G$28,IF(AG230&lt;26.75,BMILMS!$D$29*AG230^3+BMILMS!$E$29*AG230^2+BMILMS!$F$29*AG230+BMILMS!$G$29,IF(AG230&lt;90,BMILMS!$D$30*AG230^3+BMILMS!$E$30*AG230^2+BMILMS!$F$30*AG230+BMILMS!$G$30,IF(AG230&lt;150,BMILMS!$D$31*AG230^3+BMILMS!$E$31*AG230^2+BMILMS!$F$31*AG230+BMILMS!$G$31,BMILMS!$D$32*AG230^3+BMILMS!$E$32*AG230^2+BMILMS!$F$32*AG230+BMILMS!$G$32)))))))</f>
        <v>12.568967990000001</v>
      </c>
      <c r="AF230" s="24">
        <f>IF(D230="M",(IF(AG230&lt;90,BMILMS!$D$14*AG230^3+BMILMS!$E$14*AG230^2+BMILMS!$F$14*AG230+BMILMS!$G$14,BMILMS!$D$15*AG230^3+BMILMS!$E$15*AG230^2+BMILMS!$F$15*AG230+BMILMS!$G$15)),(IF(AG230&lt;90,BMILMS!$D$17*AG230^3+BMILMS!$E$17*AG230^2+BMILMS!$F$17*AG230+BMILMS!$G$17,BMILMS!$D$18*AG230^3+BMILMS!$E$18*AG230^2+BMILMS!$F$18*AG230+BMILMS!$G$18)))</f>
        <v>8.8969350000000003E-2</v>
      </c>
      <c r="AG230" s="24">
        <f t="shared" si="64"/>
        <v>0</v>
      </c>
      <c r="AI230" s="38">
        <f>IF(D230="M",WeightSDS!P$5*$AG230^7+WeightSDS!Q$5*$AG230^6+WeightSDS!R$5*$AG230^5+WeightSDS!S$5*$AG230^4+WeightSDS!T$5*$AG230^3+WeightSDS!U$5*$AG230^2+WeightSDS!V$5*$AG230+WeightSDS!W$5,IF($AG230&lt;186,WeightSDS!P$8*$AG230^7+WeightSDS!Q$8*$AG230^6+WeightSDS!R$8*$AG230^5+WeightSDS!S$8*$AG230^4+WeightSDS!T$8*$AG230^3+WeightSDS!U$8*$AG230^2+WeightSDS!V$8*$AG230+WeightSDS!W$8,WeightSDS!$U$9-WeightSDS!$V$9*($AG230-WeightSDS!$W$9)))</f>
        <v>0.75407122999999998</v>
      </c>
      <c r="AJ230" s="24">
        <f>IF(D230="M",IF($AG230&lt;45,WeightSDS!M$23*$AG230^10+WeightSDS!N$23*$AG230^9+WeightSDS!O$23*$AG230^8+WeightSDS!P$23*$AG230^7+WeightSDS!Q$23*$AG230^6+WeightSDS!R$23*$AG230^5+WeightSDS!S$23*$AG230^4+WeightSDS!T$23*$AG230^3+WeightSDS!U$23*$AG230^2+WeightSDS!V$23*$AG230+WeightSDS!W$23,IF($AG230&lt;153,WeightSDS!M$25*$AG230^10+WeightSDS!N$25*$AG230^9+WeightSDS!O$25*$AG230^8+WeightSDS!P$25*$AG230^7+WeightSDS!Q$25*$AG230^6+WeightSDS!R$25*$AG230^5+WeightSDS!S$25*$AG230^4+WeightSDS!T$25*$AG230^3+WeightSDS!U$25*$AG230^2+WeightSDS!V$25*$AG230+WeightSDS!W$25,WeightSDS!M$27+WeightSDS!N$27/(1+EXP(WeightSDS!O$27+WeightSDS!P$27*$AG230)))),IF($AG230&lt;43.8,WeightSDS!M$29*$AG230^10+WeightSDS!N$29*$AG230^9+WeightSDS!O$29*$AG230^8+WeightSDS!P$29*$AG230^7+WeightSDS!Q$29*$AG230^6+WeightSDS!R$29*$AG230^5+WeightSDS!S$29*$AG230^4+WeightSDS!T$29*$AG230^3+WeightSDS!U$29*$AG230^2+WeightSDS!V$29*$AG230+WeightSDS!W$29-0.010431*(1-$AG230/210),IF($AG230&lt;123,WeightSDS!M$30*$AG230^10+WeightSDS!N$30*$AG230^9+WeightSDS!O$30*$AG230^8+WeightSDS!P$30*$AG230^7+WeightSDS!Q$30*$AG230^6+WeightSDS!R$30*$AG230^5+WeightSDS!S$30*$AG230^4+WeightSDS!T$30*$AG230^3+WeightSDS!U$30*$AG230^2+WeightSDS!V$30*$AG230+WeightSDS!W$30-0.010431*(1-1/$AG230),WeightSDS!M$32+WeightSDS!N$32/(1+EXP(WeightSDS!O$32+WeightSDS!P$32*$AG230))-0.010431*(1-$AG230/210))))</f>
        <v>2.9500001032655536</v>
      </c>
      <c r="AK230" s="24">
        <f>IF(D230="M",IF($AG230&lt;162,WeightSDS!P$12*$AG230^7+WeightSDS!Q$12*$AG230^6+WeightSDS!R$12*$AG230^5+WeightSDS!S$12*$AG230^4+WeightSDS!T$12*$AG230^3+WeightSDS!U$12*$AG230^2+WeightSDS!V$12*$AG230+WeightSDS!W$12,WeightSDS!P$14*$AG230^7+WeightSDS!Q$14*$AG230^6+WeightSDS!R$14*$AG230^5+WeightSDS!S$14*$AG230^4+WeightSDS!T$14*$AG230^3+WeightSDS!U$14*$AG230^2+WeightSDS!V$14*$AG230+WeightSDS!W$14),IF($AG230&lt;156,WeightSDS!O$17*$AG230^8+WeightSDS!P$17*$AG230^7+WeightSDS!Q$17*$AG230^6+WeightSDS!R$17*$AG230^5+WeightSDS!S$17*$AG230^4+WeightSDS!T$17*$AG230^3+WeightSDS!U$17*$AG230^2+WeightSDS!V$17*$AG230+WeightSDS!W$17,IF($AG230&lt;186,WeightSDS!$U$18+(WeightSDS!$V$18-WeightSDS!$U$18)/24*($AG230-186)+WeightSDS!$W$18*(-$AG230+186)^2-0.005,WeightSDS!$U$18+(WeightSDS!$V$18-WeightSDS!$U$18)/24*($AG230-186)-0.005)))</f>
        <v>0.14604529399999999</v>
      </c>
    </row>
    <row r="231" spans="1:37">
      <c r="A231" s="4"/>
      <c r="B231" s="21"/>
      <c r="C231" s="21"/>
      <c r="D231" s="21"/>
      <c r="E231" s="22"/>
      <c r="F231" s="22"/>
      <c r="G231" s="23"/>
      <c r="H231" s="23"/>
      <c r="I231" s="8" t="str">
        <f t="shared" si="50"/>
        <v/>
      </c>
      <c r="J231" s="2" t="str">
        <f t="shared" si="57"/>
        <v/>
      </c>
      <c r="K231" s="2" t="str">
        <f t="shared" si="51"/>
        <v/>
      </c>
      <c r="L231" s="2" t="str">
        <f t="shared" si="58"/>
        <v/>
      </c>
      <c r="M231" s="2" t="str">
        <f t="shared" si="63"/>
        <v/>
      </c>
      <c r="N231" s="2" t="str">
        <f t="shared" si="59"/>
        <v/>
      </c>
      <c r="O231" s="8" t="str">
        <f t="shared" si="60"/>
        <v/>
      </c>
      <c r="P231" s="8" t="str">
        <f t="shared" si="61"/>
        <v/>
      </c>
      <c r="Q231" s="40" t="str">
        <f t="shared" si="52"/>
        <v/>
      </c>
      <c r="R231" s="48" t="str">
        <f t="shared" si="62"/>
        <v/>
      </c>
      <c r="S231" s="8"/>
      <c r="U231" s="35">
        <f t="shared" si="53"/>
        <v>0</v>
      </c>
      <c r="V231" s="24">
        <f t="shared" si="54"/>
        <v>0</v>
      </c>
      <c r="W231" s="41">
        <f t="shared" si="65"/>
        <v>0</v>
      </c>
      <c r="X231" s="31"/>
      <c r="Y231" s="31"/>
      <c r="Z231" s="31"/>
      <c r="AA231" s="25">
        <f t="shared" si="55"/>
        <v>9.0359999999999996</v>
      </c>
      <c r="AB231" s="25">
        <f t="shared" si="56"/>
        <v>-184.49199999999999</v>
      </c>
      <c r="AD231" s="24">
        <f>IF(D231="M",IF(AG231&lt;78,BMILMS!$D$5*AG231^3+BMILMS!$E$5*AG231^2+BMILMS!$F$5*AG231+BMILMS!$G$5,IF(AG231&lt;150,BMILMS!$D$6*AG231^3+BMILMS!$E$6*AG231^2+BMILMS!$F$6*AG231+BMILMS!$G$6,BMILMS!$D$7*AG231^3+BMILMS!$E$7*AG231^2+BMILMS!$F$7*AG231+BMILMS!$G$7)),IF(AG231&lt;69,BMILMS!$D$9*AG231^3+BMILMS!$E$9*AG231^2+BMILMS!$F$9*AG231+BMILMS!$G$9,IF(AG231&lt;150,BMILMS!$D$10*AG231^3+BMILMS!$E$10*AG231^2+BMILMS!$F$10*AG231+BMILMS!$G$10,BMILMS!$D$11*AG231^3+BMILMS!$E$11*AG231^2+BMILMS!$F$11*AG231+BMILMS!$G$11)))</f>
        <v>0.79584630099999998</v>
      </c>
      <c r="AE231" s="24">
        <f>IF(D231="M",(IF(AG231&lt;2.5,BMILMS!$D$21*AG231^3+BMILMS!$E$21*AG231^2+BMILMS!$F$21*AG231+BMILMS!$G$21,IF(AG231&lt;9.5,BMILMS!$D$22*AG231^3+BMILMS!$E$22*AG231^2+BMILMS!$F$22*AG231+BMILMS!$G$22,IF(AG231&lt;26.75,BMILMS!$D$23*AG231^3+BMILMS!$E$23*AG231^2+BMILMS!$F$23*AG231+BMILMS!$G$23,IF(AG231&lt;90,BMILMS!$D$24*AG231^3+BMILMS!$E$24*AG231^2+BMILMS!$F$24*AG231+BMILMS!$G$24,BMILMS!$D$25*AG231^3+BMILMS!$E$25*AG231^2+BMILMS!$F$25*AG231+BMILMS!$G$25))))),(IF(AG231&lt;2.5,BMILMS!$D$27*AG231^3+BMILMS!$E$27*AG231^2+BMILMS!$F$27*AG231+BMILMS!$G$27,IF(AG231&lt;9.5,BMILMS!$D$28*AG231^3+BMILMS!$E$28*AG231^2+BMILMS!$F$28*AG231+BMILMS!$G$28,IF(AG231&lt;26.75,BMILMS!$D$29*AG231^3+BMILMS!$E$29*AG231^2+BMILMS!$F$29*AG231+BMILMS!$G$29,IF(AG231&lt;90,BMILMS!$D$30*AG231^3+BMILMS!$E$30*AG231^2+BMILMS!$F$30*AG231+BMILMS!$G$30,IF(AG231&lt;150,BMILMS!$D$31*AG231^3+BMILMS!$E$31*AG231^2+BMILMS!$F$31*AG231+BMILMS!$G$31,BMILMS!$D$32*AG231^3+BMILMS!$E$32*AG231^2+BMILMS!$F$32*AG231+BMILMS!$G$32)))))))</f>
        <v>12.568967990000001</v>
      </c>
      <c r="AF231" s="24">
        <f>IF(D231="M",(IF(AG231&lt;90,BMILMS!$D$14*AG231^3+BMILMS!$E$14*AG231^2+BMILMS!$F$14*AG231+BMILMS!$G$14,BMILMS!$D$15*AG231^3+BMILMS!$E$15*AG231^2+BMILMS!$F$15*AG231+BMILMS!$G$15)),(IF(AG231&lt;90,BMILMS!$D$17*AG231^3+BMILMS!$E$17*AG231^2+BMILMS!$F$17*AG231+BMILMS!$G$17,BMILMS!$D$18*AG231^3+BMILMS!$E$18*AG231^2+BMILMS!$F$18*AG231+BMILMS!$G$18)))</f>
        <v>8.8969350000000003E-2</v>
      </c>
      <c r="AG231" s="24">
        <f t="shared" si="64"/>
        <v>0</v>
      </c>
      <c r="AI231" s="38">
        <f>IF(D231="M",WeightSDS!P$5*$AG231^7+WeightSDS!Q$5*$AG231^6+WeightSDS!R$5*$AG231^5+WeightSDS!S$5*$AG231^4+WeightSDS!T$5*$AG231^3+WeightSDS!U$5*$AG231^2+WeightSDS!V$5*$AG231+WeightSDS!W$5,IF($AG231&lt;186,WeightSDS!P$8*$AG231^7+WeightSDS!Q$8*$AG231^6+WeightSDS!R$8*$AG231^5+WeightSDS!S$8*$AG231^4+WeightSDS!T$8*$AG231^3+WeightSDS!U$8*$AG231^2+WeightSDS!V$8*$AG231+WeightSDS!W$8,WeightSDS!$U$9-WeightSDS!$V$9*($AG231-WeightSDS!$W$9)))</f>
        <v>0.75407122999999998</v>
      </c>
      <c r="AJ231" s="24">
        <f>IF(D231="M",IF($AG231&lt;45,WeightSDS!M$23*$AG231^10+WeightSDS!N$23*$AG231^9+WeightSDS!O$23*$AG231^8+WeightSDS!P$23*$AG231^7+WeightSDS!Q$23*$AG231^6+WeightSDS!R$23*$AG231^5+WeightSDS!S$23*$AG231^4+WeightSDS!T$23*$AG231^3+WeightSDS!U$23*$AG231^2+WeightSDS!V$23*$AG231+WeightSDS!W$23,IF($AG231&lt;153,WeightSDS!M$25*$AG231^10+WeightSDS!N$25*$AG231^9+WeightSDS!O$25*$AG231^8+WeightSDS!P$25*$AG231^7+WeightSDS!Q$25*$AG231^6+WeightSDS!R$25*$AG231^5+WeightSDS!S$25*$AG231^4+WeightSDS!T$25*$AG231^3+WeightSDS!U$25*$AG231^2+WeightSDS!V$25*$AG231+WeightSDS!W$25,WeightSDS!M$27+WeightSDS!N$27/(1+EXP(WeightSDS!O$27+WeightSDS!P$27*$AG231)))),IF($AG231&lt;43.8,WeightSDS!M$29*$AG231^10+WeightSDS!N$29*$AG231^9+WeightSDS!O$29*$AG231^8+WeightSDS!P$29*$AG231^7+WeightSDS!Q$29*$AG231^6+WeightSDS!R$29*$AG231^5+WeightSDS!S$29*$AG231^4+WeightSDS!T$29*$AG231^3+WeightSDS!U$29*$AG231^2+WeightSDS!V$29*$AG231+WeightSDS!W$29-0.010431*(1-$AG231/210),IF($AG231&lt;123,WeightSDS!M$30*$AG231^10+WeightSDS!N$30*$AG231^9+WeightSDS!O$30*$AG231^8+WeightSDS!P$30*$AG231^7+WeightSDS!Q$30*$AG231^6+WeightSDS!R$30*$AG231^5+WeightSDS!S$30*$AG231^4+WeightSDS!T$30*$AG231^3+WeightSDS!U$30*$AG231^2+WeightSDS!V$30*$AG231+WeightSDS!W$30-0.010431*(1-1/$AG231),WeightSDS!M$32+WeightSDS!N$32/(1+EXP(WeightSDS!O$32+WeightSDS!P$32*$AG231))-0.010431*(1-$AG231/210))))</f>
        <v>2.9500001032655536</v>
      </c>
      <c r="AK231" s="24">
        <f>IF(D231="M",IF($AG231&lt;162,WeightSDS!P$12*$AG231^7+WeightSDS!Q$12*$AG231^6+WeightSDS!R$12*$AG231^5+WeightSDS!S$12*$AG231^4+WeightSDS!T$12*$AG231^3+WeightSDS!U$12*$AG231^2+WeightSDS!V$12*$AG231+WeightSDS!W$12,WeightSDS!P$14*$AG231^7+WeightSDS!Q$14*$AG231^6+WeightSDS!R$14*$AG231^5+WeightSDS!S$14*$AG231^4+WeightSDS!T$14*$AG231^3+WeightSDS!U$14*$AG231^2+WeightSDS!V$14*$AG231+WeightSDS!W$14),IF($AG231&lt;156,WeightSDS!O$17*$AG231^8+WeightSDS!P$17*$AG231^7+WeightSDS!Q$17*$AG231^6+WeightSDS!R$17*$AG231^5+WeightSDS!S$17*$AG231^4+WeightSDS!T$17*$AG231^3+WeightSDS!U$17*$AG231^2+WeightSDS!V$17*$AG231+WeightSDS!W$17,IF($AG231&lt;186,WeightSDS!$U$18+(WeightSDS!$V$18-WeightSDS!$U$18)/24*($AG231-186)+WeightSDS!$W$18*(-$AG231+186)^2-0.005,WeightSDS!$U$18+(WeightSDS!$V$18-WeightSDS!$U$18)/24*($AG231-186)-0.005)))</f>
        <v>0.14604529399999999</v>
      </c>
    </row>
    <row r="232" spans="1:37">
      <c r="A232" s="4"/>
      <c r="B232" s="21"/>
      <c r="C232" s="21"/>
      <c r="D232" s="21"/>
      <c r="E232" s="22"/>
      <c r="F232" s="22"/>
      <c r="G232" s="23"/>
      <c r="H232" s="23"/>
      <c r="I232" s="8" t="str">
        <f t="shared" si="50"/>
        <v/>
      </c>
      <c r="J232" s="2" t="str">
        <f t="shared" si="57"/>
        <v/>
      </c>
      <c r="K232" s="2" t="str">
        <f t="shared" si="51"/>
        <v/>
      </c>
      <c r="L232" s="2" t="str">
        <f t="shared" si="58"/>
        <v/>
      </c>
      <c r="M232" s="2" t="str">
        <f t="shared" si="63"/>
        <v/>
      </c>
      <c r="N232" s="2" t="str">
        <f t="shared" si="59"/>
        <v/>
      </c>
      <c r="O232" s="8" t="str">
        <f t="shared" si="60"/>
        <v/>
      </c>
      <c r="P232" s="8" t="str">
        <f t="shared" si="61"/>
        <v/>
      </c>
      <c r="Q232" s="40" t="str">
        <f t="shared" si="52"/>
        <v/>
      </c>
      <c r="R232" s="48" t="str">
        <f t="shared" si="62"/>
        <v/>
      </c>
      <c r="S232" s="8"/>
      <c r="U232" s="35">
        <f t="shared" si="53"/>
        <v>0</v>
      </c>
      <c r="V232" s="24">
        <f t="shared" si="54"/>
        <v>0</v>
      </c>
      <c r="W232" s="41">
        <f t="shared" si="65"/>
        <v>0</v>
      </c>
      <c r="X232" s="31"/>
      <c r="Y232" s="31"/>
      <c r="Z232" s="31"/>
      <c r="AA232" s="25">
        <f t="shared" si="55"/>
        <v>9.0359999999999996</v>
      </c>
      <c r="AB232" s="25">
        <f t="shared" si="56"/>
        <v>-184.49199999999999</v>
      </c>
      <c r="AD232" s="24">
        <f>IF(D232="M",IF(AG232&lt;78,BMILMS!$D$5*AG232^3+BMILMS!$E$5*AG232^2+BMILMS!$F$5*AG232+BMILMS!$G$5,IF(AG232&lt;150,BMILMS!$D$6*AG232^3+BMILMS!$E$6*AG232^2+BMILMS!$F$6*AG232+BMILMS!$G$6,BMILMS!$D$7*AG232^3+BMILMS!$E$7*AG232^2+BMILMS!$F$7*AG232+BMILMS!$G$7)),IF(AG232&lt;69,BMILMS!$D$9*AG232^3+BMILMS!$E$9*AG232^2+BMILMS!$F$9*AG232+BMILMS!$G$9,IF(AG232&lt;150,BMILMS!$D$10*AG232^3+BMILMS!$E$10*AG232^2+BMILMS!$F$10*AG232+BMILMS!$G$10,BMILMS!$D$11*AG232^3+BMILMS!$E$11*AG232^2+BMILMS!$F$11*AG232+BMILMS!$G$11)))</f>
        <v>0.79584630099999998</v>
      </c>
      <c r="AE232" s="24">
        <f>IF(D232="M",(IF(AG232&lt;2.5,BMILMS!$D$21*AG232^3+BMILMS!$E$21*AG232^2+BMILMS!$F$21*AG232+BMILMS!$G$21,IF(AG232&lt;9.5,BMILMS!$D$22*AG232^3+BMILMS!$E$22*AG232^2+BMILMS!$F$22*AG232+BMILMS!$G$22,IF(AG232&lt;26.75,BMILMS!$D$23*AG232^3+BMILMS!$E$23*AG232^2+BMILMS!$F$23*AG232+BMILMS!$G$23,IF(AG232&lt;90,BMILMS!$D$24*AG232^3+BMILMS!$E$24*AG232^2+BMILMS!$F$24*AG232+BMILMS!$G$24,BMILMS!$D$25*AG232^3+BMILMS!$E$25*AG232^2+BMILMS!$F$25*AG232+BMILMS!$G$25))))),(IF(AG232&lt;2.5,BMILMS!$D$27*AG232^3+BMILMS!$E$27*AG232^2+BMILMS!$F$27*AG232+BMILMS!$G$27,IF(AG232&lt;9.5,BMILMS!$D$28*AG232^3+BMILMS!$E$28*AG232^2+BMILMS!$F$28*AG232+BMILMS!$G$28,IF(AG232&lt;26.75,BMILMS!$D$29*AG232^3+BMILMS!$E$29*AG232^2+BMILMS!$F$29*AG232+BMILMS!$G$29,IF(AG232&lt;90,BMILMS!$D$30*AG232^3+BMILMS!$E$30*AG232^2+BMILMS!$F$30*AG232+BMILMS!$G$30,IF(AG232&lt;150,BMILMS!$D$31*AG232^3+BMILMS!$E$31*AG232^2+BMILMS!$F$31*AG232+BMILMS!$G$31,BMILMS!$D$32*AG232^3+BMILMS!$E$32*AG232^2+BMILMS!$F$32*AG232+BMILMS!$G$32)))))))</f>
        <v>12.568967990000001</v>
      </c>
      <c r="AF232" s="24">
        <f>IF(D232="M",(IF(AG232&lt;90,BMILMS!$D$14*AG232^3+BMILMS!$E$14*AG232^2+BMILMS!$F$14*AG232+BMILMS!$G$14,BMILMS!$D$15*AG232^3+BMILMS!$E$15*AG232^2+BMILMS!$F$15*AG232+BMILMS!$G$15)),(IF(AG232&lt;90,BMILMS!$D$17*AG232^3+BMILMS!$E$17*AG232^2+BMILMS!$F$17*AG232+BMILMS!$G$17,BMILMS!$D$18*AG232^3+BMILMS!$E$18*AG232^2+BMILMS!$F$18*AG232+BMILMS!$G$18)))</f>
        <v>8.8969350000000003E-2</v>
      </c>
      <c r="AG232" s="24">
        <f t="shared" si="64"/>
        <v>0</v>
      </c>
      <c r="AI232" s="38">
        <f>IF(D232="M",WeightSDS!P$5*$AG232^7+WeightSDS!Q$5*$AG232^6+WeightSDS!R$5*$AG232^5+WeightSDS!S$5*$AG232^4+WeightSDS!T$5*$AG232^3+WeightSDS!U$5*$AG232^2+WeightSDS!V$5*$AG232+WeightSDS!W$5,IF($AG232&lt;186,WeightSDS!P$8*$AG232^7+WeightSDS!Q$8*$AG232^6+WeightSDS!R$8*$AG232^5+WeightSDS!S$8*$AG232^4+WeightSDS!T$8*$AG232^3+WeightSDS!U$8*$AG232^2+WeightSDS!V$8*$AG232+WeightSDS!W$8,WeightSDS!$U$9-WeightSDS!$V$9*($AG232-WeightSDS!$W$9)))</f>
        <v>0.75407122999999998</v>
      </c>
      <c r="AJ232" s="24">
        <f>IF(D232="M",IF($AG232&lt;45,WeightSDS!M$23*$AG232^10+WeightSDS!N$23*$AG232^9+WeightSDS!O$23*$AG232^8+WeightSDS!P$23*$AG232^7+WeightSDS!Q$23*$AG232^6+WeightSDS!R$23*$AG232^5+WeightSDS!S$23*$AG232^4+WeightSDS!T$23*$AG232^3+WeightSDS!U$23*$AG232^2+WeightSDS!V$23*$AG232+WeightSDS!W$23,IF($AG232&lt;153,WeightSDS!M$25*$AG232^10+WeightSDS!N$25*$AG232^9+WeightSDS!O$25*$AG232^8+WeightSDS!P$25*$AG232^7+WeightSDS!Q$25*$AG232^6+WeightSDS!R$25*$AG232^5+WeightSDS!S$25*$AG232^4+WeightSDS!T$25*$AG232^3+WeightSDS!U$25*$AG232^2+WeightSDS!V$25*$AG232+WeightSDS!W$25,WeightSDS!M$27+WeightSDS!N$27/(1+EXP(WeightSDS!O$27+WeightSDS!P$27*$AG232)))),IF($AG232&lt;43.8,WeightSDS!M$29*$AG232^10+WeightSDS!N$29*$AG232^9+WeightSDS!O$29*$AG232^8+WeightSDS!P$29*$AG232^7+WeightSDS!Q$29*$AG232^6+WeightSDS!R$29*$AG232^5+WeightSDS!S$29*$AG232^4+WeightSDS!T$29*$AG232^3+WeightSDS!U$29*$AG232^2+WeightSDS!V$29*$AG232+WeightSDS!W$29-0.010431*(1-$AG232/210),IF($AG232&lt;123,WeightSDS!M$30*$AG232^10+WeightSDS!N$30*$AG232^9+WeightSDS!O$30*$AG232^8+WeightSDS!P$30*$AG232^7+WeightSDS!Q$30*$AG232^6+WeightSDS!R$30*$AG232^5+WeightSDS!S$30*$AG232^4+WeightSDS!T$30*$AG232^3+WeightSDS!U$30*$AG232^2+WeightSDS!V$30*$AG232+WeightSDS!W$30-0.010431*(1-1/$AG232),WeightSDS!M$32+WeightSDS!N$32/(1+EXP(WeightSDS!O$32+WeightSDS!P$32*$AG232))-0.010431*(1-$AG232/210))))</f>
        <v>2.9500001032655536</v>
      </c>
      <c r="AK232" s="24">
        <f>IF(D232="M",IF($AG232&lt;162,WeightSDS!P$12*$AG232^7+WeightSDS!Q$12*$AG232^6+WeightSDS!R$12*$AG232^5+WeightSDS!S$12*$AG232^4+WeightSDS!T$12*$AG232^3+WeightSDS!U$12*$AG232^2+WeightSDS!V$12*$AG232+WeightSDS!W$12,WeightSDS!P$14*$AG232^7+WeightSDS!Q$14*$AG232^6+WeightSDS!R$14*$AG232^5+WeightSDS!S$14*$AG232^4+WeightSDS!T$14*$AG232^3+WeightSDS!U$14*$AG232^2+WeightSDS!V$14*$AG232+WeightSDS!W$14),IF($AG232&lt;156,WeightSDS!O$17*$AG232^8+WeightSDS!P$17*$AG232^7+WeightSDS!Q$17*$AG232^6+WeightSDS!R$17*$AG232^5+WeightSDS!S$17*$AG232^4+WeightSDS!T$17*$AG232^3+WeightSDS!U$17*$AG232^2+WeightSDS!V$17*$AG232+WeightSDS!W$17,IF($AG232&lt;186,WeightSDS!$U$18+(WeightSDS!$V$18-WeightSDS!$U$18)/24*($AG232-186)+WeightSDS!$W$18*(-$AG232+186)^2-0.005,WeightSDS!$U$18+(WeightSDS!$V$18-WeightSDS!$U$18)/24*($AG232-186)-0.005)))</f>
        <v>0.14604529399999999</v>
      </c>
    </row>
    <row r="233" spans="1:37">
      <c r="A233" s="4"/>
      <c r="B233" s="21"/>
      <c r="C233" s="21"/>
      <c r="D233" s="21"/>
      <c r="E233" s="22"/>
      <c r="F233" s="22"/>
      <c r="G233" s="23"/>
      <c r="H233" s="23"/>
      <c r="I233" s="8" t="str">
        <f t="shared" si="50"/>
        <v/>
      </c>
      <c r="J233" s="2" t="str">
        <f t="shared" si="57"/>
        <v/>
      </c>
      <c r="K233" s="2" t="str">
        <f t="shared" si="51"/>
        <v/>
      </c>
      <c r="L233" s="2" t="str">
        <f t="shared" si="58"/>
        <v/>
      </c>
      <c r="M233" s="2" t="str">
        <f t="shared" si="63"/>
        <v/>
      </c>
      <c r="N233" s="2" t="str">
        <f t="shared" si="59"/>
        <v/>
      </c>
      <c r="O233" s="8" t="str">
        <f t="shared" si="60"/>
        <v/>
      </c>
      <c r="P233" s="8" t="str">
        <f t="shared" si="61"/>
        <v/>
      </c>
      <c r="Q233" s="40" t="str">
        <f t="shared" si="52"/>
        <v/>
      </c>
      <c r="R233" s="48" t="str">
        <f t="shared" si="62"/>
        <v/>
      </c>
      <c r="S233" s="8"/>
      <c r="U233" s="35">
        <f t="shared" si="53"/>
        <v>0</v>
      </c>
      <c r="V233" s="24">
        <f t="shared" si="54"/>
        <v>0</v>
      </c>
      <c r="W233" s="41">
        <f t="shared" si="65"/>
        <v>0</v>
      </c>
      <c r="X233" s="31"/>
      <c r="Y233" s="31"/>
      <c r="Z233" s="31"/>
      <c r="AA233" s="25">
        <f t="shared" si="55"/>
        <v>9.0359999999999996</v>
      </c>
      <c r="AB233" s="25">
        <f t="shared" si="56"/>
        <v>-184.49199999999999</v>
      </c>
      <c r="AD233" s="24">
        <f>IF(D233="M",IF(AG233&lt;78,BMILMS!$D$5*AG233^3+BMILMS!$E$5*AG233^2+BMILMS!$F$5*AG233+BMILMS!$G$5,IF(AG233&lt;150,BMILMS!$D$6*AG233^3+BMILMS!$E$6*AG233^2+BMILMS!$F$6*AG233+BMILMS!$G$6,BMILMS!$D$7*AG233^3+BMILMS!$E$7*AG233^2+BMILMS!$F$7*AG233+BMILMS!$G$7)),IF(AG233&lt;69,BMILMS!$D$9*AG233^3+BMILMS!$E$9*AG233^2+BMILMS!$F$9*AG233+BMILMS!$G$9,IF(AG233&lt;150,BMILMS!$D$10*AG233^3+BMILMS!$E$10*AG233^2+BMILMS!$F$10*AG233+BMILMS!$G$10,BMILMS!$D$11*AG233^3+BMILMS!$E$11*AG233^2+BMILMS!$F$11*AG233+BMILMS!$G$11)))</f>
        <v>0.79584630099999998</v>
      </c>
      <c r="AE233" s="24">
        <f>IF(D233="M",(IF(AG233&lt;2.5,BMILMS!$D$21*AG233^3+BMILMS!$E$21*AG233^2+BMILMS!$F$21*AG233+BMILMS!$G$21,IF(AG233&lt;9.5,BMILMS!$D$22*AG233^3+BMILMS!$E$22*AG233^2+BMILMS!$F$22*AG233+BMILMS!$G$22,IF(AG233&lt;26.75,BMILMS!$D$23*AG233^3+BMILMS!$E$23*AG233^2+BMILMS!$F$23*AG233+BMILMS!$G$23,IF(AG233&lt;90,BMILMS!$D$24*AG233^3+BMILMS!$E$24*AG233^2+BMILMS!$F$24*AG233+BMILMS!$G$24,BMILMS!$D$25*AG233^3+BMILMS!$E$25*AG233^2+BMILMS!$F$25*AG233+BMILMS!$G$25))))),(IF(AG233&lt;2.5,BMILMS!$D$27*AG233^3+BMILMS!$E$27*AG233^2+BMILMS!$F$27*AG233+BMILMS!$G$27,IF(AG233&lt;9.5,BMILMS!$D$28*AG233^3+BMILMS!$E$28*AG233^2+BMILMS!$F$28*AG233+BMILMS!$G$28,IF(AG233&lt;26.75,BMILMS!$D$29*AG233^3+BMILMS!$E$29*AG233^2+BMILMS!$F$29*AG233+BMILMS!$G$29,IF(AG233&lt;90,BMILMS!$D$30*AG233^3+BMILMS!$E$30*AG233^2+BMILMS!$F$30*AG233+BMILMS!$G$30,IF(AG233&lt;150,BMILMS!$D$31*AG233^3+BMILMS!$E$31*AG233^2+BMILMS!$F$31*AG233+BMILMS!$G$31,BMILMS!$D$32*AG233^3+BMILMS!$E$32*AG233^2+BMILMS!$F$32*AG233+BMILMS!$G$32)))))))</f>
        <v>12.568967990000001</v>
      </c>
      <c r="AF233" s="24">
        <f>IF(D233="M",(IF(AG233&lt;90,BMILMS!$D$14*AG233^3+BMILMS!$E$14*AG233^2+BMILMS!$F$14*AG233+BMILMS!$G$14,BMILMS!$D$15*AG233^3+BMILMS!$E$15*AG233^2+BMILMS!$F$15*AG233+BMILMS!$G$15)),(IF(AG233&lt;90,BMILMS!$D$17*AG233^3+BMILMS!$E$17*AG233^2+BMILMS!$F$17*AG233+BMILMS!$G$17,BMILMS!$D$18*AG233^3+BMILMS!$E$18*AG233^2+BMILMS!$F$18*AG233+BMILMS!$G$18)))</f>
        <v>8.8969350000000003E-2</v>
      </c>
      <c r="AG233" s="24">
        <f t="shared" si="64"/>
        <v>0</v>
      </c>
      <c r="AI233" s="38">
        <f>IF(D233="M",WeightSDS!P$5*$AG233^7+WeightSDS!Q$5*$AG233^6+WeightSDS!R$5*$AG233^5+WeightSDS!S$5*$AG233^4+WeightSDS!T$5*$AG233^3+WeightSDS!U$5*$AG233^2+WeightSDS!V$5*$AG233+WeightSDS!W$5,IF($AG233&lt;186,WeightSDS!P$8*$AG233^7+WeightSDS!Q$8*$AG233^6+WeightSDS!R$8*$AG233^5+WeightSDS!S$8*$AG233^4+WeightSDS!T$8*$AG233^3+WeightSDS!U$8*$AG233^2+WeightSDS!V$8*$AG233+WeightSDS!W$8,WeightSDS!$U$9-WeightSDS!$V$9*($AG233-WeightSDS!$W$9)))</f>
        <v>0.75407122999999998</v>
      </c>
      <c r="AJ233" s="24">
        <f>IF(D233="M",IF($AG233&lt;45,WeightSDS!M$23*$AG233^10+WeightSDS!N$23*$AG233^9+WeightSDS!O$23*$AG233^8+WeightSDS!P$23*$AG233^7+WeightSDS!Q$23*$AG233^6+WeightSDS!R$23*$AG233^5+WeightSDS!S$23*$AG233^4+WeightSDS!T$23*$AG233^3+WeightSDS!U$23*$AG233^2+WeightSDS!V$23*$AG233+WeightSDS!W$23,IF($AG233&lt;153,WeightSDS!M$25*$AG233^10+WeightSDS!N$25*$AG233^9+WeightSDS!O$25*$AG233^8+WeightSDS!P$25*$AG233^7+WeightSDS!Q$25*$AG233^6+WeightSDS!R$25*$AG233^5+WeightSDS!S$25*$AG233^4+WeightSDS!T$25*$AG233^3+WeightSDS!U$25*$AG233^2+WeightSDS!V$25*$AG233+WeightSDS!W$25,WeightSDS!M$27+WeightSDS!N$27/(1+EXP(WeightSDS!O$27+WeightSDS!P$27*$AG233)))),IF($AG233&lt;43.8,WeightSDS!M$29*$AG233^10+WeightSDS!N$29*$AG233^9+WeightSDS!O$29*$AG233^8+WeightSDS!P$29*$AG233^7+WeightSDS!Q$29*$AG233^6+WeightSDS!R$29*$AG233^5+WeightSDS!S$29*$AG233^4+WeightSDS!T$29*$AG233^3+WeightSDS!U$29*$AG233^2+WeightSDS!V$29*$AG233+WeightSDS!W$29-0.010431*(1-$AG233/210),IF($AG233&lt;123,WeightSDS!M$30*$AG233^10+WeightSDS!N$30*$AG233^9+WeightSDS!O$30*$AG233^8+WeightSDS!P$30*$AG233^7+WeightSDS!Q$30*$AG233^6+WeightSDS!R$30*$AG233^5+WeightSDS!S$30*$AG233^4+WeightSDS!T$30*$AG233^3+WeightSDS!U$30*$AG233^2+WeightSDS!V$30*$AG233+WeightSDS!W$30-0.010431*(1-1/$AG233),WeightSDS!M$32+WeightSDS!N$32/(1+EXP(WeightSDS!O$32+WeightSDS!P$32*$AG233))-0.010431*(1-$AG233/210))))</f>
        <v>2.9500001032655536</v>
      </c>
      <c r="AK233" s="24">
        <f>IF(D233="M",IF($AG233&lt;162,WeightSDS!P$12*$AG233^7+WeightSDS!Q$12*$AG233^6+WeightSDS!R$12*$AG233^5+WeightSDS!S$12*$AG233^4+WeightSDS!T$12*$AG233^3+WeightSDS!U$12*$AG233^2+WeightSDS!V$12*$AG233+WeightSDS!W$12,WeightSDS!P$14*$AG233^7+WeightSDS!Q$14*$AG233^6+WeightSDS!R$14*$AG233^5+WeightSDS!S$14*$AG233^4+WeightSDS!T$14*$AG233^3+WeightSDS!U$14*$AG233^2+WeightSDS!V$14*$AG233+WeightSDS!W$14),IF($AG233&lt;156,WeightSDS!O$17*$AG233^8+WeightSDS!P$17*$AG233^7+WeightSDS!Q$17*$AG233^6+WeightSDS!R$17*$AG233^5+WeightSDS!S$17*$AG233^4+WeightSDS!T$17*$AG233^3+WeightSDS!U$17*$AG233^2+WeightSDS!V$17*$AG233+WeightSDS!W$17,IF($AG233&lt;186,WeightSDS!$U$18+(WeightSDS!$V$18-WeightSDS!$U$18)/24*($AG233-186)+WeightSDS!$W$18*(-$AG233+186)^2-0.005,WeightSDS!$U$18+(WeightSDS!$V$18-WeightSDS!$U$18)/24*($AG233-186)-0.005)))</f>
        <v>0.14604529399999999</v>
      </c>
    </row>
    <row r="234" spans="1:37">
      <c r="A234" s="4"/>
      <c r="B234" s="21"/>
      <c r="C234" s="21"/>
      <c r="D234" s="21"/>
      <c r="E234" s="22"/>
      <c r="F234" s="22"/>
      <c r="G234" s="23"/>
      <c r="H234" s="23"/>
      <c r="I234" s="8" t="str">
        <f t="shared" si="50"/>
        <v/>
      </c>
      <c r="J234" s="2" t="str">
        <f t="shared" si="57"/>
        <v/>
      </c>
      <c r="K234" s="2" t="str">
        <f t="shared" si="51"/>
        <v/>
      </c>
      <c r="L234" s="2" t="str">
        <f t="shared" si="58"/>
        <v/>
      </c>
      <c r="M234" s="2" t="str">
        <f t="shared" si="63"/>
        <v/>
      </c>
      <c r="N234" s="2" t="str">
        <f t="shared" si="59"/>
        <v/>
      </c>
      <c r="O234" s="8" t="str">
        <f t="shared" si="60"/>
        <v/>
      </c>
      <c r="P234" s="8" t="str">
        <f t="shared" si="61"/>
        <v/>
      </c>
      <c r="Q234" s="40" t="str">
        <f t="shared" si="52"/>
        <v/>
      </c>
      <c r="R234" s="48" t="str">
        <f t="shared" si="62"/>
        <v/>
      </c>
      <c r="S234" s="8"/>
      <c r="U234" s="35">
        <f t="shared" si="53"/>
        <v>0</v>
      </c>
      <c r="V234" s="24">
        <f t="shared" si="54"/>
        <v>0</v>
      </c>
      <c r="W234" s="41">
        <f t="shared" si="65"/>
        <v>0</v>
      </c>
      <c r="X234" s="31"/>
      <c r="Y234" s="31"/>
      <c r="Z234" s="31"/>
      <c r="AA234" s="25">
        <f t="shared" si="55"/>
        <v>9.0359999999999996</v>
      </c>
      <c r="AB234" s="25">
        <f t="shared" si="56"/>
        <v>-184.49199999999999</v>
      </c>
      <c r="AD234" s="24">
        <f>IF(D234="M",IF(AG234&lt;78,BMILMS!$D$5*AG234^3+BMILMS!$E$5*AG234^2+BMILMS!$F$5*AG234+BMILMS!$G$5,IF(AG234&lt;150,BMILMS!$D$6*AG234^3+BMILMS!$E$6*AG234^2+BMILMS!$F$6*AG234+BMILMS!$G$6,BMILMS!$D$7*AG234^3+BMILMS!$E$7*AG234^2+BMILMS!$F$7*AG234+BMILMS!$G$7)),IF(AG234&lt;69,BMILMS!$D$9*AG234^3+BMILMS!$E$9*AG234^2+BMILMS!$F$9*AG234+BMILMS!$G$9,IF(AG234&lt;150,BMILMS!$D$10*AG234^3+BMILMS!$E$10*AG234^2+BMILMS!$F$10*AG234+BMILMS!$G$10,BMILMS!$D$11*AG234^3+BMILMS!$E$11*AG234^2+BMILMS!$F$11*AG234+BMILMS!$G$11)))</f>
        <v>0.79584630099999998</v>
      </c>
      <c r="AE234" s="24">
        <f>IF(D234="M",(IF(AG234&lt;2.5,BMILMS!$D$21*AG234^3+BMILMS!$E$21*AG234^2+BMILMS!$F$21*AG234+BMILMS!$G$21,IF(AG234&lt;9.5,BMILMS!$D$22*AG234^3+BMILMS!$E$22*AG234^2+BMILMS!$F$22*AG234+BMILMS!$G$22,IF(AG234&lt;26.75,BMILMS!$D$23*AG234^3+BMILMS!$E$23*AG234^2+BMILMS!$F$23*AG234+BMILMS!$G$23,IF(AG234&lt;90,BMILMS!$D$24*AG234^3+BMILMS!$E$24*AG234^2+BMILMS!$F$24*AG234+BMILMS!$G$24,BMILMS!$D$25*AG234^3+BMILMS!$E$25*AG234^2+BMILMS!$F$25*AG234+BMILMS!$G$25))))),(IF(AG234&lt;2.5,BMILMS!$D$27*AG234^3+BMILMS!$E$27*AG234^2+BMILMS!$F$27*AG234+BMILMS!$G$27,IF(AG234&lt;9.5,BMILMS!$D$28*AG234^3+BMILMS!$E$28*AG234^2+BMILMS!$F$28*AG234+BMILMS!$G$28,IF(AG234&lt;26.75,BMILMS!$D$29*AG234^3+BMILMS!$E$29*AG234^2+BMILMS!$F$29*AG234+BMILMS!$G$29,IF(AG234&lt;90,BMILMS!$D$30*AG234^3+BMILMS!$E$30*AG234^2+BMILMS!$F$30*AG234+BMILMS!$G$30,IF(AG234&lt;150,BMILMS!$D$31*AG234^3+BMILMS!$E$31*AG234^2+BMILMS!$F$31*AG234+BMILMS!$G$31,BMILMS!$D$32*AG234^3+BMILMS!$E$32*AG234^2+BMILMS!$F$32*AG234+BMILMS!$G$32)))))))</f>
        <v>12.568967990000001</v>
      </c>
      <c r="AF234" s="24">
        <f>IF(D234="M",(IF(AG234&lt;90,BMILMS!$D$14*AG234^3+BMILMS!$E$14*AG234^2+BMILMS!$F$14*AG234+BMILMS!$G$14,BMILMS!$D$15*AG234^3+BMILMS!$E$15*AG234^2+BMILMS!$F$15*AG234+BMILMS!$G$15)),(IF(AG234&lt;90,BMILMS!$D$17*AG234^3+BMILMS!$E$17*AG234^2+BMILMS!$F$17*AG234+BMILMS!$G$17,BMILMS!$D$18*AG234^3+BMILMS!$E$18*AG234^2+BMILMS!$F$18*AG234+BMILMS!$G$18)))</f>
        <v>8.8969350000000003E-2</v>
      </c>
      <c r="AG234" s="24">
        <f t="shared" si="64"/>
        <v>0</v>
      </c>
      <c r="AI234" s="38">
        <f>IF(D234="M",WeightSDS!P$5*$AG234^7+WeightSDS!Q$5*$AG234^6+WeightSDS!R$5*$AG234^5+WeightSDS!S$5*$AG234^4+WeightSDS!T$5*$AG234^3+WeightSDS!U$5*$AG234^2+WeightSDS!V$5*$AG234+WeightSDS!W$5,IF($AG234&lt;186,WeightSDS!P$8*$AG234^7+WeightSDS!Q$8*$AG234^6+WeightSDS!R$8*$AG234^5+WeightSDS!S$8*$AG234^4+WeightSDS!T$8*$AG234^3+WeightSDS!U$8*$AG234^2+WeightSDS!V$8*$AG234+WeightSDS!W$8,WeightSDS!$U$9-WeightSDS!$V$9*($AG234-WeightSDS!$W$9)))</f>
        <v>0.75407122999999998</v>
      </c>
      <c r="AJ234" s="24">
        <f>IF(D234="M",IF($AG234&lt;45,WeightSDS!M$23*$AG234^10+WeightSDS!N$23*$AG234^9+WeightSDS!O$23*$AG234^8+WeightSDS!P$23*$AG234^7+WeightSDS!Q$23*$AG234^6+WeightSDS!R$23*$AG234^5+WeightSDS!S$23*$AG234^4+WeightSDS!T$23*$AG234^3+WeightSDS!U$23*$AG234^2+WeightSDS!V$23*$AG234+WeightSDS!W$23,IF($AG234&lt;153,WeightSDS!M$25*$AG234^10+WeightSDS!N$25*$AG234^9+WeightSDS!O$25*$AG234^8+WeightSDS!P$25*$AG234^7+WeightSDS!Q$25*$AG234^6+WeightSDS!R$25*$AG234^5+WeightSDS!S$25*$AG234^4+WeightSDS!T$25*$AG234^3+WeightSDS!U$25*$AG234^2+WeightSDS!V$25*$AG234+WeightSDS!W$25,WeightSDS!M$27+WeightSDS!N$27/(1+EXP(WeightSDS!O$27+WeightSDS!P$27*$AG234)))),IF($AG234&lt;43.8,WeightSDS!M$29*$AG234^10+WeightSDS!N$29*$AG234^9+WeightSDS!O$29*$AG234^8+WeightSDS!P$29*$AG234^7+WeightSDS!Q$29*$AG234^6+WeightSDS!R$29*$AG234^5+WeightSDS!S$29*$AG234^4+WeightSDS!T$29*$AG234^3+WeightSDS!U$29*$AG234^2+WeightSDS!V$29*$AG234+WeightSDS!W$29-0.010431*(1-$AG234/210),IF($AG234&lt;123,WeightSDS!M$30*$AG234^10+WeightSDS!N$30*$AG234^9+WeightSDS!O$30*$AG234^8+WeightSDS!P$30*$AG234^7+WeightSDS!Q$30*$AG234^6+WeightSDS!R$30*$AG234^5+WeightSDS!S$30*$AG234^4+WeightSDS!T$30*$AG234^3+WeightSDS!U$30*$AG234^2+WeightSDS!V$30*$AG234+WeightSDS!W$30-0.010431*(1-1/$AG234),WeightSDS!M$32+WeightSDS!N$32/(1+EXP(WeightSDS!O$32+WeightSDS!P$32*$AG234))-0.010431*(1-$AG234/210))))</f>
        <v>2.9500001032655536</v>
      </c>
      <c r="AK234" s="24">
        <f>IF(D234="M",IF($AG234&lt;162,WeightSDS!P$12*$AG234^7+WeightSDS!Q$12*$AG234^6+WeightSDS!R$12*$AG234^5+WeightSDS!S$12*$AG234^4+WeightSDS!T$12*$AG234^3+WeightSDS!U$12*$AG234^2+WeightSDS!V$12*$AG234+WeightSDS!W$12,WeightSDS!P$14*$AG234^7+WeightSDS!Q$14*$AG234^6+WeightSDS!R$14*$AG234^5+WeightSDS!S$14*$AG234^4+WeightSDS!T$14*$AG234^3+WeightSDS!U$14*$AG234^2+WeightSDS!V$14*$AG234+WeightSDS!W$14),IF($AG234&lt;156,WeightSDS!O$17*$AG234^8+WeightSDS!P$17*$AG234^7+WeightSDS!Q$17*$AG234^6+WeightSDS!R$17*$AG234^5+WeightSDS!S$17*$AG234^4+WeightSDS!T$17*$AG234^3+WeightSDS!U$17*$AG234^2+WeightSDS!V$17*$AG234+WeightSDS!W$17,IF($AG234&lt;186,WeightSDS!$U$18+(WeightSDS!$V$18-WeightSDS!$U$18)/24*($AG234-186)+WeightSDS!$W$18*(-$AG234+186)^2-0.005,WeightSDS!$U$18+(WeightSDS!$V$18-WeightSDS!$U$18)/24*($AG234-186)-0.005)))</f>
        <v>0.14604529399999999</v>
      </c>
    </row>
    <row r="235" spans="1:37">
      <c r="A235" s="4"/>
      <c r="B235" s="21"/>
      <c r="C235" s="21"/>
      <c r="D235" s="21"/>
      <c r="E235" s="22"/>
      <c r="F235" s="22"/>
      <c r="G235" s="23"/>
      <c r="H235" s="23"/>
      <c r="I235" s="8" t="str">
        <f t="shared" si="50"/>
        <v/>
      </c>
      <c r="J235" s="2" t="str">
        <f t="shared" si="57"/>
        <v/>
      </c>
      <c r="K235" s="2" t="str">
        <f t="shared" si="51"/>
        <v/>
      </c>
      <c r="L235" s="2" t="str">
        <f t="shared" si="58"/>
        <v/>
      </c>
      <c r="M235" s="2" t="str">
        <f t="shared" si="63"/>
        <v/>
      </c>
      <c r="N235" s="2" t="str">
        <f t="shared" si="59"/>
        <v/>
      </c>
      <c r="O235" s="8" t="str">
        <f t="shared" si="60"/>
        <v/>
      </c>
      <c r="P235" s="8" t="str">
        <f t="shared" si="61"/>
        <v/>
      </c>
      <c r="Q235" s="40" t="str">
        <f t="shared" si="52"/>
        <v/>
      </c>
      <c r="R235" s="48" t="str">
        <f t="shared" si="62"/>
        <v/>
      </c>
      <c r="S235" s="8"/>
      <c r="U235" s="35">
        <f t="shared" si="53"/>
        <v>0</v>
      </c>
      <c r="V235" s="24">
        <f t="shared" si="54"/>
        <v>0</v>
      </c>
      <c r="W235" s="41">
        <f t="shared" si="65"/>
        <v>0</v>
      </c>
      <c r="X235" s="31"/>
      <c r="Y235" s="31"/>
      <c r="Z235" s="31"/>
      <c r="AA235" s="25">
        <f t="shared" si="55"/>
        <v>9.0359999999999996</v>
      </c>
      <c r="AB235" s="25">
        <f t="shared" si="56"/>
        <v>-184.49199999999999</v>
      </c>
      <c r="AD235" s="24">
        <f>IF(D235="M",IF(AG235&lt;78,BMILMS!$D$5*AG235^3+BMILMS!$E$5*AG235^2+BMILMS!$F$5*AG235+BMILMS!$G$5,IF(AG235&lt;150,BMILMS!$D$6*AG235^3+BMILMS!$E$6*AG235^2+BMILMS!$F$6*AG235+BMILMS!$G$6,BMILMS!$D$7*AG235^3+BMILMS!$E$7*AG235^2+BMILMS!$F$7*AG235+BMILMS!$G$7)),IF(AG235&lt;69,BMILMS!$D$9*AG235^3+BMILMS!$E$9*AG235^2+BMILMS!$F$9*AG235+BMILMS!$G$9,IF(AG235&lt;150,BMILMS!$D$10*AG235^3+BMILMS!$E$10*AG235^2+BMILMS!$F$10*AG235+BMILMS!$G$10,BMILMS!$D$11*AG235^3+BMILMS!$E$11*AG235^2+BMILMS!$F$11*AG235+BMILMS!$G$11)))</f>
        <v>0.79584630099999998</v>
      </c>
      <c r="AE235" s="24">
        <f>IF(D235="M",(IF(AG235&lt;2.5,BMILMS!$D$21*AG235^3+BMILMS!$E$21*AG235^2+BMILMS!$F$21*AG235+BMILMS!$G$21,IF(AG235&lt;9.5,BMILMS!$D$22*AG235^3+BMILMS!$E$22*AG235^2+BMILMS!$F$22*AG235+BMILMS!$G$22,IF(AG235&lt;26.75,BMILMS!$D$23*AG235^3+BMILMS!$E$23*AG235^2+BMILMS!$F$23*AG235+BMILMS!$G$23,IF(AG235&lt;90,BMILMS!$D$24*AG235^3+BMILMS!$E$24*AG235^2+BMILMS!$F$24*AG235+BMILMS!$G$24,BMILMS!$D$25*AG235^3+BMILMS!$E$25*AG235^2+BMILMS!$F$25*AG235+BMILMS!$G$25))))),(IF(AG235&lt;2.5,BMILMS!$D$27*AG235^3+BMILMS!$E$27*AG235^2+BMILMS!$F$27*AG235+BMILMS!$G$27,IF(AG235&lt;9.5,BMILMS!$D$28*AG235^3+BMILMS!$E$28*AG235^2+BMILMS!$F$28*AG235+BMILMS!$G$28,IF(AG235&lt;26.75,BMILMS!$D$29*AG235^3+BMILMS!$E$29*AG235^2+BMILMS!$F$29*AG235+BMILMS!$G$29,IF(AG235&lt;90,BMILMS!$D$30*AG235^3+BMILMS!$E$30*AG235^2+BMILMS!$F$30*AG235+BMILMS!$G$30,IF(AG235&lt;150,BMILMS!$D$31*AG235^3+BMILMS!$E$31*AG235^2+BMILMS!$F$31*AG235+BMILMS!$G$31,BMILMS!$D$32*AG235^3+BMILMS!$E$32*AG235^2+BMILMS!$F$32*AG235+BMILMS!$G$32)))))))</f>
        <v>12.568967990000001</v>
      </c>
      <c r="AF235" s="24">
        <f>IF(D235="M",(IF(AG235&lt;90,BMILMS!$D$14*AG235^3+BMILMS!$E$14*AG235^2+BMILMS!$F$14*AG235+BMILMS!$G$14,BMILMS!$D$15*AG235^3+BMILMS!$E$15*AG235^2+BMILMS!$F$15*AG235+BMILMS!$G$15)),(IF(AG235&lt;90,BMILMS!$D$17*AG235^3+BMILMS!$E$17*AG235^2+BMILMS!$F$17*AG235+BMILMS!$G$17,BMILMS!$D$18*AG235^3+BMILMS!$E$18*AG235^2+BMILMS!$F$18*AG235+BMILMS!$G$18)))</f>
        <v>8.8969350000000003E-2</v>
      </c>
      <c r="AG235" s="24">
        <f t="shared" si="64"/>
        <v>0</v>
      </c>
      <c r="AI235" s="38">
        <f>IF(D235="M",WeightSDS!P$5*$AG235^7+WeightSDS!Q$5*$AG235^6+WeightSDS!R$5*$AG235^5+WeightSDS!S$5*$AG235^4+WeightSDS!T$5*$AG235^3+WeightSDS!U$5*$AG235^2+WeightSDS!V$5*$AG235+WeightSDS!W$5,IF($AG235&lt;186,WeightSDS!P$8*$AG235^7+WeightSDS!Q$8*$AG235^6+WeightSDS!R$8*$AG235^5+WeightSDS!S$8*$AG235^4+WeightSDS!T$8*$AG235^3+WeightSDS!U$8*$AG235^2+WeightSDS!V$8*$AG235+WeightSDS!W$8,WeightSDS!$U$9-WeightSDS!$V$9*($AG235-WeightSDS!$W$9)))</f>
        <v>0.75407122999999998</v>
      </c>
      <c r="AJ235" s="24">
        <f>IF(D235="M",IF($AG235&lt;45,WeightSDS!M$23*$AG235^10+WeightSDS!N$23*$AG235^9+WeightSDS!O$23*$AG235^8+WeightSDS!P$23*$AG235^7+WeightSDS!Q$23*$AG235^6+WeightSDS!R$23*$AG235^5+WeightSDS!S$23*$AG235^4+WeightSDS!T$23*$AG235^3+WeightSDS!U$23*$AG235^2+WeightSDS!V$23*$AG235+WeightSDS!W$23,IF($AG235&lt;153,WeightSDS!M$25*$AG235^10+WeightSDS!N$25*$AG235^9+WeightSDS!O$25*$AG235^8+WeightSDS!P$25*$AG235^7+WeightSDS!Q$25*$AG235^6+WeightSDS!R$25*$AG235^5+WeightSDS!S$25*$AG235^4+WeightSDS!T$25*$AG235^3+WeightSDS!U$25*$AG235^2+WeightSDS!V$25*$AG235+WeightSDS!W$25,WeightSDS!M$27+WeightSDS!N$27/(1+EXP(WeightSDS!O$27+WeightSDS!P$27*$AG235)))),IF($AG235&lt;43.8,WeightSDS!M$29*$AG235^10+WeightSDS!N$29*$AG235^9+WeightSDS!O$29*$AG235^8+WeightSDS!P$29*$AG235^7+WeightSDS!Q$29*$AG235^6+WeightSDS!R$29*$AG235^5+WeightSDS!S$29*$AG235^4+WeightSDS!T$29*$AG235^3+WeightSDS!U$29*$AG235^2+WeightSDS!V$29*$AG235+WeightSDS!W$29-0.010431*(1-$AG235/210),IF($AG235&lt;123,WeightSDS!M$30*$AG235^10+WeightSDS!N$30*$AG235^9+WeightSDS!O$30*$AG235^8+WeightSDS!P$30*$AG235^7+WeightSDS!Q$30*$AG235^6+WeightSDS!R$30*$AG235^5+WeightSDS!S$30*$AG235^4+WeightSDS!T$30*$AG235^3+WeightSDS!U$30*$AG235^2+WeightSDS!V$30*$AG235+WeightSDS!W$30-0.010431*(1-1/$AG235),WeightSDS!M$32+WeightSDS!N$32/(1+EXP(WeightSDS!O$32+WeightSDS!P$32*$AG235))-0.010431*(1-$AG235/210))))</f>
        <v>2.9500001032655536</v>
      </c>
      <c r="AK235" s="24">
        <f>IF(D235="M",IF($AG235&lt;162,WeightSDS!P$12*$AG235^7+WeightSDS!Q$12*$AG235^6+WeightSDS!R$12*$AG235^5+WeightSDS!S$12*$AG235^4+WeightSDS!T$12*$AG235^3+WeightSDS!U$12*$AG235^2+WeightSDS!V$12*$AG235+WeightSDS!W$12,WeightSDS!P$14*$AG235^7+WeightSDS!Q$14*$AG235^6+WeightSDS!R$14*$AG235^5+WeightSDS!S$14*$AG235^4+WeightSDS!T$14*$AG235^3+WeightSDS!U$14*$AG235^2+WeightSDS!V$14*$AG235+WeightSDS!W$14),IF($AG235&lt;156,WeightSDS!O$17*$AG235^8+WeightSDS!P$17*$AG235^7+WeightSDS!Q$17*$AG235^6+WeightSDS!R$17*$AG235^5+WeightSDS!S$17*$AG235^4+WeightSDS!T$17*$AG235^3+WeightSDS!U$17*$AG235^2+WeightSDS!V$17*$AG235+WeightSDS!W$17,IF($AG235&lt;186,WeightSDS!$U$18+(WeightSDS!$V$18-WeightSDS!$U$18)/24*($AG235-186)+WeightSDS!$W$18*(-$AG235+186)^2-0.005,WeightSDS!$U$18+(WeightSDS!$V$18-WeightSDS!$U$18)/24*($AG235-186)-0.005)))</f>
        <v>0.14604529399999999</v>
      </c>
    </row>
    <row r="236" spans="1:37">
      <c r="A236" s="4"/>
      <c r="B236" s="21"/>
      <c r="C236" s="21"/>
      <c r="D236" s="21"/>
      <c r="E236" s="22"/>
      <c r="F236" s="22"/>
      <c r="G236" s="23"/>
      <c r="H236" s="23"/>
      <c r="I236" s="8" t="str">
        <f t="shared" si="50"/>
        <v/>
      </c>
      <c r="J236" s="2" t="str">
        <f t="shared" si="57"/>
        <v/>
      </c>
      <c r="K236" s="2" t="str">
        <f t="shared" si="51"/>
        <v/>
      </c>
      <c r="L236" s="2" t="str">
        <f t="shared" si="58"/>
        <v/>
      </c>
      <c r="M236" s="2" t="str">
        <f t="shared" si="63"/>
        <v/>
      </c>
      <c r="N236" s="2" t="str">
        <f t="shared" si="59"/>
        <v/>
      </c>
      <c r="O236" s="8" t="str">
        <f t="shared" si="60"/>
        <v/>
      </c>
      <c r="P236" s="8" t="str">
        <f t="shared" si="61"/>
        <v/>
      </c>
      <c r="Q236" s="40" t="str">
        <f t="shared" si="52"/>
        <v/>
      </c>
      <c r="R236" s="48" t="str">
        <f t="shared" si="62"/>
        <v/>
      </c>
      <c r="S236" s="8"/>
      <c r="U236" s="35">
        <f t="shared" si="53"/>
        <v>0</v>
      </c>
      <c r="V236" s="24">
        <f t="shared" si="54"/>
        <v>0</v>
      </c>
      <c r="W236" s="41">
        <f t="shared" si="65"/>
        <v>0</v>
      </c>
      <c r="X236" s="31"/>
      <c r="Y236" s="31"/>
      <c r="Z236" s="31"/>
      <c r="AA236" s="25">
        <f t="shared" si="55"/>
        <v>9.0359999999999996</v>
      </c>
      <c r="AB236" s="25">
        <f t="shared" si="56"/>
        <v>-184.49199999999999</v>
      </c>
      <c r="AD236" s="24">
        <f>IF(D236="M",IF(AG236&lt;78,BMILMS!$D$5*AG236^3+BMILMS!$E$5*AG236^2+BMILMS!$F$5*AG236+BMILMS!$G$5,IF(AG236&lt;150,BMILMS!$D$6*AG236^3+BMILMS!$E$6*AG236^2+BMILMS!$F$6*AG236+BMILMS!$G$6,BMILMS!$D$7*AG236^3+BMILMS!$E$7*AG236^2+BMILMS!$F$7*AG236+BMILMS!$G$7)),IF(AG236&lt;69,BMILMS!$D$9*AG236^3+BMILMS!$E$9*AG236^2+BMILMS!$F$9*AG236+BMILMS!$G$9,IF(AG236&lt;150,BMILMS!$D$10*AG236^3+BMILMS!$E$10*AG236^2+BMILMS!$F$10*AG236+BMILMS!$G$10,BMILMS!$D$11*AG236^3+BMILMS!$E$11*AG236^2+BMILMS!$F$11*AG236+BMILMS!$G$11)))</f>
        <v>0.79584630099999998</v>
      </c>
      <c r="AE236" s="24">
        <f>IF(D236="M",(IF(AG236&lt;2.5,BMILMS!$D$21*AG236^3+BMILMS!$E$21*AG236^2+BMILMS!$F$21*AG236+BMILMS!$G$21,IF(AG236&lt;9.5,BMILMS!$D$22*AG236^3+BMILMS!$E$22*AG236^2+BMILMS!$F$22*AG236+BMILMS!$G$22,IF(AG236&lt;26.75,BMILMS!$D$23*AG236^3+BMILMS!$E$23*AG236^2+BMILMS!$F$23*AG236+BMILMS!$G$23,IF(AG236&lt;90,BMILMS!$D$24*AG236^3+BMILMS!$E$24*AG236^2+BMILMS!$F$24*AG236+BMILMS!$G$24,BMILMS!$D$25*AG236^3+BMILMS!$E$25*AG236^2+BMILMS!$F$25*AG236+BMILMS!$G$25))))),(IF(AG236&lt;2.5,BMILMS!$D$27*AG236^3+BMILMS!$E$27*AG236^2+BMILMS!$F$27*AG236+BMILMS!$G$27,IF(AG236&lt;9.5,BMILMS!$D$28*AG236^3+BMILMS!$E$28*AG236^2+BMILMS!$F$28*AG236+BMILMS!$G$28,IF(AG236&lt;26.75,BMILMS!$D$29*AG236^3+BMILMS!$E$29*AG236^2+BMILMS!$F$29*AG236+BMILMS!$G$29,IF(AG236&lt;90,BMILMS!$D$30*AG236^3+BMILMS!$E$30*AG236^2+BMILMS!$F$30*AG236+BMILMS!$G$30,IF(AG236&lt;150,BMILMS!$D$31*AG236^3+BMILMS!$E$31*AG236^2+BMILMS!$F$31*AG236+BMILMS!$G$31,BMILMS!$D$32*AG236^3+BMILMS!$E$32*AG236^2+BMILMS!$F$32*AG236+BMILMS!$G$32)))))))</f>
        <v>12.568967990000001</v>
      </c>
      <c r="AF236" s="24">
        <f>IF(D236="M",(IF(AG236&lt;90,BMILMS!$D$14*AG236^3+BMILMS!$E$14*AG236^2+BMILMS!$F$14*AG236+BMILMS!$G$14,BMILMS!$D$15*AG236^3+BMILMS!$E$15*AG236^2+BMILMS!$F$15*AG236+BMILMS!$G$15)),(IF(AG236&lt;90,BMILMS!$D$17*AG236^3+BMILMS!$E$17*AG236^2+BMILMS!$F$17*AG236+BMILMS!$G$17,BMILMS!$D$18*AG236^3+BMILMS!$E$18*AG236^2+BMILMS!$F$18*AG236+BMILMS!$G$18)))</f>
        <v>8.8969350000000003E-2</v>
      </c>
      <c r="AG236" s="24">
        <f t="shared" si="64"/>
        <v>0</v>
      </c>
      <c r="AI236" s="38">
        <f>IF(D236="M",WeightSDS!P$5*$AG236^7+WeightSDS!Q$5*$AG236^6+WeightSDS!R$5*$AG236^5+WeightSDS!S$5*$AG236^4+WeightSDS!T$5*$AG236^3+WeightSDS!U$5*$AG236^2+WeightSDS!V$5*$AG236+WeightSDS!W$5,IF($AG236&lt;186,WeightSDS!P$8*$AG236^7+WeightSDS!Q$8*$AG236^6+WeightSDS!R$8*$AG236^5+WeightSDS!S$8*$AG236^4+WeightSDS!T$8*$AG236^3+WeightSDS!U$8*$AG236^2+WeightSDS!V$8*$AG236+WeightSDS!W$8,WeightSDS!$U$9-WeightSDS!$V$9*($AG236-WeightSDS!$W$9)))</f>
        <v>0.75407122999999998</v>
      </c>
      <c r="AJ236" s="24">
        <f>IF(D236="M",IF($AG236&lt;45,WeightSDS!M$23*$AG236^10+WeightSDS!N$23*$AG236^9+WeightSDS!O$23*$AG236^8+WeightSDS!P$23*$AG236^7+WeightSDS!Q$23*$AG236^6+WeightSDS!R$23*$AG236^5+WeightSDS!S$23*$AG236^4+WeightSDS!T$23*$AG236^3+WeightSDS!U$23*$AG236^2+WeightSDS!V$23*$AG236+WeightSDS!W$23,IF($AG236&lt;153,WeightSDS!M$25*$AG236^10+WeightSDS!N$25*$AG236^9+WeightSDS!O$25*$AG236^8+WeightSDS!P$25*$AG236^7+WeightSDS!Q$25*$AG236^6+WeightSDS!R$25*$AG236^5+WeightSDS!S$25*$AG236^4+WeightSDS!T$25*$AG236^3+WeightSDS!U$25*$AG236^2+WeightSDS!V$25*$AG236+WeightSDS!W$25,WeightSDS!M$27+WeightSDS!N$27/(1+EXP(WeightSDS!O$27+WeightSDS!P$27*$AG236)))),IF($AG236&lt;43.8,WeightSDS!M$29*$AG236^10+WeightSDS!N$29*$AG236^9+WeightSDS!O$29*$AG236^8+WeightSDS!P$29*$AG236^7+WeightSDS!Q$29*$AG236^6+WeightSDS!R$29*$AG236^5+WeightSDS!S$29*$AG236^4+WeightSDS!T$29*$AG236^3+WeightSDS!U$29*$AG236^2+WeightSDS!V$29*$AG236+WeightSDS!W$29-0.010431*(1-$AG236/210),IF($AG236&lt;123,WeightSDS!M$30*$AG236^10+WeightSDS!N$30*$AG236^9+WeightSDS!O$30*$AG236^8+WeightSDS!P$30*$AG236^7+WeightSDS!Q$30*$AG236^6+WeightSDS!R$30*$AG236^5+WeightSDS!S$30*$AG236^4+WeightSDS!T$30*$AG236^3+WeightSDS!U$30*$AG236^2+WeightSDS!V$30*$AG236+WeightSDS!W$30-0.010431*(1-1/$AG236),WeightSDS!M$32+WeightSDS!N$32/(1+EXP(WeightSDS!O$32+WeightSDS!P$32*$AG236))-0.010431*(1-$AG236/210))))</f>
        <v>2.9500001032655536</v>
      </c>
      <c r="AK236" s="24">
        <f>IF(D236="M",IF($AG236&lt;162,WeightSDS!P$12*$AG236^7+WeightSDS!Q$12*$AG236^6+WeightSDS!R$12*$AG236^5+WeightSDS!S$12*$AG236^4+WeightSDS!T$12*$AG236^3+WeightSDS!U$12*$AG236^2+WeightSDS!V$12*$AG236+WeightSDS!W$12,WeightSDS!P$14*$AG236^7+WeightSDS!Q$14*$AG236^6+WeightSDS!R$14*$AG236^5+WeightSDS!S$14*$AG236^4+WeightSDS!T$14*$AG236^3+WeightSDS!U$14*$AG236^2+WeightSDS!V$14*$AG236+WeightSDS!W$14),IF($AG236&lt;156,WeightSDS!O$17*$AG236^8+WeightSDS!P$17*$AG236^7+WeightSDS!Q$17*$AG236^6+WeightSDS!R$17*$AG236^5+WeightSDS!S$17*$AG236^4+WeightSDS!T$17*$AG236^3+WeightSDS!U$17*$AG236^2+WeightSDS!V$17*$AG236+WeightSDS!W$17,IF($AG236&lt;186,WeightSDS!$U$18+(WeightSDS!$V$18-WeightSDS!$U$18)/24*($AG236-186)+WeightSDS!$W$18*(-$AG236+186)^2-0.005,WeightSDS!$U$18+(WeightSDS!$V$18-WeightSDS!$U$18)/24*($AG236-186)-0.005)))</f>
        <v>0.14604529399999999</v>
      </c>
    </row>
    <row r="237" spans="1:37">
      <c r="A237" s="4"/>
      <c r="B237" s="21"/>
      <c r="C237" s="21"/>
      <c r="D237" s="21"/>
      <c r="E237" s="22"/>
      <c r="F237" s="22"/>
      <c r="G237" s="23"/>
      <c r="H237" s="23"/>
      <c r="I237" s="8" t="str">
        <f t="shared" si="50"/>
        <v/>
      </c>
      <c r="J237" s="2" t="str">
        <f t="shared" si="57"/>
        <v/>
      </c>
      <c r="K237" s="2" t="str">
        <f t="shared" si="51"/>
        <v/>
      </c>
      <c r="L237" s="2" t="str">
        <f t="shared" si="58"/>
        <v/>
      </c>
      <c r="M237" s="2" t="str">
        <f t="shared" si="63"/>
        <v/>
      </c>
      <c r="N237" s="2" t="str">
        <f t="shared" si="59"/>
        <v/>
      </c>
      <c r="O237" s="8" t="str">
        <f t="shared" si="60"/>
        <v/>
      </c>
      <c r="P237" s="8" t="str">
        <f t="shared" si="61"/>
        <v/>
      </c>
      <c r="Q237" s="40" t="str">
        <f t="shared" si="52"/>
        <v/>
      </c>
      <c r="R237" s="48" t="str">
        <f t="shared" si="62"/>
        <v/>
      </c>
      <c r="S237" s="8"/>
      <c r="U237" s="35">
        <f t="shared" si="53"/>
        <v>0</v>
      </c>
      <c r="V237" s="24">
        <f t="shared" si="54"/>
        <v>0</v>
      </c>
      <c r="W237" s="41">
        <f t="shared" si="65"/>
        <v>0</v>
      </c>
      <c r="X237" s="31"/>
      <c r="Y237" s="31"/>
      <c r="Z237" s="31"/>
      <c r="AA237" s="25">
        <f t="shared" si="55"/>
        <v>9.0359999999999996</v>
      </c>
      <c r="AB237" s="25">
        <f t="shared" si="56"/>
        <v>-184.49199999999999</v>
      </c>
      <c r="AD237" s="24">
        <f>IF(D237="M",IF(AG237&lt;78,BMILMS!$D$5*AG237^3+BMILMS!$E$5*AG237^2+BMILMS!$F$5*AG237+BMILMS!$G$5,IF(AG237&lt;150,BMILMS!$D$6*AG237^3+BMILMS!$E$6*AG237^2+BMILMS!$F$6*AG237+BMILMS!$G$6,BMILMS!$D$7*AG237^3+BMILMS!$E$7*AG237^2+BMILMS!$F$7*AG237+BMILMS!$G$7)),IF(AG237&lt;69,BMILMS!$D$9*AG237^3+BMILMS!$E$9*AG237^2+BMILMS!$F$9*AG237+BMILMS!$G$9,IF(AG237&lt;150,BMILMS!$D$10*AG237^3+BMILMS!$E$10*AG237^2+BMILMS!$F$10*AG237+BMILMS!$G$10,BMILMS!$D$11*AG237^3+BMILMS!$E$11*AG237^2+BMILMS!$F$11*AG237+BMILMS!$G$11)))</f>
        <v>0.79584630099999998</v>
      </c>
      <c r="AE237" s="24">
        <f>IF(D237="M",(IF(AG237&lt;2.5,BMILMS!$D$21*AG237^3+BMILMS!$E$21*AG237^2+BMILMS!$F$21*AG237+BMILMS!$G$21,IF(AG237&lt;9.5,BMILMS!$D$22*AG237^3+BMILMS!$E$22*AG237^2+BMILMS!$F$22*AG237+BMILMS!$G$22,IF(AG237&lt;26.75,BMILMS!$D$23*AG237^3+BMILMS!$E$23*AG237^2+BMILMS!$F$23*AG237+BMILMS!$G$23,IF(AG237&lt;90,BMILMS!$D$24*AG237^3+BMILMS!$E$24*AG237^2+BMILMS!$F$24*AG237+BMILMS!$G$24,BMILMS!$D$25*AG237^3+BMILMS!$E$25*AG237^2+BMILMS!$F$25*AG237+BMILMS!$G$25))))),(IF(AG237&lt;2.5,BMILMS!$D$27*AG237^3+BMILMS!$E$27*AG237^2+BMILMS!$F$27*AG237+BMILMS!$G$27,IF(AG237&lt;9.5,BMILMS!$D$28*AG237^3+BMILMS!$E$28*AG237^2+BMILMS!$F$28*AG237+BMILMS!$G$28,IF(AG237&lt;26.75,BMILMS!$D$29*AG237^3+BMILMS!$E$29*AG237^2+BMILMS!$F$29*AG237+BMILMS!$G$29,IF(AG237&lt;90,BMILMS!$D$30*AG237^3+BMILMS!$E$30*AG237^2+BMILMS!$F$30*AG237+BMILMS!$G$30,IF(AG237&lt;150,BMILMS!$D$31*AG237^3+BMILMS!$E$31*AG237^2+BMILMS!$F$31*AG237+BMILMS!$G$31,BMILMS!$D$32*AG237^3+BMILMS!$E$32*AG237^2+BMILMS!$F$32*AG237+BMILMS!$G$32)))))))</f>
        <v>12.568967990000001</v>
      </c>
      <c r="AF237" s="24">
        <f>IF(D237="M",(IF(AG237&lt;90,BMILMS!$D$14*AG237^3+BMILMS!$E$14*AG237^2+BMILMS!$F$14*AG237+BMILMS!$G$14,BMILMS!$D$15*AG237^3+BMILMS!$E$15*AG237^2+BMILMS!$F$15*AG237+BMILMS!$G$15)),(IF(AG237&lt;90,BMILMS!$D$17*AG237^3+BMILMS!$E$17*AG237^2+BMILMS!$F$17*AG237+BMILMS!$G$17,BMILMS!$D$18*AG237^3+BMILMS!$E$18*AG237^2+BMILMS!$F$18*AG237+BMILMS!$G$18)))</f>
        <v>8.8969350000000003E-2</v>
      </c>
      <c r="AG237" s="24">
        <f t="shared" si="64"/>
        <v>0</v>
      </c>
      <c r="AI237" s="38">
        <f>IF(D237="M",WeightSDS!P$5*$AG237^7+WeightSDS!Q$5*$AG237^6+WeightSDS!R$5*$AG237^5+WeightSDS!S$5*$AG237^4+WeightSDS!T$5*$AG237^3+WeightSDS!U$5*$AG237^2+WeightSDS!V$5*$AG237+WeightSDS!W$5,IF($AG237&lt;186,WeightSDS!P$8*$AG237^7+WeightSDS!Q$8*$AG237^6+WeightSDS!R$8*$AG237^5+WeightSDS!S$8*$AG237^4+WeightSDS!T$8*$AG237^3+WeightSDS!U$8*$AG237^2+WeightSDS!V$8*$AG237+WeightSDS!W$8,WeightSDS!$U$9-WeightSDS!$V$9*($AG237-WeightSDS!$W$9)))</f>
        <v>0.75407122999999998</v>
      </c>
      <c r="AJ237" s="24">
        <f>IF(D237="M",IF($AG237&lt;45,WeightSDS!M$23*$AG237^10+WeightSDS!N$23*$AG237^9+WeightSDS!O$23*$AG237^8+WeightSDS!P$23*$AG237^7+WeightSDS!Q$23*$AG237^6+WeightSDS!R$23*$AG237^5+WeightSDS!S$23*$AG237^4+WeightSDS!T$23*$AG237^3+WeightSDS!U$23*$AG237^2+WeightSDS!V$23*$AG237+WeightSDS!W$23,IF($AG237&lt;153,WeightSDS!M$25*$AG237^10+WeightSDS!N$25*$AG237^9+WeightSDS!O$25*$AG237^8+WeightSDS!P$25*$AG237^7+WeightSDS!Q$25*$AG237^6+WeightSDS!R$25*$AG237^5+WeightSDS!S$25*$AG237^4+WeightSDS!T$25*$AG237^3+WeightSDS!U$25*$AG237^2+WeightSDS!V$25*$AG237+WeightSDS!W$25,WeightSDS!M$27+WeightSDS!N$27/(1+EXP(WeightSDS!O$27+WeightSDS!P$27*$AG237)))),IF($AG237&lt;43.8,WeightSDS!M$29*$AG237^10+WeightSDS!N$29*$AG237^9+WeightSDS!O$29*$AG237^8+WeightSDS!P$29*$AG237^7+WeightSDS!Q$29*$AG237^6+WeightSDS!R$29*$AG237^5+WeightSDS!S$29*$AG237^4+WeightSDS!T$29*$AG237^3+WeightSDS!U$29*$AG237^2+WeightSDS!V$29*$AG237+WeightSDS!W$29-0.010431*(1-$AG237/210),IF($AG237&lt;123,WeightSDS!M$30*$AG237^10+WeightSDS!N$30*$AG237^9+WeightSDS!O$30*$AG237^8+WeightSDS!P$30*$AG237^7+WeightSDS!Q$30*$AG237^6+WeightSDS!R$30*$AG237^5+WeightSDS!S$30*$AG237^4+WeightSDS!T$30*$AG237^3+WeightSDS!U$30*$AG237^2+WeightSDS!V$30*$AG237+WeightSDS!W$30-0.010431*(1-1/$AG237),WeightSDS!M$32+WeightSDS!N$32/(1+EXP(WeightSDS!O$32+WeightSDS!P$32*$AG237))-0.010431*(1-$AG237/210))))</f>
        <v>2.9500001032655536</v>
      </c>
      <c r="AK237" s="24">
        <f>IF(D237="M",IF($AG237&lt;162,WeightSDS!P$12*$AG237^7+WeightSDS!Q$12*$AG237^6+WeightSDS!R$12*$AG237^5+WeightSDS!S$12*$AG237^4+WeightSDS!T$12*$AG237^3+WeightSDS!U$12*$AG237^2+WeightSDS!V$12*$AG237+WeightSDS!W$12,WeightSDS!P$14*$AG237^7+WeightSDS!Q$14*$AG237^6+WeightSDS!R$14*$AG237^5+WeightSDS!S$14*$AG237^4+WeightSDS!T$14*$AG237^3+WeightSDS!U$14*$AG237^2+WeightSDS!V$14*$AG237+WeightSDS!W$14),IF($AG237&lt;156,WeightSDS!O$17*$AG237^8+WeightSDS!P$17*$AG237^7+WeightSDS!Q$17*$AG237^6+WeightSDS!R$17*$AG237^5+WeightSDS!S$17*$AG237^4+WeightSDS!T$17*$AG237^3+WeightSDS!U$17*$AG237^2+WeightSDS!V$17*$AG237+WeightSDS!W$17,IF($AG237&lt;186,WeightSDS!$U$18+(WeightSDS!$V$18-WeightSDS!$U$18)/24*($AG237-186)+WeightSDS!$W$18*(-$AG237+186)^2-0.005,WeightSDS!$U$18+(WeightSDS!$V$18-WeightSDS!$U$18)/24*($AG237-186)-0.005)))</f>
        <v>0.14604529399999999</v>
      </c>
    </row>
    <row r="238" spans="1:37">
      <c r="A238" s="4"/>
      <c r="B238" s="21"/>
      <c r="C238" s="21"/>
      <c r="D238" s="21"/>
      <c r="E238" s="22"/>
      <c r="F238" s="22"/>
      <c r="G238" s="23"/>
      <c r="H238" s="23"/>
      <c r="I238" s="8" t="str">
        <f t="shared" si="50"/>
        <v/>
      </c>
      <c r="J238" s="2" t="str">
        <f t="shared" si="57"/>
        <v/>
      </c>
      <c r="K238" s="2" t="str">
        <f t="shared" si="51"/>
        <v/>
      </c>
      <c r="L238" s="2" t="str">
        <f t="shared" si="58"/>
        <v/>
      </c>
      <c r="M238" s="2" t="str">
        <f t="shared" si="63"/>
        <v/>
      </c>
      <c r="N238" s="2" t="str">
        <f t="shared" si="59"/>
        <v/>
      </c>
      <c r="O238" s="8" t="str">
        <f t="shared" si="60"/>
        <v/>
      </c>
      <c r="P238" s="8" t="str">
        <f t="shared" si="61"/>
        <v/>
      </c>
      <c r="Q238" s="40" t="str">
        <f t="shared" si="52"/>
        <v/>
      </c>
      <c r="R238" s="48" t="str">
        <f t="shared" si="62"/>
        <v/>
      </c>
      <c r="S238" s="8"/>
      <c r="U238" s="35">
        <f t="shared" si="53"/>
        <v>0</v>
      </c>
      <c r="V238" s="24">
        <f t="shared" si="54"/>
        <v>0</v>
      </c>
      <c r="W238" s="41">
        <f t="shared" si="65"/>
        <v>0</v>
      </c>
      <c r="X238" s="31"/>
      <c r="Y238" s="31"/>
      <c r="Z238" s="31"/>
      <c r="AA238" s="25">
        <f t="shared" si="55"/>
        <v>9.0359999999999996</v>
      </c>
      <c r="AB238" s="25">
        <f t="shared" si="56"/>
        <v>-184.49199999999999</v>
      </c>
      <c r="AD238" s="24">
        <f>IF(D238="M",IF(AG238&lt;78,BMILMS!$D$5*AG238^3+BMILMS!$E$5*AG238^2+BMILMS!$F$5*AG238+BMILMS!$G$5,IF(AG238&lt;150,BMILMS!$D$6*AG238^3+BMILMS!$E$6*AG238^2+BMILMS!$F$6*AG238+BMILMS!$G$6,BMILMS!$D$7*AG238^3+BMILMS!$E$7*AG238^2+BMILMS!$F$7*AG238+BMILMS!$G$7)),IF(AG238&lt;69,BMILMS!$D$9*AG238^3+BMILMS!$E$9*AG238^2+BMILMS!$F$9*AG238+BMILMS!$G$9,IF(AG238&lt;150,BMILMS!$D$10*AG238^3+BMILMS!$E$10*AG238^2+BMILMS!$F$10*AG238+BMILMS!$G$10,BMILMS!$D$11*AG238^3+BMILMS!$E$11*AG238^2+BMILMS!$F$11*AG238+BMILMS!$G$11)))</f>
        <v>0.79584630099999998</v>
      </c>
      <c r="AE238" s="24">
        <f>IF(D238="M",(IF(AG238&lt;2.5,BMILMS!$D$21*AG238^3+BMILMS!$E$21*AG238^2+BMILMS!$F$21*AG238+BMILMS!$G$21,IF(AG238&lt;9.5,BMILMS!$D$22*AG238^3+BMILMS!$E$22*AG238^2+BMILMS!$F$22*AG238+BMILMS!$G$22,IF(AG238&lt;26.75,BMILMS!$D$23*AG238^3+BMILMS!$E$23*AG238^2+BMILMS!$F$23*AG238+BMILMS!$G$23,IF(AG238&lt;90,BMILMS!$D$24*AG238^3+BMILMS!$E$24*AG238^2+BMILMS!$F$24*AG238+BMILMS!$G$24,BMILMS!$D$25*AG238^3+BMILMS!$E$25*AG238^2+BMILMS!$F$25*AG238+BMILMS!$G$25))))),(IF(AG238&lt;2.5,BMILMS!$D$27*AG238^3+BMILMS!$E$27*AG238^2+BMILMS!$F$27*AG238+BMILMS!$G$27,IF(AG238&lt;9.5,BMILMS!$D$28*AG238^3+BMILMS!$E$28*AG238^2+BMILMS!$F$28*AG238+BMILMS!$G$28,IF(AG238&lt;26.75,BMILMS!$D$29*AG238^3+BMILMS!$E$29*AG238^2+BMILMS!$F$29*AG238+BMILMS!$G$29,IF(AG238&lt;90,BMILMS!$D$30*AG238^3+BMILMS!$E$30*AG238^2+BMILMS!$F$30*AG238+BMILMS!$G$30,IF(AG238&lt;150,BMILMS!$D$31*AG238^3+BMILMS!$E$31*AG238^2+BMILMS!$F$31*AG238+BMILMS!$G$31,BMILMS!$D$32*AG238^3+BMILMS!$E$32*AG238^2+BMILMS!$F$32*AG238+BMILMS!$G$32)))))))</f>
        <v>12.568967990000001</v>
      </c>
      <c r="AF238" s="24">
        <f>IF(D238="M",(IF(AG238&lt;90,BMILMS!$D$14*AG238^3+BMILMS!$E$14*AG238^2+BMILMS!$F$14*AG238+BMILMS!$G$14,BMILMS!$D$15*AG238^3+BMILMS!$E$15*AG238^2+BMILMS!$F$15*AG238+BMILMS!$G$15)),(IF(AG238&lt;90,BMILMS!$D$17*AG238^3+BMILMS!$E$17*AG238^2+BMILMS!$F$17*AG238+BMILMS!$G$17,BMILMS!$D$18*AG238^3+BMILMS!$E$18*AG238^2+BMILMS!$F$18*AG238+BMILMS!$G$18)))</f>
        <v>8.8969350000000003E-2</v>
      </c>
      <c r="AG238" s="24">
        <f t="shared" si="64"/>
        <v>0</v>
      </c>
      <c r="AI238" s="38">
        <f>IF(D238="M",WeightSDS!P$5*$AG238^7+WeightSDS!Q$5*$AG238^6+WeightSDS!R$5*$AG238^5+WeightSDS!S$5*$AG238^4+WeightSDS!T$5*$AG238^3+WeightSDS!U$5*$AG238^2+WeightSDS!V$5*$AG238+WeightSDS!W$5,IF($AG238&lt;186,WeightSDS!P$8*$AG238^7+WeightSDS!Q$8*$AG238^6+WeightSDS!R$8*$AG238^5+WeightSDS!S$8*$AG238^4+WeightSDS!T$8*$AG238^3+WeightSDS!U$8*$AG238^2+WeightSDS!V$8*$AG238+WeightSDS!W$8,WeightSDS!$U$9-WeightSDS!$V$9*($AG238-WeightSDS!$W$9)))</f>
        <v>0.75407122999999998</v>
      </c>
      <c r="AJ238" s="24">
        <f>IF(D238="M",IF($AG238&lt;45,WeightSDS!M$23*$AG238^10+WeightSDS!N$23*$AG238^9+WeightSDS!O$23*$AG238^8+WeightSDS!P$23*$AG238^7+WeightSDS!Q$23*$AG238^6+WeightSDS!R$23*$AG238^5+WeightSDS!S$23*$AG238^4+WeightSDS!T$23*$AG238^3+WeightSDS!U$23*$AG238^2+WeightSDS!V$23*$AG238+WeightSDS!W$23,IF($AG238&lt;153,WeightSDS!M$25*$AG238^10+WeightSDS!N$25*$AG238^9+WeightSDS!O$25*$AG238^8+WeightSDS!P$25*$AG238^7+WeightSDS!Q$25*$AG238^6+WeightSDS!R$25*$AG238^5+WeightSDS!S$25*$AG238^4+WeightSDS!T$25*$AG238^3+WeightSDS!U$25*$AG238^2+WeightSDS!V$25*$AG238+WeightSDS!W$25,WeightSDS!M$27+WeightSDS!N$27/(1+EXP(WeightSDS!O$27+WeightSDS!P$27*$AG238)))),IF($AG238&lt;43.8,WeightSDS!M$29*$AG238^10+WeightSDS!N$29*$AG238^9+WeightSDS!O$29*$AG238^8+WeightSDS!P$29*$AG238^7+WeightSDS!Q$29*$AG238^6+WeightSDS!R$29*$AG238^5+WeightSDS!S$29*$AG238^4+WeightSDS!T$29*$AG238^3+WeightSDS!U$29*$AG238^2+WeightSDS!V$29*$AG238+WeightSDS!W$29-0.010431*(1-$AG238/210),IF($AG238&lt;123,WeightSDS!M$30*$AG238^10+WeightSDS!N$30*$AG238^9+WeightSDS!O$30*$AG238^8+WeightSDS!P$30*$AG238^7+WeightSDS!Q$30*$AG238^6+WeightSDS!R$30*$AG238^5+WeightSDS!S$30*$AG238^4+WeightSDS!T$30*$AG238^3+WeightSDS!U$30*$AG238^2+WeightSDS!V$30*$AG238+WeightSDS!W$30-0.010431*(1-1/$AG238),WeightSDS!M$32+WeightSDS!N$32/(1+EXP(WeightSDS!O$32+WeightSDS!P$32*$AG238))-0.010431*(1-$AG238/210))))</f>
        <v>2.9500001032655536</v>
      </c>
      <c r="AK238" s="24">
        <f>IF(D238="M",IF($AG238&lt;162,WeightSDS!P$12*$AG238^7+WeightSDS!Q$12*$AG238^6+WeightSDS!R$12*$AG238^5+WeightSDS!S$12*$AG238^4+WeightSDS!T$12*$AG238^3+WeightSDS!U$12*$AG238^2+WeightSDS!V$12*$AG238+WeightSDS!W$12,WeightSDS!P$14*$AG238^7+WeightSDS!Q$14*$AG238^6+WeightSDS!R$14*$AG238^5+WeightSDS!S$14*$AG238^4+WeightSDS!T$14*$AG238^3+WeightSDS!U$14*$AG238^2+WeightSDS!V$14*$AG238+WeightSDS!W$14),IF($AG238&lt;156,WeightSDS!O$17*$AG238^8+WeightSDS!P$17*$AG238^7+WeightSDS!Q$17*$AG238^6+WeightSDS!R$17*$AG238^5+WeightSDS!S$17*$AG238^4+WeightSDS!T$17*$AG238^3+WeightSDS!U$17*$AG238^2+WeightSDS!V$17*$AG238+WeightSDS!W$17,IF($AG238&lt;186,WeightSDS!$U$18+(WeightSDS!$V$18-WeightSDS!$U$18)/24*($AG238-186)+WeightSDS!$W$18*(-$AG238+186)^2-0.005,WeightSDS!$U$18+(WeightSDS!$V$18-WeightSDS!$U$18)/24*($AG238-186)-0.005)))</f>
        <v>0.14604529399999999</v>
      </c>
    </row>
    <row r="239" spans="1:37">
      <c r="A239" s="4"/>
      <c r="B239" s="21"/>
      <c r="C239" s="21"/>
      <c r="D239" s="21"/>
      <c r="E239" s="22"/>
      <c r="F239" s="22"/>
      <c r="G239" s="23"/>
      <c r="H239" s="23"/>
      <c r="I239" s="8" t="str">
        <f t="shared" si="50"/>
        <v/>
      </c>
      <c r="J239" s="2" t="str">
        <f t="shared" si="57"/>
        <v/>
      </c>
      <c r="K239" s="2" t="str">
        <f t="shared" si="51"/>
        <v/>
      </c>
      <c r="L239" s="2" t="str">
        <f t="shared" si="58"/>
        <v/>
      </c>
      <c r="M239" s="2" t="str">
        <f t="shared" si="63"/>
        <v/>
      </c>
      <c r="N239" s="2" t="str">
        <f t="shared" si="59"/>
        <v/>
      </c>
      <c r="O239" s="8" t="str">
        <f t="shared" si="60"/>
        <v/>
      </c>
      <c r="P239" s="8" t="str">
        <f t="shared" si="61"/>
        <v/>
      </c>
      <c r="Q239" s="40" t="str">
        <f t="shared" si="52"/>
        <v/>
      </c>
      <c r="R239" s="48" t="str">
        <f t="shared" si="62"/>
        <v/>
      </c>
      <c r="S239" s="8"/>
      <c r="U239" s="35">
        <f t="shared" si="53"/>
        <v>0</v>
      </c>
      <c r="V239" s="24">
        <f t="shared" si="54"/>
        <v>0</v>
      </c>
      <c r="W239" s="41">
        <f t="shared" si="65"/>
        <v>0</v>
      </c>
      <c r="X239" s="31"/>
      <c r="Y239" s="31"/>
      <c r="Z239" s="31"/>
      <c r="AA239" s="25">
        <f t="shared" si="55"/>
        <v>9.0359999999999996</v>
      </c>
      <c r="AB239" s="25">
        <f t="shared" si="56"/>
        <v>-184.49199999999999</v>
      </c>
      <c r="AD239" s="24">
        <f>IF(D239="M",IF(AG239&lt;78,BMILMS!$D$5*AG239^3+BMILMS!$E$5*AG239^2+BMILMS!$F$5*AG239+BMILMS!$G$5,IF(AG239&lt;150,BMILMS!$D$6*AG239^3+BMILMS!$E$6*AG239^2+BMILMS!$F$6*AG239+BMILMS!$G$6,BMILMS!$D$7*AG239^3+BMILMS!$E$7*AG239^2+BMILMS!$F$7*AG239+BMILMS!$G$7)),IF(AG239&lt;69,BMILMS!$D$9*AG239^3+BMILMS!$E$9*AG239^2+BMILMS!$F$9*AG239+BMILMS!$G$9,IF(AG239&lt;150,BMILMS!$D$10*AG239^3+BMILMS!$E$10*AG239^2+BMILMS!$F$10*AG239+BMILMS!$G$10,BMILMS!$D$11*AG239^3+BMILMS!$E$11*AG239^2+BMILMS!$F$11*AG239+BMILMS!$G$11)))</f>
        <v>0.79584630099999998</v>
      </c>
      <c r="AE239" s="24">
        <f>IF(D239="M",(IF(AG239&lt;2.5,BMILMS!$D$21*AG239^3+BMILMS!$E$21*AG239^2+BMILMS!$F$21*AG239+BMILMS!$G$21,IF(AG239&lt;9.5,BMILMS!$D$22*AG239^3+BMILMS!$E$22*AG239^2+BMILMS!$F$22*AG239+BMILMS!$G$22,IF(AG239&lt;26.75,BMILMS!$D$23*AG239^3+BMILMS!$E$23*AG239^2+BMILMS!$F$23*AG239+BMILMS!$G$23,IF(AG239&lt;90,BMILMS!$D$24*AG239^3+BMILMS!$E$24*AG239^2+BMILMS!$F$24*AG239+BMILMS!$G$24,BMILMS!$D$25*AG239^3+BMILMS!$E$25*AG239^2+BMILMS!$F$25*AG239+BMILMS!$G$25))))),(IF(AG239&lt;2.5,BMILMS!$D$27*AG239^3+BMILMS!$E$27*AG239^2+BMILMS!$F$27*AG239+BMILMS!$G$27,IF(AG239&lt;9.5,BMILMS!$D$28*AG239^3+BMILMS!$E$28*AG239^2+BMILMS!$F$28*AG239+BMILMS!$G$28,IF(AG239&lt;26.75,BMILMS!$D$29*AG239^3+BMILMS!$E$29*AG239^2+BMILMS!$F$29*AG239+BMILMS!$G$29,IF(AG239&lt;90,BMILMS!$D$30*AG239^3+BMILMS!$E$30*AG239^2+BMILMS!$F$30*AG239+BMILMS!$G$30,IF(AG239&lt;150,BMILMS!$D$31*AG239^3+BMILMS!$E$31*AG239^2+BMILMS!$F$31*AG239+BMILMS!$G$31,BMILMS!$D$32*AG239^3+BMILMS!$E$32*AG239^2+BMILMS!$F$32*AG239+BMILMS!$G$32)))))))</f>
        <v>12.568967990000001</v>
      </c>
      <c r="AF239" s="24">
        <f>IF(D239="M",(IF(AG239&lt;90,BMILMS!$D$14*AG239^3+BMILMS!$E$14*AG239^2+BMILMS!$F$14*AG239+BMILMS!$G$14,BMILMS!$D$15*AG239^3+BMILMS!$E$15*AG239^2+BMILMS!$F$15*AG239+BMILMS!$G$15)),(IF(AG239&lt;90,BMILMS!$D$17*AG239^3+BMILMS!$E$17*AG239^2+BMILMS!$F$17*AG239+BMILMS!$G$17,BMILMS!$D$18*AG239^3+BMILMS!$E$18*AG239^2+BMILMS!$F$18*AG239+BMILMS!$G$18)))</f>
        <v>8.8969350000000003E-2</v>
      </c>
      <c r="AG239" s="24">
        <f t="shared" si="64"/>
        <v>0</v>
      </c>
      <c r="AI239" s="38">
        <f>IF(D239="M",WeightSDS!P$5*$AG239^7+WeightSDS!Q$5*$AG239^6+WeightSDS!R$5*$AG239^5+WeightSDS!S$5*$AG239^4+WeightSDS!T$5*$AG239^3+WeightSDS!U$5*$AG239^2+WeightSDS!V$5*$AG239+WeightSDS!W$5,IF($AG239&lt;186,WeightSDS!P$8*$AG239^7+WeightSDS!Q$8*$AG239^6+WeightSDS!R$8*$AG239^5+WeightSDS!S$8*$AG239^4+WeightSDS!T$8*$AG239^3+WeightSDS!U$8*$AG239^2+WeightSDS!V$8*$AG239+WeightSDS!W$8,WeightSDS!$U$9-WeightSDS!$V$9*($AG239-WeightSDS!$W$9)))</f>
        <v>0.75407122999999998</v>
      </c>
      <c r="AJ239" s="24">
        <f>IF(D239="M",IF($AG239&lt;45,WeightSDS!M$23*$AG239^10+WeightSDS!N$23*$AG239^9+WeightSDS!O$23*$AG239^8+WeightSDS!P$23*$AG239^7+WeightSDS!Q$23*$AG239^6+WeightSDS!R$23*$AG239^5+WeightSDS!S$23*$AG239^4+WeightSDS!T$23*$AG239^3+WeightSDS!U$23*$AG239^2+WeightSDS!V$23*$AG239+WeightSDS!W$23,IF($AG239&lt;153,WeightSDS!M$25*$AG239^10+WeightSDS!N$25*$AG239^9+WeightSDS!O$25*$AG239^8+WeightSDS!P$25*$AG239^7+WeightSDS!Q$25*$AG239^6+WeightSDS!R$25*$AG239^5+WeightSDS!S$25*$AG239^4+WeightSDS!T$25*$AG239^3+WeightSDS!U$25*$AG239^2+WeightSDS!V$25*$AG239+WeightSDS!W$25,WeightSDS!M$27+WeightSDS!N$27/(1+EXP(WeightSDS!O$27+WeightSDS!P$27*$AG239)))),IF($AG239&lt;43.8,WeightSDS!M$29*$AG239^10+WeightSDS!N$29*$AG239^9+WeightSDS!O$29*$AG239^8+WeightSDS!P$29*$AG239^7+WeightSDS!Q$29*$AG239^6+WeightSDS!R$29*$AG239^5+WeightSDS!S$29*$AG239^4+WeightSDS!T$29*$AG239^3+WeightSDS!U$29*$AG239^2+WeightSDS!V$29*$AG239+WeightSDS!W$29-0.010431*(1-$AG239/210),IF($AG239&lt;123,WeightSDS!M$30*$AG239^10+WeightSDS!N$30*$AG239^9+WeightSDS!O$30*$AG239^8+WeightSDS!P$30*$AG239^7+WeightSDS!Q$30*$AG239^6+WeightSDS!R$30*$AG239^5+WeightSDS!S$30*$AG239^4+WeightSDS!T$30*$AG239^3+WeightSDS!U$30*$AG239^2+WeightSDS!V$30*$AG239+WeightSDS!W$30-0.010431*(1-1/$AG239),WeightSDS!M$32+WeightSDS!N$32/(1+EXP(WeightSDS!O$32+WeightSDS!P$32*$AG239))-0.010431*(1-$AG239/210))))</f>
        <v>2.9500001032655536</v>
      </c>
      <c r="AK239" s="24">
        <f>IF(D239="M",IF($AG239&lt;162,WeightSDS!P$12*$AG239^7+WeightSDS!Q$12*$AG239^6+WeightSDS!R$12*$AG239^5+WeightSDS!S$12*$AG239^4+WeightSDS!T$12*$AG239^3+WeightSDS!U$12*$AG239^2+WeightSDS!V$12*$AG239+WeightSDS!W$12,WeightSDS!P$14*$AG239^7+WeightSDS!Q$14*$AG239^6+WeightSDS!R$14*$AG239^5+WeightSDS!S$14*$AG239^4+WeightSDS!T$14*$AG239^3+WeightSDS!U$14*$AG239^2+WeightSDS!V$14*$AG239+WeightSDS!W$14),IF($AG239&lt;156,WeightSDS!O$17*$AG239^8+WeightSDS!P$17*$AG239^7+WeightSDS!Q$17*$AG239^6+WeightSDS!R$17*$AG239^5+WeightSDS!S$17*$AG239^4+WeightSDS!T$17*$AG239^3+WeightSDS!U$17*$AG239^2+WeightSDS!V$17*$AG239+WeightSDS!W$17,IF($AG239&lt;186,WeightSDS!$U$18+(WeightSDS!$V$18-WeightSDS!$U$18)/24*($AG239-186)+WeightSDS!$W$18*(-$AG239+186)^2-0.005,WeightSDS!$U$18+(WeightSDS!$V$18-WeightSDS!$U$18)/24*($AG239-186)-0.005)))</f>
        <v>0.14604529399999999</v>
      </c>
    </row>
    <row r="240" spans="1:37">
      <c r="A240" s="4"/>
      <c r="B240" s="21"/>
      <c r="C240" s="21"/>
      <c r="D240" s="21"/>
      <c r="E240" s="22"/>
      <c r="F240" s="22"/>
      <c r="G240" s="23"/>
      <c r="H240" s="23"/>
      <c r="I240" s="8" t="str">
        <f t="shared" si="50"/>
        <v/>
      </c>
      <c r="J240" s="2" t="str">
        <f t="shared" si="57"/>
        <v/>
      </c>
      <c r="K240" s="2" t="str">
        <f t="shared" si="51"/>
        <v/>
      </c>
      <c r="L240" s="2" t="str">
        <f t="shared" si="58"/>
        <v/>
      </c>
      <c r="M240" s="2" t="str">
        <f t="shared" si="63"/>
        <v/>
      </c>
      <c r="N240" s="2" t="str">
        <f t="shared" si="59"/>
        <v/>
      </c>
      <c r="O240" s="8" t="str">
        <f t="shared" si="60"/>
        <v/>
      </c>
      <c r="P240" s="8" t="str">
        <f t="shared" si="61"/>
        <v/>
      </c>
      <c r="Q240" s="40" t="str">
        <f t="shared" si="52"/>
        <v/>
      </c>
      <c r="R240" s="48" t="str">
        <f t="shared" si="62"/>
        <v/>
      </c>
      <c r="S240" s="8"/>
      <c r="U240" s="35">
        <f t="shared" si="53"/>
        <v>0</v>
      </c>
      <c r="V240" s="24">
        <f t="shared" si="54"/>
        <v>0</v>
      </c>
      <c r="W240" s="41">
        <f t="shared" si="65"/>
        <v>0</v>
      </c>
      <c r="X240" s="31"/>
      <c r="Y240" s="31"/>
      <c r="Z240" s="31"/>
      <c r="AA240" s="25">
        <f t="shared" si="55"/>
        <v>9.0359999999999996</v>
      </c>
      <c r="AB240" s="25">
        <f t="shared" si="56"/>
        <v>-184.49199999999999</v>
      </c>
      <c r="AD240" s="24">
        <f>IF(D240="M",IF(AG240&lt;78,BMILMS!$D$5*AG240^3+BMILMS!$E$5*AG240^2+BMILMS!$F$5*AG240+BMILMS!$G$5,IF(AG240&lt;150,BMILMS!$D$6*AG240^3+BMILMS!$E$6*AG240^2+BMILMS!$F$6*AG240+BMILMS!$G$6,BMILMS!$D$7*AG240^3+BMILMS!$E$7*AG240^2+BMILMS!$F$7*AG240+BMILMS!$G$7)),IF(AG240&lt;69,BMILMS!$D$9*AG240^3+BMILMS!$E$9*AG240^2+BMILMS!$F$9*AG240+BMILMS!$G$9,IF(AG240&lt;150,BMILMS!$D$10*AG240^3+BMILMS!$E$10*AG240^2+BMILMS!$F$10*AG240+BMILMS!$G$10,BMILMS!$D$11*AG240^3+BMILMS!$E$11*AG240^2+BMILMS!$F$11*AG240+BMILMS!$G$11)))</f>
        <v>0.79584630099999998</v>
      </c>
      <c r="AE240" s="24">
        <f>IF(D240="M",(IF(AG240&lt;2.5,BMILMS!$D$21*AG240^3+BMILMS!$E$21*AG240^2+BMILMS!$F$21*AG240+BMILMS!$G$21,IF(AG240&lt;9.5,BMILMS!$D$22*AG240^3+BMILMS!$E$22*AG240^2+BMILMS!$F$22*AG240+BMILMS!$G$22,IF(AG240&lt;26.75,BMILMS!$D$23*AG240^3+BMILMS!$E$23*AG240^2+BMILMS!$F$23*AG240+BMILMS!$G$23,IF(AG240&lt;90,BMILMS!$D$24*AG240^3+BMILMS!$E$24*AG240^2+BMILMS!$F$24*AG240+BMILMS!$G$24,BMILMS!$D$25*AG240^3+BMILMS!$E$25*AG240^2+BMILMS!$F$25*AG240+BMILMS!$G$25))))),(IF(AG240&lt;2.5,BMILMS!$D$27*AG240^3+BMILMS!$E$27*AG240^2+BMILMS!$F$27*AG240+BMILMS!$G$27,IF(AG240&lt;9.5,BMILMS!$D$28*AG240^3+BMILMS!$E$28*AG240^2+BMILMS!$F$28*AG240+BMILMS!$G$28,IF(AG240&lt;26.75,BMILMS!$D$29*AG240^3+BMILMS!$E$29*AG240^2+BMILMS!$F$29*AG240+BMILMS!$G$29,IF(AG240&lt;90,BMILMS!$D$30*AG240^3+BMILMS!$E$30*AG240^2+BMILMS!$F$30*AG240+BMILMS!$G$30,IF(AG240&lt;150,BMILMS!$D$31*AG240^3+BMILMS!$E$31*AG240^2+BMILMS!$F$31*AG240+BMILMS!$G$31,BMILMS!$D$32*AG240^3+BMILMS!$E$32*AG240^2+BMILMS!$F$32*AG240+BMILMS!$G$32)))))))</f>
        <v>12.568967990000001</v>
      </c>
      <c r="AF240" s="24">
        <f>IF(D240="M",(IF(AG240&lt;90,BMILMS!$D$14*AG240^3+BMILMS!$E$14*AG240^2+BMILMS!$F$14*AG240+BMILMS!$G$14,BMILMS!$D$15*AG240^3+BMILMS!$E$15*AG240^2+BMILMS!$F$15*AG240+BMILMS!$G$15)),(IF(AG240&lt;90,BMILMS!$D$17*AG240^3+BMILMS!$E$17*AG240^2+BMILMS!$F$17*AG240+BMILMS!$G$17,BMILMS!$D$18*AG240^3+BMILMS!$E$18*AG240^2+BMILMS!$F$18*AG240+BMILMS!$G$18)))</f>
        <v>8.8969350000000003E-2</v>
      </c>
      <c r="AG240" s="24">
        <f t="shared" si="64"/>
        <v>0</v>
      </c>
      <c r="AI240" s="38">
        <f>IF(D240="M",WeightSDS!P$5*$AG240^7+WeightSDS!Q$5*$AG240^6+WeightSDS!R$5*$AG240^5+WeightSDS!S$5*$AG240^4+WeightSDS!T$5*$AG240^3+WeightSDS!U$5*$AG240^2+WeightSDS!V$5*$AG240+WeightSDS!W$5,IF($AG240&lt;186,WeightSDS!P$8*$AG240^7+WeightSDS!Q$8*$AG240^6+WeightSDS!R$8*$AG240^5+WeightSDS!S$8*$AG240^4+WeightSDS!T$8*$AG240^3+WeightSDS!U$8*$AG240^2+WeightSDS!V$8*$AG240+WeightSDS!W$8,WeightSDS!$U$9-WeightSDS!$V$9*($AG240-WeightSDS!$W$9)))</f>
        <v>0.75407122999999998</v>
      </c>
      <c r="AJ240" s="24">
        <f>IF(D240="M",IF($AG240&lt;45,WeightSDS!M$23*$AG240^10+WeightSDS!N$23*$AG240^9+WeightSDS!O$23*$AG240^8+WeightSDS!P$23*$AG240^7+WeightSDS!Q$23*$AG240^6+WeightSDS!R$23*$AG240^5+WeightSDS!S$23*$AG240^4+WeightSDS!T$23*$AG240^3+WeightSDS!U$23*$AG240^2+WeightSDS!V$23*$AG240+WeightSDS!W$23,IF($AG240&lt;153,WeightSDS!M$25*$AG240^10+WeightSDS!N$25*$AG240^9+WeightSDS!O$25*$AG240^8+WeightSDS!P$25*$AG240^7+WeightSDS!Q$25*$AG240^6+WeightSDS!R$25*$AG240^5+WeightSDS!S$25*$AG240^4+WeightSDS!T$25*$AG240^3+WeightSDS!U$25*$AG240^2+WeightSDS!V$25*$AG240+WeightSDS!W$25,WeightSDS!M$27+WeightSDS!N$27/(1+EXP(WeightSDS!O$27+WeightSDS!P$27*$AG240)))),IF($AG240&lt;43.8,WeightSDS!M$29*$AG240^10+WeightSDS!N$29*$AG240^9+WeightSDS!O$29*$AG240^8+WeightSDS!P$29*$AG240^7+WeightSDS!Q$29*$AG240^6+WeightSDS!R$29*$AG240^5+WeightSDS!S$29*$AG240^4+WeightSDS!T$29*$AG240^3+WeightSDS!U$29*$AG240^2+WeightSDS!V$29*$AG240+WeightSDS!W$29-0.010431*(1-$AG240/210),IF($AG240&lt;123,WeightSDS!M$30*$AG240^10+WeightSDS!N$30*$AG240^9+WeightSDS!O$30*$AG240^8+WeightSDS!P$30*$AG240^7+WeightSDS!Q$30*$AG240^6+WeightSDS!R$30*$AG240^5+WeightSDS!S$30*$AG240^4+WeightSDS!T$30*$AG240^3+WeightSDS!U$30*$AG240^2+WeightSDS!V$30*$AG240+WeightSDS!W$30-0.010431*(1-1/$AG240),WeightSDS!M$32+WeightSDS!N$32/(1+EXP(WeightSDS!O$32+WeightSDS!P$32*$AG240))-0.010431*(1-$AG240/210))))</f>
        <v>2.9500001032655536</v>
      </c>
      <c r="AK240" s="24">
        <f>IF(D240="M",IF($AG240&lt;162,WeightSDS!P$12*$AG240^7+WeightSDS!Q$12*$AG240^6+WeightSDS!R$12*$AG240^5+WeightSDS!S$12*$AG240^4+WeightSDS!T$12*$AG240^3+WeightSDS!U$12*$AG240^2+WeightSDS!V$12*$AG240+WeightSDS!W$12,WeightSDS!P$14*$AG240^7+WeightSDS!Q$14*$AG240^6+WeightSDS!R$14*$AG240^5+WeightSDS!S$14*$AG240^4+WeightSDS!T$14*$AG240^3+WeightSDS!U$14*$AG240^2+WeightSDS!V$14*$AG240+WeightSDS!W$14),IF($AG240&lt;156,WeightSDS!O$17*$AG240^8+WeightSDS!P$17*$AG240^7+WeightSDS!Q$17*$AG240^6+WeightSDS!R$17*$AG240^5+WeightSDS!S$17*$AG240^4+WeightSDS!T$17*$AG240^3+WeightSDS!U$17*$AG240^2+WeightSDS!V$17*$AG240+WeightSDS!W$17,IF($AG240&lt;186,WeightSDS!$U$18+(WeightSDS!$V$18-WeightSDS!$U$18)/24*($AG240-186)+WeightSDS!$W$18*(-$AG240+186)^2-0.005,WeightSDS!$U$18+(WeightSDS!$V$18-WeightSDS!$U$18)/24*($AG240-186)-0.005)))</f>
        <v>0.14604529399999999</v>
      </c>
    </row>
    <row r="241" spans="1:37">
      <c r="A241" s="4"/>
      <c r="B241" s="21"/>
      <c r="C241" s="21"/>
      <c r="D241" s="21"/>
      <c r="E241" s="22"/>
      <c r="F241" s="22"/>
      <c r="G241" s="23"/>
      <c r="H241" s="23"/>
      <c r="I241" s="8" t="str">
        <f t="shared" si="50"/>
        <v/>
      </c>
      <c r="J241" s="2" t="str">
        <f t="shared" si="57"/>
        <v/>
      </c>
      <c r="K241" s="2" t="str">
        <f t="shared" si="51"/>
        <v/>
      </c>
      <c r="L241" s="2" t="str">
        <f t="shared" si="58"/>
        <v/>
      </c>
      <c r="M241" s="2" t="str">
        <f t="shared" si="63"/>
        <v/>
      </c>
      <c r="N241" s="2" t="str">
        <f t="shared" si="59"/>
        <v/>
      </c>
      <c r="O241" s="8" t="str">
        <f t="shared" si="60"/>
        <v/>
      </c>
      <c r="P241" s="8" t="str">
        <f t="shared" si="61"/>
        <v/>
      </c>
      <c r="Q241" s="40" t="str">
        <f t="shared" si="52"/>
        <v/>
      </c>
      <c r="R241" s="48" t="str">
        <f t="shared" si="62"/>
        <v/>
      </c>
      <c r="S241" s="8"/>
      <c r="U241" s="35">
        <f t="shared" si="53"/>
        <v>0</v>
      </c>
      <c r="V241" s="24">
        <f t="shared" si="54"/>
        <v>0</v>
      </c>
      <c r="W241" s="41">
        <f t="shared" si="65"/>
        <v>0</v>
      </c>
      <c r="X241" s="31"/>
      <c r="Y241" s="31"/>
      <c r="Z241" s="31"/>
      <c r="AA241" s="25">
        <f t="shared" si="55"/>
        <v>9.0359999999999996</v>
      </c>
      <c r="AB241" s="25">
        <f t="shared" si="56"/>
        <v>-184.49199999999999</v>
      </c>
      <c r="AD241" s="24">
        <f>IF(D241="M",IF(AG241&lt;78,BMILMS!$D$5*AG241^3+BMILMS!$E$5*AG241^2+BMILMS!$F$5*AG241+BMILMS!$G$5,IF(AG241&lt;150,BMILMS!$D$6*AG241^3+BMILMS!$E$6*AG241^2+BMILMS!$F$6*AG241+BMILMS!$G$6,BMILMS!$D$7*AG241^3+BMILMS!$E$7*AG241^2+BMILMS!$F$7*AG241+BMILMS!$G$7)),IF(AG241&lt;69,BMILMS!$D$9*AG241^3+BMILMS!$E$9*AG241^2+BMILMS!$F$9*AG241+BMILMS!$G$9,IF(AG241&lt;150,BMILMS!$D$10*AG241^3+BMILMS!$E$10*AG241^2+BMILMS!$F$10*AG241+BMILMS!$G$10,BMILMS!$D$11*AG241^3+BMILMS!$E$11*AG241^2+BMILMS!$F$11*AG241+BMILMS!$G$11)))</f>
        <v>0.79584630099999998</v>
      </c>
      <c r="AE241" s="24">
        <f>IF(D241="M",(IF(AG241&lt;2.5,BMILMS!$D$21*AG241^3+BMILMS!$E$21*AG241^2+BMILMS!$F$21*AG241+BMILMS!$G$21,IF(AG241&lt;9.5,BMILMS!$D$22*AG241^3+BMILMS!$E$22*AG241^2+BMILMS!$F$22*AG241+BMILMS!$G$22,IF(AG241&lt;26.75,BMILMS!$D$23*AG241^3+BMILMS!$E$23*AG241^2+BMILMS!$F$23*AG241+BMILMS!$G$23,IF(AG241&lt;90,BMILMS!$D$24*AG241^3+BMILMS!$E$24*AG241^2+BMILMS!$F$24*AG241+BMILMS!$G$24,BMILMS!$D$25*AG241^3+BMILMS!$E$25*AG241^2+BMILMS!$F$25*AG241+BMILMS!$G$25))))),(IF(AG241&lt;2.5,BMILMS!$D$27*AG241^3+BMILMS!$E$27*AG241^2+BMILMS!$F$27*AG241+BMILMS!$G$27,IF(AG241&lt;9.5,BMILMS!$D$28*AG241^3+BMILMS!$E$28*AG241^2+BMILMS!$F$28*AG241+BMILMS!$G$28,IF(AG241&lt;26.75,BMILMS!$D$29*AG241^3+BMILMS!$E$29*AG241^2+BMILMS!$F$29*AG241+BMILMS!$G$29,IF(AG241&lt;90,BMILMS!$D$30*AG241^3+BMILMS!$E$30*AG241^2+BMILMS!$F$30*AG241+BMILMS!$G$30,IF(AG241&lt;150,BMILMS!$D$31*AG241^3+BMILMS!$E$31*AG241^2+BMILMS!$F$31*AG241+BMILMS!$G$31,BMILMS!$D$32*AG241^3+BMILMS!$E$32*AG241^2+BMILMS!$F$32*AG241+BMILMS!$G$32)))))))</f>
        <v>12.568967990000001</v>
      </c>
      <c r="AF241" s="24">
        <f>IF(D241="M",(IF(AG241&lt;90,BMILMS!$D$14*AG241^3+BMILMS!$E$14*AG241^2+BMILMS!$F$14*AG241+BMILMS!$G$14,BMILMS!$D$15*AG241^3+BMILMS!$E$15*AG241^2+BMILMS!$F$15*AG241+BMILMS!$G$15)),(IF(AG241&lt;90,BMILMS!$D$17*AG241^3+BMILMS!$E$17*AG241^2+BMILMS!$F$17*AG241+BMILMS!$G$17,BMILMS!$D$18*AG241^3+BMILMS!$E$18*AG241^2+BMILMS!$F$18*AG241+BMILMS!$G$18)))</f>
        <v>8.8969350000000003E-2</v>
      </c>
      <c r="AG241" s="24">
        <f t="shared" si="64"/>
        <v>0</v>
      </c>
      <c r="AI241" s="38">
        <f>IF(D241="M",WeightSDS!P$5*$AG241^7+WeightSDS!Q$5*$AG241^6+WeightSDS!R$5*$AG241^5+WeightSDS!S$5*$AG241^4+WeightSDS!T$5*$AG241^3+WeightSDS!U$5*$AG241^2+WeightSDS!V$5*$AG241+WeightSDS!W$5,IF($AG241&lt;186,WeightSDS!P$8*$AG241^7+WeightSDS!Q$8*$AG241^6+WeightSDS!R$8*$AG241^5+WeightSDS!S$8*$AG241^4+WeightSDS!T$8*$AG241^3+WeightSDS!U$8*$AG241^2+WeightSDS!V$8*$AG241+WeightSDS!W$8,WeightSDS!$U$9-WeightSDS!$V$9*($AG241-WeightSDS!$W$9)))</f>
        <v>0.75407122999999998</v>
      </c>
      <c r="AJ241" s="24">
        <f>IF(D241="M",IF($AG241&lt;45,WeightSDS!M$23*$AG241^10+WeightSDS!N$23*$AG241^9+WeightSDS!O$23*$AG241^8+WeightSDS!P$23*$AG241^7+WeightSDS!Q$23*$AG241^6+WeightSDS!R$23*$AG241^5+WeightSDS!S$23*$AG241^4+WeightSDS!T$23*$AG241^3+WeightSDS!U$23*$AG241^2+WeightSDS!V$23*$AG241+WeightSDS!W$23,IF($AG241&lt;153,WeightSDS!M$25*$AG241^10+WeightSDS!N$25*$AG241^9+WeightSDS!O$25*$AG241^8+WeightSDS!P$25*$AG241^7+WeightSDS!Q$25*$AG241^6+WeightSDS!R$25*$AG241^5+WeightSDS!S$25*$AG241^4+WeightSDS!T$25*$AG241^3+WeightSDS!U$25*$AG241^2+WeightSDS!V$25*$AG241+WeightSDS!W$25,WeightSDS!M$27+WeightSDS!N$27/(1+EXP(WeightSDS!O$27+WeightSDS!P$27*$AG241)))),IF($AG241&lt;43.8,WeightSDS!M$29*$AG241^10+WeightSDS!N$29*$AG241^9+WeightSDS!O$29*$AG241^8+WeightSDS!P$29*$AG241^7+WeightSDS!Q$29*$AG241^6+WeightSDS!R$29*$AG241^5+WeightSDS!S$29*$AG241^4+WeightSDS!T$29*$AG241^3+WeightSDS!U$29*$AG241^2+WeightSDS!V$29*$AG241+WeightSDS!W$29-0.010431*(1-$AG241/210),IF($AG241&lt;123,WeightSDS!M$30*$AG241^10+WeightSDS!N$30*$AG241^9+WeightSDS!O$30*$AG241^8+WeightSDS!P$30*$AG241^7+WeightSDS!Q$30*$AG241^6+WeightSDS!R$30*$AG241^5+WeightSDS!S$30*$AG241^4+WeightSDS!T$30*$AG241^3+WeightSDS!U$30*$AG241^2+WeightSDS!V$30*$AG241+WeightSDS!W$30-0.010431*(1-1/$AG241),WeightSDS!M$32+WeightSDS!N$32/(1+EXP(WeightSDS!O$32+WeightSDS!P$32*$AG241))-0.010431*(1-$AG241/210))))</f>
        <v>2.9500001032655536</v>
      </c>
      <c r="AK241" s="24">
        <f>IF(D241="M",IF($AG241&lt;162,WeightSDS!P$12*$AG241^7+WeightSDS!Q$12*$AG241^6+WeightSDS!R$12*$AG241^5+WeightSDS!S$12*$AG241^4+WeightSDS!T$12*$AG241^3+WeightSDS!U$12*$AG241^2+WeightSDS!V$12*$AG241+WeightSDS!W$12,WeightSDS!P$14*$AG241^7+WeightSDS!Q$14*$AG241^6+WeightSDS!R$14*$AG241^5+WeightSDS!S$14*$AG241^4+WeightSDS!T$14*$AG241^3+WeightSDS!U$14*$AG241^2+WeightSDS!V$14*$AG241+WeightSDS!W$14),IF($AG241&lt;156,WeightSDS!O$17*$AG241^8+WeightSDS!P$17*$AG241^7+WeightSDS!Q$17*$AG241^6+WeightSDS!R$17*$AG241^5+WeightSDS!S$17*$AG241^4+WeightSDS!T$17*$AG241^3+WeightSDS!U$17*$AG241^2+WeightSDS!V$17*$AG241+WeightSDS!W$17,IF($AG241&lt;186,WeightSDS!$U$18+(WeightSDS!$V$18-WeightSDS!$U$18)/24*($AG241-186)+WeightSDS!$W$18*(-$AG241+186)^2-0.005,WeightSDS!$U$18+(WeightSDS!$V$18-WeightSDS!$U$18)/24*($AG241-186)-0.005)))</f>
        <v>0.14604529399999999</v>
      </c>
    </row>
    <row r="242" spans="1:37">
      <c r="A242" s="4"/>
      <c r="B242" s="21"/>
      <c r="C242" s="21"/>
      <c r="D242" s="21"/>
      <c r="E242" s="22"/>
      <c r="F242" s="22"/>
      <c r="G242" s="23"/>
      <c r="H242" s="23"/>
      <c r="I242" s="8" t="str">
        <f t="shared" si="50"/>
        <v/>
      </c>
      <c r="J242" s="2" t="str">
        <f t="shared" si="57"/>
        <v/>
      </c>
      <c r="K242" s="2" t="str">
        <f t="shared" si="51"/>
        <v/>
      </c>
      <c r="L242" s="2" t="str">
        <f t="shared" si="58"/>
        <v/>
      </c>
      <c r="M242" s="2" t="str">
        <f t="shared" si="63"/>
        <v/>
      </c>
      <c r="N242" s="2" t="str">
        <f t="shared" si="59"/>
        <v/>
      </c>
      <c r="O242" s="8" t="str">
        <f t="shared" si="60"/>
        <v/>
      </c>
      <c r="P242" s="8" t="str">
        <f t="shared" si="61"/>
        <v/>
      </c>
      <c r="Q242" s="40" t="str">
        <f t="shared" si="52"/>
        <v/>
      </c>
      <c r="R242" s="48" t="str">
        <f t="shared" si="62"/>
        <v/>
      </c>
      <c r="S242" s="8"/>
      <c r="U242" s="35">
        <f t="shared" si="53"/>
        <v>0</v>
      </c>
      <c r="V242" s="24">
        <f t="shared" si="54"/>
        <v>0</v>
      </c>
      <c r="W242" s="41">
        <f t="shared" si="65"/>
        <v>0</v>
      </c>
      <c r="X242" s="31"/>
      <c r="Y242" s="31"/>
      <c r="Z242" s="31"/>
      <c r="AA242" s="25">
        <f t="shared" si="55"/>
        <v>9.0359999999999996</v>
      </c>
      <c r="AB242" s="25">
        <f t="shared" si="56"/>
        <v>-184.49199999999999</v>
      </c>
      <c r="AD242" s="24">
        <f>IF(D242="M",IF(AG242&lt;78,BMILMS!$D$5*AG242^3+BMILMS!$E$5*AG242^2+BMILMS!$F$5*AG242+BMILMS!$G$5,IF(AG242&lt;150,BMILMS!$D$6*AG242^3+BMILMS!$E$6*AG242^2+BMILMS!$F$6*AG242+BMILMS!$G$6,BMILMS!$D$7*AG242^3+BMILMS!$E$7*AG242^2+BMILMS!$F$7*AG242+BMILMS!$G$7)),IF(AG242&lt;69,BMILMS!$D$9*AG242^3+BMILMS!$E$9*AG242^2+BMILMS!$F$9*AG242+BMILMS!$G$9,IF(AG242&lt;150,BMILMS!$D$10*AG242^3+BMILMS!$E$10*AG242^2+BMILMS!$F$10*AG242+BMILMS!$G$10,BMILMS!$D$11*AG242^3+BMILMS!$E$11*AG242^2+BMILMS!$F$11*AG242+BMILMS!$G$11)))</f>
        <v>0.79584630099999998</v>
      </c>
      <c r="AE242" s="24">
        <f>IF(D242="M",(IF(AG242&lt;2.5,BMILMS!$D$21*AG242^3+BMILMS!$E$21*AG242^2+BMILMS!$F$21*AG242+BMILMS!$G$21,IF(AG242&lt;9.5,BMILMS!$D$22*AG242^3+BMILMS!$E$22*AG242^2+BMILMS!$F$22*AG242+BMILMS!$G$22,IF(AG242&lt;26.75,BMILMS!$D$23*AG242^3+BMILMS!$E$23*AG242^2+BMILMS!$F$23*AG242+BMILMS!$G$23,IF(AG242&lt;90,BMILMS!$D$24*AG242^3+BMILMS!$E$24*AG242^2+BMILMS!$F$24*AG242+BMILMS!$G$24,BMILMS!$D$25*AG242^3+BMILMS!$E$25*AG242^2+BMILMS!$F$25*AG242+BMILMS!$G$25))))),(IF(AG242&lt;2.5,BMILMS!$D$27*AG242^3+BMILMS!$E$27*AG242^2+BMILMS!$F$27*AG242+BMILMS!$G$27,IF(AG242&lt;9.5,BMILMS!$D$28*AG242^3+BMILMS!$E$28*AG242^2+BMILMS!$F$28*AG242+BMILMS!$G$28,IF(AG242&lt;26.75,BMILMS!$D$29*AG242^3+BMILMS!$E$29*AG242^2+BMILMS!$F$29*AG242+BMILMS!$G$29,IF(AG242&lt;90,BMILMS!$D$30*AG242^3+BMILMS!$E$30*AG242^2+BMILMS!$F$30*AG242+BMILMS!$G$30,IF(AG242&lt;150,BMILMS!$D$31*AG242^3+BMILMS!$E$31*AG242^2+BMILMS!$F$31*AG242+BMILMS!$G$31,BMILMS!$D$32*AG242^3+BMILMS!$E$32*AG242^2+BMILMS!$F$32*AG242+BMILMS!$G$32)))))))</f>
        <v>12.568967990000001</v>
      </c>
      <c r="AF242" s="24">
        <f>IF(D242="M",(IF(AG242&lt;90,BMILMS!$D$14*AG242^3+BMILMS!$E$14*AG242^2+BMILMS!$F$14*AG242+BMILMS!$G$14,BMILMS!$D$15*AG242^3+BMILMS!$E$15*AG242^2+BMILMS!$F$15*AG242+BMILMS!$G$15)),(IF(AG242&lt;90,BMILMS!$D$17*AG242^3+BMILMS!$E$17*AG242^2+BMILMS!$F$17*AG242+BMILMS!$G$17,BMILMS!$D$18*AG242^3+BMILMS!$E$18*AG242^2+BMILMS!$F$18*AG242+BMILMS!$G$18)))</f>
        <v>8.8969350000000003E-2</v>
      </c>
      <c r="AG242" s="24">
        <f t="shared" si="64"/>
        <v>0</v>
      </c>
      <c r="AI242" s="38">
        <f>IF(D242="M",WeightSDS!P$5*$AG242^7+WeightSDS!Q$5*$AG242^6+WeightSDS!R$5*$AG242^5+WeightSDS!S$5*$AG242^4+WeightSDS!T$5*$AG242^3+WeightSDS!U$5*$AG242^2+WeightSDS!V$5*$AG242+WeightSDS!W$5,IF($AG242&lt;186,WeightSDS!P$8*$AG242^7+WeightSDS!Q$8*$AG242^6+WeightSDS!R$8*$AG242^5+WeightSDS!S$8*$AG242^4+WeightSDS!T$8*$AG242^3+WeightSDS!U$8*$AG242^2+WeightSDS!V$8*$AG242+WeightSDS!W$8,WeightSDS!$U$9-WeightSDS!$V$9*($AG242-WeightSDS!$W$9)))</f>
        <v>0.75407122999999998</v>
      </c>
      <c r="AJ242" s="24">
        <f>IF(D242="M",IF($AG242&lt;45,WeightSDS!M$23*$AG242^10+WeightSDS!N$23*$AG242^9+WeightSDS!O$23*$AG242^8+WeightSDS!P$23*$AG242^7+WeightSDS!Q$23*$AG242^6+WeightSDS!R$23*$AG242^5+WeightSDS!S$23*$AG242^4+WeightSDS!T$23*$AG242^3+WeightSDS!U$23*$AG242^2+WeightSDS!V$23*$AG242+WeightSDS!W$23,IF($AG242&lt;153,WeightSDS!M$25*$AG242^10+WeightSDS!N$25*$AG242^9+WeightSDS!O$25*$AG242^8+WeightSDS!P$25*$AG242^7+WeightSDS!Q$25*$AG242^6+WeightSDS!R$25*$AG242^5+WeightSDS!S$25*$AG242^4+WeightSDS!T$25*$AG242^3+WeightSDS!U$25*$AG242^2+WeightSDS!V$25*$AG242+WeightSDS!W$25,WeightSDS!M$27+WeightSDS!N$27/(1+EXP(WeightSDS!O$27+WeightSDS!P$27*$AG242)))),IF($AG242&lt;43.8,WeightSDS!M$29*$AG242^10+WeightSDS!N$29*$AG242^9+WeightSDS!O$29*$AG242^8+WeightSDS!P$29*$AG242^7+WeightSDS!Q$29*$AG242^6+WeightSDS!R$29*$AG242^5+WeightSDS!S$29*$AG242^4+WeightSDS!T$29*$AG242^3+WeightSDS!U$29*$AG242^2+WeightSDS!V$29*$AG242+WeightSDS!W$29-0.010431*(1-$AG242/210),IF($AG242&lt;123,WeightSDS!M$30*$AG242^10+WeightSDS!N$30*$AG242^9+WeightSDS!O$30*$AG242^8+WeightSDS!P$30*$AG242^7+WeightSDS!Q$30*$AG242^6+WeightSDS!R$30*$AG242^5+WeightSDS!S$30*$AG242^4+WeightSDS!T$30*$AG242^3+WeightSDS!U$30*$AG242^2+WeightSDS!V$30*$AG242+WeightSDS!W$30-0.010431*(1-1/$AG242),WeightSDS!M$32+WeightSDS!N$32/(1+EXP(WeightSDS!O$32+WeightSDS!P$32*$AG242))-0.010431*(1-$AG242/210))))</f>
        <v>2.9500001032655536</v>
      </c>
      <c r="AK242" s="24">
        <f>IF(D242="M",IF($AG242&lt;162,WeightSDS!P$12*$AG242^7+WeightSDS!Q$12*$AG242^6+WeightSDS!R$12*$AG242^5+WeightSDS!S$12*$AG242^4+WeightSDS!T$12*$AG242^3+WeightSDS!U$12*$AG242^2+WeightSDS!V$12*$AG242+WeightSDS!W$12,WeightSDS!P$14*$AG242^7+WeightSDS!Q$14*$AG242^6+WeightSDS!R$14*$AG242^5+WeightSDS!S$14*$AG242^4+WeightSDS!T$14*$AG242^3+WeightSDS!U$14*$AG242^2+WeightSDS!V$14*$AG242+WeightSDS!W$14),IF($AG242&lt;156,WeightSDS!O$17*$AG242^8+WeightSDS!P$17*$AG242^7+WeightSDS!Q$17*$AG242^6+WeightSDS!R$17*$AG242^5+WeightSDS!S$17*$AG242^4+WeightSDS!T$17*$AG242^3+WeightSDS!U$17*$AG242^2+WeightSDS!V$17*$AG242+WeightSDS!W$17,IF($AG242&lt;186,WeightSDS!$U$18+(WeightSDS!$V$18-WeightSDS!$U$18)/24*($AG242-186)+WeightSDS!$W$18*(-$AG242+186)^2-0.005,WeightSDS!$U$18+(WeightSDS!$V$18-WeightSDS!$U$18)/24*($AG242-186)-0.005)))</f>
        <v>0.14604529399999999</v>
      </c>
    </row>
    <row r="243" spans="1:37">
      <c r="A243" s="4"/>
      <c r="B243" s="21"/>
      <c r="C243" s="21"/>
      <c r="D243" s="21"/>
      <c r="E243" s="22"/>
      <c r="F243" s="22"/>
      <c r="G243" s="23"/>
      <c r="H243" s="23"/>
      <c r="I243" s="8" t="str">
        <f t="shared" si="50"/>
        <v/>
      </c>
      <c r="J243" s="2" t="str">
        <f t="shared" si="57"/>
        <v/>
      </c>
      <c r="K243" s="2" t="str">
        <f t="shared" si="51"/>
        <v/>
      </c>
      <c r="L243" s="2" t="str">
        <f t="shared" si="58"/>
        <v/>
      </c>
      <c r="M243" s="2" t="str">
        <f t="shared" si="63"/>
        <v/>
      </c>
      <c r="N243" s="2" t="str">
        <f t="shared" si="59"/>
        <v/>
      </c>
      <c r="O243" s="8" t="str">
        <f t="shared" si="60"/>
        <v/>
      </c>
      <c r="P243" s="8" t="str">
        <f t="shared" si="61"/>
        <v/>
      </c>
      <c r="Q243" s="40" t="str">
        <f t="shared" si="52"/>
        <v/>
      </c>
      <c r="R243" s="48" t="str">
        <f t="shared" si="62"/>
        <v/>
      </c>
      <c r="S243" s="8"/>
      <c r="U243" s="35">
        <f t="shared" si="53"/>
        <v>0</v>
      </c>
      <c r="V243" s="24">
        <f t="shared" si="54"/>
        <v>0</v>
      </c>
      <c r="W243" s="41">
        <f t="shared" si="65"/>
        <v>0</v>
      </c>
      <c r="X243" s="31"/>
      <c r="Y243" s="31"/>
      <c r="Z243" s="31"/>
      <c r="AA243" s="25">
        <f t="shared" si="55"/>
        <v>9.0359999999999996</v>
      </c>
      <c r="AB243" s="25">
        <f t="shared" si="56"/>
        <v>-184.49199999999999</v>
      </c>
      <c r="AD243" s="24">
        <f>IF(D243="M",IF(AG243&lt;78,BMILMS!$D$5*AG243^3+BMILMS!$E$5*AG243^2+BMILMS!$F$5*AG243+BMILMS!$G$5,IF(AG243&lt;150,BMILMS!$D$6*AG243^3+BMILMS!$E$6*AG243^2+BMILMS!$F$6*AG243+BMILMS!$G$6,BMILMS!$D$7*AG243^3+BMILMS!$E$7*AG243^2+BMILMS!$F$7*AG243+BMILMS!$G$7)),IF(AG243&lt;69,BMILMS!$D$9*AG243^3+BMILMS!$E$9*AG243^2+BMILMS!$F$9*AG243+BMILMS!$G$9,IF(AG243&lt;150,BMILMS!$D$10*AG243^3+BMILMS!$E$10*AG243^2+BMILMS!$F$10*AG243+BMILMS!$G$10,BMILMS!$D$11*AG243^3+BMILMS!$E$11*AG243^2+BMILMS!$F$11*AG243+BMILMS!$G$11)))</f>
        <v>0.79584630099999998</v>
      </c>
      <c r="AE243" s="24">
        <f>IF(D243="M",(IF(AG243&lt;2.5,BMILMS!$D$21*AG243^3+BMILMS!$E$21*AG243^2+BMILMS!$F$21*AG243+BMILMS!$G$21,IF(AG243&lt;9.5,BMILMS!$D$22*AG243^3+BMILMS!$E$22*AG243^2+BMILMS!$F$22*AG243+BMILMS!$G$22,IF(AG243&lt;26.75,BMILMS!$D$23*AG243^3+BMILMS!$E$23*AG243^2+BMILMS!$F$23*AG243+BMILMS!$G$23,IF(AG243&lt;90,BMILMS!$D$24*AG243^3+BMILMS!$E$24*AG243^2+BMILMS!$F$24*AG243+BMILMS!$G$24,BMILMS!$D$25*AG243^3+BMILMS!$E$25*AG243^2+BMILMS!$F$25*AG243+BMILMS!$G$25))))),(IF(AG243&lt;2.5,BMILMS!$D$27*AG243^3+BMILMS!$E$27*AG243^2+BMILMS!$F$27*AG243+BMILMS!$G$27,IF(AG243&lt;9.5,BMILMS!$D$28*AG243^3+BMILMS!$E$28*AG243^2+BMILMS!$F$28*AG243+BMILMS!$G$28,IF(AG243&lt;26.75,BMILMS!$D$29*AG243^3+BMILMS!$E$29*AG243^2+BMILMS!$F$29*AG243+BMILMS!$G$29,IF(AG243&lt;90,BMILMS!$D$30*AG243^3+BMILMS!$E$30*AG243^2+BMILMS!$F$30*AG243+BMILMS!$G$30,IF(AG243&lt;150,BMILMS!$D$31*AG243^3+BMILMS!$E$31*AG243^2+BMILMS!$F$31*AG243+BMILMS!$G$31,BMILMS!$D$32*AG243^3+BMILMS!$E$32*AG243^2+BMILMS!$F$32*AG243+BMILMS!$G$32)))))))</f>
        <v>12.568967990000001</v>
      </c>
      <c r="AF243" s="24">
        <f>IF(D243="M",(IF(AG243&lt;90,BMILMS!$D$14*AG243^3+BMILMS!$E$14*AG243^2+BMILMS!$F$14*AG243+BMILMS!$G$14,BMILMS!$D$15*AG243^3+BMILMS!$E$15*AG243^2+BMILMS!$F$15*AG243+BMILMS!$G$15)),(IF(AG243&lt;90,BMILMS!$D$17*AG243^3+BMILMS!$E$17*AG243^2+BMILMS!$F$17*AG243+BMILMS!$G$17,BMILMS!$D$18*AG243^3+BMILMS!$E$18*AG243^2+BMILMS!$F$18*AG243+BMILMS!$G$18)))</f>
        <v>8.8969350000000003E-2</v>
      </c>
      <c r="AG243" s="24">
        <f t="shared" si="64"/>
        <v>0</v>
      </c>
      <c r="AI243" s="38">
        <f>IF(D243="M",WeightSDS!P$5*$AG243^7+WeightSDS!Q$5*$AG243^6+WeightSDS!R$5*$AG243^5+WeightSDS!S$5*$AG243^4+WeightSDS!T$5*$AG243^3+WeightSDS!U$5*$AG243^2+WeightSDS!V$5*$AG243+WeightSDS!W$5,IF($AG243&lt;186,WeightSDS!P$8*$AG243^7+WeightSDS!Q$8*$AG243^6+WeightSDS!R$8*$AG243^5+WeightSDS!S$8*$AG243^4+WeightSDS!T$8*$AG243^3+WeightSDS!U$8*$AG243^2+WeightSDS!V$8*$AG243+WeightSDS!W$8,WeightSDS!$U$9-WeightSDS!$V$9*($AG243-WeightSDS!$W$9)))</f>
        <v>0.75407122999999998</v>
      </c>
      <c r="AJ243" s="24">
        <f>IF(D243="M",IF($AG243&lt;45,WeightSDS!M$23*$AG243^10+WeightSDS!N$23*$AG243^9+WeightSDS!O$23*$AG243^8+WeightSDS!P$23*$AG243^7+WeightSDS!Q$23*$AG243^6+WeightSDS!R$23*$AG243^5+WeightSDS!S$23*$AG243^4+WeightSDS!T$23*$AG243^3+WeightSDS!U$23*$AG243^2+WeightSDS!V$23*$AG243+WeightSDS!W$23,IF($AG243&lt;153,WeightSDS!M$25*$AG243^10+WeightSDS!N$25*$AG243^9+WeightSDS!O$25*$AG243^8+WeightSDS!P$25*$AG243^7+WeightSDS!Q$25*$AG243^6+WeightSDS!R$25*$AG243^5+WeightSDS!S$25*$AG243^4+WeightSDS!T$25*$AG243^3+WeightSDS!U$25*$AG243^2+WeightSDS!V$25*$AG243+WeightSDS!W$25,WeightSDS!M$27+WeightSDS!N$27/(1+EXP(WeightSDS!O$27+WeightSDS!P$27*$AG243)))),IF($AG243&lt;43.8,WeightSDS!M$29*$AG243^10+WeightSDS!N$29*$AG243^9+WeightSDS!O$29*$AG243^8+WeightSDS!P$29*$AG243^7+WeightSDS!Q$29*$AG243^6+WeightSDS!R$29*$AG243^5+WeightSDS!S$29*$AG243^4+WeightSDS!T$29*$AG243^3+WeightSDS!U$29*$AG243^2+WeightSDS!V$29*$AG243+WeightSDS!W$29-0.010431*(1-$AG243/210),IF($AG243&lt;123,WeightSDS!M$30*$AG243^10+WeightSDS!N$30*$AG243^9+WeightSDS!O$30*$AG243^8+WeightSDS!P$30*$AG243^7+WeightSDS!Q$30*$AG243^6+WeightSDS!R$30*$AG243^5+WeightSDS!S$30*$AG243^4+WeightSDS!T$30*$AG243^3+WeightSDS!U$30*$AG243^2+WeightSDS!V$30*$AG243+WeightSDS!W$30-0.010431*(1-1/$AG243),WeightSDS!M$32+WeightSDS!N$32/(1+EXP(WeightSDS!O$32+WeightSDS!P$32*$AG243))-0.010431*(1-$AG243/210))))</f>
        <v>2.9500001032655536</v>
      </c>
      <c r="AK243" s="24">
        <f>IF(D243="M",IF($AG243&lt;162,WeightSDS!P$12*$AG243^7+WeightSDS!Q$12*$AG243^6+WeightSDS!R$12*$AG243^5+WeightSDS!S$12*$AG243^4+WeightSDS!T$12*$AG243^3+WeightSDS!U$12*$AG243^2+WeightSDS!V$12*$AG243+WeightSDS!W$12,WeightSDS!P$14*$AG243^7+WeightSDS!Q$14*$AG243^6+WeightSDS!R$14*$AG243^5+WeightSDS!S$14*$AG243^4+WeightSDS!T$14*$AG243^3+WeightSDS!U$14*$AG243^2+WeightSDS!V$14*$AG243+WeightSDS!W$14),IF($AG243&lt;156,WeightSDS!O$17*$AG243^8+WeightSDS!P$17*$AG243^7+WeightSDS!Q$17*$AG243^6+WeightSDS!R$17*$AG243^5+WeightSDS!S$17*$AG243^4+WeightSDS!T$17*$AG243^3+WeightSDS!U$17*$AG243^2+WeightSDS!V$17*$AG243+WeightSDS!W$17,IF($AG243&lt;186,WeightSDS!$U$18+(WeightSDS!$V$18-WeightSDS!$U$18)/24*($AG243-186)+WeightSDS!$W$18*(-$AG243+186)^2-0.005,WeightSDS!$U$18+(WeightSDS!$V$18-WeightSDS!$U$18)/24*($AG243-186)-0.005)))</f>
        <v>0.14604529399999999</v>
      </c>
    </row>
    <row r="244" spans="1:37">
      <c r="A244" s="4"/>
      <c r="B244" s="21"/>
      <c r="C244" s="21"/>
      <c r="D244" s="21"/>
      <c r="E244" s="22"/>
      <c r="F244" s="22"/>
      <c r="G244" s="23"/>
      <c r="H244" s="23"/>
      <c r="I244" s="8" t="str">
        <f t="shared" si="50"/>
        <v/>
      </c>
      <c r="J244" s="2" t="str">
        <f t="shared" si="57"/>
        <v/>
      </c>
      <c r="K244" s="2" t="str">
        <f t="shared" si="51"/>
        <v/>
      </c>
      <c r="L244" s="2" t="str">
        <f t="shared" si="58"/>
        <v/>
      </c>
      <c r="M244" s="2" t="str">
        <f t="shared" si="63"/>
        <v/>
      </c>
      <c r="N244" s="2" t="str">
        <f t="shared" si="59"/>
        <v/>
      </c>
      <c r="O244" s="8" t="str">
        <f t="shared" si="60"/>
        <v/>
      </c>
      <c r="P244" s="8" t="str">
        <f t="shared" si="61"/>
        <v/>
      </c>
      <c r="Q244" s="40" t="str">
        <f t="shared" si="52"/>
        <v/>
      </c>
      <c r="R244" s="48" t="str">
        <f t="shared" si="62"/>
        <v/>
      </c>
      <c r="S244" s="8"/>
      <c r="U244" s="35">
        <f t="shared" si="53"/>
        <v>0</v>
      </c>
      <c r="V244" s="24">
        <f t="shared" si="54"/>
        <v>0</v>
      </c>
      <c r="W244" s="41">
        <f t="shared" si="65"/>
        <v>0</v>
      </c>
      <c r="X244" s="31"/>
      <c r="Y244" s="31"/>
      <c r="Z244" s="31"/>
      <c r="AA244" s="25">
        <f t="shared" si="55"/>
        <v>9.0359999999999996</v>
      </c>
      <c r="AB244" s="25">
        <f t="shared" si="56"/>
        <v>-184.49199999999999</v>
      </c>
      <c r="AD244" s="24">
        <f>IF(D244="M",IF(AG244&lt;78,BMILMS!$D$5*AG244^3+BMILMS!$E$5*AG244^2+BMILMS!$F$5*AG244+BMILMS!$G$5,IF(AG244&lt;150,BMILMS!$D$6*AG244^3+BMILMS!$E$6*AG244^2+BMILMS!$F$6*AG244+BMILMS!$G$6,BMILMS!$D$7*AG244^3+BMILMS!$E$7*AG244^2+BMILMS!$F$7*AG244+BMILMS!$G$7)),IF(AG244&lt;69,BMILMS!$D$9*AG244^3+BMILMS!$E$9*AG244^2+BMILMS!$F$9*AG244+BMILMS!$G$9,IF(AG244&lt;150,BMILMS!$D$10*AG244^3+BMILMS!$E$10*AG244^2+BMILMS!$F$10*AG244+BMILMS!$G$10,BMILMS!$D$11*AG244^3+BMILMS!$E$11*AG244^2+BMILMS!$F$11*AG244+BMILMS!$G$11)))</f>
        <v>0.79584630099999998</v>
      </c>
      <c r="AE244" s="24">
        <f>IF(D244="M",(IF(AG244&lt;2.5,BMILMS!$D$21*AG244^3+BMILMS!$E$21*AG244^2+BMILMS!$F$21*AG244+BMILMS!$G$21,IF(AG244&lt;9.5,BMILMS!$D$22*AG244^3+BMILMS!$E$22*AG244^2+BMILMS!$F$22*AG244+BMILMS!$G$22,IF(AG244&lt;26.75,BMILMS!$D$23*AG244^3+BMILMS!$E$23*AG244^2+BMILMS!$F$23*AG244+BMILMS!$G$23,IF(AG244&lt;90,BMILMS!$D$24*AG244^3+BMILMS!$E$24*AG244^2+BMILMS!$F$24*AG244+BMILMS!$G$24,BMILMS!$D$25*AG244^3+BMILMS!$E$25*AG244^2+BMILMS!$F$25*AG244+BMILMS!$G$25))))),(IF(AG244&lt;2.5,BMILMS!$D$27*AG244^3+BMILMS!$E$27*AG244^2+BMILMS!$F$27*AG244+BMILMS!$G$27,IF(AG244&lt;9.5,BMILMS!$D$28*AG244^3+BMILMS!$E$28*AG244^2+BMILMS!$F$28*AG244+BMILMS!$G$28,IF(AG244&lt;26.75,BMILMS!$D$29*AG244^3+BMILMS!$E$29*AG244^2+BMILMS!$F$29*AG244+BMILMS!$G$29,IF(AG244&lt;90,BMILMS!$D$30*AG244^3+BMILMS!$E$30*AG244^2+BMILMS!$F$30*AG244+BMILMS!$G$30,IF(AG244&lt;150,BMILMS!$D$31*AG244^3+BMILMS!$E$31*AG244^2+BMILMS!$F$31*AG244+BMILMS!$G$31,BMILMS!$D$32*AG244^3+BMILMS!$E$32*AG244^2+BMILMS!$F$32*AG244+BMILMS!$G$32)))))))</f>
        <v>12.568967990000001</v>
      </c>
      <c r="AF244" s="24">
        <f>IF(D244="M",(IF(AG244&lt;90,BMILMS!$D$14*AG244^3+BMILMS!$E$14*AG244^2+BMILMS!$F$14*AG244+BMILMS!$G$14,BMILMS!$D$15*AG244^3+BMILMS!$E$15*AG244^2+BMILMS!$F$15*AG244+BMILMS!$G$15)),(IF(AG244&lt;90,BMILMS!$D$17*AG244^3+BMILMS!$E$17*AG244^2+BMILMS!$F$17*AG244+BMILMS!$G$17,BMILMS!$D$18*AG244^3+BMILMS!$E$18*AG244^2+BMILMS!$F$18*AG244+BMILMS!$G$18)))</f>
        <v>8.8969350000000003E-2</v>
      </c>
      <c r="AG244" s="24">
        <f t="shared" si="64"/>
        <v>0</v>
      </c>
      <c r="AI244" s="38">
        <f>IF(D244="M",WeightSDS!P$5*$AG244^7+WeightSDS!Q$5*$AG244^6+WeightSDS!R$5*$AG244^5+WeightSDS!S$5*$AG244^4+WeightSDS!T$5*$AG244^3+WeightSDS!U$5*$AG244^2+WeightSDS!V$5*$AG244+WeightSDS!W$5,IF($AG244&lt;186,WeightSDS!P$8*$AG244^7+WeightSDS!Q$8*$AG244^6+WeightSDS!R$8*$AG244^5+WeightSDS!S$8*$AG244^4+WeightSDS!T$8*$AG244^3+WeightSDS!U$8*$AG244^2+WeightSDS!V$8*$AG244+WeightSDS!W$8,WeightSDS!$U$9-WeightSDS!$V$9*($AG244-WeightSDS!$W$9)))</f>
        <v>0.75407122999999998</v>
      </c>
      <c r="AJ244" s="24">
        <f>IF(D244="M",IF($AG244&lt;45,WeightSDS!M$23*$AG244^10+WeightSDS!N$23*$AG244^9+WeightSDS!O$23*$AG244^8+WeightSDS!P$23*$AG244^7+WeightSDS!Q$23*$AG244^6+WeightSDS!R$23*$AG244^5+WeightSDS!S$23*$AG244^4+WeightSDS!T$23*$AG244^3+WeightSDS!U$23*$AG244^2+WeightSDS!V$23*$AG244+WeightSDS!W$23,IF($AG244&lt;153,WeightSDS!M$25*$AG244^10+WeightSDS!N$25*$AG244^9+WeightSDS!O$25*$AG244^8+WeightSDS!P$25*$AG244^7+WeightSDS!Q$25*$AG244^6+WeightSDS!R$25*$AG244^5+WeightSDS!S$25*$AG244^4+WeightSDS!T$25*$AG244^3+WeightSDS!U$25*$AG244^2+WeightSDS!V$25*$AG244+WeightSDS!W$25,WeightSDS!M$27+WeightSDS!N$27/(1+EXP(WeightSDS!O$27+WeightSDS!P$27*$AG244)))),IF($AG244&lt;43.8,WeightSDS!M$29*$AG244^10+WeightSDS!N$29*$AG244^9+WeightSDS!O$29*$AG244^8+WeightSDS!P$29*$AG244^7+WeightSDS!Q$29*$AG244^6+WeightSDS!R$29*$AG244^5+WeightSDS!S$29*$AG244^4+WeightSDS!T$29*$AG244^3+WeightSDS!U$29*$AG244^2+WeightSDS!V$29*$AG244+WeightSDS!W$29-0.010431*(1-$AG244/210),IF($AG244&lt;123,WeightSDS!M$30*$AG244^10+WeightSDS!N$30*$AG244^9+WeightSDS!O$30*$AG244^8+WeightSDS!P$30*$AG244^7+WeightSDS!Q$30*$AG244^6+WeightSDS!R$30*$AG244^5+WeightSDS!S$30*$AG244^4+WeightSDS!T$30*$AG244^3+WeightSDS!U$30*$AG244^2+WeightSDS!V$30*$AG244+WeightSDS!W$30-0.010431*(1-1/$AG244),WeightSDS!M$32+WeightSDS!N$32/(1+EXP(WeightSDS!O$32+WeightSDS!P$32*$AG244))-0.010431*(1-$AG244/210))))</f>
        <v>2.9500001032655536</v>
      </c>
      <c r="AK244" s="24">
        <f>IF(D244="M",IF($AG244&lt;162,WeightSDS!P$12*$AG244^7+WeightSDS!Q$12*$AG244^6+WeightSDS!R$12*$AG244^5+WeightSDS!S$12*$AG244^4+WeightSDS!T$12*$AG244^3+WeightSDS!U$12*$AG244^2+WeightSDS!V$12*$AG244+WeightSDS!W$12,WeightSDS!P$14*$AG244^7+WeightSDS!Q$14*$AG244^6+WeightSDS!R$14*$AG244^5+WeightSDS!S$14*$AG244^4+WeightSDS!T$14*$AG244^3+WeightSDS!U$14*$AG244^2+WeightSDS!V$14*$AG244+WeightSDS!W$14),IF($AG244&lt;156,WeightSDS!O$17*$AG244^8+WeightSDS!P$17*$AG244^7+WeightSDS!Q$17*$AG244^6+WeightSDS!R$17*$AG244^5+WeightSDS!S$17*$AG244^4+WeightSDS!T$17*$AG244^3+WeightSDS!U$17*$AG244^2+WeightSDS!V$17*$AG244+WeightSDS!W$17,IF($AG244&lt;186,WeightSDS!$U$18+(WeightSDS!$V$18-WeightSDS!$U$18)/24*($AG244-186)+WeightSDS!$W$18*(-$AG244+186)^2-0.005,WeightSDS!$U$18+(WeightSDS!$V$18-WeightSDS!$U$18)/24*($AG244-186)-0.005)))</f>
        <v>0.14604529399999999</v>
      </c>
    </row>
    <row r="245" spans="1:37">
      <c r="A245" s="4"/>
      <c r="B245" s="21"/>
      <c r="C245" s="21"/>
      <c r="D245" s="21"/>
      <c r="E245" s="22"/>
      <c r="F245" s="22"/>
      <c r="G245" s="23"/>
      <c r="H245" s="23"/>
      <c r="I245" s="8" t="str">
        <f t="shared" si="50"/>
        <v/>
      </c>
      <c r="J245" s="2" t="str">
        <f t="shared" si="57"/>
        <v/>
      </c>
      <c r="K245" s="2" t="str">
        <f t="shared" si="51"/>
        <v/>
      </c>
      <c r="L245" s="2" t="str">
        <f t="shared" si="58"/>
        <v/>
      </c>
      <c r="M245" s="2" t="str">
        <f t="shared" si="63"/>
        <v/>
      </c>
      <c r="N245" s="2" t="str">
        <f t="shared" si="59"/>
        <v/>
      </c>
      <c r="O245" s="8" t="str">
        <f t="shared" si="60"/>
        <v/>
      </c>
      <c r="P245" s="8" t="str">
        <f t="shared" si="61"/>
        <v/>
      </c>
      <c r="Q245" s="40" t="str">
        <f t="shared" si="52"/>
        <v/>
      </c>
      <c r="R245" s="48" t="str">
        <f t="shared" si="62"/>
        <v/>
      </c>
      <c r="S245" s="8"/>
      <c r="U245" s="35">
        <f t="shared" si="53"/>
        <v>0</v>
      </c>
      <c r="V245" s="24">
        <f t="shared" si="54"/>
        <v>0</v>
      </c>
      <c r="W245" s="41">
        <f t="shared" si="65"/>
        <v>0</v>
      </c>
      <c r="X245" s="31"/>
      <c r="Y245" s="31"/>
      <c r="Z245" s="31"/>
      <c r="AA245" s="25">
        <f t="shared" si="55"/>
        <v>9.0359999999999996</v>
      </c>
      <c r="AB245" s="25">
        <f t="shared" si="56"/>
        <v>-184.49199999999999</v>
      </c>
      <c r="AD245" s="24">
        <f>IF(D245="M",IF(AG245&lt;78,BMILMS!$D$5*AG245^3+BMILMS!$E$5*AG245^2+BMILMS!$F$5*AG245+BMILMS!$G$5,IF(AG245&lt;150,BMILMS!$D$6*AG245^3+BMILMS!$E$6*AG245^2+BMILMS!$F$6*AG245+BMILMS!$G$6,BMILMS!$D$7*AG245^3+BMILMS!$E$7*AG245^2+BMILMS!$F$7*AG245+BMILMS!$G$7)),IF(AG245&lt;69,BMILMS!$D$9*AG245^3+BMILMS!$E$9*AG245^2+BMILMS!$F$9*AG245+BMILMS!$G$9,IF(AG245&lt;150,BMILMS!$D$10*AG245^3+BMILMS!$E$10*AG245^2+BMILMS!$F$10*AG245+BMILMS!$G$10,BMILMS!$D$11*AG245^3+BMILMS!$E$11*AG245^2+BMILMS!$F$11*AG245+BMILMS!$G$11)))</f>
        <v>0.79584630099999998</v>
      </c>
      <c r="AE245" s="24">
        <f>IF(D245="M",(IF(AG245&lt;2.5,BMILMS!$D$21*AG245^3+BMILMS!$E$21*AG245^2+BMILMS!$F$21*AG245+BMILMS!$G$21,IF(AG245&lt;9.5,BMILMS!$D$22*AG245^3+BMILMS!$E$22*AG245^2+BMILMS!$F$22*AG245+BMILMS!$G$22,IF(AG245&lt;26.75,BMILMS!$D$23*AG245^3+BMILMS!$E$23*AG245^2+BMILMS!$F$23*AG245+BMILMS!$G$23,IF(AG245&lt;90,BMILMS!$D$24*AG245^3+BMILMS!$E$24*AG245^2+BMILMS!$F$24*AG245+BMILMS!$G$24,BMILMS!$D$25*AG245^3+BMILMS!$E$25*AG245^2+BMILMS!$F$25*AG245+BMILMS!$G$25))))),(IF(AG245&lt;2.5,BMILMS!$D$27*AG245^3+BMILMS!$E$27*AG245^2+BMILMS!$F$27*AG245+BMILMS!$G$27,IF(AG245&lt;9.5,BMILMS!$D$28*AG245^3+BMILMS!$E$28*AG245^2+BMILMS!$F$28*AG245+BMILMS!$G$28,IF(AG245&lt;26.75,BMILMS!$D$29*AG245^3+BMILMS!$E$29*AG245^2+BMILMS!$F$29*AG245+BMILMS!$G$29,IF(AG245&lt;90,BMILMS!$D$30*AG245^3+BMILMS!$E$30*AG245^2+BMILMS!$F$30*AG245+BMILMS!$G$30,IF(AG245&lt;150,BMILMS!$D$31*AG245^3+BMILMS!$E$31*AG245^2+BMILMS!$F$31*AG245+BMILMS!$G$31,BMILMS!$D$32*AG245^3+BMILMS!$E$32*AG245^2+BMILMS!$F$32*AG245+BMILMS!$G$32)))))))</f>
        <v>12.568967990000001</v>
      </c>
      <c r="AF245" s="24">
        <f>IF(D245="M",(IF(AG245&lt;90,BMILMS!$D$14*AG245^3+BMILMS!$E$14*AG245^2+BMILMS!$F$14*AG245+BMILMS!$G$14,BMILMS!$D$15*AG245^3+BMILMS!$E$15*AG245^2+BMILMS!$F$15*AG245+BMILMS!$G$15)),(IF(AG245&lt;90,BMILMS!$D$17*AG245^3+BMILMS!$E$17*AG245^2+BMILMS!$F$17*AG245+BMILMS!$G$17,BMILMS!$D$18*AG245^3+BMILMS!$E$18*AG245^2+BMILMS!$F$18*AG245+BMILMS!$G$18)))</f>
        <v>8.8969350000000003E-2</v>
      </c>
      <c r="AG245" s="24">
        <f t="shared" si="64"/>
        <v>0</v>
      </c>
      <c r="AI245" s="38">
        <f>IF(D245="M",WeightSDS!P$5*$AG245^7+WeightSDS!Q$5*$AG245^6+WeightSDS!R$5*$AG245^5+WeightSDS!S$5*$AG245^4+WeightSDS!T$5*$AG245^3+WeightSDS!U$5*$AG245^2+WeightSDS!V$5*$AG245+WeightSDS!W$5,IF($AG245&lt;186,WeightSDS!P$8*$AG245^7+WeightSDS!Q$8*$AG245^6+WeightSDS!R$8*$AG245^5+WeightSDS!S$8*$AG245^4+WeightSDS!T$8*$AG245^3+WeightSDS!U$8*$AG245^2+WeightSDS!V$8*$AG245+WeightSDS!W$8,WeightSDS!$U$9-WeightSDS!$V$9*($AG245-WeightSDS!$W$9)))</f>
        <v>0.75407122999999998</v>
      </c>
      <c r="AJ245" s="24">
        <f>IF(D245="M",IF($AG245&lt;45,WeightSDS!M$23*$AG245^10+WeightSDS!N$23*$AG245^9+WeightSDS!O$23*$AG245^8+WeightSDS!P$23*$AG245^7+WeightSDS!Q$23*$AG245^6+WeightSDS!R$23*$AG245^5+WeightSDS!S$23*$AG245^4+WeightSDS!T$23*$AG245^3+WeightSDS!U$23*$AG245^2+WeightSDS!V$23*$AG245+WeightSDS!W$23,IF($AG245&lt;153,WeightSDS!M$25*$AG245^10+WeightSDS!N$25*$AG245^9+WeightSDS!O$25*$AG245^8+WeightSDS!P$25*$AG245^7+WeightSDS!Q$25*$AG245^6+WeightSDS!R$25*$AG245^5+WeightSDS!S$25*$AG245^4+WeightSDS!T$25*$AG245^3+WeightSDS!U$25*$AG245^2+WeightSDS!V$25*$AG245+WeightSDS!W$25,WeightSDS!M$27+WeightSDS!N$27/(1+EXP(WeightSDS!O$27+WeightSDS!P$27*$AG245)))),IF($AG245&lt;43.8,WeightSDS!M$29*$AG245^10+WeightSDS!N$29*$AG245^9+WeightSDS!O$29*$AG245^8+WeightSDS!P$29*$AG245^7+WeightSDS!Q$29*$AG245^6+WeightSDS!R$29*$AG245^5+WeightSDS!S$29*$AG245^4+WeightSDS!T$29*$AG245^3+WeightSDS!U$29*$AG245^2+WeightSDS!V$29*$AG245+WeightSDS!W$29-0.010431*(1-$AG245/210),IF($AG245&lt;123,WeightSDS!M$30*$AG245^10+WeightSDS!N$30*$AG245^9+WeightSDS!O$30*$AG245^8+WeightSDS!P$30*$AG245^7+WeightSDS!Q$30*$AG245^6+WeightSDS!R$30*$AG245^5+WeightSDS!S$30*$AG245^4+WeightSDS!T$30*$AG245^3+WeightSDS!U$30*$AG245^2+WeightSDS!V$30*$AG245+WeightSDS!W$30-0.010431*(1-1/$AG245),WeightSDS!M$32+WeightSDS!N$32/(1+EXP(WeightSDS!O$32+WeightSDS!P$32*$AG245))-0.010431*(1-$AG245/210))))</f>
        <v>2.9500001032655536</v>
      </c>
      <c r="AK245" s="24">
        <f>IF(D245="M",IF($AG245&lt;162,WeightSDS!P$12*$AG245^7+WeightSDS!Q$12*$AG245^6+WeightSDS!R$12*$AG245^5+WeightSDS!S$12*$AG245^4+WeightSDS!T$12*$AG245^3+WeightSDS!U$12*$AG245^2+WeightSDS!V$12*$AG245+WeightSDS!W$12,WeightSDS!P$14*$AG245^7+WeightSDS!Q$14*$AG245^6+WeightSDS!R$14*$AG245^5+WeightSDS!S$14*$AG245^4+WeightSDS!T$14*$AG245^3+WeightSDS!U$14*$AG245^2+WeightSDS!V$14*$AG245+WeightSDS!W$14),IF($AG245&lt;156,WeightSDS!O$17*$AG245^8+WeightSDS!P$17*$AG245^7+WeightSDS!Q$17*$AG245^6+WeightSDS!R$17*$AG245^5+WeightSDS!S$17*$AG245^4+WeightSDS!T$17*$AG245^3+WeightSDS!U$17*$AG245^2+WeightSDS!V$17*$AG245+WeightSDS!W$17,IF($AG245&lt;186,WeightSDS!$U$18+(WeightSDS!$V$18-WeightSDS!$U$18)/24*($AG245-186)+WeightSDS!$W$18*(-$AG245+186)^2-0.005,WeightSDS!$U$18+(WeightSDS!$V$18-WeightSDS!$U$18)/24*($AG245-186)-0.005)))</f>
        <v>0.14604529399999999</v>
      </c>
    </row>
    <row r="246" spans="1:37">
      <c r="A246" s="4"/>
      <c r="B246" s="21"/>
      <c r="C246" s="21"/>
      <c r="D246" s="21"/>
      <c r="E246" s="22"/>
      <c r="F246" s="22"/>
      <c r="G246" s="23"/>
      <c r="H246" s="23"/>
      <c r="I246" s="8" t="str">
        <f t="shared" si="50"/>
        <v/>
      </c>
      <c r="J246" s="2" t="str">
        <f t="shared" si="57"/>
        <v/>
      </c>
      <c r="K246" s="2" t="str">
        <f t="shared" si="51"/>
        <v/>
      </c>
      <c r="L246" s="2" t="str">
        <f t="shared" si="58"/>
        <v/>
      </c>
      <c r="M246" s="2" t="str">
        <f t="shared" si="63"/>
        <v/>
      </c>
      <c r="N246" s="2" t="str">
        <f t="shared" si="59"/>
        <v/>
      </c>
      <c r="O246" s="8" t="str">
        <f t="shared" si="60"/>
        <v/>
      </c>
      <c r="P246" s="8" t="str">
        <f t="shared" si="61"/>
        <v/>
      </c>
      <c r="Q246" s="40" t="str">
        <f t="shared" si="52"/>
        <v/>
      </c>
      <c r="R246" s="48" t="str">
        <f t="shared" si="62"/>
        <v/>
      </c>
      <c r="S246" s="8"/>
      <c r="U246" s="35">
        <f t="shared" si="53"/>
        <v>0</v>
      </c>
      <c r="V246" s="24">
        <f t="shared" si="54"/>
        <v>0</v>
      </c>
      <c r="W246" s="41">
        <f t="shared" si="65"/>
        <v>0</v>
      </c>
      <c r="X246" s="31"/>
      <c r="Y246" s="31"/>
      <c r="Z246" s="31"/>
      <c r="AA246" s="25">
        <f t="shared" si="55"/>
        <v>9.0359999999999996</v>
      </c>
      <c r="AB246" s="25">
        <f t="shared" si="56"/>
        <v>-184.49199999999999</v>
      </c>
      <c r="AD246" s="24">
        <f>IF(D246="M",IF(AG246&lt;78,BMILMS!$D$5*AG246^3+BMILMS!$E$5*AG246^2+BMILMS!$F$5*AG246+BMILMS!$G$5,IF(AG246&lt;150,BMILMS!$D$6*AG246^3+BMILMS!$E$6*AG246^2+BMILMS!$F$6*AG246+BMILMS!$G$6,BMILMS!$D$7*AG246^3+BMILMS!$E$7*AG246^2+BMILMS!$F$7*AG246+BMILMS!$G$7)),IF(AG246&lt;69,BMILMS!$D$9*AG246^3+BMILMS!$E$9*AG246^2+BMILMS!$F$9*AG246+BMILMS!$G$9,IF(AG246&lt;150,BMILMS!$D$10*AG246^3+BMILMS!$E$10*AG246^2+BMILMS!$F$10*AG246+BMILMS!$G$10,BMILMS!$D$11*AG246^3+BMILMS!$E$11*AG246^2+BMILMS!$F$11*AG246+BMILMS!$G$11)))</f>
        <v>0.79584630099999998</v>
      </c>
      <c r="AE246" s="24">
        <f>IF(D246="M",(IF(AG246&lt;2.5,BMILMS!$D$21*AG246^3+BMILMS!$E$21*AG246^2+BMILMS!$F$21*AG246+BMILMS!$G$21,IF(AG246&lt;9.5,BMILMS!$D$22*AG246^3+BMILMS!$E$22*AG246^2+BMILMS!$F$22*AG246+BMILMS!$G$22,IF(AG246&lt;26.75,BMILMS!$D$23*AG246^3+BMILMS!$E$23*AG246^2+BMILMS!$F$23*AG246+BMILMS!$G$23,IF(AG246&lt;90,BMILMS!$D$24*AG246^3+BMILMS!$E$24*AG246^2+BMILMS!$F$24*AG246+BMILMS!$G$24,BMILMS!$D$25*AG246^3+BMILMS!$E$25*AG246^2+BMILMS!$F$25*AG246+BMILMS!$G$25))))),(IF(AG246&lt;2.5,BMILMS!$D$27*AG246^3+BMILMS!$E$27*AG246^2+BMILMS!$F$27*AG246+BMILMS!$G$27,IF(AG246&lt;9.5,BMILMS!$D$28*AG246^3+BMILMS!$E$28*AG246^2+BMILMS!$F$28*AG246+BMILMS!$G$28,IF(AG246&lt;26.75,BMILMS!$D$29*AG246^3+BMILMS!$E$29*AG246^2+BMILMS!$F$29*AG246+BMILMS!$G$29,IF(AG246&lt;90,BMILMS!$D$30*AG246^3+BMILMS!$E$30*AG246^2+BMILMS!$F$30*AG246+BMILMS!$G$30,IF(AG246&lt;150,BMILMS!$D$31*AG246^3+BMILMS!$E$31*AG246^2+BMILMS!$F$31*AG246+BMILMS!$G$31,BMILMS!$D$32*AG246^3+BMILMS!$E$32*AG246^2+BMILMS!$F$32*AG246+BMILMS!$G$32)))))))</f>
        <v>12.568967990000001</v>
      </c>
      <c r="AF246" s="24">
        <f>IF(D246="M",(IF(AG246&lt;90,BMILMS!$D$14*AG246^3+BMILMS!$E$14*AG246^2+BMILMS!$F$14*AG246+BMILMS!$G$14,BMILMS!$D$15*AG246^3+BMILMS!$E$15*AG246^2+BMILMS!$F$15*AG246+BMILMS!$G$15)),(IF(AG246&lt;90,BMILMS!$D$17*AG246^3+BMILMS!$E$17*AG246^2+BMILMS!$F$17*AG246+BMILMS!$G$17,BMILMS!$D$18*AG246^3+BMILMS!$E$18*AG246^2+BMILMS!$F$18*AG246+BMILMS!$G$18)))</f>
        <v>8.8969350000000003E-2</v>
      </c>
      <c r="AG246" s="24">
        <f t="shared" si="64"/>
        <v>0</v>
      </c>
      <c r="AI246" s="38">
        <f>IF(D246="M",WeightSDS!P$5*$AG246^7+WeightSDS!Q$5*$AG246^6+WeightSDS!R$5*$AG246^5+WeightSDS!S$5*$AG246^4+WeightSDS!T$5*$AG246^3+WeightSDS!U$5*$AG246^2+WeightSDS!V$5*$AG246+WeightSDS!W$5,IF($AG246&lt;186,WeightSDS!P$8*$AG246^7+WeightSDS!Q$8*$AG246^6+WeightSDS!R$8*$AG246^5+WeightSDS!S$8*$AG246^4+WeightSDS!T$8*$AG246^3+WeightSDS!U$8*$AG246^2+WeightSDS!V$8*$AG246+WeightSDS!W$8,WeightSDS!$U$9-WeightSDS!$V$9*($AG246-WeightSDS!$W$9)))</f>
        <v>0.75407122999999998</v>
      </c>
      <c r="AJ246" s="24">
        <f>IF(D246="M",IF($AG246&lt;45,WeightSDS!M$23*$AG246^10+WeightSDS!N$23*$AG246^9+WeightSDS!O$23*$AG246^8+WeightSDS!P$23*$AG246^7+WeightSDS!Q$23*$AG246^6+WeightSDS!R$23*$AG246^5+WeightSDS!S$23*$AG246^4+WeightSDS!T$23*$AG246^3+WeightSDS!U$23*$AG246^2+WeightSDS!V$23*$AG246+WeightSDS!W$23,IF($AG246&lt;153,WeightSDS!M$25*$AG246^10+WeightSDS!N$25*$AG246^9+WeightSDS!O$25*$AG246^8+WeightSDS!P$25*$AG246^7+WeightSDS!Q$25*$AG246^6+WeightSDS!R$25*$AG246^5+WeightSDS!S$25*$AG246^4+WeightSDS!T$25*$AG246^3+WeightSDS!U$25*$AG246^2+WeightSDS!V$25*$AG246+WeightSDS!W$25,WeightSDS!M$27+WeightSDS!N$27/(1+EXP(WeightSDS!O$27+WeightSDS!P$27*$AG246)))),IF($AG246&lt;43.8,WeightSDS!M$29*$AG246^10+WeightSDS!N$29*$AG246^9+WeightSDS!O$29*$AG246^8+WeightSDS!P$29*$AG246^7+WeightSDS!Q$29*$AG246^6+WeightSDS!R$29*$AG246^5+WeightSDS!S$29*$AG246^4+WeightSDS!T$29*$AG246^3+WeightSDS!U$29*$AG246^2+WeightSDS!V$29*$AG246+WeightSDS!W$29-0.010431*(1-$AG246/210),IF($AG246&lt;123,WeightSDS!M$30*$AG246^10+WeightSDS!N$30*$AG246^9+WeightSDS!O$30*$AG246^8+WeightSDS!P$30*$AG246^7+WeightSDS!Q$30*$AG246^6+WeightSDS!R$30*$AG246^5+WeightSDS!S$30*$AG246^4+WeightSDS!T$30*$AG246^3+WeightSDS!U$30*$AG246^2+WeightSDS!V$30*$AG246+WeightSDS!W$30-0.010431*(1-1/$AG246),WeightSDS!M$32+WeightSDS!N$32/(1+EXP(WeightSDS!O$32+WeightSDS!P$32*$AG246))-0.010431*(1-$AG246/210))))</f>
        <v>2.9500001032655536</v>
      </c>
      <c r="AK246" s="24">
        <f>IF(D246="M",IF($AG246&lt;162,WeightSDS!P$12*$AG246^7+WeightSDS!Q$12*$AG246^6+WeightSDS!R$12*$AG246^5+WeightSDS!S$12*$AG246^4+WeightSDS!T$12*$AG246^3+WeightSDS!U$12*$AG246^2+WeightSDS!V$12*$AG246+WeightSDS!W$12,WeightSDS!P$14*$AG246^7+WeightSDS!Q$14*$AG246^6+WeightSDS!R$14*$AG246^5+WeightSDS!S$14*$AG246^4+WeightSDS!T$14*$AG246^3+WeightSDS!U$14*$AG246^2+WeightSDS!V$14*$AG246+WeightSDS!W$14),IF($AG246&lt;156,WeightSDS!O$17*$AG246^8+WeightSDS!P$17*$AG246^7+WeightSDS!Q$17*$AG246^6+WeightSDS!R$17*$AG246^5+WeightSDS!S$17*$AG246^4+WeightSDS!T$17*$AG246^3+WeightSDS!U$17*$AG246^2+WeightSDS!V$17*$AG246+WeightSDS!W$17,IF($AG246&lt;186,WeightSDS!$U$18+(WeightSDS!$V$18-WeightSDS!$U$18)/24*($AG246-186)+WeightSDS!$W$18*(-$AG246+186)^2-0.005,WeightSDS!$U$18+(WeightSDS!$V$18-WeightSDS!$U$18)/24*($AG246-186)-0.005)))</f>
        <v>0.14604529399999999</v>
      </c>
    </row>
    <row r="247" spans="1:37">
      <c r="A247" s="4"/>
      <c r="B247" s="21"/>
      <c r="C247" s="21"/>
      <c r="D247" s="21"/>
      <c r="E247" s="22"/>
      <c r="F247" s="22"/>
      <c r="G247" s="23"/>
      <c r="H247" s="23"/>
      <c r="I247" s="8" t="str">
        <f t="shared" si="50"/>
        <v/>
      </c>
      <c r="J247" s="2" t="str">
        <f t="shared" si="57"/>
        <v/>
      </c>
      <c r="K247" s="2" t="str">
        <f t="shared" si="51"/>
        <v/>
      </c>
      <c r="L247" s="2" t="str">
        <f t="shared" si="58"/>
        <v/>
      </c>
      <c r="M247" s="2" t="str">
        <f t="shared" si="63"/>
        <v/>
      </c>
      <c r="N247" s="2" t="str">
        <f t="shared" si="59"/>
        <v/>
      </c>
      <c r="O247" s="8" t="str">
        <f t="shared" si="60"/>
        <v/>
      </c>
      <c r="P247" s="8" t="str">
        <f t="shared" si="61"/>
        <v/>
      </c>
      <c r="Q247" s="40" t="str">
        <f t="shared" si="52"/>
        <v/>
      </c>
      <c r="R247" s="48" t="str">
        <f t="shared" si="62"/>
        <v/>
      </c>
      <c r="S247" s="8"/>
      <c r="U247" s="35">
        <f t="shared" si="53"/>
        <v>0</v>
      </c>
      <c r="V247" s="24">
        <f t="shared" si="54"/>
        <v>0</v>
      </c>
      <c r="W247" s="41">
        <f t="shared" si="65"/>
        <v>0</v>
      </c>
      <c r="X247" s="31"/>
      <c r="Y247" s="31"/>
      <c r="Z247" s="31"/>
      <c r="AA247" s="25">
        <f t="shared" si="55"/>
        <v>9.0359999999999996</v>
      </c>
      <c r="AB247" s="25">
        <f t="shared" si="56"/>
        <v>-184.49199999999999</v>
      </c>
      <c r="AD247" s="24">
        <f>IF(D247="M",IF(AG247&lt;78,BMILMS!$D$5*AG247^3+BMILMS!$E$5*AG247^2+BMILMS!$F$5*AG247+BMILMS!$G$5,IF(AG247&lt;150,BMILMS!$D$6*AG247^3+BMILMS!$E$6*AG247^2+BMILMS!$F$6*AG247+BMILMS!$G$6,BMILMS!$D$7*AG247^3+BMILMS!$E$7*AG247^2+BMILMS!$F$7*AG247+BMILMS!$G$7)),IF(AG247&lt;69,BMILMS!$D$9*AG247^3+BMILMS!$E$9*AG247^2+BMILMS!$F$9*AG247+BMILMS!$G$9,IF(AG247&lt;150,BMILMS!$D$10*AG247^3+BMILMS!$E$10*AG247^2+BMILMS!$F$10*AG247+BMILMS!$G$10,BMILMS!$D$11*AG247^3+BMILMS!$E$11*AG247^2+BMILMS!$F$11*AG247+BMILMS!$G$11)))</f>
        <v>0.79584630099999998</v>
      </c>
      <c r="AE247" s="24">
        <f>IF(D247="M",(IF(AG247&lt;2.5,BMILMS!$D$21*AG247^3+BMILMS!$E$21*AG247^2+BMILMS!$F$21*AG247+BMILMS!$G$21,IF(AG247&lt;9.5,BMILMS!$D$22*AG247^3+BMILMS!$E$22*AG247^2+BMILMS!$F$22*AG247+BMILMS!$G$22,IF(AG247&lt;26.75,BMILMS!$D$23*AG247^3+BMILMS!$E$23*AG247^2+BMILMS!$F$23*AG247+BMILMS!$G$23,IF(AG247&lt;90,BMILMS!$D$24*AG247^3+BMILMS!$E$24*AG247^2+BMILMS!$F$24*AG247+BMILMS!$G$24,BMILMS!$D$25*AG247^3+BMILMS!$E$25*AG247^2+BMILMS!$F$25*AG247+BMILMS!$G$25))))),(IF(AG247&lt;2.5,BMILMS!$D$27*AG247^3+BMILMS!$E$27*AG247^2+BMILMS!$F$27*AG247+BMILMS!$G$27,IF(AG247&lt;9.5,BMILMS!$D$28*AG247^3+BMILMS!$E$28*AG247^2+BMILMS!$F$28*AG247+BMILMS!$G$28,IF(AG247&lt;26.75,BMILMS!$D$29*AG247^3+BMILMS!$E$29*AG247^2+BMILMS!$F$29*AG247+BMILMS!$G$29,IF(AG247&lt;90,BMILMS!$D$30*AG247^3+BMILMS!$E$30*AG247^2+BMILMS!$F$30*AG247+BMILMS!$G$30,IF(AG247&lt;150,BMILMS!$D$31*AG247^3+BMILMS!$E$31*AG247^2+BMILMS!$F$31*AG247+BMILMS!$G$31,BMILMS!$D$32*AG247^3+BMILMS!$E$32*AG247^2+BMILMS!$F$32*AG247+BMILMS!$G$32)))))))</f>
        <v>12.568967990000001</v>
      </c>
      <c r="AF247" s="24">
        <f>IF(D247="M",(IF(AG247&lt;90,BMILMS!$D$14*AG247^3+BMILMS!$E$14*AG247^2+BMILMS!$F$14*AG247+BMILMS!$G$14,BMILMS!$D$15*AG247^3+BMILMS!$E$15*AG247^2+BMILMS!$F$15*AG247+BMILMS!$G$15)),(IF(AG247&lt;90,BMILMS!$D$17*AG247^3+BMILMS!$E$17*AG247^2+BMILMS!$F$17*AG247+BMILMS!$G$17,BMILMS!$D$18*AG247^3+BMILMS!$E$18*AG247^2+BMILMS!$F$18*AG247+BMILMS!$G$18)))</f>
        <v>8.8969350000000003E-2</v>
      </c>
      <c r="AG247" s="24">
        <f t="shared" si="64"/>
        <v>0</v>
      </c>
      <c r="AI247" s="38">
        <f>IF(D247="M",WeightSDS!P$5*$AG247^7+WeightSDS!Q$5*$AG247^6+WeightSDS!R$5*$AG247^5+WeightSDS!S$5*$AG247^4+WeightSDS!T$5*$AG247^3+WeightSDS!U$5*$AG247^2+WeightSDS!V$5*$AG247+WeightSDS!W$5,IF($AG247&lt;186,WeightSDS!P$8*$AG247^7+WeightSDS!Q$8*$AG247^6+WeightSDS!R$8*$AG247^5+WeightSDS!S$8*$AG247^4+WeightSDS!T$8*$AG247^3+WeightSDS!U$8*$AG247^2+WeightSDS!V$8*$AG247+WeightSDS!W$8,WeightSDS!$U$9-WeightSDS!$V$9*($AG247-WeightSDS!$W$9)))</f>
        <v>0.75407122999999998</v>
      </c>
      <c r="AJ247" s="24">
        <f>IF(D247="M",IF($AG247&lt;45,WeightSDS!M$23*$AG247^10+WeightSDS!N$23*$AG247^9+WeightSDS!O$23*$AG247^8+WeightSDS!P$23*$AG247^7+WeightSDS!Q$23*$AG247^6+WeightSDS!R$23*$AG247^5+WeightSDS!S$23*$AG247^4+WeightSDS!T$23*$AG247^3+WeightSDS!U$23*$AG247^2+WeightSDS!V$23*$AG247+WeightSDS!W$23,IF($AG247&lt;153,WeightSDS!M$25*$AG247^10+WeightSDS!N$25*$AG247^9+WeightSDS!O$25*$AG247^8+WeightSDS!P$25*$AG247^7+WeightSDS!Q$25*$AG247^6+WeightSDS!R$25*$AG247^5+WeightSDS!S$25*$AG247^4+WeightSDS!T$25*$AG247^3+WeightSDS!U$25*$AG247^2+WeightSDS!V$25*$AG247+WeightSDS!W$25,WeightSDS!M$27+WeightSDS!N$27/(1+EXP(WeightSDS!O$27+WeightSDS!P$27*$AG247)))),IF($AG247&lt;43.8,WeightSDS!M$29*$AG247^10+WeightSDS!N$29*$AG247^9+WeightSDS!O$29*$AG247^8+WeightSDS!P$29*$AG247^7+WeightSDS!Q$29*$AG247^6+WeightSDS!R$29*$AG247^5+WeightSDS!S$29*$AG247^4+WeightSDS!T$29*$AG247^3+WeightSDS!U$29*$AG247^2+WeightSDS!V$29*$AG247+WeightSDS!W$29-0.010431*(1-$AG247/210),IF($AG247&lt;123,WeightSDS!M$30*$AG247^10+WeightSDS!N$30*$AG247^9+WeightSDS!O$30*$AG247^8+WeightSDS!P$30*$AG247^7+WeightSDS!Q$30*$AG247^6+WeightSDS!R$30*$AG247^5+WeightSDS!S$30*$AG247^4+WeightSDS!T$30*$AG247^3+WeightSDS!U$30*$AG247^2+WeightSDS!V$30*$AG247+WeightSDS!W$30-0.010431*(1-1/$AG247),WeightSDS!M$32+WeightSDS!N$32/(1+EXP(WeightSDS!O$32+WeightSDS!P$32*$AG247))-0.010431*(1-$AG247/210))))</f>
        <v>2.9500001032655536</v>
      </c>
      <c r="AK247" s="24">
        <f>IF(D247="M",IF($AG247&lt;162,WeightSDS!P$12*$AG247^7+WeightSDS!Q$12*$AG247^6+WeightSDS!R$12*$AG247^5+WeightSDS!S$12*$AG247^4+WeightSDS!T$12*$AG247^3+WeightSDS!U$12*$AG247^2+WeightSDS!V$12*$AG247+WeightSDS!W$12,WeightSDS!P$14*$AG247^7+WeightSDS!Q$14*$AG247^6+WeightSDS!R$14*$AG247^5+WeightSDS!S$14*$AG247^4+WeightSDS!T$14*$AG247^3+WeightSDS!U$14*$AG247^2+WeightSDS!V$14*$AG247+WeightSDS!W$14),IF($AG247&lt;156,WeightSDS!O$17*$AG247^8+WeightSDS!P$17*$AG247^7+WeightSDS!Q$17*$AG247^6+WeightSDS!R$17*$AG247^5+WeightSDS!S$17*$AG247^4+WeightSDS!T$17*$AG247^3+WeightSDS!U$17*$AG247^2+WeightSDS!V$17*$AG247+WeightSDS!W$17,IF($AG247&lt;186,WeightSDS!$U$18+(WeightSDS!$V$18-WeightSDS!$U$18)/24*($AG247-186)+WeightSDS!$W$18*(-$AG247+186)^2-0.005,WeightSDS!$U$18+(WeightSDS!$V$18-WeightSDS!$U$18)/24*($AG247-186)-0.005)))</f>
        <v>0.14604529399999999</v>
      </c>
    </row>
    <row r="248" spans="1:37">
      <c r="A248" s="4"/>
      <c r="B248" s="21"/>
      <c r="C248" s="21"/>
      <c r="D248" s="21"/>
      <c r="E248" s="22"/>
      <c r="F248" s="22"/>
      <c r="G248" s="23"/>
      <c r="H248" s="23"/>
      <c r="I248" s="8" t="str">
        <f t="shared" si="50"/>
        <v/>
      </c>
      <c r="J248" s="2" t="str">
        <f t="shared" si="57"/>
        <v/>
      </c>
      <c r="K248" s="2" t="str">
        <f t="shared" si="51"/>
        <v/>
      </c>
      <c r="L248" s="2" t="str">
        <f t="shared" si="58"/>
        <v/>
      </c>
      <c r="M248" s="2" t="str">
        <f t="shared" si="63"/>
        <v/>
      </c>
      <c r="N248" s="2" t="str">
        <f t="shared" si="59"/>
        <v/>
      </c>
      <c r="O248" s="8" t="str">
        <f t="shared" si="60"/>
        <v/>
      </c>
      <c r="P248" s="8" t="str">
        <f t="shared" si="61"/>
        <v/>
      </c>
      <c r="Q248" s="40" t="str">
        <f t="shared" si="52"/>
        <v/>
      </c>
      <c r="R248" s="48" t="str">
        <f t="shared" si="62"/>
        <v/>
      </c>
      <c r="S248" s="8"/>
      <c r="U248" s="35">
        <f t="shared" si="53"/>
        <v>0</v>
      </c>
      <c r="V248" s="24">
        <f t="shared" si="54"/>
        <v>0</v>
      </c>
      <c r="W248" s="41">
        <f t="shared" si="65"/>
        <v>0</v>
      </c>
      <c r="X248" s="31"/>
      <c r="Y248" s="31"/>
      <c r="Z248" s="31"/>
      <c r="AA248" s="25">
        <f t="shared" si="55"/>
        <v>9.0359999999999996</v>
      </c>
      <c r="AB248" s="25">
        <f t="shared" si="56"/>
        <v>-184.49199999999999</v>
      </c>
      <c r="AD248" s="24">
        <f>IF(D248="M",IF(AG248&lt;78,BMILMS!$D$5*AG248^3+BMILMS!$E$5*AG248^2+BMILMS!$F$5*AG248+BMILMS!$G$5,IF(AG248&lt;150,BMILMS!$D$6*AG248^3+BMILMS!$E$6*AG248^2+BMILMS!$F$6*AG248+BMILMS!$G$6,BMILMS!$D$7*AG248^3+BMILMS!$E$7*AG248^2+BMILMS!$F$7*AG248+BMILMS!$G$7)),IF(AG248&lt;69,BMILMS!$D$9*AG248^3+BMILMS!$E$9*AG248^2+BMILMS!$F$9*AG248+BMILMS!$G$9,IF(AG248&lt;150,BMILMS!$D$10*AG248^3+BMILMS!$E$10*AG248^2+BMILMS!$F$10*AG248+BMILMS!$G$10,BMILMS!$D$11*AG248^3+BMILMS!$E$11*AG248^2+BMILMS!$F$11*AG248+BMILMS!$G$11)))</f>
        <v>0.79584630099999998</v>
      </c>
      <c r="AE248" s="24">
        <f>IF(D248="M",(IF(AG248&lt;2.5,BMILMS!$D$21*AG248^3+BMILMS!$E$21*AG248^2+BMILMS!$F$21*AG248+BMILMS!$G$21,IF(AG248&lt;9.5,BMILMS!$D$22*AG248^3+BMILMS!$E$22*AG248^2+BMILMS!$F$22*AG248+BMILMS!$G$22,IF(AG248&lt;26.75,BMILMS!$D$23*AG248^3+BMILMS!$E$23*AG248^2+BMILMS!$F$23*AG248+BMILMS!$G$23,IF(AG248&lt;90,BMILMS!$D$24*AG248^3+BMILMS!$E$24*AG248^2+BMILMS!$F$24*AG248+BMILMS!$G$24,BMILMS!$D$25*AG248^3+BMILMS!$E$25*AG248^2+BMILMS!$F$25*AG248+BMILMS!$G$25))))),(IF(AG248&lt;2.5,BMILMS!$D$27*AG248^3+BMILMS!$E$27*AG248^2+BMILMS!$F$27*AG248+BMILMS!$G$27,IF(AG248&lt;9.5,BMILMS!$D$28*AG248^3+BMILMS!$E$28*AG248^2+BMILMS!$F$28*AG248+BMILMS!$G$28,IF(AG248&lt;26.75,BMILMS!$D$29*AG248^3+BMILMS!$E$29*AG248^2+BMILMS!$F$29*AG248+BMILMS!$G$29,IF(AG248&lt;90,BMILMS!$D$30*AG248^3+BMILMS!$E$30*AG248^2+BMILMS!$F$30*AG248+BMILMS!$G$30,IF(AG248&lt;150,BMILMS!$D$31*AG248^3+BMILMS!$E$31*AG248^2+BMILMS!$F$31*AG248+BMILMS!$G$31,BMILMS!$D$32*AG248^3+BMILMS!$E$32*AG248^2+BMILMS!$F$32*AG248+BMILMS!$G$32)))))))</f>
        <v>12.568967990000001</v>
      </c>
      <c r="AF248" s="24">
        <f>IF(D248="M",(IF(AG248&lt;90,BMILMS!$D$14*AG248^3+BMILMS!$E$14*AG248^2+BMILMS!$F$14*AG248+BMILMS!$G$14,BMILMS!$D$15*AG248^3+BMILMS!$E$15*AG248^2+BMILMS!$F$15*AG248+BMILMS!$G$15)),(IF(AG248&lt;90,BMILMS!$D$17*AG248^3+BMILMS!$E$17*AG248^2+BMILMS!$F$17*AG248+BMILMS!$G$17,BMILMS!$D$18*AG248^3+BMILMS!$E$18*AG248^2+BMILMS!$F$18*AG248+BMILMS!$G$18)))</f>
        <v>8.8969350000000003E-2</v>
      </c>
      <c r="AG248" s="24">
        <f t="shared" si="64"/>
        <v>0</v>
      </c>
      <c r="AI248" s="38">
        <f>IF(D248="M",WeightSDS!P$5*$AG248^7+WeightSDS!Q$5*$AG248^6+WeightSDS!R$5*$AG248^5+WeightSDS!S$5*$AG248^4+WeightSDS!T$5*$AG248^3+WeightSDS!U$5*$AG248^2+WeightSDS!V$5*$AG248+WeightSDS!W$5,IF($AG248&lt;186,WeightSDS!P$8*$AG248^7+WeightSDS!Q$8*$AG248^6+WeightSDS!R$8*$AG248^5+WeightSDS!S$8*$AG248^4+WeightSDS!T$8*$AG248^3+WeightSDS!U$8*$AG248^2+WeightSDS!V$8*$AG248+WeightSDS!W$8,WeightSDS!$U$9-WeightSDS!$V$9*($AG248-WeightSDS!$W$9)))</f>
        <v>0.75407122999999998</v>
      </c>
      <c r="AJ248" s="24">
        <f>IF(D248="M",IF($AG248&lt;45,WeightSDS!M$23*$AG248^10+WeightSDS!N$23*$AG248^9+WeightSDS!O$23*$AG248^8+WeightSDS!P$23*$AG248^7+WeightSDS!Q$23*$AG248^6+WeightSDS!R$23*$AG248^5+WeightSDS!S$23*$AG248^4+WeightSDS!T$23*$AG248^3+WeightSDS!U$23*$AG248^2+WeightSDS!V$23*$AG248+WeightSDS!W$23,IF($AG248&lt;153,WeightSDS!M$25*$AG248^10+WeightSDS!N$25*$AG248^9+WeightSDS!O$25*$AG248^8+WeightSDS!P$25*$AG248^7+WeightSDS!Q$25*$AG248^6+WeightSDS!R$25*$AG248^5+WeightSDS!S$25*$AG248^4+WeightSDS!T$25*$AG248^3+WeightSDS!U$25*$AG248^2+WeightSDS!V$25*$AG248+WeightSDS!W$25,WeightSDS!M$27+WeightSDS!N$27/(1+EXP(WeightSDS!O$27+WeightSDS!P$27*$AG248)))),IF($AG248&lt;43.8,WeightSDS!M$29*$AG248^10+WeightSDS!N$29*$AG248^9+WeightSDS!O$29*$AG248^8+WeightSDS!P$29*$AG248^7+WeightSDS!Q$29*$AG248^6+WeightSDS!R$29*$AG248^5+WeightSDS!S$29*$AG248^4+WeightSDS!T$29*$AG248^3+WeightSDS!U$29*$AG248^2+WeightSDS!V$29*$AG248+WeightSDS!W$29-0.010431*(1-$AG248/210),IF($AG248&lt;123,WeightSDS!M$30*$AG248^10+WeightSDS!N$30*$AG248^9+WeightSDS!O$30*$AG248^8+WeightSDS!P$30*$AG248^7+WeightSDS!Q$30*$AG248^6+WeightSDS!R$30*$AG248^5+WeightSDS!S$30*$AG248^4+WeightSDS!T$30*$AG248^3+WeightSDS!U$30*$AG248^2+WeightSDS!V$30*$AG248+WeightSDS!W$30-0.010431*(1-1/$AG248),WeightSDS!M$32+WeightSDS!N$32/(1+EXP(WeightSDS!O$32+WeightSDS!P$32*$AG248))-0.010431*(1-$AG248/210))))</f>
        <v>2.9500001032655536</v>
      </c>
      <c r="AK248" s="24">
        <f>IF(D248="M",IF($AG248&lt;162,WeightSDS!P$12*$AG248^7+WeightSDS!Q$12*$AG248^6+WeightSDS!R$12*$AG248^5+WeightSDS!S$12*$AG248^4+WeightSDS!T$12*$AG248^3+WeightSDS!U$12*$AG248^2+WeightSDS!V$12*$AG248+WeightSDS!W$12,WeightSDS!P$14*$AG248^7+WeightSDS!Q$14*$AG248^6+WeightSDS!R$14*$AG248^5+WeightSDS!S$14*$AG248^4+WeightSDS!T$14*$AG248^3+WeightSDS!U$14*$AG248^2+WeightSDS!V$14*$AG248+WeightSDS!W$14),IF($AG248&lt;156,WeightSDS!O$17*$AG248^8+WeightSDS!P$17*$AG248^7+WeightSDS!Q$17*$AG248^6+WeightSDS!R$17*$AG248^5+WeightSDS!S$17*$AG248^4+WeightSDS!T$17*$AG248^3+WeightSDS!U$17*$AG248^2+WeightSDS!V$17*$AG248+WeightSDS!W$17,IF($AG248&lt;186,WeightSDS!$U$18+(WeightSDS!$V$18-WeightSDS!$U$18)/24*($AG248-186)+WeightSDS!$W$18*(-$AG248+186)^2-0.005,WeightSDS!$U$18+(WeightSDS!$V$18-WeightSDS!$U$18)/24*($AG248-186)-0.005)))</f>
        <v>0.14604529399999999</v>
      </c>
    </row>
    <row r="249" spans="1:37">
      <c r="A249" s="4"/>
      <c r="B249" s="21"/>
      <c r="C249" s="21"/>
      <c r="D249" s="21"/>
      <c r="E249" s="22"/>
      <c r="F249" s="22"/>
      <c r="G249" s="23"/>
      <c r="H249" s="23"/>
      <c r="I249" s="8" t="str">
        <f t="shared" si="50"/>
        <v/>
      </c>
      <c r="J249" s="2" t="str">
        <f t="shared" si="57"/>
        <v/>
      </c>
      <c r="K249" s="2" t="str">
        <f t="shared" si="51"/>
        <v/>
      </c>
      <c r="L249" s="2" t="str">
        <f t="shared" si="58"/>
        <v/>
      </c>
      <c r="M249" s="2" t="str">
        <f t="shared" si="63"/>
        <v/>
      </c>
      <c r="N249" s="2" t="str">
        <f t="shared" si="59"/>
        <v/>
      </c>
      <c r="O249" s="8" t="str">
        <f t="shared" si="60"/>
        <v/>
      </c>
      <c r="P249" s="8" t="str">
        <f t="shared" si="61"/>
        <v/>
      </c>
      <c r="Q249" s="40" t="str">
        <f t="shared" si="52"/>
        <v/>
      </c>
      <c r="R249" s="48" t="str">
        <f t="shared" si="62"/>
        <v/>
      </c>
      <c r="S249" s="8"/>
      <c r="U249" s="35">
        <f t="shared" si="53"/>
        <v>0</v>
      </c>
      <c r="V249" s="24">
        <f t="shared" si="54"/>
        <v>0</v>
      </c>
      <c r="W249" s="41">
        <f t="shared" si="65"/>
        <v>0</v>
      </c>
      <c r="X249" s="31"/>
      <c r="Y249" s="31"/>
      <c r="Z249" s="31"/>
      <c r="AA249" s="25">
        <f t="shared" si="55"/>
        <v>9.0359999999999996</v>
      </c>
      <c r="AB249" s="25">
        <f t="shared" si="56"/>
        <v>-184.49199999999999</v>
      </c>
      <c r="AD249" s="24">
        <f>IF(D249="M",IF(AG249&lt;78,BMILMS!$D$5*AG249^3+BMILMS!$E$5*AG249^2+BMILMS!$F$5*AG249+BMILMS!$G$5,IF(AG249&lt;150,BMILMS!$D$6*AG249^3+BMILMS!$E$6*AG249^2+BMILMS!$F$6*AG249+BMILMS!$G$6,BMILMS!$D$7*AG249^3+BMILMS!$E$7*AG249^2+BMILMS!$F$7*AG249+BMILMS!$G$7)),IF(AG249&lt;69,BMILMS!$D$9*AG249^3+BMILMS!$E$9*AG249^2+BMILMS!$F$9*AG249+BMILMS!$G$9,IF(AG249&lt;150,BMILMS!$D$10*AG249^3+BMILMS!$E$10*AG249^2+BMILMS!$F$10*AG249+BMILMS!$G$10,BMILMS!$D$11*AG249^3+BMILMS!$E$11*AG249^2+BMILMS!$F$11*AG249+BMILMS!$G$11)))</f>
        <v>0.79584630099999998</v>
      </c>
      <c r="AE249" s="24">
        <f>IF(D249="M",(IF(AG249&lt;2.5,BMILMS!$D$21*AG249^3+BMILMS!$E$21*AG249^2+BMILMS!$F$21*AG249+BMILMS!$G$21,IF(AG249&lt;9.5,BMILMS!$D$22*AG249^3+BMILMS!$E$22*AG249^2+BMILMS!$F$22*AG249+BMILMS!$G$22,IF(AG249&lt;26.75,BMILMS!$D$23*AG249^3+BMILMS!$E$23*AG249^2+BMILMS!$F$23*AG249+BMILMS!$G$23,IF(AG249&lt;90,BMILMS!$D$24*AG249^3+BMILMS!$E$24*AG249^2+BMILMS!$F$24*AG249+BMILMS!$G$24,BMILMS!$D$25*AG249^3+BMILMS!$E$25*AG249^2+BMILMS!$F$25*AG249+BMILMS!$G$25))))),(IF(AG249&lt;2.5,BMILMS!$D$27*AG249^3+BMILMS!$E$27*AG249^2+BMILMS!$F$27*AG249+BMILMS!$G$27,IF(AG249&lt;9.5,BMILMS!$D$28*AG249^3+BMILMS!$E$28*AG249^2+BMILMS!$F$28*AG249+BMILMS!$G$28,IF(AG249&lt;26.75,BMILMS!$D$29*AG249^3+BMILMS!$E$29*AG249^2+BMILMS!$F$29*AG249+BMILMS!$G$29,IF(AG249&lt;90,BMILMS!$D$30*AG249^3+BMILMS!$E$30*AG249^2+BMILMS!$F$30*AG249+BMILMS!$G$30,IF(AG249&lt;150,BMILMS!$D$31*AG249^3+BMILMS!$E$31*AG249^2+BMILMS!$F$31*AG249+BMILMS!$G$31,BMILMS!$D$32*AG249^3+BMILMS!$E$32*AG249^2+BMILMS!$F$32*AG249+BMILMS!$G$32)))))))</f>
        <v>12.568967990000001</v>
      </c>
      <c r="AF249" s="24">
        <f>IF(D249="M",(IF(AG249&lt;90,BMILMS!$D$14*AG249^3+BMILMS!$E$14*AG249^2+BMILMS!$F$14*AG249+BMILMS!$G$14,BMILMS!$D$15*AG249^3+BMILMS!$E$15*AG249^2+BMILMS!$F$15*AG249+BMILMS!$G$15)),(IF(AG249&lt;90,BMILMS!$D$17*AG249^3+BMILMS!$E$17*AG249^2+BMILMS!$F$17*AG249+BMILMS!$G$17,BMILMS!$D$18*AG249^3+BMILMS!$E$18*AG249^2+BMILMS!$F$18*AG249+BMILMS!$G$18)))</f>
        <v>8.8969350000000003E-2</v>
      </c>
      <c r="AG249" s="24">
        <f t="shared" si="64"/>
        <v>0</v>
      </c>
      <c r="AI249" s="38">
        <f>IF(D249="M",WeightSDS!P$5*$AG249^7+WeightSDS!Q$5*$AG249^6+WeightSDS!R$5*$AG249^5+WeightSDS!S$5*$AG249^4+WeightSDS!T$5*$AG249^3+WeightSDS!U$5*$AG249^2+WeightSDS!V$5*$AG249+WeightSDS!W$5,IF($AG249&lt;186,WeightSDS!P$8*$AG249^7+WeightSDS!Q$8*$AG249^6+WeightSDS!R$8*$AG249^5+WeightSDS!S$8*$AG249^4+WeightSDS!T$8*$AG249^3+WeightSDS!U$8*$AG249^2+WeightSDS!V$8*$AG249+WeightSDS!W$8,WeightSDS!$U$9-WeightSDS!$V$9*($AG249-WeightSDS!$W$9)))</f>
        <v>0.75407122999999998</v>
      </c>
      <c r="AJ249" s="24">
        <f>IF(D249="M",IF($AG249&lt;45,WeightSDS!M$23*$AG249^10+WeightSDS!N$23*$AG249^9+WeightSDS!O$23*$AG249^8+WeightSDS!P$23*$AG249^7+WeightSDS!Q$23*$AG249^6+WeightSDS!R$23*$AG249^5+WeightSDS!S$23*$AG249^4+WeightSDS!T$23*$AG249^3+WeightSDS!U$23*$AG249^2+WeightSDS!V$23*$AG249+WeightSDS!W$23,IF($AG249&lt;153,WeightSDS!M$25*$AG249^10+WeightSDS!N$25*$AG249^9+WeightSDS!O$25*$AG249^8+WeightSDS!P$25*$AG249^7+WeightSDS!Q$25*$AG249^6+WeightSDS!R$25*$AG249^5+WeightSDS!S$25*$AG249^4+WeightSDS!T$25*$AG249^3+WeightSDS!U$25*$AG249^2+WeightSDS!V$25*$AG249+WeightSDS!W$25,WeightSDS!M$27+WeightSDS!N$27/(1+EXP(WeightSDS!O$27+WeightSDS!P$27*$AG249)))),IF($AG249&lt;43.8,WeightSDS!M$29*$AG249^10+WeightSDS!N$29*$AG249^9+WeightSDS!O$29*$AG249^8+WeightSDS!P$29*$AG249^7+WeightSDS!Q$29*$AG249^6+WeightSDS!R$29*$AG249^5+WeightSDS!S$29*$AG249^4+WeightSDS!T$29*$AG249^3+WeightSDS!U$29*$AG249^2+WeightSDS!V$29*$AG249+WeightSDS!W$29-0.010431*(1-$AG249/210),IF($AG249&lt;123,WeightSDS!M$30*$AG249^10+WeightSDS!N$30*$AG249^9+WeightSDS!O$30*$AG249^8+WeightSDS!P$30*$AG249^7+WeightSDS!Q$30*$AG249^6+WeightSDS!R$30*$AG249^5+WeightSDS!S$30*$AG249^4+WeightSDS!T$30*$AG249^3+WeightSDS!U$30*$AG249^2+WeightSDS!V$30*$AG249+WeightSDS!W$30-0.010431*(1-1/$AG249),WeightSDS!M$32+WeightSDS!N$32/(1+EXP(WeightSDS!O$32+WeightSDS!P$32*$AG249))-0.010431*(1-$AG249/210))))</f>
        <v>2.9500001032655536</v>
      </c>
      <c r="AK249" s="24">
        <f>IF(D249="M",IF($AG249&lt;162,WeightSDS!P$12*$AG249^7+WeightSDS!Q$12*$AG249^6+WeightSDS!R$12*$AG249^5+WeightSDS!S$12*$AG249^4+WeightSDS!T$12*$AG249^3+WeightSDS!U$12*$AG249^2+WeightSDS!V$12*$AG249+WeightSDS!W$12,WeightSDS!P$14*$AG249^7+WeightSDS!Q$14*$AG249^6+WeightSDS!R$14*$AG249^5+WeightSDS!S$14*$AG249^4+WeightSDS!T$14*$AG249^3+WeightSDS!U$14*$AG249^2+WeightSDS!V$14*$AG249+WeightSDS!W$14),IF($AG249&lt;156,WeightSDS!O$17*$AG249^8+WeightSDS!P$17*$AG249^7+WeightSDS!Q$17*$AG249^6+WeightSDS!R$17*$AG249^5+WeightSDS!S$17*$AG249^4+WeightSDS!T$17*$AG249^3+WeightSDS!U$17*$AG249^2+WeightSDS!V$17*$AG249+WeightSDS!W$17,IF($AG249&lt;186,WeightSDS!$U$18+(WeightSDS!$V$18-WeightSDS!$U$18)/24*($AG249-186)+WeightSDS!$W$18*(-$AG249+186)^2-0.005,WeightSDS!$U$18+(WeightSDS!$V$18-WeightSDS!$U$18)/24*($AG249-186)-0.005)))</f>
        <v>0.14604529399999999</v>
      </c>
    </row>
    <row r="250" spans="1:37">
      <c r="A250" s="4"/>
      <c r="B250" s="21"/>
      <c r="C250" s="21"/>
      <c r="D250" s="21"/>
      <c r="E250" s="22"/>
      <c r="F250" s="22"/>
      <c r="G250" s="23"/>
      <c r="H250" s="23"/>
      <c r="I250" s="8" t="str">
        <f t="shared" si="50"/>
        <v/>
      </c>
      <c r="J250" s="2" t="str">
        <f t="shared" si="57"/>
        <v/>
      </c>
      <c r="K250" s="2" t="str">
        <f t="shared" si="51"/>
        <v/>
      </c>
      <c r="L250" s="2" t="str">
        <f t="shared" si="58"/>
        <v/>
      </c>
      <c r="M250" s="2" t="str">
        <f t="shared" si="63"/>
        <v/>
      </c>
      <c r="N250" s="2" t="str">
        <f t="shared" si="59"/>
        <v/>
      </c>
      <c r="O250" s="8" t="str">
        <f t="shared" si="60"/>
        <v/>
      </c>
      <c r="P250" s="8" t="str">
        <f t="shared" si="61"/>
        <v/>
      </c>
      <c r="Q250" s="40" t="str">
        <f t="shared" si="52"/>
        <v/>
      </c>
      <c r="R250" s="48" t="str">
        <f t="shared" si="62"/>
        <v/>
      </c>
      <c r="S250" s="8"/>
      <c r="U250" s="35">
        <f t="shared" si="53"/>
        <v>0</v>
      </c>
      <c r="V250" s="24">
        <f t="shared" si="54"/>
        <v>0</v>
      </c>
      <c r="W250" s="41">
        <f t="shared" si="65"/>
        <v>0</v>
      </c>
      <c r="X250" s="31"/>
      <c r="Y250" s="31"/>
      <c r="Z250" s="31"/>
      <c r="AA250" s="25">
        <f t="shared" si="55"/>
        <v>9.0359999999999996</v>
      </c>
      <c r="AB250" s="25">
        <f t="shared" si="56"/>
        <v>-184.49199999999999</v>
      </c>
      <c r="AD250" s="24">
        <f>IF(D250="M",IF(AG250&lt;78,BMILMS!$D$5*AG250^3+BMILMS!$E$5*AG250^2+BMILMS!$F$5*AG250+BMILMS!$G$5,IF(AG250&lt;150,BMILMS!$D$6*AG250^3+BMILMS!$E$6*AG250^2+BMILMS!$F$6*AG250+BMILMS!$G$6,BMILMS!$D$7*AG250^3+BMILMS!$E$7*AG250^2+BMILMS!$F$7*AG250+BMILMS!$G$7)),IF(AG250&lt;69,BMILMS!$D$9*AG250^3+BMILMS!$E$9*AG250^2+BMILMS!$F$9*AG250+BMILMS!$G$9,IF(AG250&lt;150,BMILMS!$D$10*AG250^3+BMILMS!$E$10*AG250^2+BMILMS!$F$10*AG250+BMILMS!$G$10,BMILMS!$D$11*AG250^3+BMILMS!$E$11*AG250^2+BMILMS!$F$11*AG250+BMILMS!$G$11)))</f>
        <v>0.79584630099999998</v>
      </c>
      <c r="AE250" s="24">
        <f>IF(D250="M",(IF(AG250&lt;2.5,BMILMS!$D$21*AG250^3+BMILMS!$E$21*AG250^2+BMILMS!$F$21*AG250+BMILMS!$G$21,IF(AG250&lt;9.5,BMILMS!$D$22*AG250^3+BMILMS!$E$22*AG250^2+BMILMS!$F$22*AG250+BMILMS!$G$22,IF(AG250&lt;26.75,BMILMS!$D$23*AG250^3+BMILMS!$E$23*AG250^2+BMILMS!$F$23*AG250+BMILMS!$G$23,IF(AG250&lt;90,BMILMS!$D$24*AG250^3+BMILMS!$E$24*AG250^2+BMILMS!$F$24*AG250+BMILMS!$G$24,BMILMS!$D$25*AG250^3+BMILMS!$E$25*AG250^2+BMILMS!$F$25*AG250+BMILMS!$G$25))))),(IF(AG250&lt;2.5,BMILMS!$D$27*AG250^3+BMILMS!$E$27*AG250^2+BMILMS!$F$27*AG250+BMILMS!$G$27,IF(AG250&lt;9.5,BMILMS!$D$28*AG250^3+BMILMS!$E$28*AG250^2+BMILMS!$F$28*AG250+BMILMS!$G$28,IF(AG250&lt;26.75,BMILMS!$D$29*AG250^3+BMILMS!$E$29*AG250^2+BMILMS!$F$29*AG250+BMILMS!$G$29,IF(AG250&lt;90,BMILMS!$D$30*AG250^3+BMILMS!$E$30*AG250^2+BMILMS!$F$30*AG250+BMILMS!$G$30,IF(AG250&lt;150,BMILMS!$D$31*AG250^3+BMILMS!$E$31*AG250^2+BMILMS!$F$31*AG250+BMILMS!$G$31,BMILMS!$D$32*AG250^3+BMILMS!$E$32*AG250^2+BMILMS!$F$32*AG250+BMILMS!$G$32)))))))</f>
        <v>12.568967990000001</v>
      </c>
      <c r="AF250" s="24">
        <f>IF(D250="M",(IF(AG250&lt;90,BMILMS!$D$14*AG250^3+BMILMS!$E$14*AG250^2+BMILMS!$F$14*AG250+BMILMS!$G$14,BMILMS!$D$15*AG250^3+BMILMS!$E$15*AG250^2+BMILMS!$F$15*AG250+BMILMS!$G$15)),(IF(AG250&lt;90,BMILMS!$D$17*AG250^3+BMILMS!$E$17*AG250^2+BMILMS!$F$17*AG250+BMILMS!$G$17,BMILMS!$D$18*AG250^3+BMILMS!$E$18*AG250^2+BMILMS!$F$18*AG250+BMILMS!$G$18)))</f>
        <v>8.8969350000000003E-2</v>
      </c>
      <c r="AG250" s="24">
        <f t="shared" si="64"/>
        <v>0</v>
      </c>
      <c r="AI250" s="38">
        <f>IF(D250="M",WeightSDS!P$5*$AG250^7+WeightSDS!Q$5*$AG250^6+WeightSDS!R$5*$AG250^5+WeightSDS!S$5*$AG250^4+WeightSDS!T$5*$AG250^3+WeightSDS!U$5*$AG250^2+WeightSDS!V$5*$AG250+WeightSDS!W$5,IF($AG250&lt;186,WeightSDS!P$8*$AG250^7+WeightSDS!Q$8*$AG250^6+WeightSDS!R$8*$AG250^5+WeightSDS!S$8*$AG250^4+WeightSDS!T$8*$AG250^3+WeightSDS!U$8*$AG250^2+WeightSDS!V$8*$AG250+WeightSDS!W$8,WeightSDS!$U$9-WeightSDS!$V$9*($AG250-WeightSDS!$W$9)))</f>
        <v>0.75407122999999998</v>
      </c>
      <c r="AJ250" s="24">
        <f>IF(D250="M",IF($AG250&lt;45,WeightSDS!M$23*$AG250^10+WeightSDS!N$23*$AG250^9+WeightSDS!O$23*$AG250^8+WeightSDS!P$23*$AG250^7+WeightSDS!Q$23*$AG250^6+WeightSDS!R$23*$AG250^5+WeightSDS!S$23*$AG250^4+WeightSDS!T$23*$AG250^3+WeightSDS!U$23*$AG250^2+WeightSDS!V$23*$AG250+WeightSDS!W$23,IF($AG250&lt;153,WeightSDS!M$25*$AG250^10+WeightSDS!N$25*$AG250^9+WeightSDS!O$25*$AG250^8+WeightSDS!P$25*$AG250^7+WeightSDS!Q$25*$AG250^6+WeightSDS!R$25*$AG250^5+WeightSDS!S$25*$AG250^4+WeightSDS!T$25*$AG250^3+WeightSDS!U$25*$AG250^2+WeightSDS!V$25*$AG250+WeightSDS!W$25,WeightSDS!M$27+WeightSDS!N$27/(1+EXP(WeightSDS!O$27+WeightSDS!P$27*$AG250)))),IF($AG250&lt;43.8,WeightSDS!M$29*$AG250^10+WeightSDS!N$29*$AG250^9+WeightSDS!O$29*$AG250^8+WeightSDS!P$29*$AG250^7+WeightSDS!Q$29*$AG250^6+WeightSDS!R$29*$AG250^5+WeightSDS!S$29*$AG250^4+WeightSDS!T$29*$AG250^3+WeightSDS!U$29*$AG250^2+WeightSDS!V$29*$AG250+WeightSDS!W$29-0.010431*(1-$AG250/210),IF($AG250&lt;123,WeightSDS!M$30*$AG250^10+WeightSDS!N$30*$AG250^9+WeightSDS!O$30*$AG250^8+WeightSDS!P$30*$AG250^7+WeightSDS!Q$30*$AG250^6+WeightSDS!R$30*$AG250^5+WeightSDS!S$30*$AG250^4+WeightSDS!T$30*$AG250^3+WeightSDS!U$30*$AG250^2+WeightSDS!V$30*$AG250+WeightSDS!W$30-0.010431*(1-1/$AG250),WeightSDS!M$32+WeightSDS!N$32/(1+EXP(WeightSDS!O$32+WeightSDS!P$32*$AG250))-0.010431*(1-$AG250/210))))</f>
        <v>2.9500001032655536</v>
      </c>
      <c r="AK250" s="24">
        <f>IF(D250="M",IF($AG250&lt;162,WeightSDS!P$12*$AG250^7+WeightSDS!Q$12*$AG250^6+WeightSDS!R$12*$AG250^5+WeightSDS!S$12*$AG250^4+WeightSDS!T$12*$AG250^3+WeightSDS!U$12*$AG250^2+WeightSDS!V$12*$AG250+WeightSDS!W$12,WeightSDS!P$14*$AG250^7+WeightSDS!Q$14*$AG250^6+WeightSDS!R$14*$AG250^5+WeightSDS!S$14*$AG250^4+WeightSDS!T$14*$AG250^3+WeightSDS!U$14*$AG250^2+WeightSDS!V$14*$AG250+WeightSDS!W$14),IF($AG250&lt;156,WeightSDS!O$17*$AG250^8+WeightSDS!P$17*$AG250^7+WeightSDS!Q$17*$AG250^6+WeightSDS!R$17*$AG250^5+WeightSDS!S$17*$AG250^4+WeightSDS!T$17*$AG250^3+WeightSDS!U$17*$AG250^2+WeightSDS!V$17*$AG250+WeightSDS!W$17,IF($AG250&lt;186,WeightSDS!$U$18+(WeightSDS!$V$18-WeightSDS!$U$18)/24*($AG250-186)+WeightSDS!$W$18*(-$AG250+186)^2-0.005,WeightSDS!$U$18+(WeightSDS!$V$18-WeightSDS!$U$18)/24*($AG250-186)-0.005)))</f>
        <v>0.14604529399999999</v>
      </c>
    </row>
    <row r="251" spans="1:37">
      <c r="A251" s="4"/>
      <c r="B251" s="21"/>
      <c r="C251" s="21"/>
      <c r="D251" s="21"/>
      <c r="E251" s="22"/>
      <c r="F251" s="22"/>
      <c r="G251" s="23"/>
      <c r="H251" s="23"/>
      <c r="I251" s="8" t="str">
        <f t="shared" si="50"/>
        <v/>
      </c>
      <c r="J251" s="2" t="str">
        <f t="shared" si="57"/>
        <v/>
      </c>
      <c r="K251" s="2" t="str">
        <f t="shared" si="51"/>
        <v/>
      </c>
      <c r="L251" s="2" t="str">
        <f t="shared" si="58"/>
        <v/>
      </c>
      <c r="M251" s="2" t="str">
        <f t="shared" si="63"/>
        <v/>
      </c>
      <c r="N251" s="2" t="str">
        <f t="shared" si="59"/>
        <v/>
      </c>
      <c r="O251" s="8" t="str">
        <f t="shared" si="60"/>
        <v/>
      </c>
      <c r="P251" s="8" t="str">
        <f t="shared" si="61"/>
        <v/>
      </c>
      <c r="Q251" s="40" t="str">
        <f t="shared" si="52"/>
        <v/>
      </c>
      <c r="R251" s="48" t="str">
        <f t="shared" si="62"/>
        <v/>
      </c>
      <c r="S251" s="8"/>
      <c r="U251" s="35">
        <f t="shared" si="53"/>
        <v>0</v>
      </c>
      <c r="V251" s="24">
        <f t="shared" si="54"/>
        <v>0</v>
      </c>
      <c r="W251" s="41">
        <f t="shared" si="65"/>
        <v>0</v>
      </c>
      <c r="X251" s="31"/>
      <c r="Y251" s="31"/>
      <c r="Z251" s="31"/>
      <c r="AA251" s="25">
        <f t="shared" si="55"/>
        <v>9.0359999999999996</v>
      </c>
      <c r="AB251" s="25">
        <f t="shared" si="56"/>
        <v>-184.49199999999999</v>
      </c>
      <c r="AD251" s="24">
        <f>IF(D251="M",IF(AG251&lt;78,BMILMS!$D$5*AG251^3+BMILMS!$E$5*AG251^2+BMILMS!$F$5*AG251+BMILMS!$G$5,IF(AG251&lt;150,BMILMS!$D$6*AG251^3+BMILMS!$E$6*AG251^2+BMILMS!$F$6*AG251+BMILMS!$G$6,BMILMS!$D$7*AG251^3+BMILMS!$E$7*AG251^2+BMILMS!$F$7*AG251+BMILMS!$G$7)),IF(AG251&lt;69,BMILMS!$D$9*AG251^3+BMILMS!$E$9*AG251^2+BMILMS!$F$9*AG251+BMILMS!$G$9,IF(AG251&lt;150,BMILMS!$D$10*AG251^3+BMILMS!$E$10*AG251^2+BMILMS!$F$10*AG251+BMILMS!$G$10,BMILMS!$D$11*AG251^3+BMILMS!$E$11*AG251^2+BMILMS!$F$11*AG251+BMILMS!$G$11)))</f>
        <v>0.79584630099999998</v>
      </c>
      <c r="AE251" s="24">
        <f>IF(D251="M",(IF(AG251&lt;2.5,BMILMS!$D$21*AG251^3+BMILMS!$E$21*AG251^2+BMILMS!$F$21*AG251+BMILMS!$G$21,IF(AG251&lt;9.5,BMILMS!$D$22*AG251^3+BMILMS!$E$22*AG251^2+BMILMS!$F$22*AG251+BMILMS!$G$22,IF(AG251&lt;26.75,BMILMS!$D$23*AG251^3+BMILMS!$E$23*AG251^2+BMILMS!$F$23*AG251+BMILMS!$G$23,IF(AG251&lt;90,BMILMS!$D$24*AG251^3+BMILMS!$E$24*AG251^2+BMILMS!$F$24*AG251+BMILMS!$G$24,BMILMS!$D$25*AG251^3+BMILMS!$E$25*AG251^2+BMILMS!$F$25*AG251+BMILMS!$G$25))))),(IF(AG251&lt;2.5,BMILMS!$D$27*AG251^3+BMILMS!$E$27*AG251^2+BMILMS!$F$27*AG251+BMILMS!$G$27,IF(AG251&lt;9.5,BMILMS!$D$28*AG251^3+BMILMS!$E$28*AG251^2+BMILMS!$F$28*AG251+BMILMS!$G$28,IF(AG251&lt;26.75,BMILMS!$D$29*AG251^3+BMILMS!$E$29*AG251^2+BMILMS!$F$29*AG251+BMILMS!$G$29,IF(AG251&lt;90,BMILMS!$D$30*AG251^3+BMILMS!$E$30*AG251^2+BMILMS!$F$30*AG251+BMILMS!$G$30,IF(AG251&lt;150,BMILMS!$D$31*AG251^3+BMILMS!$E$31*AG251^2+BMILMS!$F$31*AG251+BMILMS!$G$31,BMILMS!$D$32*AG251^3+BMILMS!$E$32*AG251^2+BMILMS!$F$32*AG251+BMILMS!$G$32)))))))</f>
        <v>12.568967990000001</v>
      </c>
      <c r="AF251" s="24">
        <f>IF(D251="M",(IF(AG251&lt;90,BMILMS!$D$14*AG251^3+BMILMS!$E$14*AG251^2+BMILMS!$F$14*AG251+BMILMS!$G$14,BMILMS!$D$15*AG251^3+BMILMS!$E$15*AG251^2+BMILMS!$F$15*AG251+BMILMS!$G$15)),(IF(AG251&lt;90,BMILMS!$D$17*AG251^3+BMILMS!$E$17*AG251^2+BMILMS!$F$17*AG251+BMILMS!$G$17,BMILMS!$D$18*AG251^3+BMILMS!$E$18*AG251^2+BMILMS!$F$18*AG251+BMILMS!$G$18)))</f>
        <v>8.8969350000000003E-2</v>
      </c>
      <c r="AG251" s="24">
        <f t="shared" si="64"/>
        <v>0</v>
      </c>
      <c r="AI251" s="38">
        <f>IF(D251="M",WeightSDS!P$5*$AG251^7+WeightSDS!Q$5*$AG251^6+WeightSDS!R$5*$AG251^5+WeightSDS!S$5*$AG251^4+WeightSDS!T$5*$AG251^3+WeightSDS!U$5*$AG251^2+WeightSDS!V$5*$AG251+WeightSDS!W$5,IF($AG251&lt;186,WeightSDS!P$8*$AG251^7+WeightSDS!Q$8*$AG251^6+WeightSDS!R$8*$AG251^5+WeightSDS!S$8*$AG251^4+WeightSDS!T$8*$AG251^3+WeightSDS!U$8*$AG251^2+WeightSDS!V$8*$AG251+WeightSDS!W$8,WeightSDS!$U$9-WeightSDS!$V$9*($AG251-WeightSDS!$W$9)))</f>
        <v>0.75407122999999998</v>
      </c>
      <c r="AJ251" s="24">
        <f>IF(D251="M",IF($AG251&lt;45,WeightSDS!M$23*$AG251^10+WeightSDS!N$23*$AG251^9+WeightSDS!O$23*$AG251^8+WeightSDS!P$23*$AG251^7+WeightSDS!Q$23*$AG251^6+WeightSDS!R$23*$AG251^5+WeightSDS!S$23*$AG251^4+WeightSDS!T$23*$AG251^3+WeightSDS!U$23*$AG251^2+WeightSDS!V$23*$AG251+WeightSDS!W$23,IF($AG251&lt;153,WeightSDS!M$25*$AG251^10+WeightSDS!N$25*$AG251^9+WeightSDS!O$25*$AG251^8+WeightSDS!P$25*$AG251^7+WeightSDS!Q$25*$AG251^6+WeightSDS!R$25*$AG251^5+WeightSDS!S$25*$AG251^4+WeightSDS!T$25*$AG251^3+WeightSDS!U$25*$AG251^2+WeightSDS!V$25*$AG251+WeightSDS!W$25,WeightSDS!M$27+WeightSDS!N$27/(1+EXP(WeightSDS!O$27+WeightSDS!P$27*$AG251)))),IF($AG251&lt;43.8,WeightSDS!M$29*$AG251^10+WeightSDS!N$29*$AG251^9+WeightSDS!O$29*$AG251^8+WeightSDS!P$29*$AG251^7+WeightSDS!Q$29*$AG251^6+WeightSDS!R$29*$AG251^5+WeightSDS!S$29*$AG251^4+WeightSDS!T$29*$AG251^3+WeightSDS!U$29*$AG251^2+WeightSDS!V$29*$AG251+WeightSDS!W$29-0.010431*(1-$AG251/210),IF($AG251&lt;123,WeightSDS!M$30*$AG251^10+WeightSDS!N$30*$AG251^9+WeightSDS!O$30*$AG251^8+WeightSDS!P$30*$AG251^7+WeightSDS!Q$30*$AG251^6+WeightSDS!R$30*$AG251^5+WeightSDS!S$30*$AG251^4+WeightSDS!T$30*$AG251^3+WeightSDS!U$30*$AG251^2+WeightSDS!V$30*$AG251+WeightSDS!W$30-0.010431*(1-1/$AG251),WeightSDS!M$32+WeightSDS!N$32/(1+EXP(WeightSDS!O$32+WeightSDS!P$32*$AG251))-0.010431*(1-$AG251/210))))</f>
        <v>2.9500001032655536</v>
      </c>
      <c r="AK251" s="24">
        <f>IF(D251="M",IF($AG251&lt;162,WeightSDS!P$12*$AG251^7+WeightSDS!Q$12*$AG251^6+WeightSDS!R$12*$AG251^5+WeightSDS!S$12*$AG251^4+WeightSDS!T$12*$AG251^3+WeightSDS!U$12*$AG251^2+WeightSDS!V$12*$AG251+WeightSDS!W$12,WeightSDS!P$14*$AG251^7+WeightSDS!Q$14*$AG251^6+WeightSDS!R$14*$AG251^5+WeightSDS!S$14*$AG251^4+WeightSDS!T$14*$AG251^3+WeightSDS!U$14*$AG251^2+WeightSDS!V$14*$AG251+WeightSDS!W$14),IF($AG251&lt;156,WeightSDS!O$17*$AG251^8+WeightSDS!P$17*$AG251^7+WeightSDS!Q$17*$AG251^6+WeightSDS!R$17*$AG251^5+WeightSDS!S$17*$AG251^4+WeightSDS!T$17*$AG251^3+WeightSDS!U$17*$AG251^2+WeightSDS!V$17*$AG251+WeightSDS!W$17,IF($AG251&lt;186,WeightSDS!$U$18+(WeightSDS!$V$18-WeightSDS!$U$18)/24*($AG251-186)+WeightSDS!$W$18*(-$AG251+186)^2-0.005,WeightSDS!$U$18+(WeightSDS!$V$18-WeightSDS!$U$18)/24*($AG251-186)-0.005)))</f>
        <v>0.14604529399999999</v>
      </c>
    </row>
    <row r="252" spans="1:37">
      <c r="A252" s="4"/>
      <c r="B252" s="21"/>
      <c r="C252" s="21"/>
      <c r="D252" s="21"/>
      <c r="E252" s="22"/>
      <c r="F252" s="22"/>
      <c r="G252" s="23"/>
      <c r="H252" s="23"/>
      <c r="I252" s="8" t="str">
        <f t="shared" si="50"/>
        <v/>
      </c>
      <c r="J252" s="2" t="str">
        <f t="shared" si="57"/>
        <v/>
      </c>
      <c r="K252" s="2" t="str">
        <f t="shared" si="51"/>
        <v/>
      </c>
      <c r="L252" s="2" t="str">
        <f t="shared" si="58"/>
        <v/>
      </c>
      <c r="M252" s="2" t="str">
        <f t="shared" si="63"/>
        <v/>
      </c>
      <c r="N252" s="2" t="str">
        <f t="shared" si="59"/>
        <v/>
      </c>
      <c r="O252" s="8" t="str">
        <f t="shared" si="60"/>
        <v/>
      </c>
      <c r="P252" s="8" t="str">
        <f t="shared" si="61"/>
        <v/>
      </c>
      <c r="Q252" s="40" t="str">
        <f t="shared" si="52"/>
        <v/>
      </c>
      <c r="R252" s="48" t="str">
        <f t="shared" si="62"/>
        <v/>
      </c>
      <c r="S252" s="8"/>
      <c r="U252" s="35">
        <f t="shared" si="53"/>
        <v>0</v>
      </c>
      <c r="V252" s="24">
        <f t="shared" si="54"/>
        <v>0</v>
      </c>
      <c r="W252" s="41">
        <f t="shared" si="65"/>
        <v>0</v>
      </c>
      <c r="X252" s="31"/>
      <c r="Y252" s="31"/>
      <c r="Z252" s="31"/>
      <c r="AA252" s="25">
        <f t="shared" si="55"/>
        <v>9.0359999999999996</v>
      </c>
      <c r="AB252" s="25">
        <f t="shared" si="56"/>
        <v>-184.49199999999999</v>
      </c>
      <c r="AD252" s="24">
        <f>IF(D252="M",IF(AG252&lt;78,BMILMS!$D$5*AG252^3+BMILMS!$E$5*AG252^2+BMILMS!$F$5*AG252+BMILMS!$G$5,IF(AG252&lt;150,BMILMS!$D$6*AG252^3+BMILMS!$E$6*AG252^2+BMILMS!$F$6*AG252+BMILMS!$G$6,BMILMS!$D$7*AG252^3+BMILMS!$E$7*AG252^2+BMILMS!$F$7*AG252+BMILMS!$G$7)),IF(AG252&lt;69,BMILMS!$D$9*AG252^3+BMILMS!$E$9*AG252^2+BMILMS!$F$9*AG252+BMILMS!$G$9,IF(AG252&lt;150,BMILMS!$D$10*AG252^3+BMILMS!$E$10*AG252^2+BMILMS!$F$10*AG252+BMILMS!$G$10,BMILMS!$D$11*AG252^3+BMILMS!$E$11*AG252^2+BMILMS!$F$11*AG252+BMILMS!$G$11)))</f>
        <v>0.79584630099999998</v>
      </c>
      <c r="AE252" s="24">
        <f>IF(D252="M",(IF(AG252&lt;2.5,BMILMS!$D$21*AG252^3+BMILMS!$E$21*AG252^2+BMILMS!$F$21*AG252+BMILMS!$G$21,IF(AG252&lt;9.5,BMILMS!$D$22*AG252^3+BMILMS!$E$22*AG252^2+BMILMS!$F$22*AG252+BMILMS!$G$22,IF(AG252&lt;26.75,BMILMS!$D$23*AG252^3+BMILMS!$E$23*AG252^2+BMILMS!$F$23*AG252+BMILMS!$G$23,IF(AG252&lt;90,BMILMS!$D$24*AG252^3+BMILMS!$E$24*AG252^2+BMILMS!$F$24*AG252+BMILMS!$G$24,BMILMS!$D$25*AG252^3+BMILMS!$E$25*AG252^2+BMILMS!$F$25*AG252+BMILMS!$G$25))))),(IF(AG252&lt;2.5,BMILMS!$D$27*AG252^3+BMILMS!$E$27*AG252^2+BMILMS!$F$27*AG252+BMILMS!$G$27,IF(AG252&lt;9.5,BMILMS!$D$28*AG252^3+BMILMS!$E$28*AG252^2+BMILMS!$F$28*AG252+BMILMS!$G$28,IF(AG252&lt;26.75,BMILMS!$D$29*AG252^3+BMILMS!$E$29*AG252^2+BMILMS!$F$29*AG252+BMILMS!$G$29,IF(AG252&lt;90,BMILMS!$D$30*AG252^3+BMILMS!$E$30*AG252^2+BMILMS!$F$30*AG252+BMILMS!$G$30,IF(AG252&lt;150,BMILMS!$D$31*AG252^3+BMILMS!$E$31*AG252^2+BMILMS!$F$31*AG252+BMILMS!$G$31,BMILMS!$D$32*AG252^3+BMILMS!$E$32*AG252^2+BMILMS!$F$32*AG252+BMILMS!$G$32)))))))</f>
        <v>12.568967990000001</v>
      </c>
      <c r="AF252" s="24">
        <f>IF(D252="M",(IF(AG252&lt;90,BMILMS!$D$14*AG252^3+BMILMS!$E$14*AG252^2+BMILMS!$F$14*AG252+BMILMS!$G$14,BMILMS!$D$15*AG252^3+BMILMS!$E$15*AG252^2+BMILMS!$F$15*AG252+BMILMS!$G$15)),(IF(AG252&lt;90,BMILMS!$D$17*AG252^3+BMILMS!$E$17*AG252^2+BMILMS!$F$17*AG252+BMILMS!$G$17,BMILMS!$D$18*AG252^3+BMILMS!$E$18*AG252^2+BMILMS!$F$18*AG252+BMILMS!$G$18)))</f>
        <v>8.8969350000000003E-2</v>
      </c>
      <c r="AG252" s="24">
        <f t="shared" si="64"/>
        <v>0</v>
      </c>
      <c r="AI252" s="38">
        <f>IF(D252="M",WeightSDS!P$5*$AG252^7+WeightSDS!Q$5*$AG252^6+WeightSDS!R$5*$AG252^5+WeightSDS!S$5*$AG252^4+WeightSDS!T$5*$AG252^3+WeightSDS!U$5*$AG252^2+WeightSDS!V$5*$AG252+WeightSDS!W$5,IF($AG252&lt;186,WeightSDS!P$8*$AG252^7+WeightSDS!Q$8*$AG252^6+WeightSDS!R$8*$AG252^5+WeightSDS!S$8*$AG252^4+WeightSDS!T$8*$AG252^3+WeightSDS!U$8*$AG252^2+WeightSDS!V$8*$AG252+WeightSDS!W$8,WeightSDS!$U$9-WeightSDS!$V$9*($AG252-WeightSDS!$W$9)))</f>
        <v>0.75407122999999998</v>
      </c>
      <c r="AJ252" s="24">
        <f>IF(D252="M",IF($AG252&lt;45,WeightSDS!M$23*$AG252^10+WeightSDS!N$23*$AG252^9+WeightSDS!O$23*$AG252^8+WeightSDS!P$23*$AG252^7+WeightSDS!Q$23*$AG252^6+WeightSDS!R$23*$AG252^5+WeightSDS!S$23*$AG252^4+WeightSDS!T$23*$AG252^3+WeightSDS!U$23*$AG252^2+WeightSDS!V$23*$AG252+WeightSDS!W$23,IF($AG252&lt;153,WeightSDS!M$25*$AG252^10+WeightSDS!N$25*$AG252^9+WeightSDS!O$25*$AG252^8+WeightSDS!P$25*$AG252^7+WeightSDS!Q$25*$AG252^6+WeightSDS!R$25*$AG252^5+WeightSDS!S$25*$AG252^4+WeightSDS!T$25*$AG252^3+WeightSDS!U$25*$AG252^2+WeightSDS!V$25*$AG252+WeightSDS!W$25,WeightSDS!M$27+WeightSDS!N$27/(1+EXP(WeightSDS!O$27+WeightSDS!P$27*$AG252)))),IF($AG252&lt;43.8,WeightSDS!M$29*$AG252^10+WeightSDS!N$29*$AG252^9+WeightSDS!O$29*$AG252^8+WeightSDS!P$29*$AG252^7+WeightSDS!Q$29*$AG252^6+WeightSDS!R$29*$AG252^5+WeightSDS!S$29*$AG252^4+WeightSDS!T$29*$AG252^3+WeightSDS!U$29*$AG252^2+WeightSDS!V$29*$AG252+WeightSDS!W$29-0.010431*(1-$AG252/210),IF($AG252&lt;123,WeightSDS!M$30*$AG252^10+WeightSDS!N$30*$AG252^9+WeightSDS!O$30*$AG252^8+WeightSDS!P$30*$AG252^7+WeightSDS!Q$30*$AG252^6+WeightSDS!R$30*$AG252^5+WeightSDS!S$30*$AG252^4+WeightSDS!T$30*$AG252^3+WeightSDS!U$30*$AG252^2+WeightSDS!V$30*$AG252+WeightSDS!W$30-0.010431*(1-1/$AG252),WeightSDS!M$32+WeightSDS!N$32/(1+EXP(WeightSDS!O$32+WeightSDS!P$32*$AG252))-0.010431*(1-$AG252/210))))</f>
        <v>2.9500001032655536</v>
      </c>
      <c r="AK252" s="24">
        <f>IF(D252="M",IF($AG252&lt;162,WeightSDS!P$12*$AG252^7+WeightSDS!Q$12*$AG252^6+WeightSDS!R$12*$AG252^5+WeightSDS!S$12*$AG252^4+WeightSDS!T$12*$AG252^3+WeightSDS!U$12*$AG252^2+WeightSDS!V$12*$AG252+WeightSDS!W$12,WeightSDS!P$14*$AG252^7+WeightSDS!Q$14*$AG252^6+WeightSDS!R$14*$AG252^5+WeightSDS!S$14*$AG252^4+WeightSDS!T$14*$AG252^3+WeightSDS!U$14*$AG252^2+WeightSDS!V$14*$AG252+WeightSDS!W$14),IF($AG252&lt;156,WeightSDS!O$17*$AG252^8+WeightSDS!P$17*$AG252^7+WeightSDS!Q$17*$AG252^6+WeightSDS!R$17*$AG252^5+WeightSDS!S$17*$AG252^4+WeightSDS!T$17*$AG252^3+WeightSDS!U$17*$AG252^2+WeightSDS!V$17*$AG252+WeightSDS!W$17,IF($AG252&lt;186,WeightSDS!$U$18+(WeightSDS!$V$18-WeightSDS!$U$18)/24*($AG252-186)+WeightSDS!$W$18*(-$AG252+186)^2-0.005,WeightSDS!$U$18+(WeightSDS!$V$18-WeightSDS!$U$18)/24*($AG252-186)-0.005)))</f>
        <v>0.14604529399999999</v>
      </c>
    </row>
    <row r="253" spans="1:37">
      <c r="A253" s="4"/>
      <c r="B253" s="21"/>
      <c r="C253" s="21"/>
      <c r="D253" s="21"/>
      <c r="E253" s="22"/>
      <c r="F253" s="22"/>
      <c r="G253" s="23"/>
      <c r="H253" s="23"/>
      <c r="I253" s="8" t="str">
        <f t="shared" si="50"/>
        <v/>
      </c>
      <c r="J253" s="2" t="str">
        <f t="shared" si="57"/>
        <v/>
      </c>
      <c r="K253" s="2" t="str">
        <f t="shared" si="51"/>
        <v/>
      </c>
      <c r="L253" s="2" t="str">
        <f t="shared" si="58"/>
        <v/>
      </c>
      <c r="M253" s="2" t="str">
        <f t="shared" si="63"/>
        <v/>
      </c>
      <c r="N253" s="2" t="str">
        <f t="shared" si="59"/>
        <v/>
      </c>
      <c r="O253" s="8" t="str">
        <f t="shared" si="60"/>
        <v/>
      </c>
      <c r="P253" s="8" t="str">
        <f t="shared" si="61"/>
        <v/>
      </c>
      <c r="Q253" s="40" t="str">
        <f t="shared" si="52"/>
        <v/>
      </c>
      <c r="R253" s="48" t="str">
        <f t="shared" si="62"/>
        <v/>
      </c>
      <c r="S253" s="8"/>
      <c r="U253" s="35">
        <f t="shared" si="53"/>
        <v>0</v>
      </c>
      <c r="V253" s="24">
        <f t="shared" si="54"/>
        <v>0</v>
      </c>
      <c r="W253" s="41">
        <f t="shared" si="65"/>
        <v>0</v>
      </c>
      <c r="X253" s="31"/>
      <c r="Y253" s="31"/>
      <c r="Z253" s="31"/>
      <c r="AA253" s="25">
        <f t="shared" si="55"/>
        <v>9.0359999999999996</v>
      </c>
      <c r="AB253" s="25">
        <f t="shared" si="56"/>
        <v>-184.49199999999999</v>
      </c>
      <c r="AD253" s="24">
        <f>IF(D253="M",IF(AG253&lt;78,BMILMS!$D$5*AG253^3+BMILMS!$E$5*AG253^2+BMILMS!$F$5*AG253+BMILMS!$G$5,IF(AG253&lt;150,BMILMS!$D$6*AG253^3+BMILMS!$E$6*AG253^2+BMILMS!$F$6*AG253+BMILMS!$G$6,BMILMS!$D$7*AG253^3+BMILMS!$E$7*AG253^2+BMILMS!$F$7*AG253+BMILMS!$G$7)),IF(AG253&lt;69,BMILMS!$D$9*AG253^3+BMILMS!$E$9*AG253^2+BMILMS!$F$9*AG253+BMILMS!$G$9,IF(AG253&lt;150,BMILMS!$D$10*AG253^3+BMILMS!$E$10*AG253^2+BMILMS!$F$10*AG253+BMILMS!$G$10,BMILMS!$D$11*AG253^3+BMILMS!$E$11*AG253^2+BMILMS!$F$11*AG253+BMILMS!$G$11)))</f>
        <v>0.79584630099999998</v>
      </c>
      <c r="AE253" s="24">
        <f>IF(D253="M",(IF(AG253&lt;2.5,BMILMS!$D$21*AG253^3+BMILMS!$E$21*AG253^2+BMILMS!$F$21*AG253+BMILMS!$G$21,IF(AG253&lt;9.5,BMILMS!$D$22*AG253^3+BMILMS!$E$22*AG253^2+BMILMS!$F$22*AG253+BMILMS!$G$22,IF(AG253&lt;26.75,BMILMS!$D$23*AG253^3+BMILMS!$E$23*AG253^2+BMILMS!$F$23*AG253+BMILMS!$G$23,IF(AG253&lt;90,BMILMS!$D$24*AG253^3+BMILMS!$E$24*AG253^2+BMILMS!$F$24*AG253+BMILMS!$G$24,BMILMS!$D$25*AG253^3+BMILMS!$E$25*AG253^2+BMILMS!$F$25*AG253+BMILMS!$G$25))))),(IF(AG253&lt;2.5,BMILMS!$D$27*AG253^3+BMILMS!$E$27*AG253^2+BMILMS!$F$27*AG253+BMILMS!$G$27,IF(AG253&lt;9.5,BMILMS!$D$28*AG253^3+BMILMS!$E$28*AG253^2+BMILMS!$F$28*AG253+BMILMS!$G$28,IF(AG253&lt;26.75,BMILMS!$D$29*AG253^3+BMILMS!$E$29*AG253^2+BMILMS!$F$29*AG253+BMILMS!$G$29,IF(AG253&lt;90,BMILMS!$D$30*AG253^3+BMILMS!$E$30*AG253^2+BMILMS!$F$30*AG253+BMILMS!$G$30,IF(AG253&lt;150,BMILMS!$D$31*AG253^3+BMILMS!$E$31*AG253^2+BMILMS!$F$31*AG253+BMILMS!$G$31,BMILMS!$D$32*AG253^3+BMILMS!$E$32*AG253^2+BMILMS!$F$32*AG253+BMILMS!$G$32)))))))</f>
        <v>12.568967990000001</v>
      </c>
      <c r="AF253" s="24">
        <f>IF(D253="M",(IF(AG253&lt;90,BMILMS!$D$14*AG253^3+BMILMS!$E$14*AG253^2+BMILMS!$F$14*AG253+BMILMS!$G$14,BMILMS!$D$15*AG253^3+BMILMS!$E$15*AG253^2+BMILMS!$F$15*AG253+BMILMS!$G$15)),(IF(AG253&lt;90,BMILMS!$D$17*AG253^3+BMILMS!$E$17*AG253^2+BMILMS!$F$17*AG253+BMILMS!$G$17,BMILMS!$D$18*AG253^3+BMILMS!$E$18*AG253^2+BMILMS!$F$18*AG253+BMILMS!$G$18)))</f>
        <v>8.8969350000000003E-2</v>
      </c>
      <c r="AG253" s="24">
        <f t="shared" si="64"/>
        <v>0</v>
      </c>
      <c r="AI253" s="38">
        <f>IF(D253="M",WeightSDS!P$5*$AG253^7+WeightSDS!Q$5*$AG253^6+WeightSDS!R$5*$AG253^5+WeightSDS!S$5*$AG253^4+WeightSDS!T$5*$AG253^3+WeightSDS!U$5*$AG253^2+WeightSDS!V$5*$AG253+WeightSDS!W$5,IF($AG253&lt;186,WeightSDS!P$8*$AG253^7+WeightSDS!Q$8*$AG253^6+WeightSDS!R$8*$AG253^5+WeightSDS!S$8*$AG253^4+WeightSDS!T$8*$AG253^3+WeightSDS!U$8*$AG253^2+WeightSDS!V$8*$AG253+WeightSDS!W$8,WeightSDS!$U$9-WeightSDS!$V$9*($AG253-WeightSDS!$W$9)))</f>
        <v>0.75407122999999998</v>
      </c>
      <c r="AJ253" s="24">
        <f>IF(D253="M",IF($AG253&lt;45,WeightSDS!M$23*$AG253^10+WeightSDS!N$23*$AG253^9+WeightSDS!O$23*$AG253^8+WeightSDS!P$23*$AG253^7+WeightSDS!Q$23*$AG253^6+WeightSDS!R$23*$AG253^5+WeightSDS!S$23*$AG253^4+WeightSDS!T$23*$AG253^3+WeightSDS!U$23*$AG253^2+WeightSDS!V$23*$AG253+WeightSDS!W$23,IF($AG253&lt;153,WeightSDS!M$25*$AG253^10+WeightSDS!N$25*$AG253^9+WeightSDS!O$25*$AG253^8+WeightSDS!P$25*$AG253^7+WeightSDS!Q$25*$AG253^6+WeightSDS!R$25*$AG253^5+WeightSDS!S$25*$AG253^4+WeightSDS!T$25*$AG253^3+WeightSDS!U$25*$AG253^2+WeightSDS!V$25*$AG253+WeightSDS!W$25,WeightSDS!M$27+WeightSDS!N$27/(1+EXP(WeightSDS!O$27+WeightSDS!P$27*$AG253)))),IF($AG253&lt;43.8,WeightSDS!M$29*$AG253^10+WeightSDS!N$29*$AG253^9+WeightSDS!O$29*$AG253^8+WeightSDS!P$29*$AG253^7+WeightSDS!Q$29*$AG253^6+WeightSDS!R$29*$AG253^5+WeightSDS!S$29*$AG253^4+WeightSDS!T$29*$AG253^3+WeightSDS!U$29*$AG253^2+WeightSDS!V$29*$AG253+WeightSDS!W$29-0.010431*(1-$AG253/210),IF($AG253&lt;123,WeightSDS!M$30*$AG253^10+WeightSDS!N$30*$AG253^9+WeightSDS!O$30*$AG253^8+WeightSDS!P$30*$AG253^7+WeightSDS!Q$30*$AG253^6+WeightSDS!R$30*$AG253^5+WeightSDS!S$30*$AG253^4+WeightSDS!T$30*$AG253^3+WeightSDS!U$30*$AG253^2+WeightSDS!V$30*$AG253+WeightSDS!W$30-0.010431*(1-1/$AG253),WeightSDS!M$32+WeightSDS!N$32/(1+EXP(WeightSDS!O$32+WeightSDS!P$32*$AG253))-0.010431*(1-$AG253/210))))</f>
        <v>2.9500001032655536</v>
      </c>
      <c r="AK253" s="24">
        <f>IF(D253="M",IF($AG253&lt;162,WeightSDS!P$12*$AG253^7+WeightSDS!Q$12*$AG253^6+WeightSDS!R$12*$AG253^5+WeightSDS!S$12*$AG253^4+WeightSDS!T$12*$AG253^3+WeightSDS!U$12*$AG253^2+WeightSDS!V$12*$AG253+WeightSDS!W$12,WeightSDS!P$14*$AG253^7+WeightSDS!Q$14*$AG253^6+WeightSDS!R$14*$AG253^5+WeightSDS!S$14*$AG253^4+WeightSDS!T$14*$AG253^3+WeightSDS!U$14*$AG253^2+WeightSDS!V$14*$AG253+WeightSDS!W$14),IF($AG253&lt;156,WeightSDS!O$17*$AG253^8+WeightSDS!P$17*$AG253^7+WeightSDS!Q$17*$AG253^6+WeightSDS!R$17*$AG253^5+WeightSDS!S$17*$AG253^4+WeightSDS!T$17*$AG253^3+WeightSDS!U$17*$AG253^2+WeightSDS!V$17*$AG253+WeightSDS!W$17,IF($AG253&lt;186,WeightSDS!$U$18+(WeightSDS!$V$18-WeightSDS!$U$18)/24*($AG253-186)+WeightSDS!$W$18*(-$AG253+186)^2-0.005,WeightSDS!$U$18+(WeightSDS!$V$18-WeightSDS!$U$18)/24*($AG253-186)-0.005)))</f>
        <v>0.14604529399999999</v>
      </c>
    </row>
    <row r="254" spans="1:37">
      <c r="A254" s="4"/>
      <c r="B254" s="21"/>
      <c r="C254" s="21"/>
      <c r="D254" s="21"/>
      <c r="E254" s="22"/>
      <c r="F254" s="22"/>
      <c r="G254" s="23"/>
      <c r="H254" s="23"/>
      <c r="I254" s="8" t="str">
        <f t="shared" si="50"/>
        <v/>
      </c>
      <c r="J254" s="2" t="str">
        <f t="shared" si="57"/>
        <v/>
      </c>
      <c r="K254" s="2" t="str">
        <f t="shared" si="51"/>
        <v/>
      </c>
      <c r="L254" s="2" t="str">
        <f t="shared" si="58"/>
        <v/>
      </c>
      <c r="M254" s="2" t="str">
        <f t="shared" si="63"/>
        <v/>
      </c>
      <c r="N254" s="2" t="str">
        <f t="shared" si="59"/>
        <v/>
      </c>
      <c r="O254" s="8" t="str">
        <f t="shared" si="60"/>
        <v/>
      </c>
      <c r="P254" s="8" t="str">
        <f t="shared" si="61"/>
        <v/>
      </c>
      <c r="Q254" s="40" t="str">
        <f t="shared" si="52"/>
        <v/>
      </c>
      <c r="R254" s="48" t="str">
        <f t="shared" si="62"/>
        <v/>
      </c>
      <c r="S254" s="8"/>
      <c r="U254" s="35">
        <f t="shared" si="53"/>
        <v>0</v>
      </c>
      <c r="V254" s="24">
        <f t="shared" si="54"/>
        <v>0</v>
      </c>
      <c r="W254" s="41">
        <f t="shared" si="65"/>
        <v>0</v>
      </c>
      <c r="X254" s="31"/>
      <c r="Y254" s="31"/>
      <c r="Z254" s="31"/>
      <c r="AA254" s="25">
        <f t="shared" si="55"/>
        <v>9.0359999999999996</v>
      </c>
      <c r="AB254" s="25">
        <f t="shared" si="56"/>
        <v>-184.49199999999999</v>
      </c>
      <c r="AD254" s="24">
        <f>IF(D254="M",IF(AG254&lt;78,BMILMS!$D$5*AG254^3+BMILMS!$E$5*AG254^2+BMILMS!$F$5*AG254+BMILMS!$G$5,IF(AG254&lt;150,BMILMS!$D$6*AG254^3+BMILMS!$E$6*AG254^2+BMILMS!$F$6*AG254+BMILMS!$G$6,BMILMS!$D$7*AG254^3+BMILMS!$E$7*AG254^2+BMILMS!$F$7*AG254+BMILMS!$G$7)),IF(AG254&lt;69,BMILMS!$D$9*AG254^3+BMILMS!$E$9*AG254^2+BMILMS!$F$9*AG254+BMILMS!$G$9,IF(AG254&lt;150,BMILMS!$D$10*AG254^3+BMILMS!$E$10*AG254^2+BMILMS!$F$10*AG254+BMILMS!$G$10,BMILMS!$D$11*AG254^3+BMILMS!$E$11*AG254^2+BMILMS!$F$11*AG254+BMILMS!$G$11)))</f>
        <v>0.79584630099999998</v>
      </c>
      <c r="AE254" s="24">
        <f>IF(D254="M",(IF(AG254&lt;2.5,BMILMS!$D$21*AG254^3+BMILMS!$E$21*AG254^2+BMILMS!$F$21*AG254+BMILMS!$G$21,IF(AG254&lt;9.5,BMILMS!$D$22*AG254^3+BMILMS!$E$22*AG254^2+BMILMS!$F$22*AG254+BMILMS!$G$22,IF(AG254&lt;26.75,BMILMS!$D$23*AG254^3+BMILMS!$E$23*AG254^2+BMILMS!$F$23*AG254+BMILMS!$G$23,IF(AG254&lt;90,BMILMS!$D$24*AG254^3+BMILMS!$E$24*AG254^2+BMILMS!$F$24*AG254+BMILMS!$G$24,BMILMS!$D$25*AG254^3+BMILMS!$E$25*AG254^2+BMILMS!$F$25*AG254+BMILMS!$G$25))))),(IF(AG254&lt;2.5,BMILMS!$D$27*AG254^3+BMILMS!$E$27*AG254^2+BMILMS!$F$27*AG254+BMILMS!$G$27,IF(AG254&lt;9.5,BMILMS!$D$28*AG254^3+BMILMS!$E$28*AG254^2+BMILMS!$F$28*AG254+BMILMS!$G$28,IF(AG254&lt;26.75,BMILMS!$D$29*AG254^3+BMILMS!$E$29*AG254^2+BMILMS!$F$29*AG254+BMILMS!$G$29,IF(AG254&lt;90,BMILMS!$D$30*AG254^3+BMILMS!$E$30*AG254^2+BMILMS!$F$30*AG254+BMILMS!$G$30,IF(AG254&lt;150,BMILMS!$D$31*AG254^3+BMILMS!$E$31*AG254^2+BMILMS!$F$31*AG254+BMILMS!$G$31,BMILMS!$D$32*AG254^3+BMILMS!$E$32*AG254^2+BMILMS!$F$32*AG254+BMILMS!$G$32)))))))</f>
        <v>12.568967990000001</v>
      </c>
      <c r="AF254" s="24">
        <f>IF(D254="M",(IF(AG254&lt;90,BMILMS!$D$14*AG254^3+BMILMS!$E$14*AG254^2+BMILMS!$F$14*AG254+BMILMS!$G$14,BMILMS!$D$15*AG254^3+BMILMS!$E$15*AG254^2+BMILMS!$F$15*AG254+BMILMS!$G$15)),(IF(AG254&lt;90,BMILMS!$D$17*AG254^3+BMILMS!$E$17*AG254^2+BMILMS!$F$17*AG254+BMILMS!$G$17,BMILMS!$D$18*AG254^3+BMILMS!$E$18*AG254^2+BMILMS!$F$18*AG254+BMILMS!$G$18)))</f>
        <v>8.8969350000000003E-2</v>
      </c>
      <c r="AG254" s="24">
        <f t="shared" si="64"/>
        <v>0</v>
      </c>
      <c r="AI254" s="38">
        <f>IF(D254="M",WeightSDS!P$5*$AG254^7+WeightSDS!Q$5*$AG254^6+WeightSDS!R$5*$AG254^5+WeightSDS!S$5*$AG254^4+WeightSDS!T$5*$AG254^3+WeightSDS!U$5*$AG254^2+WeightSDS!V$5*$AG254+WeightSDS!W$5,IF($AG254&lt;186,WeightSDS!P$8*$AG254^7+WeightSDS!Q$8*$AG254^6+WeightSDS!R$8*$AG254^5+WeightSDS!S$8*$AG254^4+WeightSDS!T$8*$AG254^3+WeightSDS!U$8*$AG254^2+WeightSDS!V$8*$AG254+WeightSDS!W$8,WeightSDS!$U$9-WeightSDS!$V$9*($AG254-WeightSDS!$W$9)))</f>
        <v>0.75407122999999998</v>
      </c>
      <c r="AJ254" s="24">
        <f>IF(D254="M",IF($AG254&lt;45,WeightSDS!M$23*$AG254^10+WeightSDS!N$23*$AG254^9+WeightSDS!O$23*$AG254^8+WeightSDS!P$23*$AG254^7+WeightSDS!Q$23*$AG254^6+WeightSDS!R$23*$AG254^5+WeightSDS!S$23*$AG254^4+WeightSDS!T$23*$AG254^3+WeightSDS!U$23*$AG254^2+WeightSDS!V$23*$AG254+WeightSDS!W$23,IF($AG254&lt;153,WeightSDS!M$25*$AG254^10+WeightSDS!N$25*$AG254^9+WeightSDS!O$25*$AG254^8+WeightSDS!P$25*$AG254^7+WeightSDS!Q$25*$AG254^6+WeightSDS!R$25*$AG254^5+WeightSDS!S$25*$AG254^4+WeightSDS!T$25*$AG254^3+WeightSDS!U$25*$AG254^2+WeightSDS!V$25*$AG254+WeightSDS!W$25,WeightSDS!M$27+WeightSDS!N$27/(1+EXP(WeightSDS!O$27+WeightSDS!P$27*$AG254)))),IF($AG254&lt;43.8,WeightSDS!M$29*$AG254^10+WeightSDS!N$29*$AG254^9+WeightSDS!O$29*$AG254^8+WeightSDS!P$29*$AG254^7+WeightSDS!Q$29*$AG254^6+WeightSDS!R$29*$AG254^5+WeightSDS!S$29*$AG254^4+WeightSDS!T$29*$AG254^3+WeightSDS!U$29*$AG254^2+WeightSDS!V$29*$AG254+WeightSDS!W$29-0.010431*(1-$AG254/210),IF($AG254&lt;123,WeightSDS!M$30*$AG254^10+WeightSDS!N$30*$AG254^9+WeightSDS!O$30*$AG254^8+WeightSDS!P$30*$AG254^7+WeightSDS!Q$30*$AG254^6+WeightSDS!R$30*$AG254^5+WeightSDS!S$30*$AG254^4+WeightSDS!T$30*$AG254^3+WeightSDS!U$30*$AG254^2+WeightSDS!V$30*$AG254+WeightSDS!W$30-0.010431*(1-1/$AG254),WeightSDS!M$32+WeightSDS!N$32/(1+EXP(WeightSDS!O$32+WeightSDS!P$32*$AG254))-0.010431*(1-$AG254/210))))</f>
        <v>2.9500001032655536</v>
      </c>
      <c r="AK254" s="24">
        <f>IF(D254="M",IF($AG254&lt;162,WeightSDS!P$12*$AG254^7+WeightSDS!Q$12*$AG254^6+WeightSDS!R$12*$AG254^5+WeightSDS!S$12*$AG254^4+WeightSDS!T$12*$AG254^3+WeightSDS!U$12*$AG254^2+WeightSDS!V$12*$AG254+WeightSDS!W$12,WeightSDS!P$14*$AG254^7+WeightSDS!Q$14*$AG254^6+WeightSDS!R$14*$AG254^5+WeightSDS!S$14*$AG254^4+WeightSDS!T$14*$AG254^3+WeightSDS!U$14*$AG254^2+WeightSDS!V$14*$AG254+WeightSDS!W$14),IF($AG254&lt;156,WeightSDS!O$17*$AG254^8+WeightSDS!P$17*$AG254^7+WeightSDS!Q$17*$AG254^6+WeightSDS!R$17*$AG254^5+WeightSDS!S$17*$AG254^4+WeightSDS!T$17*$AG254^3+WeightSDS!U$17*$AG254^2+WeightSDS!V$17*$AG254+WeightSDS!W$17,IF($AG254&lt;186,WeightSDS!$U$18+(WeightSDS!$V$18-WeightSDS!$U$18)/24*($AG254-186)+WeightSDS!$W$18*(-$AG254+186)^2-0.005,WeightSDS!$U$18+(WeightSDS!$V$18-WeightSDS!$U$18)/24*($AG254-186)-0.005)))</f>
        <v>0.14604529399999999</v>
      </c>
    </row>
    <row r="255" spans="1:37">
      <c r="A255" s="4"/>
      <c r="B255" s="21"/>
      <c r="C255" s="21"/>
      <c r="D255" s="21"/>
      <c r="E255" s="22"/>
      <c r="F255" s="22"/>
      <c r="G255" s="23"/>
      <c r="H255" s="23"/>
      <c r="I255" s="8" t="str">
        <f t="shared" si="50"/>
        <v/>
      </c>
      <c r="J255" s="2" t="str">
        <f t="shared" si="57"/>
        <v/>
      </c>
      <c r="K255" s="2" t="str">
        <f t="shared" si="51"/>
        <v/>
      </c>
      <c r="L255" s="2" t="str">
        <f t="shared" si="58"/>
        <v/>
      </c>
      <c r="M255" s="2" t="str">
        <f t="shared" si="63"/>
        <v/>
      </c>
      <c r="N255" s="2" t="str">
        <f t="shared" si="59"/>
        <v/>
      </c>
      <c r="O255" s="8" t="str">
        <f t="shared" si="60"/>
        <v/>
      </c>
      <c r="P255" s="8" t="str">
        <f t="shared" si="61"/>
        <v/>
      </c>
      <c r="Q255" s="40" t="str">
        <f t="shared" si="52"/>
        <v/>
      </c>
      <c r="R255" s="48" t="str">
        <f t="shared" si="62"/>
        <v/>
      </c>
      <c r="S255" s="8"/>
      <c r="U255" s="35">
        <f t="shared" si="53"/>
        <v>0</v>
      </c>
      <c r="V255" s="24">
        <f t="shared" si="54"/>
        <v>0</v>
      </c>
      <c r="W255" s="41">
        <f t="shared" si="65"/>
        <v>0</v>
      </c>
      <c r="X255" s="31"/>
      <c r="Y255" s="31"/>
      <c r="Z255" s="31"/>
      <c r="AA255" s="25">
        <f t="shared" si="55"/>
        <v>9.0359999999999996</v>
      </c>
      <c r="AB255" s="25">
        <f t="shared" si="56"/>
        <v>-184.49199999999999</v>
      </c>
      <c r="AD255" s="24">
        <f>IF(D255="M",IF(AG255&lt;78,BMILMS!$D$5*AG255^3+BMILMS!$E$5*AG255^2+BMILMS!$F$5*AG255+BMILMS!$G$5,IF(AG255&lt;150,BMILMS!$D$6*AG255^3+BMILMS!$E$6*AG255^2+BMILMS!$F$6*AG255+BMILMS!$G$6,BMILMS!$D$7*AG255^3+BMILMS!$E$7*AG255^2+BMILMS!$F$7*AG255+BMILMS!$G$7)),IF(AG255&lt;69,BMILMS!$D$9*AG255^3+BMILMS!$E$9*AG255^2+BMILMS!$F$9*AG255+BMILMS!$G$9,IF(AG255&lt;150,BMILMS!$D$10*AG255^3+BMILMS!$E$10*AG255^2+BMILMS!$F$10*AG255+BMILMS!$G$10,BMILMS!$D$11*AG255^3+BMILMS!$E$11*AG255^2+BMILMS!$F$11*AG255+BMILMS!$G$11)))</f>
        <v>0.79584630099999998</v>
      </c>
      <c r="AE255" s="24">
        <f>IF(D255="M",(IF(AG255&lt;2.5,BMILMS!$D$21*AG255^3+BMILMS!$E$21*AG255^2+BMILMS!$F$21*AG255+BMILMS!$G$21,IF(AG255&lt;9.5,BMILMS!$D$22*AG255^3+BMILMS!$E$22*AG255^2+BMILMS!$F$22*AG255+BMILMS!$G$22,IF(AG255&lt;26.75,BMILMS!$D$23*AG255^3+BMILMS!$E$23*AG255^2+BMILMS!$F$23*AG255+BMILMS!$G$23,IF(AG255&lt;90,BMILMS!$D$24*AG255^3+BMILMS!$E$24*AG255^2+BMILMS!$F$24*AG255+BMILMS!$G$24,BMILMS!$D$25*AG255^3+BMILMS!$E$25*AG255^2+BMILMS!$F$25*AG255+BMILMS!$G$25))))),(IF(AG255&lt;2.5,BMILMS!$D$27*AG255^3+BMILMS!$E$27*AG255^2+BMILMS!$F$27*AG255+BMILMS!$G$27,IF(AG255&lt;9.5,BMILMS!$D$28*AG255^3+BMILMS!$E$28*AG255^2+BMILMS!$F$28*AG255+BMILMS!$G$28,IF(AG255&lt;26.75,BMILMS!$D$29*AG255^3+BMILMS!$E$29*AG255^2+BMILMS!$F$29*AG255+BMILMS!$G$29,IF(AG255&lt;90,BMILMS!$D$30*AG255^3+BMILMS!$E$30*AG255^2+BMILMS!$F$30*AG255+BMILMS!$G$30,IF(AG255&lt;150,BMILMS!$D$31*AG255^3+BMILMS!$E$31*AG255^2+BMILMS!$F$31*AG255+BMILMS!$G$31,BMILMS!$D$32*AG255^3+BMILMS!$E$32*AG255^2+BMILMS!$F$32*AG255+BMILMS!$G$32)))))))</f>
        <v>12.568967990000001</v>
      </c>
      <c r="AF255" s="24">
        <f>IF(D255="M",(IF(AG255&lt;90,BMILMS!$D$14*AG255^3+BMILMS!$E$14*AG255^2+BMILMS!$F$14*AG255+BMILMS!$G$14,BMILMS!$D$15*AG255^3+BMILMS!$E$15*AG255^2+BMILMS!$F$15*AG255+BMILMS!$G$15)),(IF(AG255&lt;90,BMILMS!$D$17*AG255^3+BMILMS!$E$17*AG255^2+BMILMS!$F$17*AG255+BMILMS!$G$17,BMILMS!$D$18*AG255^3+BMILMS!$E$18*AG255^2+BMILMS!$F$18*AG255+BMILMS!$G$18)))</f>
        <v>8.8969350000000003E-2</v>
      </c>
      <c r="AG255" s="24">
        <f t="shared" si="64"/>
        <v>0</v>
      </c>
      <c r="AI255" s="38">
        <f>IF(D255="M",WeightSDS!P$5*$AG255^7+WeightSDS!Q$5*$AG255^6+WeightSDS!R$5*$AG255^5+WeightSDS!S$5*$AG255^4+WeightSDS!T$5*$AG255^3+WeightSDS!U$5*$AG255^2+WeightSDS!V$5*$AG255+WeightSDS!W$5,IF($AG255&lt;186,WeightSDS!P$8*$AG255^7+WeightSDS!Q$8*$AG255^6+WeightSDS!R$8*$AG255^5+WeightSDS!S$8*$AG255^4+WeightSDS!T$8*$AG255^3+WeightSDS!U$8*$AG255^2+WeightSDS!V$8*$AG255+WeightSDS!W$8,WeightSDS!$U$9-WeightSDS!$V$9*($AG255-WeightSDS!$W$9)))</f>
        <v>0.75407122999999998</v>
      </c>
      <c r="AJ255" s="24">
        <f>IF(D255="M",IF($AG255&lt;45,WeightSDS!M$23*$AG255^10+WeightSDS!N$23*$AG255^9+WeightSDS!O$23*$AG255^8+WeightSDS!P$23*$AG255^7+WeightSDS!Q$23*$AG255^6+WeightSDS!R$23*$AG255^5+WeightSDS!S$23*$AG255^4+WeightSDS!T$23*$AG255^3+WeightSDS!U$23*$AG255^2+WeightSDS!V$23*$AG255+WeightSDS!W$23,IF($AG255&lt;153,WeightSDS!M$25*$AG255^10+WeightSDS!N$25*$AG255^9+WeightSDS!O$25*$AG255^8+WeightSDS!P$25*$AG255^7+WeightSDS!Q$25*$AG255^6+WeightSDS!R$25*$AG255^5+WeightSDS!S$25*$AG255^4+WeightSDS!T$25*$AG255^3+WeightSDS!U$25*$AG255^2+WeightSDS!V$25*$AG255+WeightSDS!W$25,WeightSDS!M$27+WeightSDS!N$27/(1+EXP(WeightSDS!O$27+WeightSDS!P$27*$AG255)))),IF($AG255&lt;43.8,WeightSDS!M$29*$AG255^10+WeightSDS!N$29*$AG255^9+WeightSDS!O$29*$AG255^8+WeightSDS!P$29*$AG255^7+WeightSDS!Q$29*$AG255^6+WeightSDS!R$29*$AG255^5+WeightSDS!S$29*$AG255^4+WeightSDS!T$29*$AG255^3+WeightSDS!U$29*$AG255^2+WeightSDS!V$29*$AG255+WeightSDS!W$29-0.010431*(1-$AG255/210),IF($AG255&lt;123,WeightSDS!M$30*$AG255^10+WeightSDS!N$30*$AG255^9+WeightSDS!O$30*$AG255^8+WeightSDS!P$30*$AG255^7+WeightSDS!Q$30*$AG255^6+WeightSDS!R$30*$AG255^5+WeightSDS!S$30*$AG255^4+WeightSDS!T$30*$AG255^3+WeightSDS!U$30*$AG255^2+WeightSDS!V$30*$AG255+WeightSDS!W$30-0.010431*(1-1/$AG255),WeightSDS!M$32+WeightSDS!N$32/(1+EXP(WeightSDS!O$32+WeightSDS!P$32*$AG255))-0.010431*(1-$AG255/210))))</f>
        <v>2.9500001032655536</v>
      </c>
      <c r="AK255" s="24">
        <f>IF(D255="M",IF($AG255&lt;162,WeightSDS!P$12*$AG255^7+WeightSDS!Q$12*$AG255^6+WeightSDS!R$12*$AG255^5+WeightSDS!S$12*$AG255^4+WeightSDS!T$12*$AG255^3+WeightSDS!U$12*$AG255^2+WeightSDS!V$12*$AG255+WeightSDS!W$12,WeightSDS!P$14*$AG255^7+WeightSDS!Q$14*$AG255^6+WeightSDS!R$14*$AG255^5+WeightSDS!S$14*$AG255^4+WeightSDS!T$14*$AG255^3+WeightSDS!U$14*$AG255^2+WeightSDS!V$14*$AG255+WeightSDS!W$14),IF($AG255&lt;156,WeightSDS!O$17*$AG255^8+WeightSDS!P$17*$AG255^7+WeightSDS!Q$17*$AG255^6+WeightSDS!R$17*$AG255^5+WeightSDS!S$17*$AG255^4+WeightSDS!T$17*$AG255^3+WeightSDS!U$17*$AG255^2+WeightSDS!V$17*$AG255+WeightSDS!W$17,IF($AG255&lt;186,WeightSDS!$U$18+(WeightSDS!$V$18-WeightSDS!$U$18)/24*($AG255-186)+WeightSDS!$W$18*(-$AG255+186)^2-0.005,WeightSDS!$U$18+(WeightSDS!$V$18-WeightSDS!$U$18)/24*($AG255-186)-0.005)))</f>
        <v>0.14604529399999999</v>
      </c>
    </row>
    <row r="256" spans="1:37">
      <c r="A256" s="4"/>
      <c r="B256" s="21"/>
      <c r="C256" s="21"/>
      <c r="D256" s="21"/>
      <c r="E256" s="22"/>
      <c r="F256" s="22"/>
      <c r="G256" s="23"/>
      <c r="H256" s="23"/>
      <c r="I256" s="8" t="str">
        <f t="shared" si="50"/>
        <v/>
      </c>
      <c r="J256" s="2" t="str">
        <f t="shared" si="57"/>
        <v/>
      </c>
      <c r="K256" s="2" t="str">
        <f t="shared" si="51"/>
        <v/>
      </c>
      <c r="L256" s="2" t="str">
        <f t="shared" si="58"/>
        <v/>
      </c>
      <c r="M256" s="2" t="str">
        <f t="shared" si="63"/>
        <v/>
      </c>
      <c r="N256" s="2" t="str">
        <f t="shared" si="59"/>
        <v/>
      </c>
      <c r="O256" s="8" t="str">
        <f t="shared" si="60"/>
        <v/>
      </c>
      <c r="P256" s="8" t="str">
        <f t="shared" si="61"/>
        <v/>
      </c>
      <c r="Q256" s="40" t="str">
        <f t="shared" si="52"/>
        <v/>
      </c>
      <c r="R256" s="48" t="str">
        <f t="shared" si="62"/>
        <v/>
      </c>
      <c r="S256" s="8"/>
      <c r="U256" s="35">
        <f t="shared" si="53"/>
        <v>0</v>
      </c>
      <c r="V256" s="24">
        <f t="shared" si="54"/>
        <v>0</v>
      </c>
      <c r="W256" s="41">
        <f t="shared" si="65"/>
        <v>0</v>
      </c>
      <c r="X256" s="31"/>
      <c r="Y256" s="31"/>
      <c r="Z256" s="31"/>
      <c r="AA256" s="25">
        <f t="shared" si="55"/>
        <v>9.0359999999999996</v>
      </c>
      <c r="AB256" s="25">
        <f t="shared" si="56"/>
        <v>-184.49199999999999</v>
      </c>
      <c r="AD256" s="24">
        <f>IF(D256="M",IF(AG256&lt;78,BMILMS!$D$5*AG256^3+BMILMS!$E$5*AG256^2+BMILMS!$F$5*AG256+BMILMS!$G$5,IF(AG256&lt;150,BMILMS!$D$6*AG256^3+BMILMS!$E$6*AG256^2+BMILMS!$F$6*AG256+BMILMS!$G$6,BMILMS!$D$7*AG256^3+BMILMS!$E$7*AG256^2+BMILMS!$F$7*AG256+BMILMS!$G$7)),IF(AG256&lt;69,BMILMS!$D$9*AG256^3+BMILMS!$E$9*AG256^2+BMILMS!$F$9*AG256+BMILMS!$G$9,IF(AG256&lt;150,BMILMS!$D$10*AG256^3+BMILMS!$E$10*AG256^2+BMILMS!$F$10*AG256+BMILMS!$G$10,BMILMS!$D$11*AG256^3+BMILMS!$E$11*AG256^2+BMILMS!$F$11*AG256+BMILMS!$G$11)))</f>
        <v>0.79584630099999998</v>
      </c>
      <c r="AE256" s="24">
        <f>IF(D256="M",(IF(AG256&lt;2.5,BMILMS!$D$21*AG256^3+BMILMS!$E$21*AG256^2+BMILMS!$F$21*AG256+BMILMS!$G$21,IF(AG256&lt;9.5,BMILMS!$D$22*AG256^3+BMILMS!$E$22*AG256^2+BMILMS!$F$22*AG256+BMILMS!$G$22,IF(AG256&lt;26.75,BMILMS!$D$23*AG256^3+BMILMS!$E$23*AG256^2+BMILMS!$F$23*AG256+BMILMS!$G$23,IF(AG256&lt;90,BMILMS!$D$24*AG256^3+BMILMS!$E$24*AG256^2+BMILMS!$F$24*AG256+BMILMS!$G$24,BMILMS!$D$25*AG256^3+BMILMS!$E$25*AG256^2+BMILMS!$F$25*AG256+BMILMS!$G$25))))),(IF(AG256&lt;2.5,BMILMS!$D$27*AG256^3+BMILMS!$E$27*AG256^2+BMILMS!$F$27*AG256+BMILMS!$G$27,IF(AG256&lt;9.5,BMILMS!$D$28*AG256^3+BMILMS!$E$28*AG256^2+BMILMS!$F$28*AG256+BMILMS!$G$28,IF(AG256&lt;26.75,BMILMS!$D$29*AG256^3+BMILMS!$E$29*AG256^2+BMILMS!$F$29*AG256+BMILMS!$G$29,IF(AG256&lt;90,BMILMS!$D$30*AG256^3+BMILMS!$E$30*AG256^2+BMILMS!$F$30*AG256+BMILMS!$G$30,IF(AG256&lt;150,BMILMS!$D$31*AG256^3+BMILMS!$E$31*AG256^2+BMILMS!$F$31*AG256+BMILMS!$G$31,BMILMS!$D$32*AG256^3+BMILMS!$E$32*AG256^2+BMILMS!$F$32*AG256+BMILMS!$G$32)))))))</f>
        <v>12.568967990000001</v>
      </c>
      <c r="AF256" s="24">
        <f>IF(D256="M",(IF(AG256&lt;90,BMILMS!$D$14*AG256^3+BMILMS!$E$14*AG256^2+BMILMS!$F$14*AG256+BMILMS!$G$14,BMILMS!$D$15*AG256^3+BMILMS!$E$15*AG256^2+BMILMS!$F$15*AG256+BMILMS!$G$15)),(IF(AG256&lt;90,BMILMS!$D$17*AG256^3+BMILMS!$E$17*AG256^2+BMILMS!$F$17*AG256+BMILMS!$G$17,BMILMS!$D$18*AG256^3+BMILMS!$E$18*AG256^2+BMILMS!$F$18*AG256+BMILMS!$G$18)))</f>
        <v>8.8969350000000003E-2</v>
      </c>
      <c r="AG256" s="24">
        <f t="shared" si="64"/>
        <v>0</v>
      </c>
      <c r="AI256" s="38">
        <f>IF(D256="M",WeightSDS!P$5*$AG256^7+WeightSDS!Q$5*$AG256^6+WeightSDS!R$5*$AG256^5+WeightSDS!S$5*$AG256^4+WeightSDS!T$5*$AG256^3+WeightSDS!U$5*$AG256^2+WeightSDS!V$5*$AG256+WeightSDS!W$5,IF($AG256&lt;186,WeightSDS!P$8*$AG256^7+WeightSDS!Q$8*$AG256^6+WeightSDS!R$8*$AG256^5+WeightSDS!S$8*$AG256^4+WeightSDS!T$8*$AG256^3+WeightSDS!U$8*$AG256^2+WeightSDS!V$8*$AG256+WeightSDS!W$8,WeightSDS!$U$9-WeightSDS!$V$9*($AG256-WeightSDS!$W$9)))</f>
        <v>0.75407122999999998</v>
      </c>
      <c r="AJ256" s="24">
        <f>IF(D256="M",IF($AG256&lt;45,WeightSDS!M$23*$AG256^10+WeightSDS!N$23*$AG256^9+WeightSDS!O$23*$AG256^8+WeightSDS!P$23*$AG256^7+WeightSDS!Q$23*$AG256^6+WeightSDS!R$23*$AG256^5+WeightSDS!S$23*$AG256^4+WeightSDS!T$23*$AG256^3+WeightSDS!U$23*$AG256^2+WeightSDS!V$23*$AG256+WeightSDS!W$23,IF($AG256&lt;153,WeightSDS!M$25*$AG256^10+WeightSDS!N$25*$AG256^9+WeightSDS!O$25*$AG256^8+WeightSDS!P$25*$AG256^7+WeightSDS!Q$25*$AG256^6+WeightSDS!R$25*$AG256^5+WeightSDS!S$25*$AG256^4+WeightSDS!T$25*$AG256^3+WeightSDS!U$25*$AG256^2+WeightSDS!V$25*$AG256+WeightSDS!W$25,WeightSDS!M$27+WeightSDS!N$27/(1+EXP(WeightSDS!O$27+WeightSDS!P$27*$AG256)))),IF($AG256&lt;43.8,WeightSDS!M$29*$AG256^10+WeightSDS!N$29*$AG256^9+WeightSDS!O$29*$AG256^8+WeightSDS!P$29*$AG256^7+WeightSDS!Q$29*$AG256^6+WeightSDS!R$29*$AG256^5+WeightSDS!S$29*$AG256^4+WeightSDS!T$29*$AG256^3+WeightSDS!U$29*$AG256^2+WeightSDS!V$29*$AG256+WeightSDS!W$29-0.010431*(1-$AG256/210),IF($AG256&lt;123,WeightSDS!M$30*$AG256^10+WeightSDS!N$30*$AG256^9+WeightSDS!O$30*$AG256^8+WeightSDS!P$30*$AG256^7+WeightSDS!Q$30*$AG256^6+WeightSDS!R$30*$AG256^5+WeightSDS!S$30*$AG256^4+WeightSDS!T$30*$AG256^3+WeightSDS!U$30*$AG256^2+WeightSDS!V$30*$AG256+WeightSDS!W$30-0.010431*(1-1/$AG256),WeightSDS!M$32+WeightSDS!N$32/(1+EXP(WeightSDS!O$32+WeightSDS!P$32*$AG256))-0.010431*(1-$AG256/210))))</f>
        <v>2.9500001032655536</v>
      </c>
      <c r="AK256" s="24">
        <f>IF(D256="M",IF($AG256&lt;162,WeightSDS!P$12*$AG256^7+WeightSDS!Q$12*$AG256^6+WeightSDS!R$12*$AG256^5+WeightSDS!S$12*$AG256^4+WeightSDS!T$12*$AG256^3+WeightSDS!U$12*$AG256^2+WeightSDS!V$12*$AG256+WeightSDS!W$12,WeightSDS!P$14*$AG256^7+WeightSDS!Q$14*$AG256^6+WeightSDS!R$14*$AG256^5+WeightSDS!S$14*$AG256^4+WeightSDS!T$14*$AG256^3+WeightSDS!U$14*$AG256^2+WeightSDS!V$14*$AG256+WeightSDS!W$14),IF($AG256&lt;156,WeightSDS!O$17*$AG256^8+WeightSDS!P$17*$AG256^7+WeightSDS!Q$17*$AG256^6+WeightSDS!R$17*$AG256^5+WeightSDS!S$17*$AG256^4+WeightSDS!T$17*$AG256^3+WeightSDS!U$17*$AG256^2+WeightSDS!V$17*$AG256+WeightSDS!W$17,IF($AG256&lt;186,WeightSDS!$U$18+(WeightSDS!$V$18-WeightSDS!$U$18)/24*($AG256-186)+WeightSDS!$W$18*(-$AG256+186)^2-0.005,WeightSDS!$U$18+(WeightSDS!$V$18-WeightSDS!$U$18)/24*($AG256-186)-0.005)))</f>
        <v>0.14604529399999999</v>
      </c>
    </row>
    <row r="257" spans="1:37">
      <c r="A257" s="4"/>
      <c r="B257" s="21"/>
      <c r="C257" s="21"/>
      <c r="D257" s="21"/>
      <c r="E257" s="22"/>
      <c r="F257" s="22"/>
      <c r="G257" s="23"/>
      <c r="H257" s="23"/>
      <c r="I257" s="8" t="str">
        <f t="shared" si="50"/>
        <v/>
      </c>
      <c r="J257" s="2" t="str">
        <f t="shared" si="57"/>
        <v/>
      </c>
      <c r="K257" s="2" t="str">
        <f t="shared" si="51"/>
        <v/>
      </c>
      <c r="L257" s="2" t="str">
        <f t="shared" si="58"/>
        <v/>
      </c>
      <c r="M257" s="2" t="str">
        <f t="shared" si="63"/>
        <v/>
      </c>
      <c r="N257" s="2" t="str">
        <f t="shared" si="59"/>
        <v/>
      </c>
      <c r="O257" s="8" t="str">
        <f t="shared" si="60"/>
        <v/>
      </c>
      <c r="P257" s="8" t="str">
        <f t="shared" si="61"/>
        <v/>
      </c>
      <c r="Q257" s="40" t="str">
        <f t="shared" si="52"/>
        <v/>
      </c>
      <c r="R257" s="48" t="str">
        <f t="shared" si="62"/>
        <v/>
      </c>
      <c r="S257" s="8"/>
      <c r="U257" s="35">
        <f t="shared" si="53"/>
        <v>0</v>
      </c>
      <c r="V257" s="24">
        <f t="shared" si="54"/>
        <v>0</v>
      </c>
      <c r="W257" s="41">
        <f t="shared" si="65"/>
        <v>0</v>
      </c>
      <c r="X257" s="31"/>
      <c r="Y257" s="31"/>
      <c r="Z257" s="31"/>
      <c r="AA257" s="25">
        <f t="shared" si="55"/>
        <v>9.0359999999999996</v>
      </c>
      <c r="AB257" s="25">
        <f t="shared" si="56"/>
        <v>-184.49199999999999</v>
      </c>
      <c r="AD257" s="24">
        <f>IF(D257="M",IF(AG257&lt;78,BMILMS!$D$5*AG257^3+BMILMS!$E$5*AG257^2+BMILMS!$F$5*AG257+BMILMS!$G$5,IF(AG257&lt;150,BMILMS!$D$6*AG257^3+BMILMS!$E$6*AG257^2+BMILMS!$F$6*AG257+BMILMS!$G$6,BMILMS!$D$7*AG257^3+BMILMS!$E$7*AG257^2+BMILMS!$F$7*AG257+BMILMS!$G$7)),IF(AG257&lt;69,BMILMS!$D$9*AG257^3+BMILMS!$E$9*AG257^2+BMILMS!$F$9*AG257+BMILMS!$G$9,IF(AG257&lt;150,BMILMS!$D$10*AG257^3+BMILMS!$E$10*AG257^2+BMILMS!$F$10*AG257+BMILMS!$G$10,BMILMS!$D$11*AG257^3+BMILMS!$E$11*AG257^2+BMILMS!$F$11*AG257+BMILMS!$G$11)))</f>
        <v>0.79584630099999998</v>
      </c>
      <c r="AE257" s="24">
        <f>IF(D257="M",(IF(AG257&lt;2.5,BMILMS!$D$21*AG257^3+BMILMS!$E$21*AG257^2+BMILMS!$F$21*AG257+BMILMS!$G$21,IF(AG257&lt;9.5,BMILMS!$D$22*AG257^3+BMILMS!$E$22*AG257^2+BMILMS!$F$22*AG257+BMILMS!$G$22,IF(AG257&lt;26.75,BMILMS!$D$23*AG257^3+BMILMS!$E$23*AG257^2+BMILMS!$F$23*AG257+BMILMS!$G$23,IF(AG257&lt;90,BMILMS!$D$24*AG257^3+BMILMS!$E$24*AG257^2+BMILMS!$F$24*AG257+BMILMS!$G$24,BMILMS!$D$25*AG257^3+BMILMS!$E$25*AG257^2+BMILMS!$F$25*AG257+BMILMS!$G$25))))),(IF(AG257&lt;2.5,BMILMS!$D$27*AG257^3+BMILMS!$E$27*AG257^2+BMILMS!$F$27*AG257+BMILMS!$G$27,IF(AG257&lt;9.5,BMILMS!$D$28*AG257^3+BMILMS!$E$28*AG257^2+BMILMS!$F$28*AG257+BMILMS!$G$28,IF(AG257&lt;26.75,BMILMS!$D$29*AG257^3+BMILMS!$E$29*AG257^2+BMILMS!$F$29*AG257+BMILMS!$G$29,IF(AG257&lt;90,BMILMS!$D$30*AG257^3+BMILMS!$E$30*AG257^2+BMILMS!$F$30*AG257+BMILMS!$G$30,IF(AG257&lt;150,BMILMS!$D$31*AG257^3+BMILMS!$E$31*AG257^2+BMILMS!$F$31*AG257+BMILMS!$G$31,BMILMS!$D$32*AG257^3+BMILMS!$E$32*AG257^2+BMILMS!$F$32*AG257+BMILMS!$G$32)))))))</f>
        <v>12.568967990000001</v>
      </c>
      <c r="AF257" s="24">
        <f>IF(D257="M",(IF(AG257&lt;90,BMILMS!$D$14*AG257^3+BMILMS!$E$14*AG257^2+BMILMS!$F$14*AG257+BMILMS!$G$14,BMILMS!$D$15*AG257^3+BMILMS!$E$15*AG257^2+BMILMS!$F$15*AG257+BMILMS!$G$15)),(IF(AG257&lt;90,BMILMS!$D$17*AG257^3+BMILMS!$E$17*AG257^2+BMILMS!$F$17*AG257+BMILMS!$G$17,BMILMS!$D$18*AG257^3+BMILMS!$E$18*AG257^2+BMILMS!$F$18*AG257+BMILMS!$G$18)))</f>
        <v>8.8969350000000003E-2</v>
      </c>
      <c r="AG257" s="24">
        <f t="shared" si="64"/>
        <v>0</v>
      </c>
      <c r="AI257" s="38">
        <f>IF(D257="M",WeightSDS!P$5*$AG257^7+WeightSDS!Q$5*$AG257^6+WeightSDS!R$5*$AG257^5+WeightSDS!S$5*$AG257^4+WeightSDS!T$5*$AG257^3+WeightSDS!U$5*$AG257^2+WeightSDS!V$5*$AG257+WeightSDS!W$5,IF($AG257&lt;186,WeightSDS!P$8*$AG257^7+WeightSDS!Q$8*$AG257^6+WeightSDS!R$8*$AG257^5+WeightSDS!S$8*$AG257^4+WeightSDS!T$8*$AG257^3+WeightSDS!U$8*$AG257^2+WeightSDS!V$8*$AG257+WeightSDS!W$8,WeightSDS!$U$9-WeightSDS!$V$9*($AG257-WeightSDS!$W$9)))</f>
        <v>0.75407122999999998</v>
      </c>
      <c r="AJ257" s="24">
        <f>IF(D257="M",IF($AG257&lt;45,WeightSDS!M$23*$AG257^10+WeightSDS!N$23*$AG257^9+WeightSDS!O$23*$AG257^8+WeightSDS!P$23*$AG257^7+WeightSDS!Q$23*$AG257^6+WeightSDS!R$23*$AG257^5+WeightSDS!S$23*$AG257^4+WeightSDS!T$23*$AG257^3+WeightSDS!U$23*$AG257^2+WeightSDS!V$23*$AG257+WeightSDS!W$23,IF($AG257&lt;153,WeightSDS!M$25*$AG257^10+WeightSDS!N$25*$AG257^9+WeightSDS!O$25*$AG257^8+WeightSDS!P$25*$AG257^7+WeightSDS!Q$25*$AG257^6+WeightSDS!R$25*$AG257^5+WeightSDS!S$25*$AG257^4+WeightSDS!T$25*$AG257^3+WeightSDS!U$25*$AG257^2+WeightSDS!V$25*$AG257+WeightSDS!W$25,WeightSDS!M$27+WeightSDS!N$27/(1+EXP(WeightSDS!O$27+WeightSDS!P$27*$AG257)))),IF($AG257&lt;43.8,WeightSDS!M$29*$AG257^10+WeightSDS!N$29*$AG257^9+WeightSDS!O$29*$AG257^8+WeightSDS!P$29*$AG257^7+WeightSDS!Q$29*$AG257^6+WeightSDS!R$29*$AG257^5+WeightSDS!S$29*$AG257^4+WeightSDS!T$29*$AG257^3+WeightSDS!U$29*$AG257^2+WeightSDS!V$29*$AG257+WeightSDS!W$29-0.010431*(1-$AG257/210),IF($AG257&lt;123,WeightSDS!M$30*$AG257^10+WeightSDS!N$30*$AG257^9+WeightSDS!O$30*$AG257^8+WeightSDS!P$30*$AG257^7+WeightSDS!Q$30*$AG257^6+WeightSDS!R$30*$AG257^5+WeightSDS!S$30*$AG257^4+WeightSDS!T$30*$AG257^3+WeightSDS!U$30*$AG257^2+WeightSDS!V$30*$AG257+WeightSDS!W$30-0.010431*(1-1/$AG257),WeightSDS!M$32+WeightSDS!N$32/(1+EXP(WeightSDS!O$32+WeightSDS!P$32*$AG257))-0.010431*(1-$AG257/210))))</f>
        <v>2.9500001032655536</v>
      </c>
      <c r="AK257" s="24">
        <f>IF(D257="M",IF($AG257&lt;162,WeightSDS!P$12*$AG257^7+WeightSDS!Q$12*$AG257^6+WeightSDS!R$12*$AG257^5+WeightSDS!S$12*$AG257^4+WeightSDS!T$12*$AG257^3+WeightSDS!U$12*$AG257^2+WeightSDS!V$12*$AG257+WeightSDS!W$12,WeightSDS!P$14*$AG257^7+WeightSDS!Q$14*$AG257^6+WeightSDS!R$14*$AG257^5+WeightSDS!S$14*$AG257^4+WeightSDS!T$14*$AG257^3+WeightSDS!U$14*$AG257^2+WeightSDS!V$14*$AG257+WeightSDS!W$14),IF($AG257&lt;156,WeightSDS!O$17*$AG257^8+WeightSDS!P$17*$AG257^7+WeightSDS!Q$17*$AG257^6+WeightSDS!R$17*$AG257^5+WeightSDS!S$17*$AG257^4+WeightSDS!T$17*$AG257^3+WeightSDS!U$17*$AG257^2+WeightSDS!V$17*$AG257+WeightSDS!W$17,IF($AG257&lt;186,WeightSDS!$U$18+(WeightSDS!$V$18-WeightSDS!$U$18)/24*($AG257-186)+WeightSDS!$W$18*(-$AG257+186)^2-0.005,WeightSDS!$U$18+(WeightSDS!$V$18-WeightSDS!$U$18)/24*($AG257-186)-0.005)))</f>
        <v>0.14604529399999999</v>
      </c>
    </row>
    <row r="258" spans="1:37">
      <c r="A258" s="4"/>
      <c r="B258" s="21"/>
      <c r="C258" s="21"/>
      <c r="D258" s="21"/>
      <c r="E258" s="22"/>
      <c r="F258" s="22"/>
      <c r="G258" s="23"/>
      <c r="H258" s="23"/>
      <c r="I258" s="8" t="str">
        <f t="shared" si="50"/>
        <v/>
      </c>
      <c r="J258" s="2" t="str">
        <f t="shared" si="57"/>
        <v/>
      </c>
      <c r="K258" s="2" t="str">
        <f t="shared" si="51"/>
        <v/>
      </c>
      <c r="L258" s="2" t="str">
        <f t="shared" si="58"/>
        <v/>
      </c>
      <c r="M258" s="2" t="str">
        <f t="shared" si="63"/>
        <v/>
      </c>
      <c r="N258" s="2" t="str">
        <f t="shared" si="59"/>
        <v/>
      </c>
      <c r="O258" s="8" t="str">
        <f t="shared" si="60"/>
        <v/>
      </c>
      <c r="P258" s="8" t="str">
        <f t="shared" si="61"/>
        <v/>
      </c>
      <c r="Q258" s="40" t="str">
        <f t="shared" si="52"/>
        <v/>
      </c>
      <c r="R258" s="48" t="str">
        <f t="shared" si="62"/>
        <v/>
      </c>
      <c r="S258" s="8"/>
      <c r="U258" s="35">
        <f t="shared" si="53"/>
        <v>0</v>
      </c>
      <c r="V258" s="24">
        <f t="shared" si="54"/>
        <v>0</v>
      </c>
      <c r="W258" s="41">
        <f t="shared" si="65"/>
        <v>0</v>
      </c>
      <c r="X258" s="31"/>
      <c r="Y258" s="31"/>
      <c r="Z258" s="31"/>
      <c r="AA258" s="25">
        <f t="shared" si="55"/>
        <v>9.0359999999999996</v>
      </c>
      <c r="AB258" s="25">
        <f t="shared" si="56"/>
        <v>-184.49199999999999</v>
      </c>
      <c r="AD258" s="24">
        <f>IF(D258="M",IF(AG258&lt;78,BMILMS!$D$5*AG258^3+BMILMS!$E$5*AG258^2+BMILMS!$F$5*AG258+BMILMS!$G$5,IF(AG258&lt;150,BMILMS!$D$6*AG258^3+BMILMS!$E$6*AG258^2+BMILMS!$F$6*AG258+BMILMS!$G$6,BMILMS!$D$7*AG258^3+BMILMS!$E$7*AG258^2+BMILMS!$F$7*AG258+BMILMS!$G$7)),IF(AG258&lt;69,BMILMS!$D$9*AG258^3+BMILMS!$E$9*AG258^2+BMILMS!$F$9*AG258+BMILMS!$G$9,IF(AG258&lt;150,BMILMS!$D$10*AG258^3+BMILMS!$E$10*AG258^2+BMILMS!$F$10*AG258+BMILMS!$G$10,BMILMS!$D$11*AG258^3+BMILMS!$E$11*AG258^2+BMILMS!$F$11*AG258+BMILMS!$G$11)))</f>
        <v>0.79584630099999998</v>
      </c>
      <c r="AE258" s="24">
        <f>IF(D258="M",(IF(AG258&lt;2.5,BMILMS!$D$21*AG258^3+BMILMS!$E$21*AG258^2+BMILMS!$F$21*AG258+BMILMS!$G$21,IF(AG258&lt;9.5,BMILMS!$D$22*AG258^3+BMILMS!$E$22*AG258^2+BMILMS!$F$22*AG258+BMILMS!$G$22,IF(AG258&lt;26.75,BMILMS!$D$23*AG258^3+BMILMS!$E$23*AG258^2+BMILMS!$F$23*AG258+BMILMS!$G$23,IF(AG258&lt;90,BMILMS!$D$24*AG258^3+BMILMS!$E$24*AG258^2+BMILMS!$F$24*AG258+BMILMS!$G$24,BMILMS!$D$25*AG258^3+BMILMS!$E$25*AG258^2+BMILMS!$F$25*AG258+BMILMS!$G$25))))),(IF(AG258&lt;2.5,BMILMS!$D$27*AG258^3+BMILMS!$E$27*AG258^2+BMILMS!$F$27*AG258+BMILMS!$G$27,IF(AG258&lt;9.5,BMILMS!$D$28*AG258^3+BMILMS!$E$28*AG258^2+BMILMS!$F$28*AG258+BMILMS!$G$28,IF(AG258&lt;26.75,BMILMS!$D$29*AG258^3+BMILMS!$E$29*AG258^2+BMILMS!$F$29*AG258+BMILMS!$G$29,IF(AG258&lt;90,BMILMS!$D$30*AG258^3+BMILMS!$E$30*AG258^2+BMILMS!$F$30*AG258+BMILMS!$G$30,IF(AG258&lt;150,BMILMS!$D$31*AG258^3+BMILMS!$E$31*AG258^2+BMILMS!$F$31*AG258+BMILMS!$G$31,BMILMS!$D$32*AG258^3+BMILMS!$E$32*AG258^2+BMILMS!$F$32*AG258+BMILMS!$G$32)))))))</f>
        <v>12.568967990000001</v>
      </c>
      <c r="AF258" s="24">
        <f>IF(D258="M",(IF(AG258&lt;90,BMILMS!$D$14*AG258^3+BMILMS!$E$14*AG258^2+BMILMS!$F$14*AG258+BMILMS!$G$14,BMILMS!$D$15*AG258^3+BMILMS!$E$15*AG258^2+BMILMS!$F$15*AG258+BMILMS!$G$15)),(IF(AG258&lt;90,BMILMS!$D$17*AG258^3+BMILMS!$E$17*AG258^2+BMILMS!$F$17*AG258+BMILMS!$G$17,BMILMS!$D$18*AG258^3+BMILMS!$E$18*AG258^2+BMILMS!$F$18*AG258+BMILMS!$G$18)))</f>
        <v>8.8969350000000003E-2</v>
      </c>
      <c r="AG258" s="24">
        <f t="shared" si="64"/>
        <v>0</v>
      </c>
      <c r="AI258" s="38">
        <f>IF(D258="M",WeightSDS!P$5*$AG258^7+WeightSDS!Q$5*$AG258^6+WeightSDS!R$5*$AG258^5+WeightSDS!S$5*$AG258^4+WeightSDS!T$5*$AG258^3+WeightSDS!U$5*$AG258^2+WeightSDS!V$5*$AG258+WeightSDS!W$5,IF($AG258&lt;186,WeightSDS!P$8*$AG258^7+WeightSDS!Q$8*$AG258^6+WeightSDS!R$8*$AG258^5+WeightSDS!S$8*$AG258^4+WeightSDS!T$8*$AG258^3+WeightSDS!U$8*$AG258^2+WeightSDS!V$8*$AG258+WeightSDS!W$8,WeightSDS!$U$9-WeightSDS!$V$9*($AG258-WeightSDS!$W$9)))</f>
        <v>0.75407122999999998</v>
      </c>
      <c r="AJ258" s="24">
        <f>IF(D258="M",IF($AG258&lt;45,WeightSDS!M$23*$AG258^10+WeightSDS!N$23*$AG258^9+WeightSDS!O$23*$AG258^8+WeightSDS!P$23*$AG258^7+WeightSDS!Q$23*$AG258^6+WeightSDS!R$23*$AG258^5+WeightSDS!S$23*$AG258^4+WeightSDS!T$23*$AG258^3+WeightSDS!U$23*$AG258^2+WeightSDS!V$23*$AG258+WeightSDS!W$23,IF($AG258&lt;153,WeightSDS!M$25*$AG258^10+WeightSDS!N$25*$AG258^9+WeightSDS!O$25*$AG258^8+WeightSDS!P$25*$AG258^7+WeightSDS!Q$25*$AG258^6+WeightSDS!R$25*$AG258^5+WeightSDS!S$25*$AG258^4+WeightSDS!T$25*$AG258^3+WeightSDS!U$25*$AG258^2+WeightSDS!V$25*$AG258+WeightSDS!W$25,WeightSDS!M$27+WeightSDS!N$27/(1+EXP(WeightSDS!O$27+WeightSDS!P$27*$AG258)))),IF($AG258&lt;43.8,WeightSDS!M$29*$AG258^10+WeightSDS!N$29*$AG258^9+WeightSDS!O$29*$AG258^8+WeightSDS!P$29*$AG258^7+WeightSDS!Q$29*$AG258^6+WeightSDS!R$29*$AG258^5+WeightSDS!S$29*$AG258^4+WeightSDS!T$29*$AG258^3+WeightSDS!U$29*$AG258^2+WeightSDS!V$29*$AG258+WeightSDS!W$29-0.010431*(1-$AG258/210),IF($AG258&lt;123,WeightSDS!M$30*$AG258^10+WeightSDS!N$30*$AG258^9+WeightSDS!O$30*$AG258^8+WeightSDS!P$30*$AG258^7+WeightSDS!Q$30*$AG258^6+WeightSDS!R$30*$AG258^5+WeightSDS!S$30*$AG258^4+WeightSDS!T$30*$AG258^3+WeightSDS!U$30*$AG258^2+WeightSDS!V$30*$AG258+WeightSDS!W$30-0.010431*(1-1/$AG258),WeightSDS!M$32+WeightSDS!N$32/(1+EXP(WeightSDS!O$32+WeightSDS!P$32*$AG258))-0.010431*(1-$AG258/210))))</f>
        <v>2.9500001032655536</v>
      </c>
      <c r="AK258" s="24">
        <f>IF(D258="M",IF($AG258&lt;162,WeightSDS!P$12*$AG258^7+WeightSDS!Q$12*$AG258^6+WeightSDS!R$12*$AG258^5+WeightSDS!S$12*$AG258^4+WeightSDS!T$12*$AG258^3+WeightSDS!U$12*$AG258^2+WeightSDS!V$12*$AG258+WeightSDS!W$12,WeightSDS!P$14*$AG258^7+WeightSDS!Q$14*$AG258^6+WeightSDS!R$14*$AG258^5+WeightSDS!S$14*$AG258^4+WeightSDS!T$14*$AG258^3+WeightSDS!U$14*$AG258^2+WeightSDS!V$14*$AG258+WeightSDS!W$14),IF($AG258&lt;156,WeightSDS!O$17*$AG258^8+WeightSDS!P$17*$AG258^7+WeightSDS!Q$17*$AG258^6+WeightSDS!R$17*$AG258^5+WeightSDS!S$17*$AG258^4+WeightSDS!T$17*$AG258^3+WeightSDS!U$17*$AG258^2+WeightSDS!V$17*$AG258+WeightSDS!W$17,IF($AG258&lt;186,WeightSDS!$U$18+(WeightSDS!$V$18-WeightSDS!$U$18)/24*($AG258-186)+WeightSDS!$W$18*(-$AG258+186)^2-0.005,WeightSDS!$U$18+(WeightSDS!$V$18-WeightSDS!$U$18)/24*($AG258-186)-0.005)))</f>
        <v>0.14604529399999999</v>
      </c>
    </row>
    <row r="259" spans="1:37">
      <c r="A259" s="4"/>
      <c r="B259" s="21"/>
      <c r="C259" s="21"/>
      <c r="D259" s="21"/>
      <c r="E259" s="22"/>
      <c r="F259" s="22"/>
      <c r="G259" s="23"/>
      <c r="H259" s="23"/>
      <c r="I259" s="8" t="str">
        <f t="shared" ref="I259:I322" si="66">IF(COUNTA(D259,E259,F259,G259,H259)=5,IF(Q259&gt;17.583,"       *",(G259-(INDEX(IF(D259="F",Hfemalemean,Hmalemean),V259+1,U259+1)))/(INDEX(IF(D259="F",Hfemalesd,Hmalesd),V259+1,U259+1))),"")</f>
        <v/>
      </c>
      <c r="J259" s="2" t="str">
        <f t="shared" si="57"/>
        <v/>
      </c>
      <c r="K259" s="2" t="str">
        <f t="shared" ref="K259:K322" si="67">IF(COUNTA(D259,E259,F259,G259,H259)&lt;5,"",IF(Q259&lt;6,"       *",IF(Q259&gt;=17.583,"       *",(H259-G259*INDEX(IF(D259="F",muratafemale,muratamale),U259-4,1)-INDEX(IF(D259="F",muratafemale,muratamale),U259-4,2))/(G259*INDEX(IF(D259="F",muratafemale,muratamale),U259-4,1)+INDEX(IF(D259="F",muratafemale,muratamale),U259-4,2))*100)))</f>
        <v/>
      </c>
      <c r="L259" s="2" t="str">
        <f t="shared" si="58"/>
        <v/>
      </c>
      <c r="M259" s="2" t="str">
        <f t="shared" si="63"/>
        <v/>
      </c>
      <c r="N259" s="2" t="str">
        <f t="shared" si="59"/>
        <v/>
      </c>
      <c r="O259" s="8" t="str">
        <f t="shared" si="60"/>
        <v/>
      </c>
      <c r="P259" s="8" t="str">
        <f t="shared" si="61"/>
        <v/>
      </c>
      <c r="Q259" s="40" t="str">
        <f t="shared" ref="Q259:Q322" si="68">IF(COUNTA(D259,E259,F259,G259,H259)=5,W259,"")</f>
        <v/>
      </c>
      <c r="R259" s="48" t="str">
        <f t="shared" si="62"/>
        <v/>
      </c>
      <c r="S259" s="8"/>
      <c r="U259" s="35">
        <f t="shared" ref="U259:U322" si="69">DATEDIF(E259,F259,"Y")</f>
        <v>0</v>
      </c>
      <c r="V259" s="24">
        <f t="shared" ref="V259:V322" si="70">DATEDIF(E259,F259,"YM")</f>
        <v>0</v>
      </c>
      <c r="W259" s="41">
        <f t="shared" si="65"/>
        <v>0</v>
      </c>
      <c r="X259" s="31"/>
      <c r="Y259" s="31"/>
      <c r="Z259" s="31"/>
      <c r="AA259" s="25">
        <f t="shared" ref="AA259:AA322" si="71">IF(D259="M",2.06*10^-3*G259^2-0.1166*G259+6.5273,2.49*10^-3*G259^2-0.1858*G259+9.036)</f>
        <v>9.0359999999999996</v>
      </c>
      <c r="AB259" s="25">
        <f t="shared" ref="AB259:AB322" si="72">((G259/100)^3*INDEX(itoOI,IF(D259="M",0,3)+IF(G259&lt;140,1,IF(G259&lt;=149,2,3)),1)+(G259/100)^2*INDEX(itoOI,IF(D259="M",0,3)+IF(G259&lt;140,1,IF(G259&lt;=149,2,3)),2)+(G259/100)*INDEX(itoOI,IF(D259="M",0,3)+IF(G259&lt;140,1,IF(G259&lt;=149,2,3)),3)+INDEX(itoOI,IF(D259="M",0,3)+IF(G259&lt;140,1,IF(G259&lt;=149,2,3)),4))</f>
        <v>-184.49199999999999</v>
      </c>
      <c r="AD259" s="24">
        <f>IF(D259="M",IF(AG259&lt;78,BMILMS!$D$5*AG259^3+BMILMS!$E$5*AG259^2+BMILMS!$F$5*AG259+BMILMS!$G$5,IF(AG259&lt;150,BMILMS!$D$6*AG259^3+BMILMS!$E$6*AG259^2+BMILMS!$F$6*AG259+BMILMS!$G$6,BMILMS!$D$7*AG259^3+BMILMS!$E$7*AG259^2+BMILMS!$F$7*AG259+BMILMS!$G$7)),IF(AG259&lt;69,BMILMS!$D$9*AG259^3+BMILMS!$E$9*AG259^2+BMILMS!$F$9*AG259+BMILMS!$G$9,IF(AG259&lt;150,BMILMS!$D$10*AG259^3+BMILMS!$E$10*AG259^2+BMILMS!$F$10*AG259+BMILMS!$G$10,BMILMS!$D$11*AG259^3+BMILMS!$E$11*AG259^2+BMILMS!$F$11*AG259+BMILMS!$G$11)))</f>
        <v>0.79584630099999998</v>
      </c>
      <c r="AE259" s="24">
        <f>IF(D259="M",(IF(AG259&lt;2.5,BMILMS!$D$21*AG259^3+BMILMS!$E$21*AG259^2+BMILMS!$F$21*AG259+BMILMS!$G$21,IF(AG259&lt;9.5,BMILMS!$D$22*AG259^3+BMILMS!$E$22*AG259^2+BMILMS!$F$22*AG259+BMILMS!$G$22,IF(AG259&lt;26.75,BMILMS!$D$23*AG259^3+BMILMS!$E$23*AG259^2+BMILMS!$F$23*AG259+BMILMS!$G$23,IF(AG259&lt;90,BMILMS!$D$24*AG259^3+BMILMS!$E$24*AG259^2+BMILMS!$F$24*AG259+BMILMS!$G$24,BMILMS!$D$25*AG259^3+BMILMS!$E$25*AG259^2+BMILMS!$F$25*AG259+BMILMS!$G$25))))),(IF(AG259&lt;2.5,BMILMS!$D$27*AG259^3+BMILMS!$E$27*AG259^2+BMILMS!$F$27*AG259+BMILMS!$G$27,IF(AG259&lt;9.5,BMILMS!$D$28*AG259^3+BMILMS!$E$28*AG259^2+BMILMS!$F$28*AG259+BMILMS!$G$28,IF(AG259&lt;26.75,BMILMS!$D$29*AG259^3+BMILMS!$E$29*AG259^2+BMILMS!$F$29*AG259+BMILMS!$G$29,IF(AG259&lt;90,BMILMS!$D$30*AG259^3+BMILMS!$E$30*AG259^2+BMILMS!$F$30*AG259+BMILMS!$G$30,IF(AG259&lt;150,BMILMS!$D$31*AG259^3+BMILMS!$E$31*AG259^2+BMILMS!$F$31*AG259+BMILMS!$G$31,BMILMS!$D$32*AG259^3+BMILMS!$E$32*AG259^2+BMILMS!$F$32*AG259+BMILMS!$G$32)))))))</f>
        <v>12.568967990000001</v>
      </c>
      <c r="AF259" s="24">
        <f>IF(D259="M",(IF(AG259&lt;90,BMILMS!$D$14*AG259^3+BMILMS!$E$14*AG259^2+BMILMS!$F$14*AG259+BMILMS!$G$14,BMILMS!$D$15*AG259^3+BMILMS!$E$15*AG259^2+BMILMS!$F$15*AG259+BMILMS!$G$15)),(IF(AG259&lt;90,BMILMS!$D$17*AG259^3+BMILMS!$E$17*AG259^2+BMILMS!$F$17*AG259+BMILMS!$G$17,BMILMS!$D$18*AG259^3+BMILMS!$E$18*AG259^2+BMILMS!$F$18*AG259+BMILMS!$G$18)))</f>
        <v>8.8969350000000003E-2</v>
      </c>
      <c r="AG259" s="24">
        <f t="shared" si="64"/>
        <v>0</v>
      </c>
      <c r="AI259" s="38">
        <f>IF(D259="M",WeightSDS!P$5*$AG259^7+WeightSDS!Q$5*$AG259^6+WeightSDS!R$5*$AG259^5+WeightSDS!S$5*$AG259^4+WeightSDS!T$5*$AG259^3+WeightSDS!U$5*$AG259^2+WeightSDS!V$5*$AG259+WeightSDS!W$5,IF($AG259&lt;186,WeightSDS!P$8*$AG259^7+WeightSDS!Q$8*$AG259^6+WeightSDS!R$8*$AG259^5+WeightSDS!S$8*$AG259^4+WeightSDS!T$8*$AG259^3+WeightSDS!U$8*$AG259^2+WeightSDS!V$8*$AG259+WeightSDS!W$8,WeightSDS!$U$9-WeightSDS!$V$9*($AG259-WeightSDS!$W$9)))</f>
        <v>0.75407122999999998</v>
      </c>
      <c r="AJ259" s="24">
        <f>IF(D259="M",IF($AG259&lt;45,WeightSDS!M$23*$AG259^10+WeightSDS!N$23*$AG259^9+WeightSDS!O$23*$AG259^8+WeightSDS!P$23*$AG259^7+WeightSDS!Q$23*$AG259^6+WeightSDS!R$23*$AG259^5+WeightSDS!S$23*$AG259^4+WeightSDS!T$23*$AG259^3+WeightSDS!U$23*$AG259^2+WeightSDS!V$23*$AG259+WeightSDS!W$23,IF($AG259&lt;153,WeightSDS!M$25*$AG259^10+WeightSDS!N$25*$AG259^9+WeightSDS!O$25*$AG259^8+WeightSDS!P$25*$AG259^7+WeightSDS!Q$25*$AG259^6+WeightSDS!R$25*$AG259^5+WeightSDS!S$25*$AG259^4+WeightSDS!T$25*$AG259^3+WeightSDS!U$25*$AG259^2+WeightSDS!V$25*$AG259+WeightSDS!W$25,WeightSDS!M$27+WeightSDS!N$27/(1+EXP(WeightSDS!O$27+WeightSDS!P$27*$AG259)))),IF($AG259&lt;43.8,WeightSDS!M$29*$AG259^10+WeightSDS!N$29*$AG259^9+WeightSDS!O$29*$AG259^8+WeightSDS!P$29*$AG259^7+WeightSDS!Q$29*$AG259^6+WeightSDS!R$29*$AG259^5+WeightSDS!S$29*$AG259^4+WeightSDS!T$29*$AG259^3+WeightSDS!U$29*$AG259^2+WeightSDS!V$29*$AG259+WeightSDS!W$29-0.010431*(1-$AG259/210),IF($AG259&lt;123,WeightSDS!M$30*$AG259^10+WeightSDS!N$30*$AG259^9+WeightSDS!O$30*$AG259^8+WeightSDS!P$30*$AG259^7+WeightSDS!Q$30*$AG259^6+WeightSDS!R$30*$AG259^5+WeightSDS!S$30*$AG259^4+WeightSDS!T$30*$AG259^3+WeightSDS!U$30*$AG259^2+WeightSDS!V$30*$AG259+WeightSDS!W$30-0.010431*(1-1/$AG259),WeightSDS!M$32+WeightSDS!N$32/(1+EXP(WeightSDS!O$32+WeightSDS!P$32*$AG259))-0.010431*(1-$AG259/210))))</f>
        <v>2.9500001032655536</v>
      </c>
      <c r="AK259" s="24">
        <f>IF(D259="M",IF($AG259&lt;162,WeightSDS!P$12*$AG259^7+WeightSDS!Q$12*$AG259^6+WeightSDS!R$12*$AG259^5+WeightSDS!S$12*$AG259^4+WeightSDS!T$12*$AG259^3+WeightSDS!U$12*$AG259^2+WeightSDS!V$12*$AG259+WeightSDS!W$12,WeightSDS!P$14*$AG259^7+WeightSDS!Q$14*$AG259^6+WeightSDS!R$14*$AG259^5+WeightSDS!S$14*$AG259^4+WeightSDS!T$14*$AG259^3+WeightSDS!U$14*$AG259^2+WeightSDS!V$14*$AG259+WeightSDS!W$14),IF($AG259&lt;156,WeightSDS!O$17*$AG259^8+WeightSDS!P$17*$AG259^7+WeightSDS!Q$17*$AG259^6+WeightSDS!R$17*$AG259^5+WeightSDS!S$17*$AG259^4+WeightSDS!T$17*$AG259^3+WeightSDS!U$17*$AG259^2+WeightSDS!V$17*$AG259+WeightSDS!W$17,IF($AG259&lt;186,WeightSDS!$U$18+(WeightSDS!$V$18-WeightSDS!$U$18)/24*($AG259-186)+WeightSDS!$W$18*(-$AG259+186)^2-0.005,WeightSDS!$U$18+(WeightSDS!$V$18-WeightSDS!$U$18)/24*($AG259-186)-0.005)))</f>
        <v>0.14604529399999999</v>
      </c>
    </row>
    <row r="260" spans="1:37">
      <c r="A260" s="4"/>
      <c r="B260" s="21"/>
      <c r="C260" s="21"/>
      <c r="D260" s="21"/>
      <c r="E260" s="22"/>
      <c r="F260" s="22"/>
      <c r="G260" s="23"/>
      <c r="H260" s="23"/>
      <c r="I260" s="8" t="str">
        <f t="shared" si="66"/>
        <v/>
      </c>
      <c r="J260" s="2" t="str">
        <f t="shared" ref="J260:J323" si="73">IF(COUNTA(D260,E260,F260,G260,H260)=5,IF(Q260&lt;1,"       *",IF(Q260&gt;=6,"       *",IF(G260&gt;=120,"       *",IF(G260&lt;70,"       *",(H260-AA260)/AA260*100)))),"")</f>
        <v/>
      </c>
      <c r="K260" s="2" t="str">
        <f t="shared" si="67"/>
        <v/>
      </c>
      <c r="L260" s="2" t="str">
        <f t="shared" ref="L260:L323" si="74">IF(COUNTA(D260,E260,F260,G260,H260)=5,IF(G260&gt;=IF(D260="M",181,174),"*",IF(G260&lt;101,"       *",IF(Q260&lt;6,"       *",IF(Q260&gt;=17.583,"*",(H260-AB260)/AB260*100)))),"")</f>
        <v/>
      </c>
      <c r="M260" s="2" t="str">
        <f t="shared" si="63"/>
        <v/>
      </c>
      <c r="N260" s="2" t="str">
        <f t="shared" ref="N260:N323" si="75">IF(COUNTA(D260,E260,F260,G260,H260)=5,IF(Q260&gt;17.583,"   *",NORMSDIST(((M260/AE260)^(AD260)-1)/AD260/AF260)*100),"")</f>
        <v/>
      </c>
      <c r="O260" s="8" t="str">
        <f t="shared" ref="O260:O323" si="76">IF(COUNTA(D260,E260,F260,G260,H260)=5,IF(Q260&gt;17.583,"   *",((M260/AE260)^(AD260)-1)/AD260/AF260),"")</f>
        <v/>
      </c>
      <c r="P260" s="8" t="str">
        <f t="shared" ref="P260:P323" si="77">IF(COUNTA(D260,E260,F260,G260,H260)=5,IF(Q260&gt;17.583,"   *",((H260/AJ260)^(AI260)-1)/AI260/AK260),"")</f>
        <v/>
      </c>
      <c r="Q260" s="40" t="str">
        <f t="shared" si="68"/>
        <v/>
      </c>
      <c r="R260" s="48" t="str">
        <f t="shared" ref="R260:R323" si="78">IF(COUNTA(D260,E260,F260,G260,H260)=5,U260&amp;"歳"&amp;V260&amp;"か月","")</f>
        <v/>
      </c>
      <c r="S260" s="8"/>
      <c r="U260" s="35">
        <f t="shared" si="69"/>
        <v>0</v>
      </c>
      <c r="V260" s="24">
        <f t="shared" si="70"/>
        <v>0</v>
      </c>
      <c r="W260" s="41">
        <f t="shared" si="65"/>
        <v>0</v>
      </c>
      <c r="X260" s="31"/>
      <c r="Y260" s="31"/>
      <c r="Z260" s="31"/>
      <c r="AA260" s="25">
        <f t="shared" si="71"/>
        <v>9.0359999999999996</v>
      </c>
      <c r="AB260" s="25">
        <f t="shared" si="72"/>
        <v>-184.49199999999999</v>
      </c>
      <c r="AD260" s="24">
        <f>IF(D260="M",IF(AG260&lt;78,BMILMS!$D$5*AG260^3+BMILMS!$E$5*AG260^2+BMILMS!$F$5*AG260+BMILMS!$G$5,IF(AG260&lt;150,BMILMS!$D$6*AG260^3+BMILMS!$E$6*AG260^2+BMILMS!$F$6*AG260+BMILMS!$G$6,BMILMS!$D$7*AG260^3+BMILMS!$E$7*AG260^2+BMILMS!$F$7*AG260+BMILMS!$G$7)),IF(AG260&lt;69,BMILMS!$D$9*AG260^3+BMILMS!$E$9*AG260^2+BMILMS!$F$9*AG260+BMILMS!$G$9,IF(AG260&lt;150,BMILMS!$D$10*AG260^3+BMILMS!$E$10*AG260^2+BMILMS!$F$10*AG260+BMILMS!$G$10,BMILMS!$D$11*AG260^3+BMILMS!$E$11*AG260^2+BMILMS!$F$11*AG260+BMILMS!$G$11)))</f>
        <v>0.79584630099999998</v>
      </c>
      <c r="AE260" s="24">
        <f>IF(D260="M",(IF(AG260&lt;2.5,BMILMS!$D$21*AG260^3+BMILMS!$E$21*AG260^2+BMILMS!$F$21*AG260+BMILMS!$G$21,IF(AG260&lt;9.5,BMILMS!$D$22*AG260^3+BMILMS!$E$22*AG260^2+BMILMS!$F$22*AG260+BMILMS!$G$22,IF(AG260&lt;26.75,BMILMS!$D$23*AG260^3+BMILMS!$E$23*AG260^2+BMILMS!$F$23*AG260+BMILMS!$G$23,IF(AG260&lt;90,BMILMS!$D$24*AG260^3+BMILMS!$E$24*AG260^2+BMILMS!$F$24*AG260+BMILMS!$G$24,BMILMS!$D$25*AG260^3+BMILMS!$E$25*AG260^2+BMILMS!$F$25*AG260+BMILMS!$G$25))))),(IF(AG260&lt;2.5,BMILMS!$D$27*AG260^3+BMILMS!$E$27*AG260^2+BMILMS!$F$27*AG260+BMILMS!$G$27,IF(AG260&lt;9.5,BMILMS!$D$28*AG260^3+BMILMS!$E$28*AG260^2+BMILMS!$F$28*AG260+BMILMS!$G$28,IF(AG260&lt;26.75,BMILMS!$D$29*AG260^3+BMILMS!$E$29*AG260^2+BMILMS!$F$29*AG260+BMILMS!$G$29,IF(AG260&lt;90,BMILMS!$D$30*AG260^3+BMILMS!$E$30*AG260^2+BMILMS!$F$30*AG260+BMILMS!$G$30,IF(AG260&lt;150,BMILMS!$D$31*AG260^3+BMILMS!$E$31*AG260^2+BMILMS!$F$31*AG260+BMILMS!$G$31,BMILMS!$D$32*AG260^3+BMILMS!$E$32*AG260^2+BMILMS!$F$32*AG260+BMILMS!$G$32)))))))</f>
        <v>12.568967990000001</v>
      </c>
      <c r="AF260" s="24">
        <f>IF(D260="M",(IF(AG260&lt;90,BMILMS!$D$14*AG260^3+BMILMS!$E$14*AG260^2+BMILMS!$F$14*AG260+BMILMS!$G$14,BMILMS!$D$15*AG260^3+BMILMS!$E$15*AG260^2+BMILMS!$F$15*AG260+BMILMS!$G$15)),(IF(AG260&lt;90,BMILMS!$D$17*AG260^3+BMILMS!$E$17*AG260^2+BMILMS!$F$17*AG260+BMILMS!$G$17,BMILMS!$D$18*AG260^3+BMILMS!$E$18*AG260^2+BMILMS!$F$18*AG260+BMILMS!$G$18)))</f>
        <v>8.8969350000000003E-2</v>
      </c>
      <c r="AG260" s="24">
        <f t="shared" si="64"/>
        <v>0</v>
      </c>
      <c r="AI260" s="38">
        <f>IF(D260="M",WeightSDS!P$5*$AG260^7+WeightSDS!Q$5*$AG260^6+WeightSDS!R$5*$AG260^5+WeightSDS!S$5*$AG260^4+WeightSDS!T$5*$AG260^3+WeightSDS!U$5*$AG260^2+WeightSDS!V$5*$AG260+WeightSDS!W$5,IF($AG260&lt;186,WeightSDS!P$8*$AG260^7+WeightSDS!Q$8*$AG260^6+WeightSDS!R$8*$AG260^5+WeightSDS!S$8*$AG260^4+WeightSDS!T$8*$AG260^3+WeightSDS!U$8*$AG260^2+WeightSDS!V$8*$AG260+WeightSDS!W$8,WeightSDS!$U$9-WeightSDS!$V$9*($AG260-WeightSDS!$W$9)))</f>
        <v>0.75407122999999998</v>
      </c>
      <c r="AJ260" s="24">
        <f>IF(D260="M",IF($AG260&lt;45,WeightSDS!M$23*$AG260^10+WeightSDS!N$23*$AG260^9+WeightSDS!O$23*$AG260^8+WeightSDS!P$23*$AG260^7+WeightSDS!Q$23*$AG260^6+WeightSDS!R$23*$AG260^5+WeightSDS!S$23*$AG260^4+WeightSDS!T$23*$AG260^3+WeightSDS!U$23*$AG260^2+WeightSDS!V$23*$AG260+WeightSDS!W$23,IF($AG260&lt;153,WeightSDS!M$25*$AG260^10+WeightSDS!N$25*$AG260^9+WeightSDS!O$25*$AG260^8+WeightSDS!P$25*$AG260^7+WeightSDS!Q$25*$AG260^6+WeightSDS!R$25*$AG260^5+WeightSDS!S$25*$AG260^4+WeightSDS!T$25*$AG260^3+WeightSDS!U$25*$AG260^2+WeightSDS!V$25*$AG260+WeightSDS!W$25,WeightSDS!M$27+WeightSDS!N$27/(1+EXP(WeightSDS!O$27+WeightSDS!P$27*$AG260)))),IF($AG260&lt;43.8,WeightSDS!M$29*$AG260^10+WeightSDS!N$29*$AG260^9+WeightSDS!O$29*$AG260^8+WeightSDS!P$29*$AG260^7+WeightSDS!Q$29*$AG260^6+WeightSDS!R$29*$AG260^5+WeightSDS!S$29*$AG260^4+WeightSDS!T$29*$AG260^3+WeightSDS!U$29*$AG260^2+WeightSDS!V$29*$AG260+WeightSDS!W$29-0.010431*(1-$AG260/210),IF($AG260&lt;123,WeightSDS!M$30*$AG260^10+WeightSDS!N$30*$AG260^9+WeightSDS!O$30*$AG260^8+WeightSDS!P$30*$AG260^7+WeightSDS!Q$30*$AG260^6+WeightSDS!R$30*$AG260^5+WeightSDS!S$30*$AG260^4+WeightSDS!T$30*$AG260^3+WeightSDS!U$30*$AG260^2+WeightSDS!V$30*$AG260+WeightSDS!W$30-0.010431*(1-1/$AG260),WeightSDS!M$32+WeightSDS!N$32/(1+EXP(WeightSDS!O$32+WeightSDS!P$32*$AG260))-0.010431*(1-$AG260/210))))</f>
        <v>2.9500001032655536</v>
      </c>
      <c r="AK260" s="24">
        <f>IF(D260="M",IF($AG260&lt;162,WeightSDS!P$12*$AG260^7+WeightSDS!Q$12*$AG260^6+WeightSDS!R$12*$AG260^5+WeightSDS!S$12*$AG260^4+WeightSDS!T$12*$AG260^3+WeightSDS!U$12*$AG260^2+WeightSDS!V$12*$AG260+WeightSDS!W$12,WeightSDS!P$14*$AG260^7+WeightSDS!Q$14*$AG260^6+WeightSDS!R$14*$AG260^5+WeightSDS!S$14*$AG260^4+WeightSDS!T$14*$AG260^3+WeightSDS!U$14*$AG260^2+WeightSDS!V$14*$AG260+WeightSDS!W$14),IF($AG260&lt;156,WeightSDS!O$17*$AG260^8+WeightSDS!P$17*$AG260^7+WeightSDS!Q$17*$AG260^6+WeightSDS!R$17*$AG260^5+WeightSDS!S$17*$AG260^4+WeightSDS!T$17*$AG260^3+WeightSDS!U$17*$AG260^2+WeightSDS!V$17*$AG260+WeightSDS!W$17,IF($AG260&lt;186,WeightSDS!$U$18+(WeightSDS!$V$18-WeightSDS!$U$18)/24*($AG260-186)+WeightSDS!$W$18*(-$AG260+186)^2-0.005,WeightSDS!$U$18+(WeightSDS!$V$18-WeightSDS!$U$18)/24*($AG260-186)-0.005)))</f>
        <v>0.14604529399999999</v>
      </c>
    </row>
    <row r="261" spans="1:37">
      <c r="A261" s="4"/>
      <c r="B261" s="21"/>
      <c r="C261" s="21"/>
      <c r="D261" s="21"/>
      <c r="E261" s="22"/>
      <c r="F261" s="22"/>
      <c r="G261" s="23"/>
      <c r="H261" s="23"/>
      <c r="I261" s="8" t="str">
        <f t="shared" si="66"/>
        <v/>
      </c>
      <c r="J261" s="2" t="str">
        <f t="shared" si="73"/>
        <v/>
      </c>
      <c r="K261" s="2" t="str">
        <f t="shared" si="67"/>
        <v/>
      </c>
      <c r="L261" s="2" t="str">
        <f t="shared" si="74"/>
        <v/>
      </c>
      <c r="M261" s="2" t="str">
        <f t="shared" si="63"/>
        <v/>
      </c>
      <c r="N261" s="2" t="str">
        <f t="shared" si="75"/>
        <v/>
      </c>
      <c r="O261" s="8" t="str">
        <f t="shared" si="76"/>
        <v/>
      </c>
      <c r="P261" s="8" t="str">
        <f t="shared" si="77"/>
        <v/>
      </c>
      <c r="Q261" s="40" t="str">
        <f t="shared" si="68"/>
        <v/>
      </c>
      <c r="R261" s="48" t="str">
        <f t="shared" si="78"/>
        <v/>
      </c>
      <c r="S261" s="8"/>
      <c r="U261" s="35">
        <f t="shared" si="69"/>
        <v>0</v>
      </c>
      <c r="V261" s="24">
        <f t="shared" si="70"/>
        <v>0</v>
      </c>
      <c r="W261" s="41">
        <f t="shared" si="65"/>
        <v>0</v>
      </c>
      <c r="X261" s="31"/>
      <c r="Y261" s="31"/>
      <c r="Z261" s="31"/>
      <c r="AA261" s="25">
        <f t="shared" si="71"/>
        <v>9.0359999999999996</v>
      </c>
      <c r="AB261" s="25">
        <f t="shared" si="72"/>
        <v>-184.49199999999999</v>
      </c>
      <c r="AD261" s="24">
        <f>IF(D261="M",IF(AG261&lt;78,BMILMS!$D$5*AG261^3+BMILMS!$E$5*AG261^2+BMILMS!$F$5*AG261+BMILMS!$G$5,IF(AG261&lt;150,BMILMS!$D$6*AG261^3+BMILMS!$E$6*AG261^2+BMILMS!$F$6*AG261+BMILMS!$G$6,BMILMS!$D$7*AG261^3+BMILMS!$E$7*AG261^2+BMILMS!$F$7*AG261+BMILMS!$G$7)),IF(AG261&lt;69,BMILMS!$D$9*AG261^3+BMILMS!$E$9*AG261^2+BMILMS!$F$9*AG261+BMILMS!$G$9,IF(AG261&lt;150,BMILMS!$D$10*AG261^3+BMILMS!$E$10*AG261^2+BMILMS!$F$10*AG261+BMILMS!$G$10,BMILMS!$D$11*AG261^3+BMILMS!$E$11*AG261^2+BMILMS!$F$11*AG261+BMILMS!$G$11)))</f>
        <v>0.79584630099999998</v>
      </c>
      <c r="AE261" s="24">
        <f>IF(D261="M",(IF(AG261&lt;2.5,BMILMS!$D$21*AG261^3+BMILMS!$E$21*AG261^2+BMILMS!$F$21*AG261+BMILMS!$G$21,IF(AG261&lt;9.5,BMILMS!$D$22*AG261^3+BMILMS!$E$22*AG261^2+BMILMS!$F$22*AG261+BMILMS!$G$22,IF(AG261&lt;26.75,BMILMS!$D$23*AG261^3+BMILMS!$E$23*AG261^2+BMILMS!$F$23*AG261+BMILMS!$G$23,IF(AG261&lt;90,BMILMS!$D$24*AG261^3+BMILMS!$E$24*AG261^2+BMILMS!$F$24*AG261+BMILMS!$G$24,BMILMS!$D$25*AG261^3+BMILMS!$E$25*AG261^2+BMILMS!$F$25*AG261+BMILMS!$G$25))))),(IF(AG261&lt;2.5,BMILMS!$D$27*AG261^3+BMILMS!$E$27*AG261^2+BMILMS!$F$27*AG261+BMILMS!$G$27,IF(AG261&lt;9.5,BMILMS!$D$28*AG261^3+BMILMS!$E$28*AG261^2+BMILMS!$F$28*AG261+BMILMS!$G$28,IF(AG261&lt;26.75,BMILMS!$D$29*AG261^3+BMILMS!$E$29*AG261^2+BMILMS!$F$29*AG261+BMILMS!$G$29,IF(AG261&lt;90,BMILMS!$D$30*AG261^3+BMILMS!$E$30*AG261^2+BMILMS!$F$30*AG261+BMILMS!$G$30,IF(AG261&lt;150,BMILMS!$D$31*AG261^3+BMILMS!$E$31*AG261^2+BMILMS!$F$31*AG261+BMILMS!$G$31,BMILMS!$D$32*AG261^3+BMILMS!$E$32*AG261^2+BMILMS!$F$32*AG261+BMILMS!$G$32)))))))</f>
        <v>12.568967990000001</v>
      </c>
      <c r="AF261" s="24">
        <f>IF(D261="M",(IF(AG261&lt;90,BMILMS!$D$14*AG261^3+BMILMS!$E$14*AG261^2+BMILMS!$F$14*AG261+BMILMS!$G$14,BMILMS!$D$15*AG261^3+BMILMS!$E$15*AG261^2+BMILMS!$F$15*AG261+BMILMS!$G$15)),(IF(AG261&lt;90,BMILMS!$D$17*AG261^3+BMILMS!$E$17*AG261^2+BMILMS!$F$17*AG261+BMILMS!$G$17,BMILMS!$D$18*AG261^3+BMILMS!$E$18*AG261^2+BMILMS!$F$18*AG261+BMILMS!$G$18)))</f>
        <v>8.8969350000000003E-2</v>
      </c>
      <c r="AG261" s="24">
        <f t="shared" si="64"/>
        <v>0</v>
      </c>
      <c r="AI261" s="38">
        <f>IF(D261="M",WeightSDS!P$5*$AG261^7+WeightSDS!Q$5*$AG261^6+WeightSDS!R$5*$AG261^5+WeightSDS!S$5*$AG261^4+WeightSDS!T$5*$AG261^3+WeightSDS!U$5*$AG261^2+WeightSDS!V$5*$AG261+WeightSDS!W$5,IF($AG261&lt;186,WeightSDS!P$8*$AG261^7+WeightSDS!Q$8*$AG261^6+WeightSDS!R$8*$AG261^5+WeightSDS!S$8*$AG261^4+WeightSDS!T$8*$AG261^3+WeightSDS!U$8*$AG261^2+WeightSDS!V$8*$AG261+WeightSDS!W$8,WeightSDS!$U$9-WeightSDS!$V$9*($AG261-WeightSDS!$W$9)))</f>
        <v>0.75407122999999998</v>
      </c>
      <c r="AJ261" s="24">
        <f>IF(D261="M",IF($AG261&lt;45,WeightSDS!M$23*$AG261^10+WeightSDS!N$23*$AG261^9+WeightSDS!O$23*$AG261^8+WeightSDS!P$23*$AG261^7+WeightSDS!Q$23*$AG261^6+WeightSDS!R$23*$AG261^5+WeightSDS!S$23*$AG261^4+WeightSDS!T$23*$AG261^3+WeightSDS!U$23*$AG261^2+WeightSDS!V$23*$AG261+WeightSDS!W$23,IF($AG261&lt;153,WeightSDS!M$25*$AG261^10+WeightSDS!N$25*$AG261^9+WeightSDS!O$25*$AG261^8+WeightSDS!P$25*$AG261^7+WeightSDS!Q$25*$AG261^6+WeightSDS!R$25*$AG261^5+WeightSDS!S$25*$AG261^4+WeightSDS!T$25*$AG261^3+WeightSDS!U$25*$AG261^2+WeightSDS!V$25*$AG261+WeightSDS!W$25,WeightSDS!M$27+WeightSDS!N$27/(1+EXP(WeightSDS!O$27+WeightSDS!P$27*$AG261)))),IF($AG261&lt;43.8,WeightSDS!M$29*$AG261^10+WeightSDS!N$29*$AG261^9+WeightSDS!O$29*$AG261^8+WeightSDS!P$29*$AG261^7+WeightSDS!Q$29*$AG261^6+WeightSDS!R$29*$AG261^5+WeightSDS!S$29*$AG261^4+WeightSDS!T$29*$AG261^3+WeightSDS!U$29*$AG261^2+WeightSDS!V$29*$AG261+WeightSDS!W$29-0.010431*(1-$AG261/210),IF($AG261&lt;123,WeightSDS!M$30*$AG261^10+WeightSDS!N$30*$AG261^9+WeightSDS!O$30*$AG261^8+WeightSDS!P$30*$AG261^7+WeightSDS!Q$30*$AG261^6+WeightSDS!R$30*$AG261^5+WeightSDS!S$30*$AG261^4+WeightSDS!T$30*$AG261^3+WeightSDS!U$30*$AG261^2+WeightSDS!V$30*$AG261+WeightSDS!W$30-0.010431*(1-1/$AG261),WeightSDS!M$32+WeightSDS!N$32/(1+EXP(WeightSDS!O$32+WeightSDS!P$32*$AG261))-0.010431*(1-$AG261/210))))</f>
        <v>2.9500001032655536</v>
      </c>
      <c r="AK261" s="24">
        <f>IF(D261="M",IF($AG261&lt;162,WeightSDS!P$12*$AG261^7+WeightSDS!Q$12*$AG261^6+WeightSDS!R$12*$AG261^5+WeightSDS!S$12*$AG261^4+WeightSDS!T$12*$AG261^3+WeightSDS!U$12*$AG261^2+WeightSDS!V$12*$AG261+WeightSDS!W$12,WeightSDS!P$14*$AG261^7+WeightSDS!Q$14*$AG261^6+WeightSDS!R$14*$AG261^5+WeightSDS!S$14*$AG261^4+WeightSDS!T$14*$AG261^3+WeightSDS!U$14*$AG261^2+WeightSDS!V$14*$AG261+WeightSDS!W$14),IF($AG261&lt;156,WeightSDS!O$17*$AG261^8+WeightSDS!P$17*$AG261^7+WeightSDS!Q$17*$AG261^6+WeightSDS!R$17*$AG261^5+WeightSDS!S$17*$AG261^4+WeightSDS!T$17*$AG261^3+WeightSDS!U$17*$AG261^2+WeightSDS!V$17*$AG261+WeightSDS!W$17,IF($AG261&lt;186,WeightSDS!$U$18+(WeightSDS!$V$18-WeightSDS!$U$18)/24*($AG261-186)+WeightSDS!$W$18*(-$AG261+186)^2-0.005,WeightSDS!$U$18+(WeightSDS!$V$18-WeightSDS!$U$18)/24*($AG261-186)-0.005)))</f>
        <v>0.14604529399999999</v>
      </c>
    </row>
    <row r="262" spans="1:37">
      <c r="A262" s="4"/>
      <c r="B262" s="21"/>
      <c r="C262" s="21"/>
      <c r="D262" s="21"/>
      <c r="E262" s="22"/>
      <c r="F262" s="22"/>
      <c r="G262" s="23"/>
      <c r="H262" s="23"/>
      <c r="I262" s="8" t="str">
        <f t="shared" si="66"/>
        <v/>
      </c>
      <c r="J262" s="2" t="str">
        <f t="shared" si="73"/>
        <v/>
      </c>
      <c r="K262" s="2" t="str">
        <f t="shared" si="67"/>
        <v/>
      </c>
      <c r="L262" s="2" t="str">
        <f t="shared" si="74"/>
        <v/>
      </c>
      <c r="M262" s="2" t="str">
        <f t="shared" si="63"/>
        <v/>
      </c>
      <c r="N262" s="2" t="str">
        <f t="shared" si="75"/>
        <v/>
      </c>
      <c r="O262" s="8" t="str">
        <f t="shared" si="76"/>
        <v/>
      </c>
      <c r="P262" s="8" t="str">
        <f t="shared" si="77"/>
        <v/>
      </c>
      <c r="Q262" s="40" t="str">
        <f t="shared" si="68"/>
        <v/>
      </c>
      <c r="R262" s="48" t="str">
        <f t="shared" si="78"/>
        <v/>
      </c>
      <c r="S262" s="8"/>
      <c r="U262" s="35">
        <f t="shared" si="69"/>
        <v>0</v>
      </c>
      <c r="V262" s="24">
        <f t="shared" si="70"/>
        <v>0</v>
      </c>
      <c r="W262" s="41">
        <f t="shared" si="65"/>
        <v>0</v>
      </c>
      <c r="X262" s="31"/>
      <c r="Y262" s="31"/>
      <c r="Z262" s="31"/>
      <c r="AA262" s="25">
        <f t="shared" si="71"/>
        <v>9.0359999999999996</v>
      </c>
      <c r="AB262" s="25">
        <f t="shared" si="72"/>
        <v>-184.49199999999999</v>
      </c>
      <c r="AD262" s="24">
        <f>IF(D262="M",IF(AG262&lt;78,BMILMS!$D$5*AG262^3+BMILMS!$E$5*AG262^2+BMILMS!$F$5*AG262+BMILMS!$G$5,IF(AG262&lt;150,BMILMS!$D$6*AG262^3+BMILMS!$E$6*AG262^2+BMILMS!$F$6*AG262+BMILMS!$G$6,BMILMS!$D$7*AG262^3+BMILMS!$E$7*AG262^2+BMILMS!$F$7*AG262+BMILMS!$G$7)),IF(AG262&lt;69,BMILMS!$D$9*AG262^3+BMILMS!$E$9*AG262^2+BMILMS!$F$9*AG262+BMILMS!$G$9,IF(AG262&lt;150,BMILMS!$D$10*AG262^3+BMILMS!$E$10*AG262^2+BMILMS!$F$10*AG262+BMILMS!$G$10,BMILMS!$D$11*AG262^3+BMILMS!$E$11*AG262^2+BMILMS!$F$11*AG262+BMILMS!$G$11)))</f>
        <v>0.79584630099999998</v>
      </c>
      <c r="AE262" s="24">
        <f>IF(D262="M",(IF(AG262&lt;2.5,BMILMS!$D$21*AG262^3+BMILMS!$E$21*AG262^2+BMILMS!$F$21*AG262+BMILMS!$G$21,IF(AG262&lt;9.5,BMILMS!$D$22*AG262^3+BMILMS!$E$22*AG262^2+BMILMS!$F$22*AG262+BMILMS!$G$22,IF(AG262&lt;26.75,BMILMS!$D$23*AG262^3+BMILMS!$E$23*AG262^2+BMILMS!$F$23*AG262+BMILMS!$G$23,IF(AG262&lt;90,BMILMS!$D$24*AG262^3+BMILMS!$E$24*AG262^2+BMILMS!$F$24*AG262+BMILMS!$G$24,BMILMS!$D$25*AG262^3+BMILMS!$E$25*AG262^2+BMILMS!$F$25*AG262+BMILMS!$G$25))))),(IF(AG262&lt;2.5,BMILMS!$D$27*AG262^3+BMILMS!$E$27*AG262^2+BMILMS!$F$27*AG262+BMILMS!$G$27,IF(AG262&lt;9.5,BMILMS!$D$28*AG262^3+BMILMS!$E$28*AG262^2+BMILMS!$F$28*AG262+BMILMS!$G$28,IF(AG262&lt;26.75,BMILMS!$D$29*AG262^3+BMILMS!$E$29*AG262^2+BMILMS!$F$29*AG262+BMILMS!$G$29,IF(AG262&lt;90,BMILMS!$D$30*AG262^3+BMILMS!$E$30*AG262^2+BMILMS!$F$30*AG262+BMILMS!$G$30,IF(AG262&lt;150,BMILMS!$D$31*AG262^3+BMILMS!$E$31*AG262^2+BMILMS!$F$31*AG262+BMILMS!$G$31,BMILMS!$D$32*AG262^3+BMILMS!$E$32*AG262^2+BMILMS!$F$32*AG262+BMILMS!$G$32)))))))</f>
        <v>12.568967990000001</v>
      </c>
      <c r="AF262" s="24">
        <f>IF(D262="M",(IF(AG262&lt;90,BMILMS!$D$14*AG262^3+BMILMS!$E$14*AG262^2+BMILMS!$F$14*AG262+BMILMS!$G$14,BMILMS!$D$15*AG262^3+BMILMS!$E$15*AG262^2+BMILMS!$F$15*AG262+BMILMS!$G$15)),(IF(AG262&lt;90,BMILMS!$D$17*AG262^3+BMILMS!$E$17*AG262^2+BMILMS!$F$17*AG262+BMILMS!$G$17,BMILMS!$D$18*AG262^3+BMILMS!$E$18*AG262^2+BMILMS!$F$18*AG262+BMILMS!$G$18)))</f>
        <v>8.8969350000000003E-2</v>
      </c>
      <c r="AG262" s="24">
        <f t="shared" si="64"/>
        <v>0</v>
      </c>
      <c r="AI262" s="38">
        <f>IF(D262="M",WeightSDS!P$5*$AG262^7+WeightSDS!Q$5*$AG262^6+WeightSDS!R$5*$AG262^5+WeightSDS!S$5*$AG262^4+WeightSDS!T$5*$AG262^3+WeightSDS!U$5*$AG262^2+WeightSDS!V$5*$AG262+WeightSDS!W$5,IF($AG262&lt;186,WeightSDS!P$8*$AG262^7+WeightSDS!Q$8*$AG262^6+WeightSDS!R$8*$AG262^5+WeightSDS!S$8*$AG262^4+WeightSDS!T$8*$AG262^3+WeightSDS!U$8*$AG262^2+WeightSDS!V$8*$AG262+WeightSDS!W$8,WeightSDS!$U$9-WeightSDS!$V$9*($AG262-WeightSDS!$W$9)))</f>
        <v>0.75407122999999998</v>
      </c>
      <c r="AJ262" s="24">
        <f>IF(D262="M",IF($AG262&lt;45,WeightSDS!M$23*$AG262^10+WeightSDS!N$23*$AG262^9+WeightSDS!O$23*$AG262^8+WeightSDS!P$23*$AG262^7+WeightSDS!Q$23*$AG262^6+WeightSDS!R$23*$AG262^5+WeightSDS!S$23*$AG262^4+WeightSDS!T$23*$AG262^3+WeightSDS!U$23*$AG262^2+WeightSDS!V$23*$AG262+WeightSDS!W$23,IF($AG262&lt;153,WeightSDS!M$25*$AG262^10+WeightSDS!N$25*$AG262^9+WeightSDS!O$25*$AG262^8+WeightSDS!P$25*$AG262^7+WeightSDS!Q$25*$AG262^6+WeightSDS!R$25*$AG262^5+WeightSDS!S$25*$AG262^4+WeightSDS!T$25*$AG262^3+WeightSDS!U$25*$AG262^2+WeightSDS!V$25*$AG262+WeightSDS!W$25,WeightSDS!M$27+WeightSDS!N$27/(1+EXP(WeightSDS!O$27+WeightSDS!P$27*$AG262)))),IF($AG262&lt;43.8,WeightSDS!M$29*$AG262^10+WeightSDS!N$29*$AG262^9+WeightSDS!O$29*$AG262^8+WeightSDS!P$29*$AG262^7+WeightSDS!Q$29*$AG262^6+WeightSDS!R$29*$AG262^5+WeightSDS!S$29*$AG262^4+WeightSDS!T$29*$AG262^3+WeightSDS!U$29*$AG262^2+WeightSDS!V$29*$AG262+WeightSDS!W$29-0.010431*(1-$AG262/210),IF($AG262&lt;123,WeightSDS!M$30*$AG262^10+WeightSDS!N$30*$AG262^9+WeightSDS!O$30*$AG262^8+WeightSDS!P$30*$AG262^7+WeightSDS!Q$30*$AG262^6+WeightSDS!R$30*$AG262^5+WeightSDS!S$30*$AG262^4+WeightSDS!T$30*$AG262^3+WeightSDS!U$30*$AG262^2+WeightSDS!V$30*$AG262+WeightSDS!W$30-0.010431*(1-1/$AG262),WeightSDS!M$32+WeightSDS!N$32/(1+EXP(WeightSDS!O$32+WeightSDS!P$32*$AG262))-0.010431*(1-$AG262/210))))</f>
        <v>2.9500001032655536</v>
      </c>
      <c r="AK262" s="24">
        <f>IF(D262="M",IF($AG262&lt;162,WeightSDS!P$12*$AG262^7+WeightSDS!Q$12*$AG262^6+WeightSDS!R$12*$AG262^5+WeightSDS!S$12*$AG262^4+WeightSDS!T$12*$AG262^3+WeightSDS!U$12*$AG262^2+WeightSDS!V$12*$AG262+WeightSDS!W$12,WeightSDS!P$14*$AG262^7+WeightSDS!Q$14*$AG262^6+WeightSDS!R$14*$AG262^5+WeightSDS!S$14*$AG262^4+WeightSDS!T$14*$AG262^3+WeightSDS!U$14*$AG262^2+WeightSDS!V$14*$AG262+WeightSDS!W$14),IF($AG262&lt;156,WeightSDS!O$17*$AG262^8+WeightSDS!P$17*$AG262^7+WeightSDS!Q$17*$AG262^6+WeightSDS!R$17*$AG262^5+WeightSDS!S$17*$AG262^4+WeightSDS!T$17*$AG262^3+WeightSDS!U$17*$AG262^2+WeightSDS!V$17*$AG262+WeightSDS!W$17,IF($AG262&lt;186,WeightSDS!$U$18+(WeightSDS!$V$18-WeightSDS!$U$18)/24*($AG262-186)+WeightSDS!$W$18*(-$AG262+186)^2-0.005,WeightSDS!$U$18+(WeightSDS!$V$18-WeightSDS!$U$18)/24*($AG262-186)-0.005)))</f>
        <v>0.14604529399999999</v>
      </c>
    </row>
    <row r="263" spans="1:37">
      <c r="A263" s="4"/>
      <c r="B263" s="21"/>
      <c r="C263" s="21"/>
      <c r="D263" s="21"/>
      <c r="E263" s="22"/>
      <c r="F263" s="22"/>
      <c r="G263" s="23"/>
      <c r="H263" s="23"/>
      <c r="I263" s="8" t="str">
        <f t="shared" si="66"/>
        <v/>
      </c>
      <c r="J263" s="2" t="str">
        <f t="shared" si="73"/>
        <v/>
      </c>
      <c r="K263" s="2" t="str">
        <f t="shared" si="67"/>
        <v/>
      </c>
      <c r="L263" s="2" t="str">
        <f t="shared" si="74"/>
        <v/>
      </c>
      <c r="M263" s="2" t="str">
        <f t="shared" si="63"/>
        <v/>
      </c>
      <c r="N263" s="2" t="str">
        <f t="shared" si="75"/>
        <v/>
      </c>
      <c r="O263" s="8" t="str">
        <f t="shared" si="76"/>
        <v/>
      </c>
      <c r="P263" s="8" t="str">
        <f t="shared" si="77"/>
        <v/>
      </c>
      <c r="Q263" s="40" t="str">
        <f t="shared" si="68"/>
        <v/>
      </c>
      <c r="R263" s="48" t="str">
        <f t="shared" si="78"/>
        <v/>
      </c>
      <c r="S263" s="8"/>
      <c r="U263" s="35">
        <f t="shared" si="69"/>
        <v>0</v>
      </c>
      <c r="V263" s="24">
        <f t="shared" si="70"/>
        <v>0</v>
      </c>
      <c r="W263" s="41">
        <f t="shared" si="65"/>
        <v>0</v>
      </c>
      <c r="X263" s="31"/>
      <c r="Y263" s="31"/>
      <c r="Z263" s="31"/>
      <c r="AA263" s="25">
        <f t="shared" si="71"/>
        <v>9.0359999999999996</v>
      </c>
      <c r="AB263" s="25">
        <f t="shared" si="72"/>
        <v>-184.49199999999999</v>
      </c>
      <c r="AD263" s="24">
        <f>IF(D263="M",IF(AG263&lt;78,BMILMS!$D$5*AG263^3+BMILMS!$E$5*AG263^2+BMILMS!$F$5*AG263+BMILMS!$G$5,IF(AG263&lt;150,BMILMS!$D$6*AG263^3+BMILMS!$E$6*AG263^2+BMILMS!$F$6*AG263+BMILMS!$G$6,BMILMS!$D$7*AG263^3+BMILMS!$E$7*AG263^2+BMILMS!$F$7*AG263+BMILMS!$G$7)),IF(AG263&lt;69,BMILMS!$D$9*AG263^3+BMILMS!$E$9*AG263^2+BMILMS!$F$9*AG263+BMILMS!$G$9,IF(AG263&lt;150,BMILMS!$D$10*AG263^3+BMILMS!$E$10*AG263^2+BMILMS!$F$10*AG263+BMILMS!$G$10,BMILMS!$D$11*AG263^3+BMILMS!$E$11*AG263^2+BMILMS!$F$11*AG263+BMILMS!$G$11)))</f>
        <v>0.79584630099999998</v>
      </c>
      <c r="AE263" s="24">
        <f>IF(D263="M",(IF(AG263&lt;2.5,BMILMS!$D$21*AG263^3+BMILMS!$E$21*AG263^2+BMILMS!$F$21*AG263+BMILMS!$G$21,IF(AG263&lt;9.5,BMILMS!$D$22*AG263^3+BMILMS!$E$22*AG263^2+BMILMS!$F$22*AG263+BMILMS!$G$22,IF(AG263&lt;26.75,BMILMS!$D$23*AG263^3+BMILMS!$E$23*AG263^2+BMILMS!$F$23*AG263+BMILMS!$G$23,IF(AG263&lt;90,BMILMS!$D$24*AG263^3+BMILMS!$E$24*AG263^2+BMILMS!$F$24*AG263+BMILMS!$G$24,BMILMS!$D$25*AG263^3+BMILMS!$E$25*AG263^2+BMILMS!$F$25*AG263+BMILMS!$G$25))))),(IF(AG263&lt;2.5,BMILMS!$D$27*AG263^3+BMILMS!$E$27*AG263^2+BMILMS!$F$27*AG263+BMILMS!$G$27,IF(AG263&lt;9.5,BMILMS!$D$28*AG263^3+BMILMS!$E$28*AG263^2+BMILMS!$F$28*AG263+BMILMS!$G$28,IF(AG263&lt;26.75,BMILMS!$D$29*AG263^3+BMILMS!$E$29*AG263^2+BMILMS!$F$29*AG263+BMILMS!$G$29,IF(AG263&lt;90,BMILMS!$D$30*AG263^3+BMILMS!$E$30*AG263^2+BMILMS!$F$30*AG263+BMILMS!$G$30,IF(AG263&lt;150,BMILMS!$D$31*AG263^3+BMILMS!$E$31*AG263^2+BMILMS!$F$31*AG263+BMILMS!$G$31,BMILMS!$D$32*AG263^3+BMILMS!$E$32*AG263^2+BMILMS!$F$32*AG263+BMILMS!$G$32)))))))</f>
        <v>12.568967990000001</v>
      </c>
      <c r="AF263" s="24">
        <f>IF(D263="M",(IF(AG263&lt;90,BMILMS!$D$14*AG263^3+BMILMS!$E$14*AG263^2+BMILMS!$F$14*AG263+BMILMS!$G$14,BMILMS!$D$15*AG263^3+BMILMS!$E$15*AG263^2+BMILMS!$F$15*AG263+BMILMS!$G$15)),(IF(AG263&lt;90,BMILMS!$D$17*AG263^3+BMILMS!$E$17*AG263^2+BMILMS!$F$17*AG263+BMILMS!$G$17,BMILMS!$D$18*AG263^3+BMILMS!$E$18*AG263^2+BMILMS!$F$18*AG263+BMILMS!$G$18)))</f>
        <v>8.8969350000000003E-2</v>
      </c>
      <c r="AG263" s="24">
        <f t="shared" si="64"/>
        <v>0</v>
      </c>
      <c r="AI263" s="38">
        <f>IF(D263="M",WeightSDS!P$5*$AG263^7+WeightSDS!Q$5*$AG263^6+WeightSDS!R$5*$AG263^5+WeightSDS!S$5*$AG263^4+WeightSDS!T$5*$AG263^3+WeightSDS!U$5*$AG263^2+WeightSDS!V$5*$AG263+WeightSDS!W$5,IF($AG263&lt;186,WeightSDS!P$8*$AG263^7+WeightSDS!Q$8*$AG263^6+WeightSDS!R$8*$AG263^5+WeightSDS!S$8*$AG263^4+WeightSDS!T$8*$AG263^3+WeightSDS!U$8*$AG263^2+WeightSDS!V$8*$AG263+WeightSDS!W$8,WeightSDS!$U$9-WeightSDS!$V$9*($AG263-WeightSDS!$W$9)))</f>
        <v>0.75407122999999998</v>
      </c>
      <c r="AJ263" s="24">
        <f>IF(D263="M",IF($AG263&lt;45,WeightSDS!M$23*$AG263^10+WeightSDS!N$23*$AG263^9+WeightSDS!O$23*$AG263^8+WeightSDS!P$23*$AG263^7+WeightSDS!Q$23*$AG263^6+WeightSDS!R$23*$AG263^5+WeightSDS!S$23*$AG263^4+WeightSDS!T$23*$AG263^3+WeightSDS!U$23*$AG263^2+WeightSDS!V$23*$AG263+WeightSDS!W$23,IF($AG263&lt;153,WeightSDS!M$25*$AG263^10+WeightSDS!N$25*$AG263^9+WeightSDS!O$25*$AG263^8+WeightSDS!P$25*$AG263^7+WeightSDS!Q$25*$AG263^6+WeightSDS!R$25*$AG263^5+WeightSDS!S$25*$AG263^4+WeightSDS!T$25*$AG263^3+WeightSDS!U$25*$AG263^2+WeightSDS!V$25*$AG263+WeightSDS!W$25,WeightSDS!M$27+WeightSDS!N$27/(1+EXP(WeightSDS!O$27+WeightSDS!P$27*$AG263)))),IF($AG263&lt;43.8,WeightSDS!M$29*$AG263^10+WeightSDS!N$29*$AG263^9+WeightSDS!O$29*$AG263^8+WeightSDS!P$29*$AG263^7+WeightSDS!Q$29*$AG263^6+WeightSDS!R$29*$AG263^5+WeightSDS!S$29*$AG263^4+WeightSDS!T$29*$AG263^3+WeightSDS!U$29*$AG263^2+WeightSDS!V$29*$AG263+WeightSDS!W$29-0.010431*(1-$AG263/210),IF($AG263&lt;123,WeightSDS!M$30*$AG263^10+WeightSDS!N$30*$AG263^9+WeightSDS!O$30*$AG263^8+WeightSDS!P$30*$AG263^7+WeightSDS!Q$30*$AG263^6+WeightSDS!R$30*$AG263^5+WeightSDS!S$30*$AG263^4+WeightSDS!T$30*$AG263^3+WeightSDS!U$30*$AG263^2+WeightSDS!V$30*$AG263+WeightSDS!W$30-0.010431*(1-1/$AG263),WeightSDS!M$32+WeightSDS!N$32/(1+EXP(WeightSDS!O$32+WeightSDS!P$32*$AG263))-0.010431*(1-$AG263/210))))</f>
        <v>2.9500001032655536</v>
      </c>
      <c r="AK263" s="24">
        <f>IF(D263="M",IF($AG263&lt;162,WeightSDS!P$12*$AG263^7+WeightSDS!Q$12*$AG263^6+WeightSDS!R$12*$AG263^5+WeightSDS!S$12*$AG263^4+WeightSDS!T$12*$AG263^3+WeightSDS!U$12*$AG263^2+WeightSDS!V$12*$AG263+WeightSDS!W$12,WeightSDS!P$14*$AG263^7+WeightSDS!Q$14*$AG263^6+WeightSDS!R$14*$AG263^5+WeightSDS!S$14*$AG263^4+WeightSDS!T$14*$AG263^3+WeightSDS!U$14*$AG263^2+WeightSDS!V$14*$AG263+WeightSDS!W$14),IF($AG263&lt;156,WeightSDS!O$17*$AG263^8+WeightSDS!P$17*$AG263^7+WeightSDS!Q$17*$AG263^6+WeightSDS!R$17*$AG263^5+WeightSDS!S$17*$AG263^4+WeightSDS!T$17*$AG263^3+WeightSDS!U$17*$AG263^2+WeightSDS!V$17*$AG263+WeightSDS!W$17,IF($AG263&lt;186,WeightSDS!$U$18+(WeightSDS!$V$18-WeightSDS!$U$18)/24*($AG263-186)+WeightSDS!$W$18*(-$AG263+186)^2-0.005,WeightSDS!$U$18+(WeightSDS!$V$18-WeightSDS!$U$18)/24*($AG263-186)-0.005)))</f>
        <v>0.14604529399999999</v>
      </c>
    </row>
    <row r="264" spans="1:37">
      <c r="A264" s="4"/>
      <c r="B264" s="21"/>
      <c r="C264" s="21"/>
      <c r="D264" s="21"/>
      <c r="E264" s="22"/>
      <c r="F264" s="22"/>
      <c r="G264" s="23"/>
      <c r="H264" s="23"/>
      <c r="I264" s="8" t="str">
        <f t="shared" si="66"/>
        <v/>
      </c>
      <c r="J264" s="2" t="str">
        <f t="shared" si="73"/>
        <v/>
      </c>
      <c r="K264" s="2" t="str">
        <f t="shared" si="67"/>
        <v/>
      </c>
      <c r="L264" s="2" t="str">
        <f t="shared" si="74"/>
        <v/>
      </c>
      <c r="M264" s="2" t="str">
        <f t="shared" ref="M264:M327" si="79">IF(COUNTA(D264,E264,F264,G264,H264)=5,H264/G264^2*10000,"")</f>
        <v/>
      </c>
      <c r="N264" s="2" t="str">
        <f t="shared" si="75"/>
        <v/>
      </c>
      <c r="O264" s="8" t="str">
        <f t="shared" si="76"/>
        <v/>
      </c>
      <c r="P264" s="8" t="str">
        <f t="shared" si="77"/>
        <v/>
      </c>
      <c r="Q264" s="40" t="str">
        <f t="shared" si="68"/>
        <v/>
      </c>
      <c r="R264" s="48" t="str">
        <f t="shared" si="78"/>
        <v/>
      </c>
      <c r="S264" s="8"/>
      <c r="U264" s="35">
        <f t="shared" si="69"/>
        <v>0</v>
      </c>
      <c r="V264" s="24">
        <f t="shared" si="70"/>
        <v>0</v>
      </c>
      <c r="W264" s="41">
        <f t="shared" si="65"/>
        <v>0</v>
      </c>
      <c r="X264" s="31"/>
      <c r="Y264" s="31"/>
      <c r="Z264" s="31"/>
      <c r="AA264" s="25">
        <f t="shared" si="71"/>
        <v>9.0359999999999996</v>
      </c>
      <c r="AB264" s="25">
        <f t="shared" si="72"/>
        <v>-184.49199999999999</v>
      </c>
      <c r="AD264" s="24">
        <f>IF(D264="M",IF(AG264&lt;78,BMILMS!$D$5*AG264^3+BMILMS!$E$5*AG264^2+BMILMS!$F$5*AG264+BMILMS!$G$5,IF(AG264&lt;150,BMILMS!$D$6*AG264^3+BMILMS!$E$6*AG264^2+BMILMS!$F$6*AG264+BMILMS!$G$6,BMILMS!$D$7*AG264^3+BMILMS!$E$7*AG264^2+BMILMS!$F$7*AG264+BMILMS!$G$7)),IF(AG264&lt;69,BMILMS!$D$9*AG264^3+BMILMS!$E$9*AG264^2+BMILMS!$F$9*AG264+BMILMS!$G$9,IF(AG264&lt;150,BMILMS!$D$10*AG264^3+BMILMS!$E$10*AG264^2+BMILMS!$F$10*AG264+BMILMS!$G$10,BMILMS!$D$11*AG264^3+BMILMS!$E$11*AG264^2+BMILMS!$F$11*AG264+BMILMS!$G$11)))</f>
        <v>0.79584630099999998</v>
      </c>
      <c r="AE264" s="24">
        <f>IF(D264="M",(IF(AG264&lt;2.5,BMILMS!$D$21*AG264^3+BMILMS!$E$21*AG264^2+BMILMS!$F$21*AG264+BMILMS!$G$21,IF(AG264&lt;9.5,BMILMS!$D$22*AG264^3+BMILMS!$E$22*AG264^2+BMILMS!$F$22*AG264+BMILMS!$G$22,IF(AG264&lt;26.75,BMILMS!$D$23*AG264^3+BMILMS!$E$23*AG264^2+BMILMS!$F$23*AG264+BMILMS!$G$23,IF(AG264&lt;90,BMILMS!$D$24*AG264^3+BMILMS!$E$24*AG264^2+BMILMS!$F$24*AG264+BMILMS!$G$24,BMILMS!$D$25*AG264^3+BMILMS!$E$25*AG264^2+BMILMS!$F$25*AG264+BMILMS!$G$25))))),(IF(AG264&lt;2.5,BMILMS!$D$27*AG264^3+BMILMS!$E$27*AG264^2+BMILMS!$F$27*AG264+BMILMS!$G$27,IF(AG264&lt;9.5,BMILMS!$D$28*AG264^3+BMILMS!$E$28*AG264^2+BMILMS!$F$28*AG264+BMILMS!$G$28,IF(AG264&lt;26.75,BMILMS!$D$29*AG264^3+BMILMS!$E$29*AG264^2+BMILMS!$F$29*AG264+BMILMS!$G$29,IF(AG264&lt;90,BMILMS!$D$30*AG264^3+BMILMS!$E$30*AG264^2+BMILMS!$F$30*AG264+BMILMS!$G$30,IF(AG264&lt;150,BMILMS!$D$31*AG264^3+BMILMS!$E$31*AG264^2+BMILMS!$F$31*AG264+BMILMS!$G$31,BMILMS!$D$32*AG264^3+BMILMS!$E$32*AG264^2+BMILMS!$F$32*AG264+BMILMS!$G$32)))))))</f>
        <v>12.568967990000001</v>
      </c>
      <c r="AF264" s="24">
        <f>IF(D264="M",(IF(AG264&lt;90,BMILMS!$D$14*AG264^3+BMILMS!$E$14*AG264^2+BMILMS!$F$14*AG264+BMILMS!$G$14,BMILMS!$D$15*AG264^3+BMILMS!$E$15*AG264^2+BMILMS!$F$15*AG264+BMILMS!$G$15)),(IF(AG264&lt;90,BMILMS!$D$17*AG264^3+BMILMS!$E$17*AG264^2+BMILMS!$F$17*AG264+BMILMS!$G$17,BMILMS!$D$18*AG264^3+BMILMS!$E$18*AG264^2+BMILMS!$F$18*AG264+BMILMS!$G$18)))</f>
        <v>8.8969350000000003E-2</v>
      </c>
      <c r="AG264" s="24">
        <f t="shared" ref="AG264:AG327" si="80">U264*12+V264</f>
        <v>0</v>
      </c>
      <c r="AI264" s="38">
        <f>IF(D264="M",WeightSDS!P$5*$AG264^7+WeightSDS!Q$5*$AG264^6+WeightSDS!R$5*$AG264^5+WeightSDS!S$5*$AG264^4+WeightSDS!T$5*$AG264^3+WeightSDS!U$5*$AG264^2+WeightSDS!V$5*$AG264+WeightSDS!W$5,IF($AG264&lt;186,WeightSDS!P$8*$AG264^7+WeightSDS!Q$8*$AG264^6+WeightSDS!R$8*$AG264^5+WeightSDS!S$8*$AG264^4+WeightSDS!T$8*$AG264^3+WeightSDS!U$8*$AG264^2+WeightSDS!V$8*$AG264+WeightSDS!W$8,WeightSDS!$U$9-WeightSDS!$V$9*($AG264-WeightSDS!$W$9)))</f>
        <v>0.75407122999999998</v>
      </c>
      <c r="AJ264" s="24">
        <f>IF(D264="M",IF($AG264&lt;45,WeightSDS!M$23*$AG264^10+WeightSDS!N$23*$AG264^9+WeightSDS!O$23*$AG264^8+WeightSDS!P$23*$AG264^7+WeightSDS!Q$23*$AG264^6+WeightSDS!R$23*$AG264^5+WeightSDS!S$23*$AG264^4+WeightSDS!T$23*$AG264^3+WeightSDS!U$23*$AG264^2+WeightSDS!V$23*$AG264+WeightSDS!W$23,IF($AG264&lt;153,WeightSDS!M$25*$AG264^10+WeightSDS!N$25*$AG264^9+WeightSDS!O$25*$AG264^8+WeightSDS!P$25*$AG264^7+WeightSDS!Q$25*$AG264^6+WeightSDS!R$25*$AG264^5+WeightSDS!S$25*$AG264^4+WeightSDS!T$25*$AG264^3+WeightSDS!U$25*$AG264^2+WeightSDS!V$25*$AG264+WeightSDS!W$25,WeightSDS!M$27+WeightSDS!N$27/(1+EXP(WeightSDS!O$27+WeightSDS!P$27*$AG264)))),IF($AG264&lt;43.8,WeightSDS!M$29*$AG264^10+WeightSDS!N$29*$AG264^9+WeightSDS!O$29*$AG264^8+WeightSDS!P$29*$AG264^7+WeightSDS!Q$29*$AG264^6+WeightSDS!R$29*$AG264^5+WeightSDS!S$29*$AG264^4+WeightSDS!T$29*$AG264^3+WeightSDS!U$29*$AG264^2+WeightSDS!V$29*$AG264+WeightSDS!W$29-0.010431*(1-$AG264/210),IF($AG264&lt;123,WeightSDS!M$30*$AG264^10+WeightSDS!N$30*$AG264^9+WeightSDS!O$30*$AG264^8+WeightSDS!P$30*$AG264^7+WeightSDS!Q$30*$AG264^6+WeightSDS!R$30*$AG264^5+WeightSDS!S$30*$AG264^4+WeightSDS!T$30*$AG264^3+WeightSDS!U$30*$AG264^2+WeightSDS!V$30*$AG264+WeightSDS!W$30-0.010431*(1-1/$AG264),WeightSDS!M$32+WeightSDS!N$32/(1+EXP(WeightSDS!O$32+WeightSDS!P$32*$AG264))-0.010431*(1-$AG264/210))))</f>
        <v>2.9500001032655536</v>
      </c>
      <c r="AK264" s="24">
        <f>IF(D264="M",IF($AG264&lt;162,WeightSDS!P$12*$AG264^7+WeightSDS!Q$12*$AG264^6+WeightSDS!R$12*$AG264^5+WeightSDS!S$12*$AG264^4+WeightSDS!T$12*$AG264^3+WeightSDS!U$12*$AG264^2+WeightSDS!V$12*$AG264+WeightSDS!W$12,WeightSDS!P$14*$AG264^7+WeightSDS!Q$14*$AG264^6+WeightSDS!R$14*$AG264^5+WeightSDS!S$14*$AG264^4+WeightSDS!T$14*$AG264^3+WeightSDS!U$14*$AG264^2+WeightSDS!V$14*$AG264+WeightSDS!W$14),IF($AG264&lt;156,WeightSDS!O$17*$AG264^8+WeightSDS!P$17*$AG264^7+WeightSDS!Q$17*$AG264^6+WeightSDS!R$17*$AG264^5+WeightSDS!S$17*$AG264^4+WeightSDS!T$17*$AG264^3+WeightSDS!U$17*$AG264^2+WeightSDS!V$17*$AG264+WeightSDS!W$17,IF($AG264&lt;186,WeightSDS!$U$18+(WeightSDS!$V$18-WeightSDS!$U$18)/24*($AG264-186)+WeightSDS!$W$18*(-$AG264+186)^2-0.005,WeightSDS!$U$18+(WeightSDS!$V$18-WeightSDS!$U$18)/24*($AG264-186)-0.005)))</f>
        <v>0.14604529399999999</v>
      </c>
    </row>
    <row r="265" spans="1:37">
      <c r="A265" s="4"/>
      <c r="B265" s="21"/>
      <c r="C265" s="21"/>
      <c r="D265" s="21"/>
      <c r="E265" s="22"/>
      <c r="F265" s="22"/>
      <c r="G265" s="23"/>
      <c r="H265" s="23"/>
      <c r="I265" s="8" t="str">
        <f t="shared" si="66"/>
        <v/>
      </c>
      <c r="J265" s="2" t="str">
        <f t="shared" si="73"/>
        <v/>
      </c>
      <c r="K265" s="2" t="str">
        <f t="shared" si="67"/>
        <v/>
      </c>
      <c r="L265" s="2" t="str">
        <f t="shared" si="74"/>
        <v/>
      </c>
      <c r="M265" s="2" t="str">
        <f t="shared" si="79"/>
        <v/>
      </c>
      <c r="N265" s="2" t="str">
        <f t="shared" si="75"/>
        <v/>
      </c>
      <c r="O265" s="8" t="str">
        <f t="shared" si="76"/>
        <v/>
      </c>
      <c r="P265" s="8" t="str">
        <f t="shared" si="77"/>
        <v/>
      </c>
      <c r="Q265" s="40" t="str">
        <f t="shared" si="68"/>
        <v/>
      </c>
      <c r="R265" s="48" t="str">
        <f t="shared" si="78"/>
        <v/>
      </c>
      <c r="S265" s="8"/>
      <c r="U265" s="35">
        <f t="shared" si="69"/>
        <v>0</v>
      </c>
      <c r="V265" s="24">
        <f t="shared" si="70"/>
        <v>0</v>
      </c>
      <c r="W265" s="41">
        <f t="shared" si="65"/>
        <v>0</v>
      </c>
      <c r="X265" s="31"/>
      <c r="Y265" s="31"/>
      <c r="Z265" s="31"/>
      <c r="AA265" s="25">
        <f t="shared" si="71"/>
        <v>9.0359999999999996</v>
      </c>
      <c r="AB265" s="25">
        <f t="shared" si="72"/>
        <v>-184.49199999999999</v>
      </c>
      <c r="AD265" s="24">
        <f>IF(D265="M",IF(AG265&lt;78,BMILMS!$D$5*AG265^3+BMILMS!$E$5*AG265^2+BMILMS!$F$5*AG265+BMILMS!$G$5,IF(AG265&lt;150,BMILMS!$D$6*AG265^3+BMILMS!$E$6*AG265^2+BMILMS!$F$6*AG265+BMILMS!$G$6,BMILMS!$D$7*AG265^3+BMILMS!$E$7*AG265^2+BMILMS!$F$7*AG265+BMILMS!$G$7)),IF(AG265&lt;69,BMILMS!$D$9*AG265^3+BMILMS!$E$9*AG265^2+BMILMS!$F$9*AG265+BMILMS!$G$9,IF(AG265&lt;150,BMILMS!$D$10*AG265^3+BMILMS!$E$10*AG265^2+BMILMS!$F$10*AG265+BMILMS!$G$10,BMILMS!$D$11*AG265^3+BMILMS!$E$11*AG265^2+BMILMS!$F$11*AG265+BMILMS!$G$11)))</f>
        <v>0.79584630099999998</v>
      </c>
      <c r="AE265" s="24">
        <f>IF(D265="M",(IF(AG265&lt;2.5,BMILMS!$D$21*AG265^3+BMILMS!$E$21*AG265^2+BMILMS!$F$21*AG265+BMILMS!$G$21,IF(AG265&lt;9.5,BMILMS!$D$22*AG265^3+BMILMS!$E$22*AG265^2+BMILMS!$F$22*AG265+BMILMS!$G$22,IF(AG265&lt;26.75,BMILMS!$D$23*AG265^3+BMILMS!$E$23*AG265^2+BMILMS!$F$23*AG265+BMILMS!$G$23,IF(AG265&lt;90,BMILMS!$D$24*AG265^3+BMILMS!$E$24*AG265^2+BMILMS!$F$24*AG265+BMILMS!$G$24,BMILMS!$D$25*AG265^3+BMILMS!$E$25*AG265^2+BMILMS!$F$25*AG265+BMILMS!$G$25))))),(IF(AG265&lt;2.5,BMILMS!$D$27*AG265^3+BMILMS!$E$27*AG265^2+BMILMS!$F$27*AG265+BMILMS!$G$27,IF(AG265&lt;9.5,BMILMS!$D$28*AG265^3+BMILMS!$E$28*AG265^2+BMILMS!$F$28*AG265+BMILMS!$G$28,IF(AG265&lt;26.75,BMILMS!$D$29*AG265^3+BMILMS!$E$29*AG265^2+BMILMS!$F$29*AG265+BMILMS!$G$29,IF(AG265&lt;90,BMILMS!$D$30*AG265^3+BMILMS!$E$30*AG265^2+BMILMS!$F$30*AG265+BMILMS!$G$30,IF(AG265&lt;150,BMILMS!$D$31*AG265^3+BMILMS!$E$31*AG265^2+BMILMS!$F$31*AG265+BMILMS!$G$31,BMILMS!$D$32*AG265^3+BMILMS!$E$32*AG265^2+BMILMS!$F$32*AG265+BMILMS!$G$32)))))))</f>
        <v>12.568967990000001</v>
      </c>
      <c r="AF265" s="24">
        <f>IF(D265="M",(IF(AG265&lt;90,BMILMS!$D$14*AG265^3+BMILMS!$E$14*AG265^2+BMILMS!$F$14*AG265+BMILMS!$G$14,BMILMS!$D$15*AG265^3+BMILMS!$E$15*AG265^2+BMILMS!$F$15*AG265+BMILMS!$G$15)),(IF(AG265&lt;90,BMILMS!$D$17*AG265^3+BMILMS!$E$17*AG265^2+BMILMS!$F$17*AG265+BMILMS!$G$17,BMILMS!$D$18*AG265^3+BMILMS!$E$18*AG265^2+BMILMS!$F$18*AG265+BMILMS!$G$18)))</f>
        <v>8.8969350000000003E-2</v>
      </c>
      <c r="AG265" s="24">
        <f t="shared" si="80"/>
        <v>0</v>
      </c>
      <c r="AI265" s="38">
        <f>IF(D265="M",WeightSDS!P$5*$AG265^7+WeightSDS!Q$5*$AG265^6+WeightSDS!R$5*$AG265^5+WeightSDS!S$5*$AG265^4+WeightSDS!T$5*$AG265^3+WeightSDS!U$5*$AG265^2+WeightSDS!V$5*$AG265+WeightSDS!W$5,IF($AG265&lt;186,WeightSDS!P$8*$AG265^7+WeightSDS!Q$8*$AG265^6+WeightSDS!R$8*$AG265^5+WeightSDS!S$8*$AG265^4+WeightSDS!T$8*$AG265^3+WeightSDS!U$8*$AG265^2+WeightSDS!V$8*$AG265+WeightSDS!W$8,WeightSDS!$U$9-WeightSDS!$V$9*($AG265-WeightSDS!$W$9)))</f>
        <v>0.75407122999999998</v>
      </c>
      <c r="AJ265" s="24">
        <f>IF(D265="M",IF($AG265&lt;45,WeightSDS!M$23*$AG265^10+WeightSDS!N$23*$AG265^9+WeightSDS!O$23*$AG265^8+WeightSDS!P$23*$AG265^7+WeightSDS!Q$23*$AG265^6+WeightSDS!R$23*$AG265^5+WeightSDS!S$23*$AG265^4+WeightSDS!T$23*$AG265^3+WeightSDS!U$23*$AG265^2+WeightSDS!V$23*$AG265+WeightSDS!W$23,IF($AG265&lt;153,WeightSDS!M$25*$AG265^10+WeightSDS!N$25*$AG265^9+WeightSDS!O$25*$AG265^8+WeightSDS!P$25*$AG265^7+WeightSDS!Q$25*$AG265^6+WeightSDS!R$25*$AG265^5+WeightSDS!S$25*$AG265^4+WeightSDS!T$25*$AG265^3+WeightSDS!U$25*$AG265^2+WeightSDS!V$25*$AG265+WeightSDS!W$25,WeightSDS!M$27+WeightSDS!N$27/(1+EXP(WeightSDS!O$27+WeightSDS!P$27*$AG265)))),IF($AG265&lt;43.8,WeightSDS!M$29*$AG265^10+WeightSDS!N$29*$AG265^9+WeightSDS!O$29*$AG265^8+WeightSDS!P$29*$AG265^7+WeightSDS!Q$29*$AG265^6+WeightSDS!R$29*$AG265^5+WeightSDS!S$29*$AG265^4+WeightSDS!T$29*$AG265^3+WeightSDS!U$29*$AG265^2+WeightSDS!V$29*$AG265+WeightSDS!W$29-0.010431*(1-$AG265/210),IF($AG265&lt;123,WeightSDS!M$30*$AG265^10+WeightSDS!N$30*$AG265^9+WeightSDS!O$30*$AG265^8+WeightSDS!P$30*$AG265^7+WeightSDS!Q$30*$AG265^6+WeightSDS!R$30*$AG265^5+WeightSDS!S$30*$AG265^4+WeightSDS!T$30*$AG265^3+WeightSDS!U$30*$AG265^2+WeightSDS!V$30*$AG265+WeightSDS!W$30-0.010431*(1-1/$AG265),WeightSDS!M$32+WeightSDS!N$32/(1+EXP(WeightSDS!O$32+WeightSDS!P$32*$AG265))-0.010431*(1-$AG265/210))))</f>
        <v>2.9500001032655536</v>
      </c>
      <c r="AK265" s="24">
        <f>IF(D265="M",IF($AG265&lt;162,WeightSDS!P$12*$AG265^7+WeightSDS!Q$12*$AG265^6+WeightSDS!R$12*$AG265^5+WeightSDS!S$12*$AG265^4+WeightSDS!T$12*$AG265^3+WeightSDS!U$12*$AG265^2+WeightSDS!V$12*$AG265+WeightSDS!W$12,WeightSDS!P$14*$AG265^7+WeightSDS!Q$14*$AG265^6+WeightSDS!R$14*$AG265^5+WeightSDS!S$14*$AG265^4+WeightSDS!T$14*$AG265^3+WeightSDS!U$14*$AG265^2+WeightSDS!V$14*$AG265+WeightSDS!W$14),IF($AG265&lt;156,WeightSDS!O$17*$AG265^8+WeightSDS!P$17*$AG265^7+WeightSDS!Q$17*$AG265^6+WeightSDS!R$17*$AG265^5+WeightSDS!S$17*$AG265^4+WeightSDS!T$17*$AG265^3+WeightSDS!U$17*$AG265^2+WeightSDS!V$17*$AG265+WeightSDS!W$17,IF($AG265&lt;186,WeightSDS!$U$18+(WeightSDS!$V$18-WeightSDS!$U$18)/24*($AG265-186)+WeightSDS!$W$18*(-$AG265+186)^2-0.005,WeightSDS!$U$18+(WeightSDS!$V$18-WeightSDS!$U$18)/24*($AG265-186)-0.005)))</f>
        <v>0.14604529399999999</v>
      </c>
    </row>
    <row r="266" spans="1:37">
      <c r="A266" s="4"/>
      <c r="B266" s="21"/>
      <c r="C266" s="21"/>
      <c r="D266" s="21"/>
      <c r="E266" s="22"/>
      <c r="F266" s="22"/>
      <c r="G266" s="23"/>
      <c r="H266" s="23"/>
      <c r="I266" s="8" t="str">
        <f t="shared" si="66"/>
        <v/>
      </c>
      <c r="J266" s="2" t="str">
        <f t="shared" si="73"/>
        <v/>
      </c>
      <c r="K266" s="2" t="str">
        <f t="shared" si="67"/>
        <v/>
      </c>
      <c r="L266" s="2" t="str">
        <f t="shared" si="74"/>
        <v/>
      </c>
      <c r="M266" s="2" t="str">
        <f t="shared" si="79"/>
        <v/>
      </c>
      <c r="N266" s="2" t="str">
        <f t="shared" si="75"/>
        <v/>
      </c>
      <c r="O266" s="8" t="str">
        <f t="shared" si="76"/>
        <v/>
      </c>
      <c r="P266" s="8" t="str">
        <f t="shared" si="77"/>
        <v/>
      </c>
      <c r="Q266" s="40" t="str">
        <f t="shared" si="68"/>
        <v/>
      </c>
      <c r="R266" s="48" t="str">
        <f t="shared" si="78"/>
        <v/>
      </c>
      <c r="S266" s="8"/>
      <c r="U266" s="35">
        <f t="shared" si="69"/>
        <v>0</v>
      </c>
      <c r="V266" s="24">
        <f t="shared" si="70"/>
        <v>0</v>
      </c>
      <c r="W266" s="41">
        <f t="shared" si="65"/>
        <v>0</v>
      </c>
      <c r="X266" s="31"/>
      <c r="Y266" s="31"/>
      <c r="Z266" s="31"/>
      <c r="AA266" s="25">
        <f t="shared" si="71"/>
        <v>9.0359999999999996</v>
      </c>
      <c r="AB266" s="25">
        <f t="shared" si="72"/>
        <v>-184.49199999999999</v>
      </c>
      <c r="AD266" s="24">
        <f>IF(D266="M",IF(AG266&lt;78,BMILMS!$D$5*AG266^3+BMILMS!$E$5*AG266^2+BMILMS!$F$5*AG266+BMILMS!$G$5,IF(AG266&lt;150,BMILMS!$D$6*AG266^3+BMILMS!$E$6*AG266^2+BMILMS!$F$6*AG266+BMILMS!$G$6,BMILMS!$D$7*AG266^3+BMILMS!$E$7*AG266^2+BMILMS!$F$7*AG266+BMILMS!$G$7)),IF(AG266&lt;69,BMILMS!$D$9*AG266^3+BMILMS!$E$9*AG266^2+BMILMS!$F$9*AG266+BMILMS!$G$9,IF(AG266&lt;150,BMILMS!$D$10*AG266^3+BMILMS!$E$10*AG266^2+BMILMS!$F$10*AG266+BMILMS!$G$10,BMILMS!$D$11*AG266^3+BMILMS!$E$11*AG266^2+BMILMS!$F$11*AG266+BMILMS!$G$11)))</f>
        <v>0.79584630099999998</v>
      </c>
      <c r="AE266" s="24">
        <f>IF(D266="M",(IF(AG266&lt;2.5,BMILMS!$D$21*AG266^3+BMILMS!$E$21*AG266^2+BMILMS!$F$21*AG266+BMILMS!$G$21,IF(AG266&lt;9.5,BMILMS!$D$22*AG266^3+BMILMS!$E$22*AG266^2+BMILMS!$F$22*AG266+BMILMS!$G$22,IF(AG266&lt;26.75,BMILMS!$D$23*AG266^3+BMILMS!$E$23*AG266^2+BMILMS!$F$23*AG266+BMILMS!$G$23,IF(AG266&lt;90,BMILMS!$D$24*AG266^3+BMILMS!$E$24*AG266^2+BMILMS!$F$24*AG266+BMILMS!$G$24,BMILMS!$D$25*AG266^3+BMILMS!$E$25*AG266^2+BMILMS!$F$25*AG266+BMILMS!$G$25))))),(IF(AG266&lt;2.5,BMILMS!$D$27*AG266^3+BMILMS!$E$27*AG266^2+BMILMS!$F$27*AG266+BMILMS!$G$27,IF(AG266&lt;9.5,BMILMS!$D$28*AG266^3+BMILMS!$E$28*AG266^2+BMILMS!$F$28*AG266+BMILMS!$G$28,IF(AG266&lt;26.75,BMILMS!$D$29*AG266^3+BMILMS!$E$29*AG266^2+BMILMS!$F$29*AG266+BMILMS!$G$29,IF(AG266&lt;90,BMILMS!$D$30*AG266^3+BMILMS!$E$30*AG266^2+BMILMS!$F$30*AG266+BMILMS!$G$30,IF(AG266&lt;150,BMILMS!$D$31*AG266^3+BMILMS!$E$31*AG266^2+BMILMS!$F$31*AG266+BMILMS!$G$31,BMILMS!$D$32*AG266^3+BMILMS!$E$32*AG266^2+BMILMS!$F$32*AG266+BMILMS!$G$32)))))))</f>
        <v>12.568967990000001</v>
      </c>
      <c r="AF266" s="24">
        <f>IF(D266="M",(IF(AG266&lt;90,BMILMS!$D$14*AG266^3+BMILMS!$E$14*AG266^2+BMILMS!$F$14*AG266+BMILMS!$G$14,BMILMS!$D$15*AG266^3+BMILMS!$E$15*AG266^2+BMILMS!$F$15*AG266+BMILMS!$G$15)),(IF(AG266&lt;90,BMILMS!$D$17*AG266^3+BMILMS!$E$17*AG266^2+BMILMS!$F$17*AG266+BMILMS!$G$17,BMILMS!$D$18*AG266^3+BMILMS!$E$18*AG266^2+BMILMS!$F$18*AG266+BMILMS!$G$18)))</f>
        <v>8.8969350000000003E-2</v>
      </c>
      <c r="AG266" s="24">
        <f t="shared" si="80"/>
        <v>0</v>
      </c>
      <c r="AI266" s="38">
        <f>IF(D266="M",WeightSDS!P$5*$AG266^7+WeightSDS!Q$5*$AG266^6+WeightSDS!R$5*$AG266^5+WeightSDS!S$5*$AG266^4+WeightSDS!T$5*$AG266^3+WeightSDS!U$5*$AG266^2+WeightSDS!V$5*$AG266+WeightSDS!W$5,IF($AG266&lt;186,WeightSDS!P$8*$AG266^7+WeightSDS!Q$8*$AG266^6+WeightSDS!R$8*$AG266^5+WeightSDS!S$8*$AG266^4+WeightSDS!T$8*$AG266^3+WeightSDS!U$8*$AG266^2+WeightSDS!V$8*$AG266+WeightSDS!W$8,WeightSDS!$U$9-WeightSDS!$V$9*($AG266-WeightSDS!$W$9)))</f>
        <v>0.75407122999999998</v>
      </c>
      <c r="AJ266" s="24">
        <f>IF(D266="M",IF($AG266&lt;45,WeightSDS!M$23*$AG266^10+WeightSDS!N$23*$AG266^9+WeightSDS!O$23*$AG266^8+WeightSDS!P$23*$AG266^7+WeightSDS!Q$23*$AG266^6+WeightSDS!R$23*$AG266^5+WeightSDS!S$23*$AG266^4+WeightSDS!T$23*$AG266^3+WeightSDS!U$23*$AG266^2+WeightSDS!V$23*$AG266+WeightSDS!W$23,IF($AG266&lt;153,WeightSDS!M$25*$AG266^10+WeightSDS!N$25*$AG266^9+WeightSDS!O$25*$AG266^8+WeightSDS!P$25*$AG266^7+WeightSDS!Q$25*$AG266^6+WeightSDS!R$25*$AG266^5+WeightSDS!S$25*$AG266^4+WeightSDS!T$25*$AG266^3+WeightSDS!U$25*$AG266^2+WeightSDS!V$25*$AG266+WeightSDS!W$25,WeightSDS!M$27+WeightSDS!N$27/(1+EXP(WeightSDS!O$27+WeightSDS!P$27*$AG266)))),IF($AG266&lt;43.8,WeightSDS!M$29*$AG266^10+WeightSDS!N$29*$AG266^9+WeightSDS!O$29*$AG266^8+WeightSDS!P$29*$AG266^7+WeightSDS!Q$29*$AG266^6+WeightSDS!R$29*$AG266^5+WeightSDS!S$29*$AG266^4+WeightSDS!T$29*$AG266^3+WeightSDS!U$29*$AG266^2+WeightSDS!V$29*$AG266+WeightSDS!W$29-0.010431*(1-$AG266/210),IF($AG266&lt;123,WeightSDS!M$30*$AG266^10+WeightSDS!N$30*$AG266^9+WeightSDS!O$30*$AG266^8+WeightSDS!P$30*$AG266^7+WeightSDS!Q$30*$AG266^6+WeightSDS!R$30*$AG266^5+WeightSDS!S$30*$AG266^4+WeightSDS!T$30*$AG266^3+WeightSDS!U$30*$AG266^2+WeightSDS!V$30*$AG266+WeightSDS!W$30-0.010431*(1-1/$AG266),WeightSDS!M$32+WeightSDS!N$32/(1+EXP(WeightSDS!O$32+WeightSDS!P$32*$AG266))-0.010431*(1-$AG266/210))))</f>
        <v>2.9500001032655536</v>
      </c>
      <c r="AK266" s="24">
        <f>IF(D266="M",IF($AG266&lt;162,WeightSDS!P$12*$AG266^7+WeightSDS!Q$12*$AG266^6+WeightSDS!R$12*$AG266^5+WeightSDS!S$12*$AG266^4+WeightSDS!T$12*$AG266^3+WeightSDS!U$12*$AG266^2+WeightSDS!V$12*$AG266+WeightSDS!W$12,WeightSDS!P$14*$AG266^7+WeightSDS!Q$14*$AG266^6+WeightSDS!R$14*$AG266^5+WeightSDS!S$14*$AG266^4+WeightSDS!T$14*$AG266^3+WeightSDS!U$14*$AG266^2+WeightSDS!V$14*$AG266+WeightSDS!W$14),IF($AG266&lt;156,WeightSDS!O$17*$AG266^8+WeightSDS!P$17*$AG266^7+WeightSDS!Q$17*$AG266^6+WeightSDS!R$17*$AG266^5+WeightSDS!S$17*$AG266^4+WeightSDS!T$17*$AG266^3+WeightSDS!U$17*$AG266^2+WeightSDS!V$17*$AG266+WeightSDS!W$17,IF($AG266&lt;186,WeightSDS!$U$18+(WeightSDS!$V$18-WeightSDS!$U$18)/24*($AG266-186)+WeightSDS!$W$18*(-$AG266+186)^2-0.005,WeightSDS!$U$18+(WeightSDS!$V$18-WeightSDS!$U$18)/24*($AG266-186)-0.005)))</f>
        <v>0.14604529399999999</v>
      </c>
    </row>
    <row r="267" spans="1:37">
      <c r="A267" s="4"/>
      <c r="B267" s="21"/>
      <c r="C267" s="21"/>
      <c r="D267" s="21"/>
      <c r="E267" s="22"/>
      <c r="F267" s="22"/>
      <c r="G267" s="23"/>
      <c r="H267" s="23"/>
      <c r="I267" s="8" t="str">
        <f t="shared" si="66"/>
        <v/>
      </c>
      <c r="J267" s="2" t="str">
        <f t="shared" si="73"/>
        <v/>
      </c>
      <c r="K267" s="2" t="str">
        <f t="shared" si="67"/>
        <v/>
      </c>
      <c r="L267" s="2" t="str">
        <f t="shared" si="74"/>
        <v/>
      </c>
      <c r="M267" s="2" t="str">
        <f t="shared" si="79"/>
        <v/>
      </c>
      <c r="N267" s="2" t="str">
        <f t="shared" si="75"/>
        <v/>
      </c>
      <c r="O267" s="8" t="str">
        <f t="shared" si="76"/>
        <v/>
      </c>
      <c r="P267" s="8" t="str">
        <f t="shared" si="77"/>
        <v/>
      </c>
      <c r="Q267" s="40" t="str">
        <f t="shared" si="68"/>
        <v/>
      </c>
      <c r="R267" s="48" t="str">
        <f t="shared" si="78"/>
        <v/>
      </c>
      <c r="S267" s="8"/>
      <c r="U267" s="35">
        <f t="shared" si="69"/>
        <v>0</v>
      </c>
      <c r="V267" s="24">
        <f t="shared" si="70"/>
        <v>0</v>
      </c>
      <c r="W267" s="41">
        <f t="shared" si="65"/>
        <v>0</v>
      </c>
      <c r="X267" s="31"/>
      <c r="Y267" s="31"/>
      <c r="Z267" s="31"/>
      <c r="AA267" s="25">
        <f t="shared" si="71"/>
        <v>9.0359999999999996</v>
      </c>
      <c r="AB267" s="25">
        <f t="shared" si="72"/>
        <v>-184.49199999999999</v>
      </c>
      <c r="AD267" s="24">
        <f>IF(D267="M",IF(AG267&lt;78,BMILMS!$D$5*AG267^3+BMILMS!$E$5*AG267^2+BMILMS!$F$5*AG267+BMILMS!$G$5,IF(AG267&lt;150,BMILMS!$D$6*AG267^3+BMILMS!$E$6*AG267^2+BMILMS!$F$6*AG267+BMILMS!$G$6,BMILMS!$D$7*AG267^3+BMILMS!$E$7*AG267^2+BMILMS!$F$7*AG267+BMILMS!$G$7)),IF(AG267&lt;69,BMILMS!$D$9*AG267^3+BMILMS!$E$9*AG267^2+BMILMS!$F$9*AG267+BMILMS!$G$9,IF(AG267&lt;150,BMILMS!$D$10*AG267^3+BMILMS!$E$10*AG267^2+BMILMS!$F$10*AG267+BMILMS!$G$10,BMILMS!$D$11*AG267^3+BMILMS!$E$11*AG267^2+BMILMS!$F$11*AG267+BMILMS!$G$11)))</f>
        <v>0.79584630099999998</v>
      </c>
      <c r="AE267" s="24">
        <f>IF(D267="M",(IF(AG267&lt;2.5,BMILMS!$D$21*AG267^3+BMILMS!$E$21*AG267^2+BMILMS!$F$21*AG267+BMILMS!$G$21,IF(AG267&lt;9.5,BMILMS!$D$22*AG267^3+BMILMS!$E$22*AG267^2+BMILMS!$F$22*AG267+BMILMS!$G$22,IF(AG267&lt;26.75,BMILMS!$D$23*AG267^3+BMILMS!$E$23*AG267^2+BMILMS!$F$23*AG267+BMILMS!$G$23,IF(AG267&lt;90,BMILMS!$D$24*AG267^3+BMILMS!$E$24*AG267^2+BMILMS!$F$24*AG267+BMILMS!$G$24,BMILMS!$D$25*AG267^3+BMILMS!$E$25*AG267^2+BMILMS!$F$25*AG267+BMILMS!$G$25))))),(IF(AG267&lt;2.5,BMILMS!$D$27*AG267^3+BMILMS!$E$27*AG267^2+BMILMS!$F$27*AG267+BMILMS!$G$27,IF(AG267&lt;9.5,BMILMS!$D$28*AG267^3+BMILMS!$E$28*AG267^2+BMILMS!$F$28*AG267+BMILMS!$G$28,IF(AG267&lt;26.75,BMILMS!$D$29*AG267^3+BMILMS!$E$29*AG267^2+BMILMS!$F$29*AG267+BMILMS!$G$29,IF(AG267&lt;90,BMILMS!$D$30*AG267^3+BMILMS!$E$30*AG267^2+BMILMS!$F$30*AG267+BMILMS!$G$30,IF(AG267&lt;150,BMILMS!$D$31*AG267^3+BMILMS!$E$31*AG267^2+BMILMS!$F$31*AG267+BMILMS!$G$31,BMILMS!$D$32*AG267^3+BMILMS!$E$32*AG267^2+BMILMS!$F$32*AG267+BMILMS!$G$32)))))))</f>
        <v>12.568967990000001</v>
      </c>
      <c r="AF267" s="24">
        <f>IF(D267="M",(IF(AG267&lt;90,BMILMS!$D$14*AG267^3+BMILMS!$E$14*AG267^2+BMILMS!$F$14*AG267+BMILMS!$G$14,BMILMS!$D$15*AG267^3+BMILMS!$E$15*AG267^2+BMILMS!$F$15*AG267+BMILMS!$G$15)),(IF(AG267&lt;90,BMILMS!$D$17*AG267^3+BMILMS!$E$17*AG267^2+BMILMS!$F$17*AG267+BMILMS!$G$17,BMILMS!$D$18*AG267^3+BMILMS!$E$18*AG267^2+BMILMS!$F$18*AG267+BMILMS!$G$18)))</f>
        <v>8.8969350000000003E-2</v>
      </c>
      <c r="AG267" s="24">
        <f t="shared" si="80"/>
        <v>0</v>
      </c>
      <c r="AI267" s="38">
        <f>IF(D267="M",WeightSDS!P$5*$AG267^7+WeightSDS!Q$5*$AG267^6+WeightSDS!R$5*$AG267^5+WeightSDS!S$5*$AG267^4+WeightSDS!T$5*$AG267^3+WeightSDS!U$5*$AG267^2+WeightSDS!V$5*$AG267+WeightSDS!W$5,IF($AG267&lt;186,WeightSDS!P$8*$AG267^7+WeightSDS!Q$8*$AG267^6+WeightSDS!R$8*$AG267^5+WeightSDS!S$8*$AG267^4+WeightSDS!T$8*$AG267^3+WeightSDS!U$8*$AG267^2+WeightSDS!V$8*$AG267+WeightSDS!W$8,WeightSDS!$U$9-WeightSDS!$V$9*($AG267-WeightSDS!$W$9)))</f>
        <v>0.75407122999999998</v>
      </c>
      <c r="AJ267" s="24">
        <f>IF(D267="M",IF($AG267&lt;45,WeightSDS!M$23*$AG267^10+WeightSDS!N$23*$AG267^9+WeightSDS!O$23*$AG267^8+WeightSDS!P$23*$AG267^7+WeightSDS!Q$23*$AG267^6+WeightSDS!R$23*$AG267^5+WeightSDS!S$23*$AG267^4+WeightSDS!T$23*$AG267^3+WeightSDS!U$23*$AG267^2+WeightSDS!V$23*$AG267+WeightSDS!W$23,IF($AG267&lt;153,WeightSDS!M$25*$AG267^10+WeightSDS!N$25*$AG267^9+WeightSDS!O$25*$AG267^8+WeightSDS!P$25*$AG267^7+WeightSDS!Q$25*$AG267^6+WeightSDS!R$25*$AG267^5+WeightSDS!S$25*$AG267^4+WeightSDS!T$25*$AG267^3+WeightSDS!U$25*$AG267^2+WeightSDS!V$25*$AG267+WeightSDS!W$25,WeightSDS!M$27+WeightSDS!N$27/(1+EXP(WeightSDS!O$27+WeightSDS!P$27*$AG267)))),IF($AG267&lt;43.8,WeightSDS!M$29*$AG267^10+WeightSDS!N$29*$AG267^9+WeightSDS!O$29*$AG267^8+WeightSDS!P$29*$AG267^7+WeightSDS!Q$29*$AG267^6+WeightSDS!R$29*$AG267^5+WeightSDS!S$29*$AG267^4+WeightSDS!T$29*$AG267^3+WeightSDS!U$29*$AG267^2+WeightSDS!V$29*$AG267+WeightSDS!W$29-0.010431*(1-$AG267/210),IF($AG267&lt;123,WeightSDS!M$30*$AG267^10+WeightSDS!N$30*$AG267^9+WeightSDS!O$30*$AG267^8+WeightSDS!P$30*$AG267^7+WeightSDS!Q$30*$AG267^6+WeightSDS!R$30*$AG267^5+WeightSDS!S$30*$AG267^4+WeightSDS!T$30*$AG267^3+WeightSDS!U$30*$AG267^2+WeightSDS!V$30*$AG267+WeightSDS!W$30-0.010431*(1-1/$AG267),WeightSDS!M$32+WeightSDS!N$32/(1+EXP(WeightSDS!O$32+WeightSDS!P$32*$AG267))-0.010431*(1-$AG267/210))))</f>
        <v>2.9500001032655536</v>
      </c>
      <c r="AK267" s="24">
        <f>IF(D267="M",IF($AG267&lt;162,WeightSDS!P$12*$AG267^7+WeightSDS!Q$12*$AG267^6+WeightSDS!R$12*$AG267^5+WeightSDS!S$12*$AG267^4+WeightSDS!T$12*$AG267^3+WeightSDS!U$12*$AG267^2+WeightSDS!V$12*$AG267+WeightSDS!W$12,WeightSDS!P$14*$AG267^7+WeightSDS!Q$14*$AG267^6+WeightSDS!R$14*$AG267^5+WeightSDS!S$14*$AG267^4+WeightSDS!T$14*$AG267^3+WeightSDS!U$14*$AG267^2+WeightSDS!V$14*$AG267+WeightSDS!W$14),IF($AG267&lt;156,WeightSDS!O$17*$AG267^8+WeightSDS!P$17*$AG267^7+WeightSDS!Q$17*$AG267^6+WeightSDS!R$17*$AG267^5+WeightSDS!S$17*$AG267^4+WeightSDS!T$17*$AG267^3+WeightSDS!U$17*$AG267^2+WeightSDS!V$17*$AG267+WeightSDS!W$17,IF($AG267&lt;186,WeightSDS!$U$18+(WeightSDS!$V$18-WeightSDS!$U$18)/24*($AG267-186)+WeightSDS!$W$18*(-$AG267+186)^2-0.005,WeightSDS!$U$18+(WeightSDS!$V$18-WeightSDS!$U$18)/24*($AG267-186)-0.005)))</f>
        <v>0.14604529399999999</v>
      </c>
    </row>
    <row r="268" spans="1:37">
      <c r="A268" s="4"/>
      <c r="B268" s="21"/>
      <c r="C268" s="21"/>
      <c r="D268" s="21"/>
      <c r="E268" s="22"/>
      <c r="F268" s="22"/>
      <c r="G268" s="23"/>
      <c r="H268" s="23"/>
      <c r="I268" s="8" t="str">
        <f t="shared" si="66"/>
        <v/>
      </c>
      <c r="J268" s="2" t="str">
        <f t="shared" si="73"/>
        <v/>
      </c>
      <c r="K268" s="2" t="str">
        <f t="shared" si="67"/>
        <v/>
      </c>
      <c r="L268" s="2" t="str">
        <f t="shared" si="74"/>
        <v/>
      </c>
      <c r="M268" s="2" t="str">
        <f t="shared" si="79"/>
        <v/>
      </c>
      <c r="N268" s="2" t="str">
        <f t="shared" si="75"/>
        <v/>
      </c>
      <c r="O268" s="8" t="str">
        <f t="shared" si="76"/>
        <v/>
      </c>
      <c r="P268" s="8" t="str">
        <f t="shared" si="77"/>
        <v/>
      </c>
      <c r="Q268" s="40" t="str">
        <f t="shared" si="68"/>
        <v/>
      </c>
      <c r="R268" s="48" t="str">
        <f t="shared" si="78"/>
        <v/>
      </c>
      <c r="S268" s="8"/>
      <c r="U268" s="35">
        <f t="shared" si="69"/>
        <v>0</v>
      </c>
      <c r="V268" s="24">
        <f t="shared" si="70"/>
        <v>0</v>
      </c>
      <c r="W268" s="41">
        <f t="shared" si="65"/>
        <v>0</v>
      </c>
      <c r="X268" s="31"/>
      <c r="Y268" s="31"/>
      <c r="Z268" s="31"/>
      <c r="AA268" s="25">
        <f t="shared" si="71"/>
        <v>9.0359999999999996</v>
      </c>
      <c r="AB268" s="25">
        <f t="shared" si="72"/>
        <v>-184.49199999999999</v>
      </c>
      <c r="AD268" s="24">
        <f>IF(D268="M",IF(AG268&lt;78,BMILMS!$D$5*AG268^3+BMILMS!$E$5*AG268^2+BMILMS!$F$5*AG268+BMILMS!$G$5,IF(AG268&lt;150,BMILMS!$D$6*AG268^3+BMILMS!$E$6*AG268^2+BMILMS!$F$6*AG268+BMILMS!$G$6,BMILMS!$D$7*AG268^3+BMILMS!$E$7*AG268^2+BMILMS!$F$7*AG268+BMILMS!$G$7)),IF(AG268&lt;69,BMILMS!$D$9*AG268^3+BMILMS!$E$9*AG268^2+BMILMS!$F$9*AG268+BMILMS!$G$9,IF(AG268&lt;150,BMILMS!$D$10*AG268^3+BMILMS!$E$10*AG268^2+BMILMS!$F$10*AG268+BMILMS!$G$10,BMILMS!$D$11*AG268^3+BMILMS!$E$11*AG268^2+BMILMS!$F$11*AG268+BMILMS!$G$11)))</f>
        <v>0.79584630099999998</v>
      </c>
      <c r="AE268" s="24">
        <f>IF(D268="M",(IF(AG268&lt;2.5,BMILMS!$D$21*AG268^3+BMILMS!$E$21*AG268^2+BMILMS!$F$21*AG268+BMILMS!$G$21,IF(AG268&lt;9.5,BMILMS!$D$22*AG268^3+BMILMS!$E$22*AG268^2+BMILMS!$F$22*AG268+BMILMS!$G$22,IF(AG268&lt;26.75,BMILMS!$D$23*AG268^3+BMILMS!$E$23*AG268^2+BMILMS!$F$23*AG268+BMILMS!$G$23,IF(AG268&lt;90,BMILMS!$D$24*AG268^3+BMILMS!$E$24*AG268^2+BMILMS!$F$24*AG268+BMILMS!$G$24,BMILMS!$D$25*AG268^3+BMILMS!$E$25*AG268^2+BMILMS!$F$25*AG268+BMILMS!$G$25))))),(IF(AG268&lt;2.5,BMILMS!$D$27*AG268^3+BMILMS!$E$27*AG268^2+BMILMS!$F$27*AG268+BMILMS!$G$27,IF(AG268&lt;9.5,BMILMS!$D$28*AG268^3+BMILMS!$E$28*AG268^2+BMILMS!$F$28*AG268+BMILMS!$G$28,IF(AG268&lt;26.75,BMILMS!$D$29*AG268^3+BMILMS!$E$29*AG268^2+BMILMS!$F$29*AG268+BMILMS!$G$29,IF(AG268&lt;90,BMILMS!$D$30*AG268^3+BMILMS!$E$30*AG268^2+BMILMS!$F$30*AG268+BMILMS!$G$30,IF(AG268&lt;150,BMILMS!$D$31*AG268^3+BMILMS!$E$31*AG268^2+BMILMS!$F$31*AG268+BMILMS!$G$31,BMILMS!$D$32*AG268^3+BMILMS!$E$32*AG268^2+BMILMS!$F$32*AG268+BMILMS!$G$32)))))))</f>
        <v>12.568967990000001</v>
      </c>
      <c r="AF268" s="24">
        <f>IF(D268="M",(IF(AG268&lt;90,BMILMS!$D$14*AG268^3+BMILMS!$E$14*AG268^2+BMILMS!$F$14*AG268+BMILMS!$G$14,BMILMS!$D$15*AG268^3+BMILMS!$E$15*AG268^2+BMILMS!$F$15*AG268+BMILMS!$G$15)),(IF(AG268&lt;90,BMILMS!$D$17*AG268^3+BMILMS!$E$17*AG268^2+BMILMS!$F$17*AG268+BMILMS!$G$17,BMILMS!$D$18*AG268^3+BMILMS!$E$18*AG268^2+BMILMS!$F$18*AG268+BMILMS!$G$18)))</f>
        <v>8.8969350000000003E-2</v>
      </c>
      <c r="AG268" s="24">
        <f t="shared" si="80"/>
        <v>0</v>
      </c>
      <c r="AI268" s="38">
        <f>IF(D268="M",WeightSDS!P$5*$AG268^7+WeightSDS!Q$5*$AG268^6+WeightSDS!R$5*$AG268^5+WeightSDS!S$5*$AG268^4+WeightSDS!T$5*$AG268^3+WeightSDS!U$5*$AG268^2+WeightSDS!V$5*$AG268+WeightSDS!W$5,IF($AG268&lt;186,WeightSDS!P$8*$AG268^7+WeightSDS!Q$8*$AG268^6+WeightSDS!R$8*$AG268^5+WeightSDS!S$8*$AG268^4+WeightSDS!T$8*$AG268^3+WeightSDS!U$8*$AG268^2+WeightSDS!V$8*$AG268+WeightSDS!W$8,WeightSDS!$U$9-WeightSDS!$V$9*($AG268-WeightSDS!$W$9)))</f>
        <v>0.75407122999999998</v>
      </c>
      <c r="AJ268" s="24">
        <f>IF(D268="M",IF($AG268&lt;45,WeightSDS!M$23*$AG268^10+WeightSDS!N$23*$AG268^9+WeightSDS!O$23*$AG268^8+WeightSDS!P$23*$AG268^7+WeightSDS!Q$23*$AG268^6+WeightSDS!R$23*$AG268^5+WeightSDS!S$23*$AG268^4+WeightSDS!T$23*$AG268^3+WeightSDS!U$23*$AG268^2+WeightSDS!V$23*$AG268+WeightSDS!W$23,IF($AG268&lt;153,WeightSDS!M$25*$AG268^10+WeightSDS!N$25*$AG268^9+WeightSDS!O$25*$AG268^8+WeightSDS!P$25*$AG268^7+WeightSDS!Q$25*$AG268^6+WeightSDS!R$25*$AG268^5+WeightSDS!S$25*$AG268^4+WeightSDS!T$25*$AG268^3+WeightSDS!U$25*$AG268^2+WeightSDS!V$25*$AG268+WeightSDS!W$25,WeightSDS!M$27+WeightSDS!N$27/(1+EXP(WeightSDS!O$27+WeightSDS!P$27*$AG268)))),IF($AG268&lt;43.8,WeightSDS!M$29*$AG268^10+WeightSDS!N$29*$AG268^9+WeightSDS!O$29*$AG268^8+WeightSDS!P$29*$AG268^7+WeightSDS!Q$29*$AG268^6+WeightSDS!R$29*$AG268^5+WeightSDS!S$29*$AG268^4+WeightSDS!T$29*$AG268^3+WeightSDS!U$29*$AG268^2+WeightSDS!V$29*$AG268+WeightSDS!W$29-0.010431*(1-$AG268/210),IF($AG268&lt;123,WeightSDS!M$30*$AG268^10+WeightSDS!N$30*$AG268^9+WeightSDS!O$30*$AG268^8+WeightSDS!P$30*$AG268^7+WeightSDS!Q$30*$AG268^6+WeightSDS!R$30*$AG268^5+WeightSDS!S$30*$AG268^4+WeightSDS!T$30*$AG268^3+WeightSDS!U$30*$AG268^2+WeightSDS!V$30*$AG268+WeightSDS!W$30-0.010431*(1-1/$AG268),WeightSDS!M$32+WeightSDS!N$32/(1+EXP(WeightSDS!O$32+WeightSDS!P$32*$AG268))-0.010431*(1-$AG268/210))))</f>
        <v>2.9500001032655536</v>
      </c>
      <c r="AK268" s="24">
        <f>IF(D268="M",IF($AG268&lt;162,WeightSDS!P$12*$AG268^7+WeightSDS!Q$12*$AG268^6+WeightSDS!R$12*$AG268^5+WeightSDS!S$12*$AG268^4+WeightSDS!T$12*$AG268^3+WeightSDS!U$12*$AG268^2+WeightSDS!V$12*$AG268+WeightSDS!W$12,WeightSDS!P$14*$AG268^7+WeightSDS!Q$14*$AG268^6+WeightSDS!R$14*$AG268^5+WeightSDS!S$14*$AG268^4+WeightSDS!T$14*$AG268^3+WeightSDS!U$14*$AG268^2+WeightSDS!V$14*$AG268+WeightSDS!W$14),IF($AG268&lt;156,WeightSDS!O$17*$AG268^8+WeightSDS!P$17*$AG268^7+WeightSDS!Q$17*$AG268^6+WeightSDS!R$17*$AG268^5+WeightSDS!S$17*$AG268^4+WeightSDS!T$17*$AG268^3+WeightSDS!U$17*$AG268^2+WeightSDS!V$17*$AG268+WeightSDS!W$17,IF($AG268&lt;186,WeightSDS!$U$18+(WeightSDS!$V$18-WeightSDS!$U$18)/24*($AG268-186)+WeightSDS!$W$18*(-$AG268+186)^2-0.005,WeightSDS!$U$18+(WeightSDS!$V$18-WeightSDS!$U$18)/24*($AG268-186)-0.005)))</f>
        <v>0.14604529399999999</v>
      </c>
    </row>
    <row r="269" spans="1:37">
      <c r="A269" s="4"/>
      <c r="B269" s="21"/>
      <c r="C269" s="21"/>
      <c r="D269" s="21"/>
      <c r="E269" s="22"/>
      <c r="F269" s="22"/>
      <c r="G269" s="23"/>
      <c r="H269" s="23"/>
      <c r="I269" s="8" t="str">
        <f t="shared" si="66"/>
        <v/>
      </c>
      <c r="J269" s="2" t="str">
        <f t="shared" si="73"/>
        <v/>
      </c>
      <c r="K269" s="2" t="str">
        <f t="shared" si="67"/>
        <v/>
      </c>
      <c r="L269" s="2" t="str">
        <f t="shared" si="74"/>
        <v/>
      </c>
      <c r="M269" s="2" t="str">
        <f t="shared" si="79"/>
        <v/>
      </c>
      <c r="N269" s="2" t="str">
        <f t="shared" si="75"/>
        <v/>
      </c>
      <c r="O269" s="8" t="str">
        <f t="shared" si="76"/>
        <v/>
      </c>
      <c r="P269" s="8" t="str">
        <f t="shared" si="77"/>
        <v/>
      </c>
      <c r="Q269" s="40" t="str">
        <f t="shared" si="68"/>
        <v/>
      </c>
      <c r="R269" s="48" t="str">
        <f t="shared" si="78"/>
        <v/>
      </c>
      <c r="S269" s="8"/>
      <c r="U269" s="35">
        <f t="shared" si="69"/>
        <v>0</v>
      </c>
      <c r="V269" s="24">
        <f t="shared" si="70"/>
        <v>0</v>
      </c>
      <c r="W269" s="41">
        <f t="shared" si="65"/>
        <v>0</v>
      </c>
      <c r="X269" s="31"/>
      <c r="Y269" s="31"/>
      <c r="Z269" s="31"/>
      <c r="AA269" s="25">
        <f t="shared" si="71"/>
        <v>9.0359999999999996</v>
      </c>
      <c r="AB269" s="25">
        <f t="shared" si="72"/>
        <v>-184.49199999999999</v>
      </c>
      <c r="AD269" s="24">
        <f>IF(D269="M",IF(AG269&lt;78,BMILMS!$D$5*AG269^3+BMILMS!$E$5*AG269^2+BMILMS!$F$5*AG269+BMILMS!$G$5,IF(AG269&lt;150,BMILMS!$D$6*AG269^3+BMILMS!$E$6*AG269^2+BMILMS!$F$6*AG269+BMILMS!$G$6,BMILMS!$D$7*AG269^3+BMILMS!$E$7*AG269^2+BMILMS!$F$7*AG269+BMILMS!$G$7)),IF(AG269&lt;69,BMILMS!$D$9*AG269^3+BMILMS!$E$9*AG269^2+BMILMS!$F$9*AG269+BMILMS!$G$9,IF(AG269&lt;150,BMILMS!$D$10*AG269^3+BMILMS!$E$10*AG269^2+BMILMS!$F$10*AG269+BMILMS!$G$10,BMILMS!$D$11*AG269^3+BMILMS!$E$11*AG269^2+BMILMS!$F$11*AG269+BMILMS!$G$11)))</f>
        <v>0.79584630099999998</v>
      </c>
      <c r="AE269" s="24">
        <f>IF(D269="M",(IF(AG269&lt;2.5,BMILMS!$D$21*AG269^3+BMILMS!$E$21*AG269^2+BMILMS!$F$21*AG269+BMILMS!$G$21,IF(AG269&lt;9.5,BMILMS!$D$22*AG269^3+BMILMS!$E$22*AG269^2+BMILMS!$F$22*AG269+BMILMS!$G$22,IF(AG269&lt;26.75,BMILMS!$D$23*AG269^3+BMILMS!$E$23*AG269^2+BMILMS!$F$23*AG269+BMILMS!$G$23,IF(AG269&lt;90,BMILMS!$D$24*AG269^3+BMILMS!$E$24*AG269^2+BMILMS!$F$24*AG269+BMILMS!$G$24,BMILMS!$D$25*AG269^3+BMILMS!$E$25*AG269^2+BMILMS!$F$25*AG269+BMILMS!$G$25))))),(IF(AG269&lt;2.5,BMILMS!$D$27*AG269^3+BMILMS!$E$27*AG269^2+BMILMS!$F$27*AG269+BMILMS!$G$27,IF(AG269&lt;9.5,BMILMS!$D$28*AG269^3+BMILMS!$E$28*AG269^2+BMILMS!$F$28*AG269+BMILMS!$G$28,IF(AG269&lt;26.75,BMILMS!$D$29*AG269^3+BMILMS!$E$29*AG269^2+BMILMS!$F$29*AG269+BMILMS!$G$29,IF(AG269&lt;90,BMILMS!$D$30*AG269^3+BMILMS!$E$30*AG269^2+BMILMS!$F$30*AG269+BMILMS!$G$30,IF(AG269&lt;150,BMILMS!$D$31*AG269^3+BMILMS!$E$31*AG269^2+BMILMS!$F$31*AG269+BMILMS!$G$31,BMILMS!$D$32*AG269^3+BMILMS!$E$32*AG269^2+BMILMS!$F$32*AG269+BMILMS!$G$32)))))))</f>
        <v>12.568967990000001</v>
      </c>
      <c r="AF269" s="24">
        <f>IF(D269="M",(IF(AG269&lt;90,BMILMS!$D$14*AG269^3+BMILMS!$E$14*AG269^2+BMILMS!$F$14*AG269+BMILMS!$G$14,BMILMS!$D$15*AG269^3+BMILMS!$E$15*AG269^2+BMILMS!$F$15*AG269+BMILMS!$G$15)),(IF(AG269&lt;90,BMILMS!$D$17*AG269^3+BMILMS!$E$17*AG269^2+BMILMS!$F$17*AG269+BMILMS!$G$17,BMILMS!$D$18*AG269^3+BMILMS!$E$18*AG269^2+BMILMS!$F$18*AG269+BMILMS!$G$18)))</f>
        <v>8.8969350000000003E-2</v>
      </c>
      <c r="AG269" s="24">
        <f t="shared" si="80"/>
        <v>0</v>
      </c>
      <c r="AI269" s="38">
        <f>IF(D269="M",WeightSDS!P$5*$AG269^7+WeightSDS!Q$5*$AG269^6+WeightSDS!R$5*$AG269^5+WeightSDS!S$5*$AG269^4+WeightSDS!T$5*$AG269^3+WeightSDS!U$5*$AG269^2+WeightSDS!V$5*$AG269+WeightSDS!W$5,IF($AG269&lt;186,WeightSDS!P$8*$AG269^7+WeightSDS!Q$8*$AG269^6+WeightSDS!R$8*$AG269^5+WeightSDS!S$8*$AG269^4+WeightSDS!T$8*$AG269^3+WeightSDS!U$8*$AG269^2+WeightSDS!V$8*$AG269+WeightSDS!W$8,WeightSDS!$U$9-WeightSDS!$V$9*($AG269-WeightSDS!$W$9)))</f>
        <v>0.75407122999999998</v>
      </c>
      <c r="AJ269" s="24">
        <f>IF(D269="M",IF($AG269&lt;45,WeightSDS!M$23*$AG269^10+WeightSDS!N$23*$AG269^9+WeightSDS!O$23*$AG269^8+WeightSDS!P$23*$AG269^7+WeightSDS!Q$23*$AG269^6+WeightSDS!R$23*$AG269^5+WeightSDS!S$23*$AG269^4+WeightSDS!T$23*$AG269^3+WeightSDS!U$23*$AG269^2+WeightSDS!V$23*$AG269+WeightSDS!W$23,IF($AG269&lt;153,WeightSDS!M$25*$AG269^10+WeightSDS!N$25*$AG269^9+WeightSDS!O$25*$AG269^8+WeightSDS!P$25*$AG269^7+WeightSDS!Q$25*$AG269^6+WeightSDS!R$25*$AG269^5+WeightSDS!S$25*$AG269^4+WeightSDS!T$25*$AG269^3+WeightSDS!U$25*$AG269^2+WeightSDS!V$25*$AG269+WeightSDS!W$25,WeightSDS!M$27+WeightSDS!N$27/(1+EXP(WeightSDS!O$27+WeightSDS!P$27*$AG269)))),IF($AG269&lt;43.8,WeightSDS!M$29*$AG269^10+WeightSDS!N$29*$AG269^9+WeightSDS!O$29*$AG269^8+WeightSDS!P$29*$AG269^7+WeightSDS!Q$29*$AG269^6+WeightSDS!R$29*$AG269^5+WeightSDS!S$29*$AG269^4+WeightSDS!T$29*$AG269^3+WeightSDS!U$29*$AG269^2+WeightSDS!V$29*$AG269+WeightSDS!W$29-0.010431*(1-$AG269/210),IF($AG269&lt;123,WeightSDS!M$30*$AG269^10+WeightSDS!N$30*$AG269^9+WeightSDS!O$30*$AG269^8+WeightSDS!P$30*$AG269^7+WeightSDS!Q$30*$AG269^6+WeightSDS!R$30*$AG269^5+WeightSDS!S$30*$AG269^4+WeightSDS!T$30*$AG269^3+WeightSDS!U$30*$AG269^2+WeightSDS!V$30*$AG269+WeightSDS!W$30-0.010431*(1-1/$AG269),WeightSDS!M$32+WeightSDS!N$32/(1+EXP(WeightSDS!O$32+WeightSDS!P$32*$AG269))-0.010431*(1-$AG269/210))))</f>
        <v>2.9500001032655536</v>
      </c>
      <c r="AK269" s="24">
        <f>IF(D269="M",IF($AG269&lt;162,WeightSDS!P$12*$AG269^7+WeightSDS!Q$12*$AG269^6+WeightSDS!R$12*$AG269^5+WeightSDS!S$12*$AG269^4+WeightSDS!T$12*$AG269^3+WeightSDS!U$12*$AG269^2+WeightSDS!V$12*$AG269+WeightSDS!W$12,WeightSDS!P$14*$AG269^7+WeightSDS!Q$14*$AG269^6+WeightSDS!R$14*$AG269^5+WeightSDS!S$14*$AG269^4+WeightSDS!T$14*$AG269^3+WeightSDS!U$14*$AG269^2+WeightSDS!V$14*$AG269+WeightSDS!W$14),IF($AG269&lt;156,WeightSDS!O$17*$AG269^8+WeightSDS!P$17*$AG269^7+WeightSDS!Q$17*$AG269^6+WeightSDS!R$17*$AG269^5+WeightSDS!S$17*$AG269^4+WeightSDS!T$17*$AG269^3+WeightSDS!U$17*$AG269^2+WeightSDS!V$17*$AG269+WeightSDS!W$17,IF($AG269&lt;186,WeightSDS!$U$18+(WeightSDS!$V$18-WeightSDS!$U$18)/24*($AG269-186)+WeightSDS!$W$18*(-$AG269+186)^2-0.005,WeightSDS!$U$18+(WeightSDS!$V$18-WeightSDS!$U$18)/24*($AG269-186)-0.005)))</f>
        <v>0.14604529399999999</v>
      </c>
    </row>
    <row r="270" spans="1:37">
      <c r="A270" s="4"/>
      <c r="B270" s="21"/>
      <c r="C270" s="21"/>
      <c r="D270" s="21"/>
      <c r="E270" s="22"/>
      <c r="F270" s="22"/>
      <c r="G270" s="23"/>
      <c r="H270" s="23"/>
      <c r="I270" s="8" t="str">
        <f t="shared" si="66"/>
        <v/>
      </c>
      <c r="J270" s="2" t="str">
        <f t="shared" si="73"/>
        <v/>
      </c>
      <c r="K270" s="2" t="str">
        <f t="shared" si="67"/>
        <v/>
      </c>
      <c r="L270" s="2" t="str">
        <f t="shared" si="74"/>
        <v/>
      </c>
      <c r="M270" s="2" t="str">
        <f t="shared" si="79"/>
        <v/>
      </c>
      <c r="N270" s="2" t="str">
        <f t="shared" si="75"/>
        <v/>
      </c>
      <c r="O270" s="8" t="str">
        <f t="shared" si="76"/>
        <v/>
      </c>
      <c r="P270" s="8" t="str">
        <f t="shared" si="77"/>
        <v/>
      </c>
      <c r="Q270" s="40" t="str">
        <f t="shared" si="68"/>
        <v/>
      </c>
      <c r="R270" s="48" t="str">
        <f t="shared" si="78"/>
        <v/>
      </c>
      <c r="S270" s="8"/>
      <c r="U270" s="35">
        <f t="shared" si="69"/>
        <v>0</v>
      </c>
      <c r="V270" s="24">
        <f t="shared" si="70"/>
        <v>0</v>
      </c>
      <c r="W270" s="41">
        <f t="shared" si="65"/>
        <v>0</v>
      </c>
      <c r="X270" s="31"/>
      <c r="Y270" s="31"/>
      <c r="Z270" s="31"/>
      <c r="AA270" s="25">
        <f t="shared" si="71"/>
        <v>9.0359999999999996</v>
      </c>
      <c r="AB270" s="25">
        <f t="shared" si="72"/>
        <v>-184.49199999999999</v>
      </c>
      <c r="AD270" s="24">
        <f>IF(D270="M",IF(AG270&lt;78,BMILMS!$D$5*AG270^3+BMILMS!$E$5*AG270^2+BMILMS!$F$5*AG270+BMILMS!$G$5,IF(AG270&lt;150,BMILMS!$D$6*AG270^3+BMILMS!$E$6*AG270^2+BMILMS!$F$6*AG270+BMILMS!$G$6,BMILMS!$D$7*AG270^3+BMILMS!$E$7*AG270^2+BMILMS!$F$7*AG270+BMILMS!$G$7)),IF(AG270&lt;69,BMILMS!$D$9*AG270^3+BMILMS!$E$9*AG270^2+BMILMS!$F$9*AG270+BMILMS!$G$9,IF(AG270&lt;150,BMILMS!$D$10*AG270^3+BMILMS!$E$10*AG270^2+BMILMS!$F$10*AG270+BMILMS!$G$10,BMILMS!$D$11*AG270^3+BMILMS!$E$11*AG270^2+BMILMS!$F$11*AG270+BMILMS!$G$11)))</f>
        <v>0.79584630099999998</v>
      </c>
      <c r="AE270" s="24">
        <f>IF(D270="M",(IF(AG270&lt;2.5,BMILMS!$D$21*AG270^3+BMILMS!$E$21*AG270^2+BMILMS!$F$21*AG270+BMILMS!$G$21,IF(AG270&lt;9.5,BMILMS!$D$22*AG270^3+BMILMS!$E$22*AG270^2+BMILMS!$F$22*AG270+BMILMS!$G$22,IF(AG270&lt;26.75,BMILMS!$D$23*AG270^3+BMILMS!$E$23*AG270^2+BMILMS!$F$23*AG270+BMILMS!$G$23,IF(AG270&lt;90,BMILMS!$D$24*AG270^3+BMILMS!$E$24*AG270^2+BMILMS!$F$24*AG270+BMILMS!$G$24,BMILMS!$D$25*AG270^3+BMILMS!$E$25*AG270^2+BMILMS!$F$25*AG270+BMILMS!$G$25))))),(IF(AG270&lt;2.5,BMILMS!$D$27*AG270^3+BMILMS!$E$27*AG270^2+BMILMS!$F$27*AG270+BMILMS!$G$27,IF(AG270&lt;9.5,BMILMS!$D$28*AG270^3+BMILMS!$E$28*AG270^2+BMILMS!$F$28*AG270+BMILMS!$G$28,IF(AG270&lt;26.75,BMILMS!$D$29*AG270^3+BMILMS!$E$29*AG270^2+BMILMS!$F$29*AG270+BMILMS!$G$29,IF(AG270&lt;90,BMILMS!$D$30*AG270^3+BMILMS!$E$30*AG270^2+BMILMS!$F$30*AG270+BMILMS!$G$30,IF(AG270&lt;150,BMILMS!$D$31*AG270^3+BMILMS!$E$31*AG270^2+BMILMS!$F$31*AG270+BMILMS!$G$31,BMILMS!$D$32*AG270^3+BMILMS!$E$32*AG270^2+BMILMS!$F$32*AG270+BMILMS!$G$32)))))))</f>
        <v>12.568967990000001</v>
      </c>
      <c r="AF270" s="24">
        <f>IF(D270="M",(IF(AG270&lt;90,BMILMS!$D$14*AG270^3+BMILMS!$E$14*AG270^2+BMILMS!$F$14*AG270+BMILMS!$G$14,BMILMS!$D$15*AG270^3+BMILMS!$E$15*AG270^2+BMILMS!$F$15*AG270+BMILMS!$G$15)),(IF(AG270&lt;90,BMILMS!$D$17*AG270^3+BMILMS!$E$17*AG270^2+BMILMS!$F$17*AG270+BMILMS!$G$17,BMILMS!$D$18*AG270^3+BMILMS!$E$18*AG270^2+BMILMS!$F$18*AG270+BMILMS!$G$18)))</f>
        <v>8.8969350000000003E-2</v>
      </c>
      <c r="AG270" s="24">
        <f t="shared" si="80"/>
        <v>0</v>
      </c>
      <c r="AI270" s="38">
        <f>IF(D270="M",WeightSDS!P$5*$AG270^7+WeightSDS!Q$5*$AG270^6+WeightSDS!R$5*$AG270^5+WeightSDS!S$5*$AG270^4+WeightSDS!T$5*$AG270^3+WeightSDS!U$5*$AG270^2+WeightSDS!V$5*$AG270+WeightSDS!W$5,IF($AG270&lt;186,WeightSDS!P$8*$AG270^7+WeightSDS!Q$8*$AG270^6+WeightSDS!R$8*$AG270^5+WeightSDS!S$8*$AG270^4+WeightSDS!T$8*$AG270^3+WeightSDS!U$8*$AG270^2+WeightSDS!V$8*$AG270+WeightSDS!W$8,WeightSDS!$U$9-WeightSDS!$V$9*($AG270-WeightSDS!$W$9)))</f>
        <v>0.75407122999999998</v>
      </c>
      <c r="AJ270" s="24">
        <f>IF(D270="M",IF($AG270&lt;45,WeightSDS!M$23*$AG270^10+WeightSDS!N$23*$AG270^9+WeightSDS!O$23*$AG270^8+WeightSDS!P$23*$AG270^7+WeightSDS!Q$23*$AG270^6+WeightSDS!R$23*$AG270^5+WeightSDS!S$23*$AG270^4+WeightSDS!T$23*$AG270^3+WeightSDS!U$23*$AG270^2+WeightSDS!V$23*$AG270+WeightSDS!W$23,IF($AG270&lt;153,WeightSDS!M$25*$AG270^10+WeightSDS!N$25*$AG270^9+WeightSDS!O$25*$AG270^8+WeightSDS!P$25*$AG270^7+WeightSDS!Q$25*$AG270^6+WeightSDS!R$25*$AG270^5+WeightSDS!S$25*$AG270^4+WeightSDS!T$25*$AG270^3+WeightSDS!U$25*$AG270^2+WeightSDS!V$25*$AG270+WeightSDS!W$25,WeightSDS!M$27+WeightSDS!N$27/(1+EXP(WeightSDS!O$27+WeightSDS!P$27*$AG270)))),IF($AG270&lt;43.8,WeightSDS!M$29*$AG270^10+WeightSDS!N$29*$AG270^9+WeightSDS!O$29*$AG270^8+WeightSDS!P$29*$AG270^7+WeightSDS!Q$29*$AG270^6+WeightSDS!R$29*$AG270^5+WeightSDS!S$29*$AG270^4+WeightSDS!T$29*$AG270^3+WeightSDS!U$29*$AG270^2+WeightSDS!V$29*$AG270+WeightSDS!W$29-0.010431*(1-$AG270/210),IF($AG270&lt;123,WeightSDS!M$30*$AG270^10+WeightSDS!N$30*$AG270^9+WeightSDS!O$30*$AG270^8+WeightSDS!P$30*$AG270^7+WeightSDS!Q$30*$AG270^6+WeightSDS!R$30*$AG270^5+WeightSDS!S$30*$AG270^4+WeightSDS!T$30*$AG270^3+WeightSDS!U$30*$AG270^2+WeightSDS!V$30*$AG270+WeightSDS!W$30-0.010431*(1-1/$AG270),WeightSDS!M$32+WeightSDS!N$32/(1+EXP(WeightSDS!O$32+WeightSDS!P$32*$AG270))-0.010431*(1-$AG270/210))))</f>
        <v>2.9500001032655536</v>
      </c>
      <c r="AK270" s="24">
        <f>IF(D270="M",IF($AG270&lt;162,WeightSDS!P$12*$AG270^7+WeightSDS!Q$12*$AG270^6+WeightSDS!R$12*$AG270^5+WeightSDS!S$12*$AG270^4+WeightSDS!T$12*$AG270^3+WeightSDS!U$12*$AG270^2+WeightSDS!V$12*$AG270+WeightSDS!W$12,WeightSDS!P$14*$AG270^7+WeightSDS!Q$14*$AG270^6+WeightSDS!R$14*$AG270^5+WeightSDS!S$14*$AG270^4+WeightSDS!T$14*$AG270^3+WeightSDS!U$14*$AG270^2+WeightSDS!V$14*$AG270+WeightSDS!W$14),IF($AG270&lt;156,WeightSDS!O$17*$AG270^8+WeightSDS!P$17*$AG270^7+WeightSDS!Q$17*$AG270^6+WeightSDS!R$17*$AG270^5+WeightSDS!S$17*$AG270^4+WeightSDS!T$17*$AG270^3+WeightSDS!U$17*$AG270^2+WeightSDS!V$17*$AG270+WeightSDS!W$17,IF($AG270&lt;186,WeightSDS!$U$18+(WeightSDS!$V$18-WeightSDS!$U$18)/24*($AG270-186)+WeightSDS!$W$18*(-$AG270+186)^2-0.005,WeightSDS!$U$18+(WeightSDS!$V$18-WeightSDS!$U$18)/24*($AG270-186)-0.005)))</f>
        <v>0.14604529399999999</v>
      </c>
    </row>
    <row r="271" spans="1:37">
      <c r="A271" s="4"/>
      <c r="B271" s="21"/>
      <c r="C271" s="21"/>
      <c r="D271" s="21"/>
      <c r="E271" s="22"/>
      <c r="F271" s="22"/>
      <c r="G271" s="23"/>
      <c r="H271" s="23"/>
      <c r="I271" s="8" t="str">
        <f t="shared" si="66"/>
        <v/>
      </c>
      <c r="J271" s="2" t="str">
        <f t="shared" si="73"/>
        <v/>
      </c>
      <c r="K271" s="2" t="str">
        <f t="shared" si="67"/>
        <v/>
      </c>
      <c r="L271" s="2" t="str">
        <f t="shared" si="74"/>
        <v/>
      </c>
      <c r="M271" s="2" t="str">
        <f t="shared" si="79"/>
        <v/>
      </c>
      <c r="N271" s="2" t="str">
        <f t="shared" si="75"/>
        <v/>
      </c>
      <c r="O271" s="8" t="str">
        <f t="shared" si="76"/>
        <v/>
      </c>
      <c r="P271" s="8" t="str">
        <f t="shared" si="77"/>
        <v/>
      </c>
      <c r="Q271" s="40" t="str">
        <f t="shared" si="68"/>
        <v/>
      </c>
      <c r="R271" s="48" t="str">
        <f t="shared" si="78"/>
        <v/>
      </c>
      <c r="S271" s="8"/>
      <c r="U271" s="35">
        <f t="shared" si="69"/>
        <v>0</v>
      </c>
      <c r="V271" s="24">
        <f t="shared" si="70"/>
        <v>0</v>
      </c>
      <c r="W271" s="41">
        <f t="shared" si="65"/>
        <v>0</v>
      </c>
      <c r="X271" s="31"/>
      <c r="Y271" s="31"/>
      <c r="Z271" s="31"/>
      <c r="AA271" s="25">
        <f t="shared" si="71"/>
        <v>9.0359999999999996</v>
      </c>
      <c r="AB271" s="25">
        <f t="shared" si="72"/>
        <v>-184.49199999999999</v>
      </c>
      <c r="AD271" s="24">
        <f>IF(D271="M",IF(AG271&lt;78,BMILMS!$D$5*AG271^3+BMILMS!$E$5*AG271^2+BMILMS!$F$5*AG271+BMILMS!$G$5,IF(AG271&lt;150,BMILMS!$D$6*AG271^3+BMILMS!$E$6*AG271^2+BMILMS!$F$6*AG271+BMILMS!$G$6,BMILMS!$D$7*AG271^3+BMILMS!$E$7*AG271^2+BMILMS!$F$7*AG271+BMILMS!$G$7)),IF(AG271&lt;69,BMILMS!$D$9*AG271^3+BMILMS!$E$9*AG271^2+BMILMS!$F$9*AG271+BMILMS!$G$9,IF(AG271&lt;150,BMILMS!$D$10*AG271^3+BMILMS!$E$10*AG271^2+BMILMS!$F$10*AG271+BMILMS!$G$10,BMILMS!$D$11*AG271^3+BMILMS!$E$11*AG271^2+BMILMS!$F$11*AG271+BMILMS!$G$11)))</f>
        <v>0.79584630099999998</v>
      </c>
      <c r="AE271" s="24">
        <f>IF(D271="M",(IF(AG271&lt;2.5,BMILMS!$D$21*AG271^3+BMILMS!$E$21*AG271^2+BMILMS!$F$21*AG271+BMILMS!$G$21,IF(AG271&lt;9.5,BMILMS!$D$22*AG271^3+BMILMS!$E$22*AG271^2+BMILMS!$F$22*AG271+BMILMS!$G$22,IF(AG271&lt;26.75,BMILMS!$D$23*AG271^3+BMILMS!$E$23*AG271^2+BMILMS!$F$23*AG271+BMILMS!$G$23,IF(AG271&lt;90,BMILMS!$D$24*AG271^3+BMILMS!$E$24*AG271^2+BMILMS!$F$24*AG271+BMILMS!$G$24,BMILMS!$D$25*AG271^3+BMILMS!$E$25*AG271^2+BMILMS!$F$25*AG271+BMILMS!$G$25))))),(IF(AG271&lt;2.5,BMILMS!$D$27*AG271^3+BMILMS!$E$27*AG271^2+BMILMS!$F$27*AG271+BMILMS!$G$27,IF(AG271&lt;9.5,BMILMS!$D$28*AG271^3+BMILMS!$E$28*AG271^2+BMILMS!$F$28*AG271+BMILMS!$G$28,IF(AG271&lt;26.75,BMILMS!$D$29*AG271^3+BMILMS!$E$29*AG271^2+BMILMS!$F$29*AG271+BMILMS!$G$29,IF(AG271&lt;90,BMILMS!$D$30*AG271^3+BMILMS!$E$30*AG271^2+BMILMS!$F$30*AG271+BMILMS!$G$30,IF(AG271&lt;150,BMILMS!$D$31*AG271^3+BMILMS!$E$31*AG271^2+BMILMS!$F$31*AG271+BMILMS!$G$31,BMILMS!$D$32*AG271^3+BMILMS!$E$32*AG271^2+BMILMS!$F$32*AG271+BMILMS!$G$32)))))))</f>
        <v>12.568967990000001</v>
      </c>
      <c r="AF271" s="24">
        <f>IF(D271="M",(IF(AG271&lt;90,BMILMS!$D$14*AG271^3+BMILMS!$E$14*AG271^2+BMILMS!$F$14*AG271+BMILMS!$G$14,BMILMS!$D$15*AG271^3+BMILMS!$E$15*AG271^2+BMILMS!$F$15*AG271+BMILMS!$G$15)),(IF(AG271&lt;90,BMILMS!$D$17*AG271^3+BMILMS!$E$17*AG271^2+BMILMS!$F$17*AG271+BMILMS!$G$17,BMILMS!$D$18*AG271^3+BMILMS!$E$18*AG271^2+BMILMS!$F$18*AG271+BMILMS!$G$18)))</f>
        <v>8.8969350000000003E-2</v>
      </c>
      <c r="AG271" s="24">
        <f t="shared" si="80"/>
        <v>0</v>
      </c>
      <c r="AI271" s="38">
        <f>IF(D271="M",WeightSDS!P$5*$AG271^7+WeightSDS!Q$5*$AG271^6+WeightSDS!R$5*$AG271^5+WeightSDS!S$5*$AG271^4+WeightSDS!T$5*$AG271^3+WeightSDS!U$5*$AG271^2+WeightSDS!V$5*$AG271+WeightSDS!W$5,IF($AG271&lt;186,WeightSDS!P$8*$AG271^7+WeightSDS!Q$8*$AG271^6+WeightSDS!R$8*$AG271^5+WeightSDS!S$8*$AG271^4+WeightSDS!T$8*$AG271^3+WeightSDS!U$8*$AG271^2+WeightSDS!V$8*$AG271+WeightSDS!W$8,WeightSDS!$U$9-WeightSDS!$V$9*($AG271-WeightSDS!$W$9)))</f>
        <v>0.75407122999999998</v>
      </c>
      <c r="AJ271" s="24">
        <f>IF(D271="M",IF($AG271&lt;45,WeightSDS!M$23*$AG271^10+WeightSDS!N$23*$AG271^9+WeightSDS!O$23*$AG271^8+WeightSDS!P$23*$AG271^7+WeightSDS!Q$23*$AG271^6+WeightSDS!R$23*$AG271^5+WeightSDS!S$23*$AG271^4+WeightSDS!T$23*$AG271^3+WeightSDS!U$23*$AG271^2+WeightSDS!V$23*$AG271+WeightSDS!W$23,IF($AG271&lt;153,WeightSDS!M$25*$AG271^10+WeightSDS!N$25*$AG271^9+WeightSDS!O$25*$AG271^8+WeightSDS!P$25*$AG271^7+WeightSDS!Q$25*$AG271^6+WeightSDS!R$25*$AG271^5+WeightSDS!S$25*$AG271^4+WeightSDS!T$25*$AG271^3+WeightSDS!U$25*$AG271^2+WeightSDS!V$25*$AG271+WeightSDS!W$25,WeightSDS!M$27+WeightSDS!N$27/(1+EXP(WeightSDS!O$27+WeightSDS!P$27*$AG271)))),IF($AG271&lt;43.8,WeightSDS!M$29*$AG271^10+WeightSDS!N$29*$AG271^9+WeightSDS!O$29*$AG271^8+WeightSDS!P$29*$AG271^7+WeightSDS!Q$29*$AG271^6+WeightSDS!R$29*$AG271^5+WeightSDS!S$29*$AG271^4+WeightSDS!T$29*$AG271^3+WeightSDS!U$29*$AG271^2+WeightSDS!V$29*$AG271+WeightSDS!W$29-0.010431*(1-$AG271/210),IF($AG271&lt;123,WeightSDS!M$30*$AG271^10+WeightSDS!N$30*$AG271^9+WeightSDS!O$30*$AG271^8+WeightSDS!P$30*$AG271^7+WeightSDS!Q$30*$AG271^6+WeightSDS!R$30*$AG271^5+WeightSDS!S$30*$AG271^4+WeightSDS!T$30*$AG271^3+WeightSDS!U$30*$AG271^2+WeightSDS!V$30*$AG271+WeightSDS!W$30-0.010431*(1-1/$AG271),WeightSDS!M$32+WeightSDS!N$32/(1+EXP(WeightSDS!O$32+WeightSDS!P$32*$AG271))-0.010431*(1-$AG271/210))))</f>
        <v>2.9500001032655536</v>
      </c>
      <c r="AK271" s="24">
        <f>IF(D271="M",IF($AG271&lt;162,WeightSDS!P$12*$AG271^7+WeightSDS!Q$12*$AG271^6+WeightSDS!R$12*$AG271^5+WeightSDS!S$12*$AG271^4+WeightSDS!T$12*$AG271^3+WeightSDS!U$12*$AG271^2+WeightSDS!V$12*$AG271+WeightSDS!W$12,WeightSDS!P$14*$AG271^7+WeightSDS!Q$14*$AG271^6+WeightSDS!R$14*$AG271^5+WeightSDS!S$14*$AG271^4+WeightSDS!T$14*$AG271^3+WeightSDS!U$14*$AG271^2+WeightSDS!V$14*$AG271+WeightSDS!W$14),IF($AG271&lt;156,WeightSDS!O$17*$AG271^8+WeightSDS!P$17*$AG271^7+WeightSDS!Q$17*$AG271^6+WeightSDS!R$17*$AG271^5+WeightSDS!S$17*$AG271^4+WeightSDS!T$17*$AG271^3+WeightSDS!U$17*$AG271^2+WeightSDS!V$17*$AG271+WeightSDS!W$17,IF($AG271&lt;186,WeightSDS!$U$18+(WeightSDS!$V$18-WeightSDS!$U$18)/24*($AG271-186)+WeightSDS!$W$18*(-$AG271+186)^2-0.005,WeightSDS!$U$18+(WeightSDS!$V$18-WeightSDS!$U$18)/24*($AG271-186)-0.005)))</f>
        <v>0.14604529399999999</v>
      </c>
    </row>
    <row r="272" spans="1:37">
      <c r="A272" s="4"/>
      <c r="B272" s="21"/>
      <c r="C272" s="21"/>
      <c r="D272" s="21"/>
      <c r="E272" s="22"/>
      <c r="F272" s="22"/>
      <c r="G272" s="23"/>
      <c r="H272" s="23"/>
      <c r="I272" s="8" t="str">
        <f t="shared" si="66"/>
        <v/>
      </c>
      <c r="J272" s="2" t="str">
        <f t="shared" si="73"/>
        <v/>
      </c>
      <c r="K272" s="2" t="str">
        <f t="shared" si="67"/>
        <v/>
      </c>
      <c r="L272" s="2" t="str">
        <f t="shared" si="74"/>
        <v/>
      </c>
      <c r="M272" s="2" t="str">
        <f t="shared" si="79"/>
        <v/>
      </c>
      <c r="N272" s="2" t="str">
        <f t="shared" si="75"/>
        <v/>
      </c>
      <c r="O272" s="8" t="str">
        <f t="shared" si="76"/>
        <v/>
      </c>
      <c r="P272" s="8" t="str">
        <f t="shared" si="77"/>
        <v/>
      </c>
      <c r="Q272" s="40" t="str">
        <f t="shared" si="68"/>
        <v/>
      </c>
      <c r="R272" s="48" t="str">
        <f t="shared" si="78"/>
        <v/>
      </c>
      <c r="S272" s="8"/>
      <c r="U272" s="35">
        <f t="shared" si="69"/>
        <v>0</v>
      </c>
      <c r="V272" s="24">
        <f t="shared" si="70"/>
        <v>0</v>
      </c>
      <c r="W272" s="41">
        <f t="shared" si="65"/>
        <v>0</v>
      </c>
      <c r="X272" s="31"/>
      <c r="Y272" s="31"/>
      <c r="Z272" s="31"/>
      <c r="AA272" s="25">
        <f t="shared" si="71"/>
        <v>9.0359999999999996</v>
      </c>
      <c r="AB272" s="25">
        <f t="shared" si="72"/>
        <v>-184.49199999999999</v>
      </c>
      <c r="AD272" s="24">
        <f>IF(D272="M",IF(AG272&lt;78,BMILMS!$D$5*AG272^3+BMILMS!$E$5*AG272^2+BMILMS!$F$5*AG272+BMILMS!$G$5,IF(AG272&lt;150,BMILMS!$D$6*AG272^3+BMILMS!$E$6*AG272^2+BMILMS!$F$6*AG272+BMILMS!$G$6,BMILMS!$D$7*AG272^3+BMILMS!$E$7*AG272^2+BMILMS!$F$7*AG272+BMILMS!$G$7)),IF(AG272&lt;69,BMILMS!$D$9*AG272^3+BMILMS!$E$9*AG272^2+BMILMS!$F$9*AG272+BMILMS!$G$9,IF(AG272&lt;150,BMILMS!$D$10*AG272^3+BMILMS!$E$10*AG272^2+BMILMS!$F$10*AG272+BMILMS!$G$10,BMILMS!$D$11*AG272^3+BMILMS!$E$11*AG272^2+BMILMS!$F$11*AG272+BMILMS!$G$11)))</f>
        <v>0.79584630099999998</v>
      </c>
      <c r="AE272" s="24">
        <f>IF(D272="M",(IF(AG272&lt;2.5,BMILMS!$D$21*AG272^3+BMILMS!$E$21*AG272^2+BMILMS!$F$21*AG272+BMILMS!$G$21,IF(AG272&lt;9.5,BMILMS!$D$22*AG272^3+BMILMS!$E$22*AG272^2+BMILMS!$F$22*AG272+BMILMS!$G$22,IF(AG272&lt;26.75,BMILMS!$D$23*AG272^3+BMILMS!$E$23*AG272^2+BMILMS!$F$23*AG272+BMILMS!$G$23,IF(AG272&lt;90,BMILMS!$D$24*AG272^3+BMILMS!$E$24*AG272^2+BMILMS!$F$24*AG272+BMILMS!$G$24,BMILMS!$D$25*AG272^3+BMILMS!$E$25*AG272^2+BMILMS!$F$25*AG272+BMILMS!$G$25))))),(IF(AG272&lt;2.5,BMILMS!$D$27*AG272^3+BMILMS!$E$27*AG272^2+BMILMS!$F$27*AG272+BMILMS!$G$27,IF(AG272&lt;9.5,BMILMS!$D$28*AG272^3+BMILMS!$E$28*AG272^2+BMILMS!$F$28*AG272+BMILMS!$G$28,IF(AG272&lt;26.75,BMILMS!$D$29*AG272^3+BMILMS!$E$29*AG272^2+BMILMS!$F$29*AG272+BMILMS!$G$29,IF(AG272&lt;90,BMILMS!$D$30*AG272^3+BMILMS!$E$30*AG272^2+BMILMS!$F$30*AG272+BMILMS!$G$30,IF(AG272&lt;150,BMILMS!$D$31*AG272^3+BMILMS!$E$31*AG272^2+BMILMS!$F$31*AG272+BMILMS!$G$31,BMILMS!$D$32*AG272^3+BMILMS!$E$32*AG272^2+BMILMS!$F$32*AG272+BMILMS!$G$32)))))))</f>
        <v>12.568967990000001</v>
      </c>
      <c r="AF272" s="24">
        <f>IF(D272="M",(IF(AG272&lt;90,BMILMS!$D$14*AG272^3+BMILMS!$E$14*AG272^2+BMILMS!$F$14*AG272+BMILMS!$G$14,BMILMS!$D$15*AG272^3+BMILMS!$E$15*AG272^2+BMILMS!$F$15*AG272+BMILMS!$G$15)),(IF(AG272&lt;90,BMILMS!$D$17*AG272^3+BMILMS!$E$17*AG272^2+BMILMS!$F$17*AG272+BMILMS!$G$17,BMILMS!$D$18*AG272^3+BMILMS!$E$18*AG272^2+BMILMS!$F$18*AG272+BMILMS!$G$18)))</f>
        <v>8.8969350000000003E-2</v>
      </c>
      <c r="AG272" s="24">
        <f t="shared" si="80"/>
        <v>0</v>
      </c>
      <c r="AI272" s="38">
        <f>IF(D272="M",WeightSDS!P$5*$AG272^7+WeightSDS!Q$5*$AG272^6+WeightSDS!R$5*$AG272^5+WeightSDS!S$5*$AG272^4+WeightSDS!T$5*$AG272^3+WeightSDS!U$5*$AG272^2+WeightSDS!V$5*$AG272+WeightSDS!W$5,IF($AG272&lt;186,WeightSDS!P$8*$AG272^7+WeightSDS!Q$8*$AG272^6+WeightSDS!R$8*$AG272^5+WeightSDS!S$8*$AG272^4+WeightSDS!T$8*$AG272^3+WeightSDS!U$8*$AG272^2+WeightSDS!V$8*$AG272+WeightSDS!W$8,WeightSDS!$U$9-WeightSDS!$V$9*($AG272-WeightSDS!$W$9)))</f>
        <v>0.75407122999999998</v>
      </c>
      <c r="AJ272" s="24">
        <f>IF(D272="M",IF($AG272&lt;45,WeightSDS!M$23*$AG272^10+WeightSDS!N$23*$AG272^9+WeightSDS!O$23*$AG272^8+WeightSDS!P$23*$AG272^7+WeightSDS!Q$23*$AG272^6+WeightSDS!R$23*$AG272^5+WeightSDS!S$23*$AG272^4+WeightSDS!T$23*$AG272^3+WeightSDS!U$23*$AG272^2+WeightSDS!V$23*$AG272+WeightSDS!W$23,IF($AG272&lt;153,WeightSDS!M$25*$AG272^10+WeightSDS!N$25*$AG272^9+WeightSDS!O$25*$AG272^8+WeightSDS!P$25*$AG272^7+WeightSDS!Q$25*$AG272^6+WeightSDS!R$25*$AG272^5+WeightSDS!S$25*$AG272^4+WeightSDS!T$25*$AG272^3+WeightSDS!U$25*$AG272^2+WeightSDS!V$25*$AG272+WeightSDS!W$25,WeightSDS!M$27+WeightSDS!N$27/(1+EXP(WeightSDS!O$27+WeightSDS!P$27*$AG272)))),IF($AG272&lt;43.8,WeightSDS!M$29*$AG272^10+WeightSDS!N$29*$AG272^9+WeightSDS!O$29*$AG272^8+WeightSDS!P$29*$AG272^7+WeightSDS!Q$29*$AG272^6+WeightSDS!R$29*$AG272^5+WeightSDS!S$29*$AG272^4+WeightSDS!T$29*$AG272^3+WeightSDS!U$29*$AG272^2+WeightSDS!V$29*$AG272+WeightSDS!W$29-0.010431*(1-$AG272/210),IF($AG272&lt;123,WeightSDS!M$30*$AG272^10+WeightSDS!N$30*$AG272^9+WeightSDS!O$30*$AG272^8+WeightSDS!P$30*$AG272^7+WeightSDS!Q$30*$AG272^6+WeightSDS!R$30*$AG272^5+WeightSDS!S$30*$AG272^4+WeightSDS!T$30*$AG272^3+WeightSDS!U$30*$AG272^2+WeightSDS!V$30*$AG272+WeightSDS!W$30-0.010431*(1-1/$AG272),WeightSDS!M$32+WeightSDS!N$32/(1+EXP(WeightSDS!O$32+WeightSDS!P$32*$AG272))-0.010431*(1-$AG272/210))))</f>
        <v>2.9500001032655536</v>
      </c>
      <c r="AK272" s="24">
        <f>IF(D272="M",IF($AG272&lt;162,WeightSDS!P$12*$AG272^7+WeightSDS!Q$12*$AG272^6+WeightSDS!R$12*$AG272^5+WeightSDS!S$12*$AG272^4+WeightSDS!T$12*$AG272^3+WeightSDS!U$12*$AG272^2+WeightSDS!V$12*$AG272+WeightSDS!W$12,WeightSDS!P$14*$AG272^7+WeightSDS!Q$14*$AG272^6+WeightSDS!R$14*$AG272^5+WeightSDS!S$14*$AG272^4+WeightSDS!T$14*$AG272^3+WeightSDS!U$14*$AG272^2+WeightSDS!V$14*$AG272+WeightSDS!W$14),IF($AG272&lt;156,WeightSDS!O$17*$AG272^8+WeightSDS!P$17*$AG272^7+WeightSDS!Q$17*$AG272^6+WeightSDS!R$17*$AG272^5+WeightSDS!S$17*$AG272^4+WeightSDS!T$17*$AG272^3+WeightSDS!U$17*$AG272^2+WeightSDS!V$17*$AG272+WeightSDS!W$17,IF($AG272&lt;186,WeightSDS!$U$18+(WeightSDS!$V$18-WeightSDS!$U$18)/24*($AG272-186)+WeightSDS!$W$18*(-$AG272+186)^2-0.005,WeightSDS!$U$18+(WeightSDS!$V$18-WeightSDS!$U$18)/24*($AG272-186)-0.005)))</f>
        <v>0.14604529399999999</v>
      </c>
    </row>
    <row r="273" spans="1:37">
      <c r="A273" s="4"/>
      <c r="B273" s="21"/>
      <c r="C273" s="21"/>
      <c r="D273" s="21"/>
      <c r="E273" s="22"/>
      <c r="F273" s="22"/>
      <c r="G273" s="23"/>
      <c r="H273" s="23"/>
      <c r="I273" s="8" t="str">
        <f t="shared" si="66"/>
        <v/>
      </c>
      <c r="J273" s="2" t="str">
        <f t="shared" si="73"/>
        <v/>
      </c>
      <c r="K273" s="2" t="str">
        <f t="shared" si="67"/>
        <v/>
      </c>
      <c r="L273" s="2" t="str">
        <f t="shared" si="74"/>
        <v/>
      </c>
      <c r="M273" s="2" t="str">
        <f t="shared" si="79"/>
        <v/>
      </c>
      <c r="N273" s="2" t="str">
        <f t="shared" si="75"/>
        <v/>
      </c>
      <c r="O273" s="8" t="str">
        <f t="shared" si="76"/>
        <v/>
      </c>
      <c r="P273" s="8" t="str">
        <f t="shared" si="77"/>
        <v/>
      </c>
      <c r="Q273" s="40" t="str">
        <f t="shared" si="68"/>
        <v/>
      </c>
      <c r="R273" s="48" t="str">
        <f t="shared" si="78"/>
        <v/>
      </c>
      <c r="S273" s="8"/>
      <c r="U273" s="35">
        <f t="shared" si="69"/>
        <v>0</v>
      </c>
      <c r="V273" s="24">
        <f t="shared" si="70"/>
        <v>0</v>
      </c>
      <c r="W273" s="41">
        <f t="shared" si="65"/>
        <v>0</v>
      </c>
      <c r="X273" s="31"/>
      <c r="Y273" s="31"/>
      <c r="Z273" s="31"/>
      <c r="AA273" s="25">
        <f t="shared" si="71"/>
        <v>9.0359999999999996</v>
      </c>
      <c r="AB273" s="25">
        <f t="shared" si="72"/>
        <v>-184.49199999999999</v>
      </c>
      <c r="AD273" s="24">
        <f>IF(D273="M",IF(AG273&lt;78,BMILMS!$D$5*AG273^3+BMILMS!$E$5*AG273^2+BMILMS!$F$5*AG273+BMILMS!$G$5,IF(AG273&lt;150,BMILMS!$D$6*AG273^3+BMILMS!$E$6*AG273^2+BMILMS!$F$6*AG273+BMILMS!$G$6,BMILMS!$D$7*AG273^3+BMILMS!$E$7*AG273^2+BMILMS!$F$7*AG273+BMILMS!$G$7)),IF(AG273&lt;69,BMILMS!$D$9*AG273^3+BMILMS!$E$9*AG273^2+BMILMS!$F$9*AG273+BMILMS!$G$9,IF(AG273&lt;150,BMILMS!$D$10*AG273^3+BMILMS!$E$10*AG273^2+BMILMS!$F$10*AG273+BMILMS!$G$10,BMILMS!$D$11*AG273^3+BMILMS!$E$11*AG273^2+BMILMS!$F$11*AG273+BMILMS!$G$11)))</f>
        <v>0.79584630099999998</v>
      </c>
      <c r="AE273" s="24">
        <f>IF(D273="M",(IF(AG273&lt;2.5,BMILMS!$D$21*AG273^3+BMILMS!$E$21*AG273^2+BMILMS!$F$21*AG273+BMILMS!$G$21,IF(AG273&lt;9.5,BMILMS!$D$22*AG273^3+BMILMS!$E$22*AG273^2+BMILMS!$F$22*AG273+BMILMS!$G$22,IF(AG273&lt;26.75,BMILMS!$D$23*AG273^3+BMILMS!$E$23*AG273^2+BMILMS!$F$23*AG273+BMILMS!$G$23,IF(AG273&lt;90,BMILMS!$D$24*AG273^3+BMILMS!$E$24*AG273^2+BMILMS!$F$24*AG273+BMILMS!$G$24,BMILMS!$D$25*AG273^3+BMILMS!$E$25*AG273^2+BMILMS!$F$25*AG273+BMILMS!$G$25))))),(IF(AG273&lt;2.5,BMILMS!$D$27*AG273^3+BMILMS!$E$27*AG273^2+BMILMS!$F$27*AG273+BMILMS!$G$27,IF(AG273&lt;9.5,BMILMS!$D$28*AG273^3+BMILMS!$E$28*AG273^2+BMILMS!$F$28*AG273+BMILMS!$G$28,IF(AG273&lt;26.75,BMILMS!$D$29*AG273^3+BMILMS!$E$29*AG273^2+BMILMS!$F$29*AG273+BMILMS!$G$29,IF(AG273&lt;90,BMILMS!$D$30*AG273^3+BMILMS!$E$30*AG273^2+BMILMS!$F$30*AG273+BMILMS!$G$30,IF(AG273&lt;150,BMILMS!$D$31*AG273^3+BMILMS!$E$31*AG273^2+BMILMS!$F$31*AG273+BMILMS!$G$31,BMILMS!$D$32*AG273^3+BMILMS!$E$32*AG273^2+BMILMS!$F$32*AG273+BMILMS!$G$32)))))))</f>
        <v>12.568967990000001</v>
      </c>
      <c r="AF273" s="24">
        <f>IF(D273="M",(IF(AG273&lt;90,BMILMS!$D$14*AG273^3+BMILMS!$E$14*AG273^2+BMILMS!$F$14*AG273+BMILMS!$G$14,BMILMS!$D$15*AG273^3+BMILMS!$E$15*AG273^2+BMILMS!$F$15*AG273+BMILMS!$G$15)),(IF(AG273&lt;90,BMILMS!$D$17*AG273^3+BMILMS!$E$17*AG273^2+BMILMS!$F$17*AG273+BMILMS!$G$17,BMILMS!$D$18*AG273^3+BMILMS!$E$18*AG273^2+BMILMS!$F$18*AG273+BMILMS!$G$18)))</f>
        <v>8.8969350000000003E-2</v>
      </c>
      <c r="AG273" s="24">
        <f t="shared" si="80"/>
        <v>0</v>
      </c>
      <c r="AI273" s="38">
        <f>IF(D273="M",WeightSDS!P$5*$AG273^7+WeightSDS!Q$5*$AG273^6+WeightSDS!R$5*$AG273^5+WeightSDS!S$5*$AG273^4+WeightSDS!T$5*$AG273^3+WeightSDS!U$5*$AG273^2+WeightSDS!V$5*$AG273+WeightSDS!W$5,IF($AG273&lt;186,WeightSDS!P$8*$AG273^7+WeightSDS!Q$8*$AG273^6+WeightSDS!R$8*$AG273^5+WeightSDS!S$8*$AG273^4+WeightSDS!T$8*$AG273^3+WeightSDS!U$8*$AG273^2+WeightSDS!V$8*$AG273+WeightSDS!W$8,WeightSDS!$U$9-WeightSDS!$V$9*($AG273-WeightSDS!$W$9)))</f>
        <v>0.75407122999999998</v>
      </c>
      <c r="AJ273" s="24">
        <f>IF(D273="M",IF($AG273&lt;45,WeightSDS!M$23*$AG273^10+WeightSDS!N$23*$AG273^9+WeightSDS!O$23*$AG273^8+WeightSDS!P$23*$AG273^7+WeightSDS!Q$23*$AG273^6+WeightSDS!R$23*$AG273^5+WeightSDS!S$23*$AG273^4+WeightSDS!T$23*$AG273^3+WeightSDS!U$23*$AG273^2+WeightSDS!V$23*$AG273+WeightSDS!W$23,IF($AG273&lt;153,WeightSDS!M$25*$AG273^10+WeightSDS!N$25*$AG273^9+WeightSDS!O$25*$AG273^8+WeightSDS!P$25*$AG273^7+WeightSDS!Q$25*$AG273^6+WeightSDS!R$25*$AG273^5+WeightSDS!S$25*$AG273^4+WeightSDS!T$25*$AG273^3+WeightSDS!U$25*$AG273^2+WeightSDS!V$25*$AG273+WeightSDS!W$25,WeightSDS!M$27+WeightSDS!N$27/(1+EXP(WeightSDS!O$27+WeightSDS!P$27*$AG273)))),IF($AG273&lt;43.8,WeightSDS!M$29*$AG273^10+WeightSDS!N$29*$AG273^9+WeightSDS!O$29*$AG273^8+WeightSDS!P$29*$AG273^7+WeightSDS!Q$29*$AG273^6+WeightSDS!R$29*$AG273^5+WeightSDS!S$29*$AG273^4+WeightSDS!T$29*$AG273^3+WeightSDS!U$29*$AG273^2+WeightSDS!V$29*$AG273+WeightSDS!W$29-0.010431*(1-$AG273/210),IF($AG273&lt;123,WeightSDS!M$30*$AG273^10+WeightSDS!N$30*$AG273^9+WeightSDS!O$30*$AG273^8+WeightSDS!P$30*$AG273^7+WeightSDS!Q$30*$AG273^6+WeightSDS!R$30*$AG273^5+WeightSDS!S$30*$AG273^4+WeightSDS!T$30*$AG273^3+WeightSDS!U$30*$AG273^2+WeightSDS!V$30*$AG273+WeightSDS!W$30-0.010431*(1-1/$AG273),WeightSDS!M$32+WeightSDS!N$32/(1+EXP(WeightSDS!O$32+WeightSDS!P$32*$AG273))-0.010431*(1-$AG273/210))))</f>
        <v>2.9500001032655536</v>
      </c>
      <c r="AK273" s="24">
        <f>IF(D273="M",IF($AG273&lt;162,WeightSDS!P$12*$AG273^7+WeightSDS!Q$12*$AG273^6+WeightSDS!R$12*$AG273^5+WeightSDS!S$12*$AG273^4+WeightSDS!T$12*$AG273^3+WeightSDS!U$12*$AG273^2+WeightSDS!V$12*$AG273+WeightSDS!W$12,WeightSDS!P$14*$AG273^7+WeightSDS!Q$14*$AG273^6+WeightSDS!R$14*$AG273^5+WeightSDS!S$14*$AG273^4+WeightSDS!T$14*$AG273^3+WeightSDS!U$14*$AG273^2+WeightSDS!V$14*$AG273+WeightSDS!W$14),IF($AG273&lt;156,WeightSDS!O$17*$AG273^8+WeightSDS!P$17*$AG273^7+WeightSDS!Q$17*$AG273^6+WeightSDS!R$17*$AG273^5+WeightSDS!S$17*$AG273^4+WeightSDS!T$17*$AG273^3+WeightSDS!U$17*$AG273^2+WeightSDS!V$17*$AG273+WeightSDS!W$17,IF($AG273&lt;186,WeightSDS!$U$18+(WeightSDS!$V$18-WeightSDS!$U$18)/24*($AG273-186)+WeightSDS!$W$18*(-$AG273+186)^2-0.005,WeightSDS!$U$18+(WeightSDS!$V$18-WeightSDS!$U$18)/24*($AG273-186)-0.005)))</f>
        <v>0.14604529399999999</v>
      </c>
    </row>
    <row r="274" spans="1:37">
      <c r="A274" s="4"/>
      <c r="B274" s="21"/>
      <c r="C274" s="21"/>
      <c r="D274" s="21"/>
      <c r="E274" s="22"/>
      <c r="F274" s="22"/>
      <c r="G274" s="23"/>
      <c r="H274" s="23"/>
      <c r="I274" s="8" t="str">
        <f t="shared" si="66"/>
        <v/>
      </c>
      <c r="J274" s="2" t="str">
        <f t="shared" si="73"/>
        <v/>
      </c>
      <c r="K274" s="2" t="str">
        <f t="shared" si="67"/>
        <v/>
      </c>
      <c r="L274" s="2" t="str">
        <f t="shared" si="74"/>
        <v/>
      </c>
      <c r="M274" s="2" t="str">
        <f t="shared" si="79"/>
        <v/>
      </c>
      <c r="N274" s="2" t="str">
        <f t="shared" si="75"/>
        <v/>
      </c>
      <c r="O274" s="8" t="str">
        <f t="shared" si="76"/>
        <v/>
      </c>
      <c r="P274" s="8" t="str">
        <f t="shared" si="77"/>
        <v/>
      </c>
      <c r="Q274" s="40" t="str">
        <f t="shared" si="68"/>
        <v/>
      </c>
      <c r="R274" s="48" t="str">
        <f t="shared" si="78"/>
        <v/>
      </c>
      <c r="S274" s="8"/>
      <c r="U274" s="35">
        <f t="shared" si="69"/>
        <v>0</v>
      </c>
      <c r="V274" s="24">
        <f t="shared" si="70"/>
        <v>0</v>
      </c>
      <c r="W274" s="41">
        <f t="shared" si="65"/>
        <v>0</v>
      </c>
      <c r="X274" s="31"/>
      <c r="Y274" s="31"/>
      <c r="Z274" s="31"/>
      <c r="AA274" s="25">
        <f t="shared" si="71"/>
        <v>9.0359999999999996</v>
      </c>
      <c r="AB274" s="25">
        <f t="shared" si="72"/>
        <v>-184.49199999999999</v>
      </c>
      <c r="AD274" s="24">
        <f>IF(D274="M",IF(AG274&lt;78,BMILMS!$D$5*AG274^3+BMILMS!$E$5*AG274^2+BMILMS!$F$5*AG274+BMILMS!$G$5,IF(AG274&lt;150,BMILMS!$D$6*AG274^3+BMILMS!$E$6*AG274^2+BMILMS!$F$6*AG274+BMILMS!$G$6,BMILMS!$D$7*AG274^3+BMILMS!$E$7*AG274^2+BMILMS!$F$7*AG274+BMILMS!$G$7)),IF(AG274&lt;69,BMILMS!$D$9*AG274^3+BMILMS!$E$9*AG274^2+BMILMS!$F$9*AG274+BMILMS!$G$9,IF(AG274&lt;150,BMILMS!$D$10*AG274^3+BMILMS!$E$10*AG274^2+BMILMS!$F$10*AG274+BMILMS!$G$10,BMILMS!$D$11*AG274^3+BMILMS!$E$11*AG274^2+BMILMS!$F$11*AG274+BMILMS!$G$11)))</f>
        <v>0.79584630099999998</v>
      </c>
      <c r="AE274" s="24">
        <f>IF(D274="M",(IF(AG274&lt;2.5,BMILMS!$D$21*AG274^3+BMILMS!$E$21*AG274^2+BMILMS!$F$21*AG274+BMILMS!$G$21,IF(AG274&lt;9.5,BMILMS!$D$22*AG274^3+BMILMS!$E$22*AG274^2+BMILMS!$F$22*AG274+BMILMS!$G$22,IF(AG274&lt;26.75,BMILMS!$D$23*AG274^3+BMILMS!$E$23*AG274^2+BMILMS!$F$23*AG274+BMILMS!$G$23,IF(AG274&lt;90,BMILMS!$D$24*AG274^3+BMILMS!$E$24*AG274^2+BMILMS!$F$24*AG274+BMILMS!$G$24,BMILMS!$D$25*AG274^3+BMILMS!$E$25*AG274^2+BMILMS!$F$25*AG274+BMILMS!$G$25))))),(IF(AG274&lt;2.5,BMILMS!$D$27*AG274^3+BMILMS!$E$27*AG274^2+BMILMS!$F$27*AG274+BMILMS!$G$27,IF(AG274&lt;9.5,BMILMS!$D$28*AG274^3+BMILMS!$E$28*AG274^2+BMILMS!$F$28*AG274+BMILMS!$G$28,IF(AG274&lt;26.75,BMILMS!$D$29*AG274^3+BMILMS!$E$29*AG274^2+BMILMS!$F$29*AG274+BMILMS!$G$29,IF(AG274&lt;90,BMILMS!$D$30*AG274^3+BMILMS!$E$30*AG274^2+BMILMS!$F$30*AG274+BMILMS!$G$30,IF(AG274&lt;150,BMILMS!$D$31*AG274^3+BMILMS!$E$31*AG274^2+BMILMS!$F$31*AG274+BMILMS!$G$31,BMILMS!$D$32*AG274^3+BMILMS!$E$32*AG274^2+BMILMS!$F$32*AG274+BMILMS!$G$32)))))))</f>
        <v>12.568967990000001</v>
      </c>
      <c r="AF274" s="24">
        <f>IF(D274="M",(IF(AG274&lt;90,BMILMS!$D$14*AG274^3+BMILMS!$E$14*AG274^2+BMILMS!$F$14*AG274+BMILMS!$G$14,BMILMS!$D$15*AG274^3+BMILMS!$E$15*AG274^2+BMILMS!$F$15*AG274+BMILMS!$G$15)),(IF(AG274&lt;90,BMILMS!$D$17*AG274^3+BMILMS!$E$17*AG274^2+BMILMS!$F$17*AG274+BMILMS!$G$17,BMILMS!$D$18*AG274^3+BMILMS!$E$18*AG274^2+BMILMS!$F$18*AG274+BMILMS!$G$18)))</f>
        <v>8.8969350000000003E-2</v>
      </c>
      <c r="AG274" s="24">
        <f t="shared" si="80"/>
        <v>0</v>
      </c>
      <c r="AI274" s="38">
        <f>IF(D274="M",WeightSDS!P$5*$AG274^7+WeightSDS!Q$5*$AG274^6+WeightSDS!R$5*$AG274^5+WeightSDS!S$5*$AG274^4+WeightSDS!T$5*$AG274^3+WeightSDS!U$5*$AG274^2+WeightSDS!V$5*$AG274+WeightSDS!W$5,IF($AG274&lt;186,WeightSDS!P$8*$AG274^7+WeightSDS!Q$8*$AG274^6+WeightSDS!R$8*$AG274^5+WeightSDS!S$8*$AG274^4+WeightSDS!T$8*$AG274^3+WeightSDS!U$8*$AG274^2+WeightSDS!V$8*$AG274+WeightSDS!W$8,WeightSDS!$U$9-WeightSDS!$V$9*($AG274-WeightSDS!$W$9)))</f>
        <v>0.75407122999999998</v>
      </c>
      <c r="AJ274" s="24">
        <f>IF(D274="M",IF($AG274&lt;45,WeightSDS!M$23*$AG274^10+WeightSDS!N$23*$AG274^9+WeightSDS!O$23*$AG274^8+WeightSDS!P$23*$AG274^7+WeightSDS!Q$23*$AG274^6+WeightSDS!R$23*$AG274^5+WeightSDS!S$23*$AG274^4+WeightSDS!T$23*$AG274^3+WeightSDS!U$23*$AG274^2+WeightSDS!V$23*$AG274+WeightSDS!W$23,IF($AG274&lt;153,WeightSDS!M$25*$AG274^10+WeightSDS!N$25*$AG274^9+WeightSDS!O$25*$AG274^8+WeightSDS!P$25*$AG274^7+WeightSDS!Q$25*$AG274^6+WeightSDS!R$25*$AG274^5+WeightSDS!S$25*$AG274^4+WeightSDS!T$25*$AG274^3+WeightSDS!U$25*$AG274^2+WeightSDS!V$25*$AG274+WeightSDS!W$25,WeightSDS!M$27+WeightSDS!N$27/(1+EXP(WeightSDS!O$27+WeightSDS!P$27*$AG274)))),IF($AG274&lt;43.8,WeightSDS!M$29*$AG274^10+WeightSDS!N$29*$AG274^9+WeightSDS!O$29*$AG274^8+WeightSDS!P$29*$AG274^7+WeightSDS!Q$29*$AG274^6+WeightSDS!R$29*$AG274^5+WeightSDS!S$29*$AG274^4+WeightSDS!T$29*$AG274^3+WeightSDS!U$29*$AG274^2+WeightSDS!V$29*$AG274+WeightSDS!W$29-0.010431*(1-$AG274/210),IF($AG274&lt;123,WeightSDS!M$30*$AG274^10+WeightSDS!N$30*$AG274^9+WeightSDS!O$30*$AG274^8+WeightSDS!P$30*$AG274^7+WeightSDS!Q$30*$AG274^6+WeightSDS!R$30*$AG274^5+WeightSDS!S$30*$AG274^4+WeightSDS!T$30*$AG274^3+WeightSDS!U$30*$AG274^2+WeightSDS!V$30*$AG274+WeightSDS!W$30-0.010431*(1-1/$AG274),WeightSDS!M$32+WeightSDS!N$32/(1+EXP(WeightSDS!O$32+WeightSDS!P$32*$AG274))-0.010431*(1-$AG274/210))))</f>
        <v>2.9500001032655536</v>
      </c>
      <c r="AK274" s="24">
        <f>IF(D274="M",IF($AG274&lt;162,WeightSDS!P$12*$AG274^7+WeightSDS!Q$12*$AG274^6+WeightSDS!R$12*$AG274^5+WeightSDS!S$12*$AG274^4+WeightSDS!T$12*$AG274^3+WeightSDS!U$12*$AG274^2+WeightSDS!V$12*$AG274+WeightSDS!W$12,WeightSDS!P$14*$AG274^7+WeightSDS!Q$14*$AG274^6+WeightSDS!R$14*$AG274^5+WeightSDS!S$14*$AG274^4+WeightSDS!T$14*$AG274^3+WeightSDS!U$14*$AG274^2+WeightSDS!V$14*$AG274+WeightSDS!W$14),IF($AG274&lt;156,WeightSDS!O$17*$AG274^8+WeightSDS!P$17*$AG274^7+WeightSDS!Q$17*$AG274^6+WeightSDS!R$17*$AG274^5+WeightSDS!S$17*$AG274^4+WeightSDS!T$17*$AG274^3+WeightSDS!U$17*$AG274^2+WeightSDS!V$17*$AG274+WeightSDS!W$17,IF($AG274&lt;186,WeightSDS!$U$18+(WeightSDS!$V$18-WeightSDS!$U$18)/24*($AG274-186)+WeightSDS!$W$18*(-$AG274+186)^2-0.005,WeightSDS!$U$18+(WeightSDS!$V$18-WeightSDS!$U$18)/24*($AG274-186)-0.005)))</f>
        <v>0.14604529399999999</v>
      </c>
    </row>
    <row r="275" spans="1:37">
      <c r="A275" s="4"/>
      <c r="B275" s="21"/>
      <c r="C275" s="21"/>
      <c r="D275" s="21"/>
      <c r="E275" s="22"/>
      <c r="F275" s="22"/>
      <c r="G275" s="23"/>
      <c r="H275" s="23"/>
      <c r="I275" s="8" t="str">
        <f t="shared" si="66"/>
        <v/>
      </c>
      <c r="J275" s="2" t="str">
        <f t="shared" si="73"/>
        <v/>
      </c>
      <c r="K275" s="2" t="str">
        <f t="shared" si="67"/>
        <v/>
      </c>
      <c r="L275" s="2" t="str">
        <f t="shared" si="74"/>
        <v/>
      </c>
      <c r="M275" s="2" t="str">
        <f t="shared" si="79"/>
        <v/>
      </c>
      <c r="N275" s="2" t="str">
        <f t="shared" si="75"/>
        <v/>
      </c>
      <c r="O275" s="8" t="str">
        <f t="shared" si="76"/>
        <v/>
      </c>
      <c r="P275" s="8" t="str">
        <f t="shared" si="77"/>
        <v/>
      </c>
      <c r="Q275" s="40" t="str">
        <f t="shared" si="68"/>
        <v/>
      </c>
      <c r="R275" s="48" t="str">
        <f t="shared" si="78"/>
        <v/>
      </c>
      <c r="S275" s="8"/>
      <c r="U275" s="35">
        <f t="shared" si="69"/>
        <v>0</v>
      </c>
      <c r="V275" s="24">
        <f t="shared" si="70"/>
        <v>0</v>
      </c>
      <c r="W275" s="41">
        <f t="shared" si="65"/>
        <v>0</v>
      </c>
      <c r="X275" s="31"/>
      <c r="Y275" s="31"/>
      <c r="Z275" s="31"/>
      <c r="AA275" s="25">
        <f t="shared" si="71"/>
        <v>9.0359999999999996</v>
      </c>
      <c r="AB275" s="25">
        <f t="shared" si="72"/>
        <v>-184.49199999999999</v>
      </c>
      <c r="AD275" s="24">
        <f>IF(D275="M",IF(AG275&lt;78,BMILMS!$D$5*AG275^3+BMILMS!$E$5*AG275^2+BMILMS!$F$5*AG275+BMILMS!$G$5,IF(AG275&lt;150,BMILMS!$D$6*AG275^3+BMILMS!$E$6*AG275^2+BMILMS!$F$6*AG275+BMILMS!$G$6,BMILMS!$D$7*AG275^3+BMILMS!$E$7*AG275^2+BMILMS!$F$7*AG275+BMILMS!$G$7)),IF(AG275&lt;69,BMILMS!$D$9*AG275^3+BMILMS!$E$9*AG275^2+BMILMS!$F$9*AG275+BMILMS!$G$9,IF(AG275&lt;150,BMILMS!$D$10*AG275^3+BMILMS!$E$10*AG275^2+BMILMS!$F$10*AG275+BMILMS!$G$10,BMILMS!$D$11*AG275^3+BMILMS!$E$11*AG275^2+BMILMS!$F$11*AG275+BMILMS!$G$11)))</f>
        <v>0.79584630099999998</v>
      </c>
      <c r="AE275" s="24">
        <f>IF(D275="M",(IF(AG275&lt;2.5,BMILMS!$D$21*AG275^3+BMILMS!$E$21*AG275^2+BMILMS!$F$21*AG275+BMILMS!$G$21,IF(AG275&lt;9.5,BMILMS!$D$22*AG275^3+BMILMS!$E$22*AG275^2+BMILMS!$F$22*AG275+BMILMS!$G$22,IF(AG275&lt;26.75,BMILMS!$D$23*AG275^3+BMILMS!$E$23*AG275^2+BMILMS!$F$23*AG275+BMILMS!$G$23,IF(AG275&lt;90,BMILMS!$D$24*AG275^3+BMILMS!$E$24*AG275^2+BMILMS!$F$24*AG275+BMILMS!$G$24,BMILMS!$D$25*AG275^3+BMILMS!$E$25*AG275^2+BMILMS!$F$25*AG275+BMILMS!$G$25))))),(IF(AG275&lt;2.5,BMILMS!$D$27*AG275^3+BMILMS!$E$27*AG275^2+BMILMS!$F$27*AG275+BMILMS!$G$27,IF(AG275&lt;9.5,BMILMS!$D$28*AG275^3+BMILMS!$E$28*AG275^2+BMILMS!$F$28*AG275+BMILMS!$G$28,IF(AG275&lt;26.75,BMILMS!$D$29*AG275^3+BMILMS!$E$29*AG275^2+BMILMS!$F$29*AG275+BMILMS!$G$29,IF(AG275&lt;90,BMILMS!$D$30*AG275^3+BMILMS!$E$30*AG275^2+BMILMS!$F$30*AG275+BMILMS!$G$30,IF(AG275&lt;150,BMILMS!$D$31*AG275^3+BMILMS!$E$31*AG275^2+BMILMS!$F$31*AG275+BMILMS!$G$31,BMILMS!$D$32*AG275^3+BMILMS!$E$32*AG275^2+BMILMS!$F$32*AG275+BMILMS!$G$32)))))))</f>
        <v>12.568967990000001</v>
      </c>
      <c r="AF275" s="24">
        <f>IF(D275="M",(IF(AG275&lt;90,BMILMS!$D$14*AG275^3+BMILMS!$E$14*AG275^2+BMILMS!$F$14*AG275+BMILMS!$G$14,BMILMS!$D$15*AG275^3+BMILMS!$E$15*AG275^2+BMILMS!$F$15*AG275+BMILMS!$G$15)),(IF(AG275&lt;90,BMILMS!$D$17*AG275^3+BMILMS!$E$17*AG275^2+BMILMS!$F$17*AG275+BMILMS!$G$17,BMILMS!$D$18*AG275^3+BMILMS!$E$18*AG275^2+BMILMS!$F$18*AG275+BMILMS!$G$18)))</f>
        <v>8.8969350000000003E-2</v>
      </c>
      <c r="AG275" s="24">
        <f t="shared" si="80"/>
        <v>0</v>
      </c>
      <c r="AI275" s="38">
        <f>IF(D275="M",WeightSDS!P$5*$AG275^7+WeightSDS!Q$5*$AG275^6+WeightSDS!R$5*$AG275^5+WeightSDS!S$5*$AG275^4+WeightSDS!T$5*$AG275^3+WeightSDS!U$5*$AG275^2+WeightSDS!V$5*$AG275+WeightSDS!W$5,IF($AG275&lt;186,WeightSDS!P$8*$AG275^7+WeightSDS!Q$8*$AG275^6+WeightSDS!R$8*$AG275^5+WeightSDS!S$8*$AG275^4+WeightSDS!T$8*$AG275^3+WeightSDS!U$8*$AG275^2+WeightSDS!V$8*$AG275+WeightSDS!W$8,WeightSDS!$U$9-WeightSDS!$V$9*($AG275-WeightSDS!$W$9)))</f>
        <v>0.75407122999999998</v>
      </c>
      <c r="AJ275" s="24">
        <f>IF(D275="M",IF($AG275&lt;45,WeightSDS!M$23*$AG275^10+WeightSDS!N$23*$AG275^9+WeightSDS!O$23*$AG275^8+WeightSDS!P$23*$AG275^7+WeightSDS!Q$23*$AG275^6+WeightSDS!R$23*$AG275^5+WeightSDS!S$23*$AG275^4+WeightSDS!T$23*$AG275^3+WeightSDS!U$23*$AG275^2+WeightSDS!V$23*$AG275+WeightSDS!W$23,IF($AG275&lt;153,WeightSDS!M$25*$AG275^10+WeightSDS!N$25*$AG275^9+WeightSDS!O$25*$AG275^8+WeightSDS!P$25*$AG275^7+WeightSDS!Q$25*$AG275^6+WeightSDS!R$25*$AG275^5+WeightSDS!S$25*$AG275^4+WeightSDS!T$25*$AG275^3+WeightSDS!U$25*$AG275^2+WeightSDS!V$25*$AG275+WeightSDS!W$25,WeightSDS!M$27+WeightSDS!N$27/(1+EXP(WeightSDS!O$27+WeightSDS!P$27*$AG275)))),IF($AG275&lt;43.8,WeightSDS!M$29*$AG275^10+WeightSDS!N$29*$AG275^9+WeightSDS!O$29*$AG275^8+WeightSDS!P$29*$AG275^7+WeightSDS!Q$29*$AG275^6+WeightSDS!R$29*$AG275^5+WeightSDS!S$29*$AG275^4+WeightSDS!T$29*$AG275^3+WeightSDS!U$29*$AG275^2+WeightSDS!V$29*$AG275+WeightSDS!W$29-0.010431*(1-$AG275/210),IF($AG275&lt;123,WeightSDS!M$30*$AG275^10+WeightSDS!N$30*$AG275^9+WeightSDS!O$30*$AG275^8+WeightSDS!P$30*$AG275^7+WeightSDS!Q$30*$AG275^6+WeightSDS!R$30*$AG275^5+WeightSDS!S$30*$AG275^4+WeightSDS!T$30*$AG275^3+WeightSDS!U$30*$AG275^2+WeightSDS!V$30*$AG275+WeightSDS!W$30-0.010431*(1-1/$AG275),WeightSDS!M$32+WeightSDS!N$32/(1+EXP(WeightSDS!O$32+WeightSDS!P$32*$AG275))-0.010431*(1-$AG275/210))))</f>
        <v>2.9500001032655536</v>
      </c>
      <c r="AK275" s="24">
        <f>IF(D275="M",IF($AG275&lt;162,WeightSDS!P$12*$AG275^7+WeightSDS!Q$12*$AG275^6+WeightSDS!R$12*$AG275^5+WeightSDS!S$12*$AG275^4+WeightSDS!T$12*$AG275^3+WeightSDS!U$12*$AG275^2+WeightSDS!V$12*$AG275+WeightSDS!W$12,WeightSDS!P$14*$AG275^7+WeightSDS!Q$14*$AG275^6+WeightSDS!R$14*$AG275^5+WeightSDS!S$14*$AG275^4+WeightSDS!T$14*$AG275^3+WeightSDS!U$14*$AG275^2+WeightSDS!V$14*$AG275+WeightSDS!W$14),IF($AG275&lt;156,WeightSDS!O$17*$AG275^8+WeightSDS!P$17*$AG275^7+WeightSDS!Q$17*$AG275^6+WeightSDS!R$17*$AG275^5+WeightSDS!S$17*$AG275^4+WeightSDS!T$17*$AG275^3+WeightSDS!U$17*$AG275^2+WeightSDS!V$17*$AG275+WeightSDS!W$17,IF($AG275&lt;186,WeightSDS!$U$18+(WeightSDS!$V$18-WeightSDS!$U$18)/24*($AG275-186)+WeightSDS!$W$18*(-$AG275+186)^2-0.005,WeightSDS!$U$18+(WeightSDS!$V$18-WeightSDS!$U$18)/24*($AG275-186)-0.005)))</f>
        <v>0.14604529399999999</v>
      </c>
    </row>
    <row r="276" spans="1:37">
      <c r="A276" s="4"/>
      <c r="B276" s="21"/>
      <c r="C276" s="21"/>
      <c r="D276" s="21"/>
      <c r="E276" s="22"/>
      <c r="F276" s="22"/>
      <c r="G276" s="23"/>
      <c r="H276" s="23"/>
      <c r="I276" s="8" t="str">
        <f t="shared" si="66"/>
        <v/>
      </c>
      <c r="J276" s="2" t="str">
        <f t="shared" si="73"/>
        <v/>
      </c>
      <c r="K276" s="2" t="str">
        <f t="shared" si="67"/>
        <v/>
      </c>
      <c r="L276" s="2" t="str">
        <f t="shared" si="74"/>
        <v/>
      </c>
      <c r="M276" s="2" t="str">
        <f t="shared" si="79"/>
        <v/>
      </c>
      <c r="N276" s="2" t="str">
        <f t="shared" si="75"/>
        <v/>
      </c>
      <c r="O276" s="8" t="str">
        <f t="shared" si="76"/>
        <v/>
      </c>
      <c r="P276" s="8" t="str">
        <f t="shared" si="77"/>
        <v/>
      </c>
      <c r="Q276" s="40" t="str">
        <f t="shared" si="68"/>
        <v/>
      </c>
      <c r="R276" s="48" t="str">
        <f t="shared" si="78"/>
        <v/>
      </c>
      <c r="S276" s="8"/>
      <c r="U276" s="35">
        <f t="shared" si="69"/>
        <v>0</v>
      </c>
      <c r="V276" s="24">
        <f t="shared" si="70"/>
        <v>0</v>
      </c>
      <c r="W276" s="41">
        <f t="shared" si="65"/>
        <v>0</v>
      </c>
      <c r="X276" s="31"/>
      <c r="Y276" s="31"/>
      <c r="Z276" s="31"/>
      <c r="AA276" s="25">
        <f t="shared" si="71"/>
        <v>9.0359999999999996</v>
      </c>
      <c r="AB276" s="25">
        <f t="shared" si="72"/>
        <v>-184.49199999999999</v>
      </c>
      <c r="AD276" s="24">
        <f>IF(D276="M",IF(AG276&lt;78,BMILMS!$D$5*AG276^3+BMILMS!$E$5*AG276^2+BMILMS!$F$5*AG276+BMILMS!$G$5,IF(AG276&lt;150,BMILMS!$D$6*AG276^3+BMILMS!$E$6*AG276^2+BMILMS!$F$6*AG276+BMILMS!$G$6,BMILMS!$D$7*AG276^3+BMILMS!$E$7*AG276^2+BMILMS!$F$7*AG276+BMILMS!$G$7)),IF(AG276&lt;69,BMILMS!$D$9*AG276^3+BMILMS!$E$9*AG276^2+BMILMS!$F$9*AG276+BMILMS!$G$9,IF(AG276&lt;150,BMILMS!$D$10*AG276^3+BMILMS!$E$10*AG276^2+BMILMS!$F$10*AG276+BMILMS!$G$10,BMILMS!$D$11*AG276^3+BMILMS!$E$11*AG276^2+BMILMS!$F$11*AG276+BMILMS!$G$11)))</f>
        <v>0.79584630099999998</v>
      </c>
      <c r="AE276" s="24">
        <f>IF(D276="M",(IF(AG276&lt;2.5,BMILMS!$D$21*AG276^3+BMILMS!$E$21*AG276^2+BMILMS!$F$21*AG276+BMILMS!$G$21,IF(AG276&lt;9.5,BMILMS!$D$22*AG276^3+BMILMS!$E$22*AG276^2+BMILMS!$F$22*AG276+BMILMS!$G$22,IF(AG276&lt;26.75,BMILMS!$D$23*AG276^3+BMILMS!$E$23*AG276^2+BMILMS!$F$23*AG276+BMILMS!$G$23,IF(AG276&lt;90,BMILMS!$D$24*AG276^3+BMILMS!$E$24*AG276^2+BMILMS!$F$24*AG276+BMILMS!$G$24,BMILMS!$D$25*AG276^3+BMILMS!$E$25*AG276^2+BMILMS!$F$25*AG276+BMILMS!$G$25))))),(IF(AG276&lt;2.5,BMILMS!$D$27*AG276^3+BMILMS!$E$27*AG276^2+BMILMS!$F$27*AG276+BMILMS!$G$27,IF(AG276&lt;9.5,BMILMS!$D$28*AG276^3+BMILMS!$E$28*AG276^2+BMILMS!$F$28*AG276+BMILMS!$G$28,IF(AG276&lt;26.75,BMILMS!$D$29*AG276^3+BMILMS!$E$29*AG276^2+BMILMS!$F$29*AG276+BMILMS!$G$29,IF(AG276&lt;90,BMILMS!$D$30*AG276^3+BMILMS!$E$30*AG276^2+BMILMS!$F$30*AG276+BMILMS!$G$30,IF(AG276&lt;150,BMILMS!$D$31*AG276^3+BMILMS!$E$31*AG276^2+BMILMS!$F$31*AG276+BMILMS!$G$31,BMILMS!$D$32*AG276^3+BMILMS!$E$32*AG276^2+BMILMS!$F$32*AG276+BMILMS!$G$32)))))))</f>
        <v>12.568967990000001</v>
      </c>
      <c r="AF276" s="24">
        <f>IF(D276="M",(IF(AG276&lt;90,BMILMS!$D$14*AG276^3+BMILMS!$E$14*AG276^2+BMILMS!$F$14*AG276+BMILMS!$G$14,BMILMS!$D$15*AG276^3+BMILMS!$E$15*AG276^2+BMILMS!$F$15*AG276+BMILMS!$G$15)),(IF(AG276&lt;90,BMILMS!$D$17*AG276^3+BMILMS!$E$17*AG276^2+BMILMS!$F$17*AG276+BMILMS!$G$17,BMILMS!$D$18*AG276^3+BMILMS!$E$18*AG276^2+BMILMS!$F$18*AG276+BMILMS!$G$18)))</f>
        <v>8.8969350000000003E-2</v>
      </c>
      <c r="AG276" s="24">
        <f t="shared" si="80"/>
        <v>0</v>
      </c>
      <c r="AI276" s="38">
        <f>IF(D276="M",WeightSDS!P$5*$AG276^7+WeightSDS!Q$5*$AG276^6+WeightSDS!R$5*$AG276^5+WeightSDS!S$5*$AG276^4+WeightSDS!T$5*$AG276^3+WeightSDS!U$5*$AG276^2+WeightSDS!V$5*$AG276+WeightSDS!W$5,IF($AG276&lt;186,WeightSDS!P$8*$AG276^7+WeightSDS!Q$8*$AG276^6+WeightSDS!R$8*$AG276^5+WeightSDS!S$8*$AG276^4+WeightSDS!T$8*$AG276^3+WeightSDS!U$8*$AG276^2+WeightSDS!V$8*$AG276+WeightSDS!W$8,WeightSDS!$U$9-WeightSDS!$V$9*($AG276-WeightSDS!$W$9)))</f>
        <v>0.75407122999999998</v>
      </c>
      <c r="AJ276" s="24">
        <f>IF(D276="M",IF($AG276&lt;45,WeightSDS!M$23*$AG276^10+WeightSDS!N$23*$AG276^9+WeightSDS!O$23*$AG276^8+WeightSDS!P$23*$AG276^7+WeightSDS!Q$23*$AG276^6+WeightSDS!R$23*$AG276^5+WeightSDS!S$23*$AG276^4+WeightSDS!T$23*$AG276^3+WeightSDS!U$23*$AG276^2+WeightSDS!V$23*$AG276+WeightSDS!W$23,IF($AG276&lt;153,WeightSDS!M$25*$AG276^10+WeightSDS!N$25*$AG276^9+WeightSDS!O$25*$AG276^8+WeightSDS!P$25*$AG276^7+WeightSDS!Q$25*$AG276^6+WeightSDS!R$25*$AG276^5+WeightSDS!S$25*$AG276^4+WeightSDS!T$25*$AG276^3+WeightSDS!U$25*$AG276^2+WeightSDS!V$25*$AG276+WeightSDS!W$25,WeightSDS!M$27+WeightSDS!N$27/(1+EXP(WeightSDS!O$27+WeightSDS!P$27*$AG276)))),IF($AG276&lt;43.8,WeightSDS!M$29*$AG276^10+WeightSDS!N$29*$AG276^9+WeightSDS!O$29*$AG276^8+WeightSDS!P$29*$AG276^7+WeightSDS!Q$29*$AG276^6+WeightSDS!R$29*$AG276^5+WeightSDS!S$29*$AG276^4+WeightSDS!T$29*$AG276^3+WeightSDS!U$29*$AG276^2+WeightSDS!V$29*$AG276+WeightSDS!W$29-0.010431*(1-$AG276/210),IF($AG276&lt;123,WeightSDS!M$30*$AG276^10+WeightSDS!N$30*$AG276^9+WeightSDS!O$30*$AG276^8+WeightSDS!P$30*$AG276^7+WeightSDS!Q$30*$AG276^6+WeightSDS!R$30*$AG276^5+WeightSDS!S$30*$AG276^4+WeightSDS!T$30*$AG276^3+WeightSDS!U$30*$AG276^2+WeightSDS!V$30*$AG276+WeightSDS!W$30-0.010431*(1-1/$AG276),WeightSDS!M$32+WeightSDS!N$32/(1+EXP(WeightSDS!O$32+WeightSDS!P$32*$AG276))-0.010431*(1-$AG276/210))))</f>
        <v>2.9500001032655536</v>
      </c>
      <c r="AK276" s="24">
        <f>IF(D276="M",IF($AG276&lt;162,WeightSDS!P$12*$AG276^7+WeightSDS!Q$12*$AG276^6+WeightSDS!R$12*$AG276^5+WeightSDS!S$12*$AG276^4+WeightSDS!T$12*$AG276^3+WeightSDS!U$12*$AG276^2+WeightSDS!V$12*$AG276+WeightSDS!W$12,WeightSDS!P$14*$AG276^7+WeightSDS!Q$14*$AG276^6+WeightSDS!R$14*$AG276^5+WeightSDS!S$14*$AG276^4+WeightSDS!T$14*$AG276^3+WeightSDS!U$14*$AG276^2+WeightSDS!V$14*$AG276+WeightSDS!W$14),IF($AG276&lt;156,WeightSDS!O$17*$AG276^8+WeightSDS!P$17*$AG276^7+WeightSDS!Q$17*$AG276^6+WeightSDS!R$17*$AG276^5+WeightSDS!S$17*$AG276^4+WeightSDS!T$17*$AG276^3+WeightSDS!U$17*$AG276^2+WeightSDS!V$17*$AG276+WeightSDS!W$17,IF($AG276&lt;186,WeightSDS!$U$18+(WeightSDS!$V$18-WeightSDS!$U$18)/24*($AG276-186)+WeightSDS!$W$18*(-$AG276+186)^2-0.005,WeightSDS!$U$18+(WeightSDS!$V$18-WeightSDS!$U$18)/24*($AG276-186)-0.005)))</f>
        <v>0.14604529399999999</v>
      </c>
    </row>
    <row r="277" spans="1:37">
      <c r="A277" s="4"/>
      <c r="B277" s="21"/>
      <c r="C277" s="21"/>
      <c r="D277" s="21"/>
      <c r="E277" s="22"/>
      <c r="F277" s="22"/>
      <c r="G277" s="23"/>
      <c r="H277" s="23"/>
      <c r="I277" s="8" t="str">
        <f t="shared" si="66"/>
        <v/>
      </c>
      <c r="J277" s="2" t="str">
        <f t="shared" si="73"/>
        <v/>
      </c>
      <c r="K277" s="2" t="str">
        <f t="shared" si="67"/>
        <v/>
      </c>
      <c r="L277" s="2" t="str">
        <f t="shared" si="74"/>
        <v/>
      </c>
      <c r="M277" s="2" t="str">
        <f t="shared" si="79"/>
        <v/>
      </c>
      <c r="N277" s="2" t="str">
        <f t="shared" si="75"/>
        <v/>
      </c>
      <c r="O277" s="8" t="str">
        <f t="shared" si="76"/>
        <v/>
      </c>
      <c r="P277" s="8" t="str">
        <f t="shared" si="77"/>
        <v/>
      </c>
      <c r="Q277" s="40" t="str">
        <f t="shared" si="68"/>
        <v/>
      </c>
      <c r="R277" s="48" t="str">
        <f t="shared" si="78"/>
        <v/>
      </c>
      <c r="S277" s="8"/>
      <c r="U277" s="35">
        <f t="shared" si="69"/>
        <v>0</v>
      </c>
      <c r="V277" s="24">
        <f t="shared" si="70"/>
        <v>0</v>
      </c>
      <c r="W277" s="41">
        <f t="shared" si="65"/>
        <v>0</v>
      </c>
      <c r="X277" s="31"/>
      <c r="Y277" s="31"/>
      <c r="Z277" s="31"/>
      <c r="AA277" s="25">
        <f t="shared" si="71"/>
        <v>9.0359999999999996</v>
      </c>
      <c r="AB277" s="25">
        <f t="shared" si="72"/>
        <v>-184.49199999999999</v>
      </c>
      <c r="AD277" s="24">
        <f>IF(D277="M",IF(AG277&lt;78,BMILMS!$D$5*AG277^3+BMILMS!$E$5*AG277^2+BMILMS!$F$5*AG277+BMILMS!$G$5,IF(AG277&lt;150,BMILMS!$D$6*AG277^3+BMILMS!$E$6*AG277^2+BMILMS!$F$6*AG277+BMILMS!$G$6,BMILMS!$D$7*AG277^3+BMILMS!$E$7*AG277^2+BMILMS!$F$7*AG277+BMILMS!$G$7)),IF(AG277&lt;69,BMILMS!$D$9*AG277^3+BMILMS!$E$9*AG277^2+BMILMS!$F$9*AG277+BMILMS!$G$9,IF(AG277&lt;150,BMILMS!$D$10*AG277^3+BMILMS!$E$10*AG277^2+BMILMS!$F$10*AG277+BMILMS!$G$10,BMILMS!$D$11*AG277^3+BMILMS!$E$11*AG277^2+BMILMS!$F$11*AG277+BMILMS!$G$11)))</f>
        <v>0.79584630099999998</v>
      </c>
      <c r="AE277" s="24">
        <f>IF(D277="M",(IF(AG277&lt;2.5,BMILMS!$D$21*AG277^3+BMILMS!$E$21*AG277^2+BMILMS!$F$21*AG277+BMILMS!$G$21,IF(AG277&lt;9.5,BMILMS!$D$22*AG277^3+BMILMS!$E$22*AG277^2+BMILMS!$F$22*AG277+BMILMS!$G$22,IF(AG277&lt;26.75,BMILMS!$D$23*AG277^3+BMILMS!$E$23*AG277^2+BMILMS!$F$23*AG277+BMILMS!$G$23,IF(AG277&lt;90,BMILMS!$D$24*AG277^3+BMILMS!$E$24*AG277^2+BMILMS!$F$24*AG277+BMILMS!$G$24,BMILMS!$D$25*AG277^3+BMILMS!$E$25*AG277^2+BMILMS!$F$25*AG277+BMILMS!$G$25))))),(IF(AG277&lt;2.5,BMILMS!$D$27*AG277^3+BMILMS!$E$27*AG277^2+BMILMS!$F$27*AG277+BMILMS!$G$27,IF(AG277&lt;9.5,BMILMS!$D$28*AG277^3+BMILMS!$E$28*AG277^2+BMILMS!$F$28*AG277+BMILMS!$G$28,IF(AG277&lt;26.75,BMILMS!$D$29*AG277^3+BMILMS!$E$29*AG277^2+BMILMS!$F$29*AG277+BMILMS!$G$29,IF(AG277&lt;90,BMILMS!$D$30*AG277^3+BMILMS!$E$30*AG277^2+BMILMS!$F$30*AG277+BMILMS!$G$30,IF(AG277&lt;150,BMILMS!$D$31*AG277^3+BMILMS!$E$31*AG277^2+BMILMS!$F$31*AG277+BMILMS!$G$31,BMILMS!$D$32*AG277^3+BMILMS!$E$32*AG277^2+BMILMS!$F$32*AG277+BMILMS!$G$32)))))))</f>
        <v>12.568967990000001</v>
      </c>
      <c r="AF277" s="24">
        <f>IF(D277="M",(IF(AG277&lt;90,BMILMS!$D$14*AG277^3+BMILMS!$E$14*AG277^2+BMILMS!$F$14*AG277+BMILMS!$G$14,BMILMS!$D$15*AG277^3+BMILMS!$E$15*AG277^2+BMILMS!$F$15*AG277+BMILMS!$G$15)),(IF(AG277&lt;90,BMILMS!$D$17*AG277^3+BMILMS!$E$17*AG277^2+BMILMS!$F$17*AG277+BMILMS!$G$17,BMILMS!$D$18*AG277^3+BMILMS!$E$18*AG277^2+BMILMS!$F$18*AG277+BMILMS!$G$18)))</f>
        <v>8.8969350000000003E-2</v>
      </c>
      <c r="AG277" s="24">
        <f t="shared" si="80"/>
        <v>0</v>
      </c>
      <c r="AI277" s="38">
        <f>IF(D277="M",WeightSDS!P$5*$AG277^7+WeightSDS!Q$5*$AG277^6+WeightSDS!R$5*$AG277^5+WeightSDS!S$5*$AG277^4+WeightSDS!T$5*$AG277^3+WeightSDS!U$5*$AG277^2+WeightSDS!V$5*$AG277+WeightSDS!W$5,IF($AG277&lt;186,WeightSDS!P$8*$AG277^7+WeightSDS!Q$8*$AG277^6+WeightSDS!R$8*$AG277^5+WeightSDS!S$8*$AG277^4+WeightSDS!T$8*$AG277^3+WeightSDS!U$8*$AG277^2+WeightSDS!V$8*$AG277+WeightSDS!W$8,WeightSDS!$U$9-WeightSDS!$V$9*($AG277-WeightSDS!$W$9)))</f>
        <v>0.75407122999999998</v>
      </c>
      <c r="AJ277" s="24">
        <f>IF(D277="M",IF($AG277&lt;45,WeightSDS!M$23*$AG277^10+WeightSDS!N$23*$AG277^9+WeightSDS!O$23*$AG277^8+WeightSDS!P$23*$AG277^7+WeightSDS!Q$23*$AG277^6+WeightSDS!R$23*$AG277^5+WeightSDS!S$23*$AG277^4+WeightSDS!T$23*$AG277^3+WeightSDS!U$23*$AG277^2+WeightSDS!V$23*$AG277+WeightSDS!W$23,IF($AG277&lt;153,WeightSDS!M$25*$AG277^10+WeightSDS!N$25*$AG277^9+WeightSDS!O$25*$AG277^8+WeightSDS!P$25*$AG277^7+WeightSDS!Q$25*$AG277^6+WeightSDS!R$25*$AG277^5+WeightSDS!S$25*$AG277^4+WeightSDS!T$25*$AG277^3+WeightSDS!U$25*$AG277^2+WeightSDS!V$25*$AG277+WeightSDS!W$25,WeightSDS!M$27+WeightSDS!N$27/(1+EXP(WeightSDS!O$27+WeightSDS!P$27*$AG277)))),IF($AG277&lt;43.8,WeightSDS!M$29*$AG277^10+WeightSDS!N$29*$AG277^9+WeightSDS!O$29*$AG277^8+WeightSDS!P$29*$AG277^7+WeightSDS!Q$29*$AG277^6+WeightSDS!R$29*$AG277^5+WeightSDS!S$29*$AG277^4+WeightSDS!T$29*$AG277^3+WeightSDS!U$29*$AG277^2+WeightSDS!V$29*$AG277+WeightSDS!W$29-0.010431*(1-$AG277/210),IF($AG277&lt;123,WeightSDS!M$30*$AG277^10+WeightSDS!N$30*$AG277^9+WeightSDS!O$30*$AG277^8+WeightSDS!P$30*$AG277^7+WeightSDS!Q$30*$AG277^6+WeightSDS!R$30*$AG277^5+WeightSDS!S$30*$AG277^4+WeightSDS!T$30*$AG277^3+WeightSDS!U$30*$AG277^2+WeightSDS!V$30*$AG277+WeightSDS!W$30-0.010431*(1-1/$AG277),WeightSDS!M$32+WeightSDS!N$32/(1+EXP(WeightSDS!O$32+WeightSDS!P$32*$AG277))-0.010431*(1-$AG277/210))))</f>
        <v>2.9500001032655536</v>
      </c>
      <c r="AK277" s="24">
        <f>IF(D277="M",IF($AG277&lt;162,WeightSDS!P$12*$AG277^7+WeightSDS!Q$12*$AG277^6+WeightSDS!R$12*$AG277^5+WeightSDS!S$12*$AG277^4+WeightSDS!T$12*$AG277^3+WeightSDS!U$12*$AG277^2+WeightSDS!V$12*$AG277+WeightSDS!W$12,WeightSDS!P$14*$AG277^7+WeightSDS!Q$14*$AG277^6+WeightSDS!R$14*$AG277^5+WeightSDS!S$14*$AG277^4+WeightSDS!T$14*$AG277^3+WeightSDS!U$14*$AG277^2+WeightSDS!V$14*$AG277+WeightSDS!W$14),IF($AG277&lt;156,WeightSDS!O$17*$AG277^8+WeightSDS!P$17*$AG277^7+WeightSDS!Q$17*$AG277^6+WeightSDS!R$17*$AG277^5+WeightSDS!S$17*$AG277^4+WeightSDS!T$17*$AG277^3+WeightSDS!U$17*$AG277^2+WeightSDS!V$17*$AG277+WeightSDS!W$17,IF($AG277&lt;186,WeightSDS!$U$18+(WeightSDS!$V$18-WeightSDS!$U$18)/24*($AG277-186)+WeightSDS!$W$18*(-$AG277+186)^2-0.005,WeightSDS!$U$18+(WeightSDS!$V$18-WeightSDS!$U$18)/24*($AG277-186)-0.005)))</f>
        <v>0.14604529399999999</v>
      </c>
    </row>
    <row r="278" spans="1:37">
      <c r="A278" s="4"/>
      <c r="B278" s="21"/>
      <c r="C278" s="21"/>
      <c r="D278" s="21"/>
      <c r="E278" s="22"/>
      <c r="F278" s="22"/>
      <c r="G278" s="23"/>
      <c r="H278" s="23"/>
      <c r="I278" s="8" t="str">
        <f t="shared" si="66"/>
        <v/>
      </c>
      <c r="J278" s="2" t="str">
        <f t="shared" si="73"/>
        <v/>
      </c>
      <c r="K278" s="2" t="str">
        <f t="shared" si="67"/>
        <v/>
      </c>
      <c r="L278" s="2" t="str">
        <f t="shared" si="74"/>
        <v/>
      </c>
      <c r="M278" s="2" t="str">
        <f t="shared" si="79"/>
        <v/>
      </c>
      <c r="N278" s="2" t="str">
        <f t="shared" si="75"/>
        <v/>
      </c>
      <c r="O278" s="8" t="str">
        <f t="shared" si="76"/>
        <v/>
      </c>
      <c r="P278" s="8" t="str">
        <f t="shared" si="77"/>
        <v/>
      </c>
      <c r="Q278" s="40" t="str">
        <f t="shared" si="68"/>
        <v/>
      </c>
      <c r="R278" s="48" t="str">
        <f t="shared" si="78"/>
        <v/>
      </c>
      <c r="S278" s="8"/>
      <c r="U278" s="35">
        <f t="shared" si="69"/>
        <v>0</v>
      </c>
      <c r="V278" s="24">
        <f t="shared" si="70"/>
        <v>0</v>
      </c>
      <c r="W278" s="41">
        <f t="shared" si="65"/>
        <v>0</v>
      </c>
      <c r="X278" s="31"/>
      <c r="Y278" s="31"/>
      <c r="Z278" s="31"/>
      <c r="AA278" s="25">
        <f t="shared" si="71"/>
        <v>9.0359999999999996</v>
      </c>
      <c r="AB278" s="25">
        <f t="shared" si="72"/>
        <v>-184.49199999999999</v>
      </c>
      <c r="AD278" s="24">
        <f>IF(D278="M",IF(AG278&lt;78,BMILMS!$D$5*AG278^3+BMILMS!$E$5*AG278^2+BMILMS!$F$5*AG278+BMILMS!$G$5,IF(AG278&lt;150,BMILMS!$D$6*AG278^3+BMILMS!$E$6*AG278^2+BMILMS!$F$6*AG278+BMILMS!$G$6,BMILMS!$D$7*AG278^3+BMILMS!$E$7*AG278^2+BMILMS!$F$7*AG278+BMILMS!$G$7)),IF(AG278&lt;69,BMILMS!$D$9*AG278^3+BMILMS!$E$9*AG278^2+BMILMS!$F$9*AG278+BMILMS!$G$9,IF(AG278&lt;150,BMILMS!$D$10*AG278^3+BMILMS!$E$10*AG278^2+BMILMS!$F$10*AG278+BMILMS!$G$10,BMILMS!$D$11*AG278^3+BMILMS!$E$11*AG278^2+BMILMS!$F$11*AG278+BMILMS!$G$11)))</f>
        <v>0.79584630099999998</v>
      </c>
      <c r="AE278" s="24">
        <f>IF(D278="M",(IF(AG278&lt;2.5,BMILMS!$D$21*AG278^3+BMILMS!$E$21*AG278^2+BMILMS!$F$21*AG278+BMILMS!$G$21,IF(AG278&lt;9.5,BMILMS!$D$22*AG278^3+BMILMS!$E$22*AG278^2+BMILMS!$F$22*AG278+BMILMS!$G$22,IF(AG278&lt;26.75,BMILMS!$D$23*AG278^3+BMILMS!$E$23*AG278^2+BMILMS!$F$23*AG278+BMILMS!$G$23,IF(AG278&lt;90,BMILMS!$D$24*AG278^3+BMILMS!$E$24*AG278^2+BMILMS!$F$24*AG278+BMILMS!$G$24,BMILMS!$D$25*AG278^3+BMILMS!$E$25*AG278^2+BMILMS!$F$25*AG278+BMILMS!$G$25))))),(IF(AG278&lt;2.5,BMILMS!$D$27*AG278^3+BMILMS!$E$27*AG278^2+BMILMS!$F$27*AG278+BMILMS!$G$27,IF(AG278&lt;9.5,BMILMS!$D$28*AG278^3+BMILMS!$E$28*AG278^2+BMILMS!$F$28*AG278+BMILMS!$G$28,IF(AG278&lt;26.75,BMILMS!$D$29*AG278^3+BMILMS!$E$29*AG278^2+BMILMS!$F$29*AG278+BMILMS!$G$29,IF(AG278&lt;90,BMILMS!$D$30*AG278^3+BMILMS!$E$30*AG278^2+BMILMS!$F$30*AG278+BMILMS!$G$30,IF(AG278&lt;150,BMILMS!$D$31*AG278^3+BMILMS!$E$31*AG278^2+BMILMS!$F$31*AG278+BMILMS!$G$31,BMILMS!$D$32*AG278^3+BMILMS!$E$32*AG278^2+BMILMS!$F$32*AG278+BMILMS!$G$32)))))))</f>
        <v>12.568967990000001</v>
      </c>
      <c r="AF278" s="24">
        <f>IF(D278="M",(IF(AG278&lt;90,BMILMS!$D$14*AG278^3+BMILMS!$E$14*AG278^2+BMILMS!$F$14*AG278+BMILMS!$G$14,BMILMS!$D$15*AG278^3+BMILMS!$E$15*AG278^2+BMILMS!$F$15*AG278+BMILMS!$G$15)),(IF(AG278&lt;90,BMILMS!$D$17*AG278^3+BMILMS!$E$17*AG278^2+BMILMS!$F$17*AG278+BMILMS!$G$17,BMILMS!$D$18*AG278^3+BMILMS!$E$18*AG278^2+BMILMS!$F$18*AG278+BMILMS!$G$18)))</f>
        <v>8.8969350000000003E-2</v>
      </c>
      <c r="AG278" s="24">
        <f t="shared" si="80"/>
        <v>0</v>
      </c>
      <c r="AI278" s="38">
        <f>IF(D278="M",WeightSDS!P$5*$AG278^7+WeightSDS!Q$5*$AG278^6+WeightSDS!R$5*$AG278^5+WeightSDS!S$5*$AG278^4+WeightSDS!T$5*$AG278^3+WeightSDS!U$5*$AG278^2+WeightSDS!V$5*$AG278+WeightSDS!W$5,IF($AG278&lt;186,WeightSDS!P$8*$AG278^7+WeightSDS!Q$8*$AG278^6+WeightSDS!R$8*$AG278^5+WeightSDS!S$8*$AG278^4+WeightSDS!T$8*$AG278^3+WeightSDS!U$8*$AG278^2+WeightSDS!V$8*$AG278+WeightSDS!W$8,WeightSDS!$U$9-WeightSDS!$V$9*($AG278-WeightSDS!$W$9)))</f>
        <v>0.75407122999999998</v>
      </c>
      <c r="AJ278" s="24">
        <f>IF(D278="M",IF($AG278&lt;45,WeightSDS!M$23*$AG278^10+WeightSDS!N$23*$AG278^9+WeightSDS!O$23*$AG278^8+WeightSDS!P$23*$AG278^7+WeightSDS!Q$23*$AG278^6+WeightSDS!R$23*$AG278^5+WeightSDS!S$23*$AG278^4+WeightSDS!T$23*$AG278^3+WeightSDS!U$23*$AG278^2+WeightSDS!V$23*$AG278+WeightSDS!W$23,IF($AG278&lt;153,WeightSDS!M$25*$AG278^10+WeightSDS!N$25*$AG278^9+WeightSDS!O$25*$AG278^8+WeightSDS!P$25*$AG278^7+WeightSDS!Q$25*$AG278^6+WeightSDS!R$25*$AG278^5+WeightSDS!S$25*$AG278^4+WeightSDS!T$25*$AG278^3+WeightSDS!U$25*$AG278^2+WeightSDS!V$25*$AG278+WeightSDS!W$25,WeightSDS!M$27+WeightSDS!N$27/(1+EXP(WeightSDS!O$27+WeightSDS!P$27*$AG278)))),IF($AG278&lt;43.8,WeightSDS!M$29*$AG278^10+WeightSDS!N$29*$AG278^9+WeightSDS!O$29*$AG278^8+WeightSDS!P$29*$AG278^7+WeightSDS!Q$29*$AG278^6+WeightSDS!R$29*$AG278^5+WeightSDS!S$29*$AG278^4+WeightSDS!T$29*$AG278^3+WeightSDS!U$29*$AG278^2+WeightSDS!V$29*$AG278+WeightSDS!W$29-0.010431*(1-$AG278/210),IF($AG278&lt;123,WeightSDS!M$30*$AG278^10+WeightSDS!N$30*$AG278^9+WeightSDS!O$30*$AG278^8+WeightSDS!P$30*$AG278^7+WeightSDS!Q$30*$AG278^6+WeightSDS!R$30*$AG278^5+WeightSDS!S$30*$AG278^4+WeightSDS!T$30*$AG278^3+WeightSDS!U$30*$AG278^2+WeightSDS!V$30*$AG278+WeightSDS!W$30-0.010431*(1-1/$AG278),WeightSDS!M$32+WeightSDS!N$32/(1+EXP(WeightSDS!O$32+WeightSDS!P$32*$AG278))-0.010431*(1-$AG278/210))))</f>
        <v>2.9500001032655536</v>
      </c>
      <c r="AK278" s="24">
        <f>IF(D278="M",IF($AG278&lt;162,WeightSDS!P$12*$AG278^7+WeightSDS!Q$12*$AG278^6+WeightSDS!R$12*$AG278^5+WeightSDS!S$12*$AG278^4+WeightSDS!T$12*$AG278^3+WeightSDS!U$12*$AG278^2+WeightSDS!V$12*$AG278+WeightSDS!W$12,WeightSDS!P$14*$AG278^7+WeightSDS!Q$14*$AG278^6+WeightSDS!R$14*$AG278^5+WeightSDS!S$14*$AG278^4+WeightSDS!T$14*$AG278^3+WeightSDS!U$14*$AG278^2+WeightSDS!V$14*$AG278+WeightSDS!W$14),IF($AG278&lt;156,WeightSDS!O$17*$AG278^8+WeightSDS!P$17*$AG278^7+WeightSDS!Q$17*$AG278^6+WeightSDS!R$17*$AG278^5+WeightSDS!S$17*$AG278^4+WeightSDS!T$17*$AG278^3+WeightSDS!U$17*$AG278^2+WeightSDS!V$17*$AG278+WeightSDS!W$17,IF($AG278&lt;186,WeightSDS!$U$18+(WeightSDS!$V$18-WeightSDS!$U$18)/24*($AG278-186)+WeightSDS!$W$18*(-$AG278+186)^2-0.005,WeightSDS!$U$18+(WeightSDS!$V$18-WeightSDS!$U$18)/24*($AG278-186)-0.005)))</f>
        <v>0.14604529399999999</v>
      </c>
    </row>
    <row r="279" spans="1:37">
      <c r="A279" s="4"/>
      <c r="B279" s="21"/>
      <c r="C279" s="21"/>
      <c r="D279" s="21"/>
      <c r="E279" s="22"/>
      <c r="F279" s="22"/>
      <c r="G279" s="23"/>
      <c r="H279" s="23"/>
      <c r="I279" s="8" t="str">
        <f t="shared" si="66"/>
        <v/>
      </c>
      <c r="J279" s="2" t="str">
        <f t="shared" si="73"/>
        <v/>
      </c>
      <c r="K279" s="2" t="str">
        <f t="shared" si="67"/>
        <v/>
      </c>
      <c r="L279" s="2" t="str">
        <f t="shared" si="74"/>
        <v/>
      </c>
      <c r="M279" s="2" t="str">
        <f t="shared" si="79"/>
        <v/>
      </c>
      <c r="N279" s="2" t="str">
        <f t="shared" si="75"/>
        <v/>
      </c>
      <c r="O279" s="8" t="str">
        <f t="shared" si="76"/>
        <v/>
      </c>
      <c r="P279" s="8" t="str">
        <f t="shared" si="77"/>
        <v/>
      </c>
      <c r="Q279" s="40" t="str">
        <f t="shared" si="68"/>
        <v/>
      </c>
      <c r="R279" s="48" t="str">
        <f t="shared" si="78"/>
        <v/>
      </c>
      <c r="S279" s="8"/>
      <c r="U279" s="35">
        <f t="shared" si="69"/>
        <v>0</v>
      </c>
      <c r="V279" s="24">
        <f t="shared" si="70"/>
        <v>0</v>
      </c>
      <c r="W279" s="41">
        <f t="shared" si="65"/>
        <v>0</v>
      </c>
      <c r="X279" s="31"/>
      <c r="Y279" s="31"/>
      <c r="Z279" s="31"/>
      <c r="AA279" s="25">
        <f t="shared" si="71"/>
        <v>9.0359999999999996</v>
      </c>
      <c r="AB279" s="25">
        <f t="shared" si="72"/>
        <v>-184.49199999999999</v>
      </c>
      <c r="AD279" s="24">
        <f>IF(D279="M",IF(AG279&lt;78,BMILMS!$D$5*AG279^3+BMILMS!$E$5*AG279^2+BMILMS!$F$5*AG279+BMILMS!$G$5,IF(AG279&lt;150,BMILMS!$D$6*AG279^3+BMILMS!$E$6*AG279^2+BMILMS!$F$6*AG279+BMILMS!$G$6,BMILMS!$D$7*AG279^3+BMILMS!$E$7*AG279^2+BMILMS!$F$7*AG279+BMILMS!$G$7)),IF(AG279&lt;69,BMILMS!$D$9*AG279^3+BMILMS!$E$9*AG279^2+BMILMS!$F$9*AG279+BMILMS!$G$9,IF(AG279&lt;150,BMILMS!$D$10*AG279^3+BMILMS!$E$10*AG279^2+BMILMS!$F$10*AG279+BMILMS!$G$10,BMILMS!$D$11*AG279^3+BMILMS!$E$11*AG279^2+BMILMS!$F$11*AG279+BMILMS!$G$11)))</f>
        <v>0.79584630099999998</v>
      </c>
      <c r="AE279" s="24">
        <f>IF(D279="M",(IF(AG279&lt;2.5,BMILMS!$D$21*AG279^3+BMILMS!$E$21*AG279^2+BMILMS!$F$21*AG279+BMILMS!$G$21,IF(AG279&lt;9.5,BMILMS!$D$22*AG279^3+BMILMS!$E$22*AG279^2+BMILMS!$F$22*AG279+BMILMS!$G$22,IF(AG279&lt;26.75,BMILMS!$D$23*AG279^3+BMILMS!$E$23*AG279^2+BMILMS!$F$23*AG279+BMILMS!$G$23,IF(AG279&lt;90,BMILMS!$D$24*AG279^3+BMILMS!$E$24*AG279^2+BMILMS!$F$24*AG279+BMILMS!$G$24,BMILMS!$D$25*AG279^3+BMILMS!$E$25*AG279^2+BMILMS!$F$25*AG279+BMILMS!$G$25))))),(IF(AG279&lt;2.5,BMILMS!$D$27*AG279^3+BMILMS!$E$27*AG279^2+BMILMS!$F$27*AG279+BMILMS!$G$27,IF(AG279&lt;9.5,BMILMS!$D$28*AG279^3+BMILMS!$E$28*AG279^2+BMILMS!$F$28*AG279+BMILMS!$G$28,IF(AG279&lt;26.75,BMILMS!$D$29*AG279^3+BMILMS!$E$29*AG279^2+BMILMS!$F$29*AG279+BMILMS!$G$29,IF(AG279&lt;90,BMILMS!$D$30*AG279^3+BMILMS!$E$30*AG279^2+BMILMS!$F$30*AG279+BMILMS!$G$30,IF(AG279&lt;150,BMILMS!$D$31*AG279^3+BMILMS!$E$31*AG279^2+BMILMS!$F$31*AG279+BMILMS!$G$31,BMILMS!$D$32*AG279^3+BMILMS!$E$32*AG279^2+BMILMS!$F$32*AG279+BMILMS!$G$32)))))))</f>
        <v>12.568967990000001</v>
      </c>
      <c r="AF279" s="24">
        <f>IF(D279="M",(IF(AG279&lt;90,BMILMS!$D$14*AG279^3+BMILMS!$E$14*AG279^2+BMILMS!$F$14*AG279+BMILMS!$G$14,BMILMS!$D$15*AG279^3+BMILMS!$E$15*AG279^2+BMILMS!$F$15*AG279+BMILMS!$G$15)),(IF(AG279&lt;90,BMILMS!$D$17*AG279^3+BMILMS!$E$17*AG279^2+BMILMS!$F$17*AG279+BMILMS!$G$17,BMILMS!$D$18*AG279^3+BMILMS!$E$18*AG279^2+BMILMS!$F$18*AG279+BMILMS!$G$18)))</f>
        <v>8.8969350000000003E-2</v>
      </c>
      <c r="AG279" s="24">
        <f t="shared" si="80"/>
        <v>0</v>
      </c>
      <c r="AI279" s="38">
        <f>IF(D279="M",WeightSDS!P$5*$AG279^7+WeightSDS!Q$5*$AG279^6+WeightSDS!R$5*$AG279^5+WeightSDS!S$5*$AG279^4+WeightSDS!T$5*$AG279^3+WeightSDS!U$5*$AG279^2+WeightSDS!V$5*$AG279+WeightSDS!W$5,IF($AG279&lt;186,WeightSDS!P$8*$AG279^7+WeightSDS!Q$8*$AG279^6+WeightSDS!R$8*$AG279^5+WeightSDS!S$8*$AG279^4+WeightSDS!T$8*$AG279^3+WeightSDS!U$8*$AG279^2+WeightSDS!V$8*$AG279+WeightSDS!W$8,WeightSDS!$U$9-WeightSDS!$V$9*($AG279-WeightSDS!$W$9)))</f>
        <v>0.75407122999999998</v>
      </c>
      <c r="AJ279" s="24">
        <f>IF(D279="M",IF($AG279&lt;45,WeightSDS!M$23*$AG279^10+WeightSDS!N$23*$AG279^9+WeightSDS!O$23*$AG279^8+WeightSDS!P$23*$AG279^7+WeightSDS!Q$23*$AG279^6+WeightSDS!R$23*$AG279^5+WeightSDS!S$23*$AG279^4+WeightSDS!T$23*$AG279^3+WeightSDS!U$23*$AG279^2+WeightSDS!V$23*$AG279+WeightSDS!W$23,IF($AG279&lt;153,WeightSDS!M$25*$AG279^10+WeightSDS!N$25*$AG279^9+WeightSDS!O$25*$AG279^8+WeightSDS!P$25*$AG279^7+WeightSDS!Q$25*$AG279^6+WeightSDS!R$25*$AG279^5+WeightSDS!S$25*$AG279^4+WeightSDS!T$25*$AG279^3+WeightSDS!U$25*$AG279^2+WeightSDS!V$25*$AG279+WeightSDS!W$25,WeightSDS!M$27+WeightSDS!N$27/(1+EXP(WeightSDS!O$27+WeightSDS!P$27*$AG279)))),IF($AG279&lt;43.8,WeightSDS!M$29*$AG279^10+WeightSDS!N$29*$AG279^9+WeightSDS!O$29*$AG279^8+WeightSDS!P$29*$AG279^7+WeightSDS!Q$29*$AG279^6+WeightSDS!R$29*$AG279^5+WeightSDS!S$29*$AG279^4+WeightSDS!T$29*$AG279^3+WeightSDS!U$29*$AG279^2+WeightSDS!V$29*$AG279+WeightSDS!W$29-0.010431*(1-$AG279/210),IF($AG279&lt;123,WeightSDS!M$30*$AG279^10+WeightSDS!N$30*$AG279^9+WeightSDS!O$30*$AG279^8+WeightSDS!P$30*$AG279^7+WeightSDS!Q$30*$AG279^6+WeightSDS!R$30*$AG279^5+WeightSDS!S$30*$AG279^4+WeightSDS!T$30*$AG279^3+WeightSDS!U$30*$AG279^2+WeightSDS!V$30*$AG279+WeightSDS!W$30-0.010431*(1-1/$AG279),WeightSDS!M$32+WeightSDS!N$32/(1+EXP(WeightSDS!O$32+WeightSDS!P$32*$AG279))-0.010431*(1-$AG279/210))))</f>
        <v>2.9500001032655536</v>
      </c>
      <c r="AK279" s="24">
        <f>IF(D279="M",IF($AG279&lt;162,WeightSDS!P$12*$AG279^7+WeightSDS!Q$12*$AG279^6+WeightSDS!R$12*$AG279^5+WeightSDS!S$12*$AG279^4+WeightSDS!T$12*$AG279^3+WeightSDS!U$12*$AG279^2+WeightSDS!V$12*$AG279+WeightSDS!W$12,WeightSDS!P$14*$AG279^7+WeightSDS!Q$14*$AG279^6+WeightSDS!R$14*$AG279^5+WeightSDS!S$14*$AG279^4+WeightSDS!T$14*$AG279^3+WeightSDS!U$14*$AG279^2+WeightSDS!V$14*$AG279+WeightSDS!W$14),IF($AG279&lt;156,WeightSDS!O$17*$AG279^8+WeightSDS!P$17*$AG279^7+WeightSDS!Q$17*$AG279^6+WeightSDS!R$17*$AG279^5+WeightSDS!S$17*$AG279^4+WeightSDS!T$17*$AG279^3+WeightSDS!U$17*$AG279^2+WeightSDS!V$17*$AG279+WeightSDS!W$17,IF($AG279&lt;186,WeightSDS!$U$18+(WeightSDS!$V$18-WeightSDS!$U$18)/24*($AG279-186)+WeightSDS!$W$18*(-$AG279+186)^2-0.005,WeightSDS!$U$18+(WeightSDS!$V$18-WeightSDS!$U$18)/24*($AG279-186)-0.005)))</f>
        <v>0.14604529399999999</v>
      </c>
    </row>
    <row r="280" spans="1:37">
      <c r="A280" s="4"/>
      <c r="B280" s="21"/>
      <c r="C280" s="21"/>
      <c r="D280" s="21"/>
      <c r="E280" s="22"/>
      <c r="F280" s="22"/>
      <c r="G280" s="23"/>
      <c r="H280" s="23"/>
      <c r="I280" s="8" t="str">
        <f t="shared" si="66"/>
        <v/>
      </c>
      <c r="J280" s="2" t="str">
        <f t="shared" si="73"/>
        <v/>
      </c>
      <c r="K280" s="2" t="str">
        <f t="shared" si="67"/>
        <v/>
      </c>
      <c r="L280" s="2" t="str">
        <f t="shared" si="74"/>
        <v/>
      </c>
      <c r="M280" s="2" t="str">
        <f t="shared" si="79"/>
        <v/>
      </c>
      <c r="N280" s="2" t="str">
        <f t="shared" si="75"/>
        <v/>
      </c>
      <c r="O280" s="8" t="str">
        <f t="shared" si="76"/>
        <v/>
      </c>
      <c r="P280" s="8" t="str">
        <f t="shared" si="77"/>
        <v/>
      </c>
      <c r="Q280" s="40" t="str">
        <f t="shared" si="68"/>
        <v/>
      </c>
      <c r="R280" s="48" t="str">
        <f t="shared" si="78"/>
        <v/>
      </c>
      <c r="S280" s="8"/>
      <c r="U280" s="35">
        <f t="shared" si="69"/>
        <v>0</v>
      </c>
      <c r="V280" s="24">
        <f t="shared" si="70"/>
        <v>0</v>
      </c>
      <c r="W280" s="41">
        <f t="shared" si="65"/>
        <v>0</v>
      </c>
      <c r="X280" s="31"/>
      <c r="Y280" s="31"/>
      <c r="Z280" s="31"/>
      <c r="AA280" s="25">
        <f t="shared" si="71"/>
        <v>9.0359999999999996</v>
      </c>
      <c r="AB280" s="25">
        <f t="shared" si="72"/>
        <v>-184.49199999999999</v>
      </c>
      <c r="AD280" s="24">
        <f>IF(D280="M",IF(AG280&lt;78,BMILMS!$D$5*AG280^3+BMILMS!$E$5*AG280^2+BMILMS!$F$5*AG280+BMILMS!$G$5,IF(AG280&lt;150,BMILMS!$D$6*AG280^3+BMILMS!$E$6*AG280^2+BMILMS!$F$6*AG280+BMILMS!$G$6,BMILMS!$D$7*AG280^3+BMILMS!$E$7*AG280^2+BMILMS!$F$7*AG280+BMILMS!$G$7)),IF(AG280&lt;69,BMILMS!$D$9*AG280^3+BMILMS!$E$9*AG280^2+BMILMS!$F$9*AG280+BMILMS!$G$9,IF(AG280&lt;150,BMILMS!$D$10*AG280^3+BMILMS!$E$10*AG280^2+BMILMS!$F$10*AG280+BMILMS!$G$10,BMILMS!$D$11*AG280^3+BMILMS!$E$11*AG280^2+BMILMS!$F$11*AG280+BMILMS!$G$11)))</f>
        <v>0.79584630099999998</v>
      </c>
      <c r="AE280" s="24">
        <f>IF(D280="M",(IF(AG280&lt;2.5,BMILMS!$D$21*AG280^3+BMILMS!$E$21*AG280^2+BMILMS!$F$21*AG280+BMILMS!$G$21,IF(AG280&lt;9.5,BMILMS!$D$22*AG280^3+BMILMS!$E$22*AG280^2+BMILMS!$F$22*AG280+BMILMS!$G$22,IF(AG280&lt;26.75,BMILMS!$D$23*AG280^3+BMILMS!$E$23*AG280^2+BMILMS!$F$23*AG280+BMILMS!$G$23,IF(AG280&lt;90,BMILMS!$D$24*AG280^3+BMILMS!$E$24*AG280^2+BMILMS!$F$24*AG280+BMILMS!$G$24,BMILMS!$D$25*AG280^3+BMILMS!$E$25*AG280^2+BMILMS!$F$25*AG280+BMILMS!$G$25))))),(IF(AG280&lt;2.5,BMILMS!$D$27*AG280^3+BMILMS!$E$27*AG280^2+BMILMS!$F$27*AG280+BMILMS!$G$27,IF(AG280&lt;9.5,BMILMS!$D$28*AG280^3+BMILMS!$E$28*AG280^2+BMILMS!$F$28*AG280+BMILMS!$G$28,IF(AG280&lt;26.75,BMILMS!$D$29*AG280^3+BMILMS!$E$29*AG280^2+BMILMS!$F$29*AG280+BMILMS!$G$29,IF(AG280&lt;90,BMILMS!$D$30*AG280^3+BMILMS!$E$30*AG280^2+BMILMS!$F$30*AG280+BMILMS!$G$30,IF(AG280&lt;150,BMILMS!$D$31*AG280^3+BMILMS!$E$31*AG280^2+BMILMS!$F$31*AG280+BMILMS!$G$31,BMILMS!$D$32*AG280^3+BMILMS!$E$32*AG280^2+BMILMS!$F$32*AG280+BMILMS!$G$32)))))))</f>
        <v>12.568967990000001</v>
      </c>
      <c r="AF280" s="24">
        <f>IF(D280="M",(IF(AG280&lt;90,BMILMS!$D$14*AG280^3+BMILMS!$E$14*AG280^2+BMILMS!$F$14*AG280+BMILMS!$G$14,BMILMS!$D$15*AG280^3+BMILMS!$E$15*AG280^2+BMILMS!$F$15*AG280+BMILMS!$G$15)),(IF(AG280&lt;90,BMILMS!$D$17*AG280^3+BMILMS!$E$17*AG280^2+BMILMS!$F$17*AG280+BMILMS!$G$17,BMILMS!$D$18*AG280^3+BMILMS!$E$18*AG280^2+BMILMS!$F$18*AG280+BMILMS!$G$18)))</f>
        <v>8.8969350000000003E-2</v>
      </c>
      <c r="AG280" s="24">
        <f t="shared" si="80"/>
        <v>0</v>
      </c>
      <c r="AI280" s="38">
        <f>IF(D280="M",WeightSDS!P$5*$AG280^7+WeightSDS!Q$5*$AG280^6+WeightSDS!R$5*$AG280^5+WeightSDS!S$5*$AG280^4+WeightSDS!T$5*$AG280^3+WeightSDS!U$5*$AG280^2+WeightSDS!V$5*$AG280+WeightSDS!W$5,IF($AG280&lt;186,WeightSDS!P$8*$AG280^7+WeightSDS!Q$8*$AG280^6+WeightSDS!R$8*$AG280^5+WeightSDS!S$8*$AG280^4+WeightSDS!T$8*$AG280^3+WeightSDS!U$8*$AG280^2+WeightSDS!V$8*$AG280+WeightSDS!W$8,WeightSDS!$U$9-WeightSDS!$V$9*($AG280-WeightSDS!$W$9)))</f>
        <v>0.75407122999999998</v>
      </c>
      <c r="AJ280" s="24">
        <f>IF(D280="M",IF($AG280&lt;45,WeightSDS!M$23*$AG280^10+WeightSDS!N$23*$AG280^9+WeightSDS!O$23*$AG280^8+WeightSDS!P$23*$AG280^7+WeightSDS!Q$23*$AG280^6+WeightSDS!R$23*$AG280^5+WeightSDS!S$23*$AG280^4+WeightSDS!T$23*$AG280^3+WeightSDS!U$23*$AG280^2+WeightSDS!V$23*$AG280+WeightSDS!W$23,IF($AG280&lt;153,WeightSDS!M$25*$AG280^10+WeightSDS!N$25*$AG280^9+WeightSDS!O$25*$AG280^8+WeightSDS!P$25*$AG280^7+WeightSDS!Q$25*$AG280^6+WeightSDS!R$25*$AG280^5+WeightSDS!S$25*$AG280^4+WeightSDS!T$25*$AG280^3+WeightSDS!U$25*$AG280^2+WeightSDS!V$25*$AG280+WeightSDS!W$25,WeightSDS!M$27+WeightSDS!N$27/(1+EXP(WeightSDS!O$27+WeightSDS!P$27*$AG280)))),IF($AG280&lt;43.8,WeightSDS!M$29*$AG280^10+WeightSDS!N$29*$AG280^9+WeightSDS!O$29*$AG280^8+WeightSDS!P$29*$AG280^7+WeightSDS!Q$29*$AG280^6+WeightSDS!R$29*$AG280^5+WeightSDS!S$29*$AG280^4+WeightSDS!T$29*$AG280^3+WeightSDS!U$29*$AG280^2+WeightSDS!V$29*$AG280+WeightSDS!W$29-0.010431*(1-$AG280/210),IF($AG280&lt;123,WeightSDS!M$30*$AG280^10+WeightSDS!N$30*$AG280^9+WeightSDS!O$30*$AG280^8+WeightSDS!P$30*$AG280^7+WeightSDS!Q$30*$AG280^6+WeightSDS!R$30*$AG280^5+WeightSDS!S$30*$AG280^4+WeightSDS!T$30*$AG280^3+WeightSDS!U$30*$AG280^2+WeightSDS!V$30*$AG280+WeightSDS!W$30-0.010431*(1-1/$AG280),WeightSDS!M$32+WeightSDS!N$32/(1+EXP(WeightSDS!O$32+WeightSDS!P$32*$AG280))-0.010431*(1-$AG280/210))))</f>
        <v>2.9500001032655536</v>
      </c>
      <c r="AK280" s="24">
        <f>IF(D280="M",IF($AG280&lt;162,WeightSDS!P$12*$AG280^7+WeightSDS!Q$12*$AG280^6+WeightSDS!R$12*$AG280^5+WeightSDS!S$12*$AG280^4+WeightSDS!T$12*$AG280^3+WeightSDS!U$12*$AG280^2+WeightSDS!V$12*$AG280+WeightSDS!W$12,WeightSDS!P$14*$AG280^7+WeightSDS!Q$14*$AG280^6+WeightSDS!R$14*$AG280^5+WeightSDS!S$14*$AG280^4+WeightSDS!T$14*$AG280^3+WeightSDS!U$14*$AG280^2+WeightSDS!V$14*$AG280+WeightSDS!W$14),IF($AG280&lt;156,WeightSDS!O$17*$AG280^8+WeightSDS!P$17*$AG280^7+WeightSDS!Q$17*$AG280^6+WeightSDS!R$17*$AG280^5+WeightSDS!S$17*$AG280^4+WeightSDS!T$17*$AG280^3+WeightSDS!U$17*$AG280^2+WeightSDS!V$17*$AG280+WeightSDS!W$17,IF($AG280&lt;186,WeightSDS!$U$18+(WeightSDS!$V$18-WeightSDS!$U$18)/24*($AG280-186)+WeightSDS!$W$18*(-$AG280+186)^2-0.005,WeightSDS!$U$18+(WeightSDS!$V$18-WeightSDS!$U$18)/24*($AG280-186)-0.005)))</f>
        <v>0.14604529399999999</v>
      </c>
    </row>
    <row r="281" spans="1:37">
      <c r="A281" s="4"/>
      <c r="B281" s="21"/>
      <c r="C281" s="21"/>
      <c r="D281" s="21"/>
      <c r="E281" s="22"/>
      <c r="F281" s="22"/>
      <c r="G281" s="23"/>
      <c r="H281" s="23"/>
      <c r="I281" s="8" t="str">
        <f t="shared" si="66"/>
        <v/>
      </c>
      <c r="J281" s="2" t="str">
        <f t="shared" si="73"/>
        <v/>
      </c>
      <c r="K281" s="2" t="str">
        <f t="shared" si="67"/>
        <v/>
      </c>
      <c r="L281" s="2" t="str">
        <f t="shared" si="74"/>
        <v/>
      </c>
      <c r="M281" s="2" t="str">
        <f t="shared" si="79"/>
        <v/>
      </c>
      <c r="N281" s="2" t="str">
        <f t="shared" si="75"/>
        <v/>
      </c>
      <c r="O281" s="8" t="str">
        <f t="shared" si="76"/>
        <v/>
      </c>
      <c r="P281" s="8" t="str">
        <f t="shared" si="77"/>
        <v/>
      </c>
      <c r="Q281" s="40" t="str">
        <f t="shared" si="68"/>
        <v/>
      </c>
      <c r="R281" s="48" t="str">
        <f t="shared" si="78"/>
        <v/>
      </c>
      <c r="S281" s="8"/>
      <c r="U281" s="35">
        <f t="shared" si="69"/>
        <v>0</v>
      </c>
      <c r="V281" s="24">
        <f t="shared" si="70"/>
        <v>0</v>
      </c>
      <c r="W281" s="41">
        <f t="shared" si="65"/>
        <v>0</v>
      </c>
      <c r="X281" s="31"/>
      <c r="Y281" s="31"/>
      <c r="Z281" s="31"/>
      <c r="AA281" s="25">
        <f t="shared" si="71"/>
        <v>9.0359999999999996</v>
      </c>
      <c r="AB281" s="25">
        <f t="shared" si="72"/>
        <v>-184.49199999999999</v>
      </c>
      <c r="AD281" s="24">
        <f>IF(D281="M",IF(AG281&lt;78,BMILMS!$D$5*AG281^3+BMILMS!$E$5*AG281^2+BMILMS!$F$5*AG281+BMILMS!$G$5,IF(AG281&lt;150,BMILMS!$D$6*AG281^3+BMILMS!$E$6*AG281^2+BMILMS!$F$6*AG281+BMILMS!$G$6,BMILMS!$D$7*AG281^3+BMILMS!$E$7*AG281^2+BMILMS!$F$7*AG281+BMILMS!$G$7)),IF(AG281&lt;69,BMILMS!$D$9*AG281^3+BMILMS!$E$9*AG281^2+BMILMS!$F$9*AG281+BMILMS!$G$9,IF(AG281&lt;150,BMILMS!$D$10*AG281^3+BMILMS!$E$10*AG281^2+BMILMS!$F$10*AG281+BMILMS!$G$10,BMILMS!$D$11*AG281^3+BMILMS!$E$11*AG281^2+BMILMS!$F$11*AG281+BMILMS!$G$11)))</f>
        <v>0.79584630099999998</v>
      </c>
      <c r="AE281" s="24">
        <f>IF(D281="M",(IF(AG281&lt;2.5,BMILMS!$D$21*AG281^3+BMILMS!$E$21*AG281^2+BMILMS!$F$21*AG281+BMILMS!$G$21,IF(AG281&lt;9.5,BMILMS!$D$22*AG281^3+BMILMS!$E$22*AG281^2+BMILMS!$F$22*AG281+BMILMS!$G$22,IF(AG281&lt;26.75,BMILMS!$D$23*AG281^3+BMILMS!$E$23*AG281^2+BMILMS!$F$23*AG281+BMILMS!$G$23,IF(AG281&lt;90,BMILMS!$D$24*AG281^3+BMILMS!$E$24*AG281^2+BMILMS!$F$24*AG281+BMILMS!$G$24,BMILMS!$D$25*AG281^3+BMILMS!$E$25*AG281^2+BMILMS!$F$25*AG281+BMILMS!$G$25))))),(IF(AG281&lt;2.5,BMILMS!$D$27*AG281^3+BMILMS!$E$27*AG281^2+BMILMS!$F$27*AG281+BMILMS!$G$27,IF(AG281&lt;9.5,BMILMS!$D$28*AG281^3+BMILMS!$E$28*AG281^2+BMILMS!$F$28*AG281+BMILMS!$G$28,IF(AG281&lt;26.75,BMILMS!$D$29*AG281^3+BMILMS!$E$29*AG281^2+BMILMS!$F$29*AG281+BMILMS!$G$29,IF(AG281&lt;90,BMILMS!$D$30*AG281^3+BMILMS!$E$30*AG281^2+BMILMS!$F$30*AG281+BMILMS!$G$30,IF(AG281&lt;150,BMILMS!$D$31*AG281^3+BMILMS!$E$31*AG281^2+BMILMS!$F$31*AG281+BMILMS!$G$31,BMILMS!$D$32*AG281^3+BMILMS!$E$32*AG281^2+BMILMS!$F$32*AG281+BMILMS!$G$32)))))))</f>
        <v>12.568967990000001</v>
      </c>
      <c r="AF281" s="24">
        <f>IF(D281="M",(IF(AG281&lt;90,BMILMS!$D$14*AG281^3+BMILMS!$E$14*AG281^2+BMILMS!$F$14*AG281+BMILMS!$G$14,BMILMS!$D$15*AG281^3+BMILMS!$E$15*AG281^2+BMILMS!$F$15*AG281+BMILMS!$G$15)),(IF(AG281&lt;90,BMILMS!$D$17*AG281^3+BMILMS!$E$17*AG281^2+BMILMS!$F$17*AG281+BMILMS!$G$17,BMILMS!$D$18*AG281^3+BMILMS!$E$18*AG281^2+BMILMS!$F$18*AG281+BMILMS!$G$18)))</f>
        <v>8.8969350000000003E-2</v>
      </c>
      <c r="AG281" s="24">
        <f t="shared" si="80"/>
        <v>0</v>
      </c>
      <c r="AI281" s="38">
        <f>IF(D281="M",WeightSDS!P$5*$AG281^7+WeightSDS!Q$5*$AG281^6+WeightSDS!R$5*$AG281^5+WeightSDS!S$5*$AG281^4+WeightSDS!T$5*$AG281^3+WeightSDS!U$5*$AG281^2+WeightSDS!V$5*$AG281+WeightSDS!W$5,IF($AG281&lt;186,WeightSDS!P$8*$AG281^7+WeightSDS!Q$8*$AG281^6+WeightSDS!R$8*$AG281^5+WeightSDS!S$8*$AG281^4+WeightSDS!T$8*$AG281^3+WeightSDS!U$8*$AG281^2+WeightSDS!V$8*$AG281+WeightSDS!W$8,WeightSDS!$U$9-WeightSDS!$V$9*($AG281-WeightSDS!$W$9)))</f>
        <v>0.75407122999999998</v>
      </c>
      <c r="AJ281" s="24">
        <f>IF(D281="M",IF($AG281&lt;45,WeightSDS!M$23*$AG281^10+WeightSDS!N$23*$AG281^9+WeightSDS!O$23*$AG281^8+WeightSDS!P$23*$AG281^7+WeightSDS!Q$23*$AG281^6+WeightSDS!R$23*$AG281^5+WeightSDS!S$23*$AG281^4+WeightSDS!T$23*$AG281^3+WeightSDS!U$23*$AG281^2+WeightSDS!V$23*$AG281+WeightSDS!W$23,IF($AG281&lt;153,WeightSDS!M$25*$AG281^10+WeightSDS!N$25*$AG281^9+WeightSDS!O$25*$AG281^8+WeightSDS!P$25*$AG281^7+WeightSDS!Q$25*$AG281^6+WeightSDS!R$25*$AG281^5+WeightSDS!S$25*$AG281^4+WeightSDS!T$25*$AG281^3+WeightSDS!U$25*$AG281^2+WeightSDS!V$25*$AG281+WeightSDS!W$25,WeightSDS!M$27+WeightSDS!N$27/(1+EXP(WeightSDS!O$27+WeightSDS!P$27*$AG281)))),IF($AG281&lt;43.8,WeightSDS!M$29*$AG281^10+WeightSDS!N$29*$AG281^9+WeightSDS!O$29*$AG281^8+WeightSDS!P$29*$AG281^7+WeightSDS!Q$29*$AG281^6+WeightSDS!R$29*$AG281^5+WeightSDS!S$29*$AG281^4+WeightSDS!T$29*$AG281^3+WeightSDS!U$29*$AG281^2+WeightSDS!V$29*$AG281+WeightSDS!W$29-0.010431*(1-$AG281/210),IF($AG281&lt;123,WeightSDS!M$30*$AG281^10+WeightSDS!N$30*$AG281^9+WeightSDS!O$30*$AG281^8+WeightSDS!P$30*$AG281^7+WeightSDS!Q$30*$AG281^6+WeightSDS!R$30*$AG281^5+WeightSDS!S$30*$AG281^4+WeightSDS!T$30*$AG281^3+WeightSDS!U$30*$AG281^2+WeightSDS!V$30*$AG281+WeightSDS!W$30-0.010431*(1-1/$AG281),WeightSDS!M$32+WeightSDS!N$32/(1+EXP(WeightSDS!O$32+WeightSDS!P$32*$AG281))-0.010431*(1-$AG281/210))))</f>
        <v>2.9500001032655536</v>
      </c>
      <c r="AK281" s="24">
        <f>IF(D281="M",IF($AG281&lt;162,WeightSDS!P$12*$AG281^7+WeightSDS!Q$12*$AG281^6+WeightSDS!R$12*$AG281^5+WeightSDS!S$12*$AG281^4+WeightSDS!T$12*$AG281^3+WeightSDS!U$12*$AG281^2+WeightSDS!V$12*$AG281+WeightSDS!W$12,WeightSDS!P$14*$AG281^7+WeightSDS!Q$14*$AG281^6+WeightSDS!R$14*$AG281^5+WeightSDS!S$14*$AG281^4+WeightSDS!T$14*$AG281^3+WeightSDS!U$14*$AG281^2+WeightSDS!V$14*$AG281+WeightSDS!W$14),IF($AG281&lt;156,WeightSDS!O$17*$AG281^8+WeightSDS!P$17*$AG281^7+WeightSDS!Q$17*$AG281^6+WeightSDS!R$17*$AG281^5+WeightSDS!S$17*$AG281^4+WeightSDS!T$17*$AG281^3+WeightSDS!U$17*$AG281^2+WeightSDS!V$17*$AG281+WeightSDS!W$17,IF($AG281&lt;186,WeightSDS!$U$18+(WeightSDS!$V$18-WeightSDS!$U$18)/24*($AG281-186)+WeightSDS!$W$18*(-$AG281+186)^2-0.005,WeightSDS!$U$18+(WeightSDS!$V$18-WeightSDS!$U$18)/24*($AG281-186)-0.005)))</f>
        <v>0.14604529399999999</v>
      </c>
    </row>
    <row r="282" spans="1:37">
      <c r="A282" s="4"/>
      <c r="B282" s="21"/>
      <c r="C282" s="21"/>
      <c r="D282" s="21"/>
      <c r="E282" s="22"/>
      <c r="F282" s="22"/>
      <c r="G282" s="23"/>
      <c r="H282" s="23"/>
      <c r="I282" s="8" t="str">
        <f t="shared" si="66"/>
        <v/>
      </c>
      <c r="J282" s="2" t="str">
        <f t="shared" si="73"/>
        <v/>
      </c>
      <c r="K282" s="2" t="str">
        <f t="shared" si="67"/>
        <v/>
      </c>
      <c r="L282" s="2" t="str">
        <f t="shared" si="74"/>
        <v/>
      </c>
      <c r="M282" s="2" t="str">
        <f t="shared" si="79"/>
        <v/>
      </c>
      <c r="N282" s="2" t="str">
        <f t="shared" si="75"/>
        <v/>
      </c>
      <c r="O282" s="8" t="str">
        <f t="shared" si="76"/>
        <v/>
      </c>
      <c r="P282" s="8" t="str">
        <f t="shared" si="77"/>
        <v/>
      </c>
      <c r="Q282" s="40" t="str">
        <f t="shared" si="68"/>
        <v/>
      </c>
      <c r="R282" s="48" t="str">
        <f t="shared" si="78"/>
        <v/>
      </c>
      <c r="S282" s="8"/>
      <c r="U282" s="35">
        <f t="shared" si="69"/>
        <v>0</v>
      </c>
      <c r="V282" s="24">
        <f t="shared" si="70"/>
        <v>0</v>
      </c>
      <c r="W282" s="41">
        <f t="shared" si="65"/>
        <v>0</v>
      </c>
      <c r="X282" s="31"/>
      <c r="Y282" s="31"/>
      <c r="Z282" s="31"/>
      <c r="AA282" s="25">
        <f t="shared" si="71"/>
        <v>9.0359999999999996</v>
      </c>
      <c r="AB282" s="25">
        <f t="shared" si="72"/>
        <v>-184.49199999999999</v>
      </c>
      <c r="AD282" s="24">
        <f>IF(D282="M",IF(AG282&lt;78,BMILMS!$D$5*AG282^3+BMILMS!$E$5*AG282^2+BMILMS!$F$5*AG282+BMILMS!$G$5,IF(AG282&lt;150,BMILMS!$D$6*AG282^3+BMILMS!$E$6*AG282^2+BMILMS!$F$6*AG282+BMILMS!$G$6,BMILMS!$D$7*AG282^3+BMILMS!$E$7*AG282^2+BMILMS!$F$7*AG282+BMILMS!$G$7)),IF(AG282&lt;69,BMILMS!$D$9*AG282^3+BMILMS!$E$9*AG282^2+BMILMS!$F$9*AG282+BMILMS!$G$9,IF(AG282&lt;150,BMILMS!$D$10*AG282^3+BMILMS!$E$10*AG282^2+BMILMS!$F$10*AG282+BMILMS!$G$10,BMILMS!$D$11*AG282^3+BMILMS!$E$11*AG282^2+BMILMS!$F$11*AG282+BMILMS!$G$11)))</f>
        <v>0.79584630099999998</v>
      </c>
      <c r="AE282" s="24">
        <f>IF(D282="M",(IF(AG282&lt;2.5,BMILMS!$D$21*AG282^3+BMILMS!$E$21*AG282^2+BMILMS!$F$21*AG282+BMILMS!$G$21,IF(AG282&lt;9.5,BMILMS!$D$22*AG282^3+BMILMS!$E$22*AG282^2+BMILMS!$F$22*AG282+BMILMS!$G$22,IF(AG282&lt;26.75,BMILMS!$D$23*AG282^3+BMILMS!$E$23*AG282^2+BMILMS!$F$23*AG282+BMILMS!$G$23,IF(AG282&lt;90,BMILMS!$D$24*AG282^3+BMILMS!$E$24*AG282^2+BMILMS!$F$24*AG282+BMILMS!$G$24,BMILMS!$D$25*AG282^3+BMILMS!$E$25*AG282^2+BMILMS!$F$25*AG282+BMILMS!$G$25))))),(IF(AG282&lt;2.5,BMILMS!$D$27*AG282^3+BMILMS!$E$27*AG282^2+BMILMS!$F$27*AG282+BMILMS!$G$27,IF(AG282&lt;9.5,BMILMS!$D$28*AG282^3+BMILMS!$E$28*AG282^2+BMILMS!$F$28*AG282+BMILMS!$G$28,IF(AG282&lt;26.75,BMILMS!$D$29*AG282^3+BMILMS!$E$29*AG282^2+BMILMS!$F$29*AG282+BMILMS!$G$29,IF(AG282&lt;90,BMILMS!$D$30*AG282^3+BMILMS!$E$30*AG282^2+BMILMS!$F$30*AG282+BMILMS!$G$30,IF(AG282&lt;150,BMILMS!$D$31*AG282^3+BMILMS!$E$31*AG282^2+BMILMS!$F$31*AG282+BMILMS!$G$31,BMILMS!$D$32*AG282^3+BMILMS!$E$32*AG282^2+BMILMS!$F$32*AG282+BMILMS!$G$32)))))))</f>
        <v>12.568967990000001</v>
      </c>
      <c r="AF282" s="24">
        <f>IF(D282="M",(IF(AG282&lt;90,BMILMS!$D$14*AG282^3+BMILMS!$E$14*AG282^2+BMILMS!$F$14*AG282+BMILMS!$G$14,BMILMS!$D$15*AG282^3+BMILMS!$E$15*AG282^2+BMILMS!$F$15*AG282+BMILMS!$G$15)),(IF(AG282&lt;90,BMILMS!$D$17*AG282^3+BMILMS!$E$17*AG282^2+BMILMS!$F$17*AG282+BMILMS!$G$17,BMILMS!$D$18*AG282^3+BMILMS!$E$18*AG282^2+BMILMS!$F$18*AG282+BMILMS!$G$18)))</f>
        <v>8.8969350000000003E-2</v>
      </c>
      <c r="AG282" s="24">
        <f t="shared" si="80"/>
        <v>0</v>
      </c>
      <c r="AI282" s="38">
        <f>IF(D282="M",WeightSDS!P$5*$AG282^7+WeightSDS!Q$5*$AG282^6+WeightSDS!R$5*$AG282^5+WeightSDS!S$5*$AG282^4+WeightSDS!T$5*$AG282^3+WeightSDS!U$5*$AG282^2+WeightSDS!V$5*$AG282+WeightSDS!W$5,IF($AG282&lt;186,WeightSDS!P$8*$AG282^7+WeightSDS!Q$8*$AG282^6+WeightSDS!R$8*$AG282^5+WeightSDS!S$8*$AG282^4+WeightSDS!T$8*$AG282^3+WeightSDS!U$8*$AG282^2+WeightSDS!V$8*$AG282+WeightSDS!W$8,WeightSDS!$U$9-WeightSDS!$V$9*($AG282-WeightSDS!$W$9)))</f>
        <v>0.75407122999999998</v>
      </c>
      <c r="AJ282" s="24">
        <f>IF(D282="M",IF($AG282&lt;45,WeightSDS!M$23*$AG282^10+WeightSDS!N$23*$AG282^9+WeightSDS!O$23*$AG282^8+WeightSDS!P$23*$AG282^7+WeightSDS!Q$23*$AG282^6+WeightSDS!R$23*$AG282^5+WeightSDS!S$23*$AG282^4+WeightSDS!T$23*$AG282^3+WeightSDS!U$23*$AG282^2+WeightSDS!V$23*$AG282+WeightSDS!W$23,IF($AG282&lt;153,WeightSDS!M$25*$AG282^10+WeightSDS!N$25*$AG282^9+WeightSDS!O$25*$AG282^8+WeightSDS!P$25*$AG282^7+WeightSDS!Q$25*$AG282^6+WeightSDS!R$25*$AG282^5+WeightSDS!S$25*$AG282^4+WeightSDS!T$25*$AG282^3+WeightSDS!U$25*$AG282^2+WeightSDS!V$25*$AG282+WeightSDS!W$25,WeightSDS!M$27+WeightSDS!N$27/(1+EXP(WeightSDS!O$27+WeightSDS!P$27*$AG282)))),IF($AG282&lt;43.8,WeightSDS!M$29*$AG282^10+WeightSDS!N$29*$AG282^9+WeightSDS!O$29*$AG282^8+WeightSDS!P$29*$AG282^7+WeightSDS!Q$29*$AG282^6+WeightSDS!R$29*$AG282^5+WeightSDS!S$29*$AG282^4+WeightSDS!T$29*$AG282^3+WeightSDS!U$29*$AG282^2+WeightSDS!V$29*$AG282+WeightSDS!W$29-0.010431*(1-$AG282/210),IF($AG282&lt;123,WeightSDS!M$30*$AG282^10+WeightSDS!N$30*$AG282^9+WeightSDS!O$30*$AG282^8+WeightSDS!P$30*$AG282^7+WeightSDS!Q$30*$AG282^6+WeightSDS!R$30*$AG282^5+WeightSDS!S$30*$AG282^4+WeightSDS!T$30*$AG282^3+WeightSDS!U$30*$AG282^2+WeightSDS!V$30*$AG282+WeightSDS!W$30-0.010431*(1-1/$AG282),WeightSDS!M$32+WeightSDS!N$32/(1+EXP(WeightSDS!O$32+WeightSDS!P$32*$AG282))-0.010431*(1-$AG282/210))))</f>
        <v>2.9500001032655536</v>
      </c>
      <c r="AK282" s="24">
        <f>IF(D282="M",IF($AG282&lt;162,WeightSDS!P$12*$AG282^7+WeightSDS!Q$12*$AG282^6+WeightSDS!R$12*$AG282^5+WeightSDS!S$12*$AG282^4+WeightSDS!T$12*$AG282^3+WeightSDS!U$12*$AG282^2+WeightSDS!V$12*$AG282+WeightSDS!W$12,WeightSDS!P$14*$AG282^7+WeightSDS!Q$14*$AG282^6+WeightSDS!R$14*$AG282^5+WeightSDS!S$14*$AG282^4+WeightSDS!T$14*$AG282^3+WeightSDS!U$14*$AG282^2+WeightSDS!V$14*$AG282+WeightSDS!W$14),IF($AG282&lt;156,WeightSDS!O$17*$AG282^8+WeightSDS!P$17*$AG282^7+WeightSDS!Q$17*$AG282^6+WeightSDS!R$17*$AG282^5+WeightSDS!S$17*$AG282^4+WeightSDS!T$17*$AG282^3+WeightSDS!U$17*$AG282^2+WeightSDS!V$17*$AG282+WeightSDS!W$17,IF($AG282&lt;186,WeightSDS!$U$18+(WeightSDS!$V$18-WeightSDS!$U$18)/24*($AG282-186)+WeightSDS!$W$18*(-$AG282+186)^2-0.005,WeightSDS!$U$18+(WeightSDS!$V$18-WeightSDS!$U$18)/24*($AG282-186)-0.005)))</f>
        <v>0.14604529399999999</v>
      </c>
    </row>
    <row r="283" spans="1:37">
      <c r="A283" s="4"/>
      <c r="B283" s="21"/>
      <c r="C283" s="21"/>
      <c r="D283" s="21"/>
      <c r="E283" s="22"/>
      <c r="F283" s="22"/>
      <c r="G283" s="23"/>
      <c r="H283" s="23"/>
      <c r="I283" s="8" t="str">
        <f t="shared" si="66"/>
        <v/>
      </c>
      <c r="J283" s="2" t="str">
        <f t="shared" si="73"/>
        <v/>
      </c>
      <c r="K283" s="2" t="str">
        <f t="shared" si="67"/>
        <v/>
      </c>
      <c r="L283" s="2" t="str">
        <f t="shared" si="74"/>
        <v/>
      </c>
      <c r="M283" s="2" t="str">
        <f t="shared" si="79"/>
        <v/>
      </c>
      <c r="N283" s="2" t="str">
        <f t="shared" si="75"/>
        <v/>
      </c>
      <c r="O283" s="8" t="str">
        <f t="shared" si="76"/>
        <v/>
      </c>
      <c r="P283" s="8" t="str">
        <f t="shared" si="77"/>
        <v/>
      </c>
      <c r="Q283" s="40" t="str">
        <f t="shared" si="68"/>
        <v/>
      </c>
      <c r="R283" s="48" t="str">
        <f t="shared" si="78"/>
        <v/>
      </c>
      <c r="S283" s="8"/>
      <c r="U283" s="35">
        <f t="shared" si="69"/>
        <v>0</v>
      </c>
      <c r="V283" s="24">
        <f t="shared" si="70"/>
        <v>0</v>
      </c>
      <c r="W283" s="41">
        <f t="shared" si="65"/>
        <v>0</v>
      </c>
      <c r="X283" s="31"/>
      <c r="Y283" s="31"/>
      <c r="Z283" s="31"/>
      <c r="AA283" s="25">
        <f t="shared" si="71"/>
        <v>9.0359999999999996</v>
      </c>
      <c r="AB283" s="25">
        <f t="shared" si="72"/>
        <v>-184.49199999999999</v>
      </c>
      <c r="AD283" s="24">
        <f>IF(D283="M",IF(AG283&lt;78,BMILMS!$D$5*AG283^3+BMILMS!$E$5*AG283^2+BMILMS!$F$5*AG283+BMILMS!$G$5,IF(AG283&lt;150,BMILMS!$D$6*AG283^3+BMILMS!$E$6*AG283^2+BMILMS!$F$6*AG283+BMILMS!$G$6,BMILMS!$D$7*AG283^3+BMILMS!$E$7*AG283^2+BMILMS!$F$7*AG283+BMILMS!$G$7)),IF(AG283&lt;69,BMILMS!$D$9*AG283^3+BMILMS!$E$9*AG283^2+BMILMS!$F$9*AG283+BMILMS!$G$9,IF(AG283&lt;150,BMILMS!$D$10*AG283^3+BMILMS!$E$10*AG283^2+BMILMS!$F$10*AG283+BMILMS!$G$10,BMILMS!$D$11*AG283^3+BMILMS!$E$11*AG283^2+BMILMS!$F$11*AG283+BMILMS!$G$11)))</f>
        <v>0.79584630099999998</v>
      </c>
      <c r="AE283" s="24">
        <f>IF(D283="M",(IF(AG283&lt;2.5,BMILMS!$D$21*AG283^3+BMILMS!$E$21*AG283^2+BMILMS!$F$21*AG283+BMILMS!$G$21,IF(AG283&lt;9.5,BMILMS!$D$22*AG283^3+BMILMS!$E$22*AG283^2+BMILMS!$F$22*AG283+BMILMS!$G$22,IF(AG283&lt;26.75,BMILMS!$D$23*AG283^3+BMILMS!$E$23*AG283^2+BMILMS!$F$23*AG283+BMILMS!$G$23,IF(AG283&lt;90,BMILMS!$D$24*AG283^3+BMILMS!$E$24*AG283^2+BMILMS!$F$24*AG283+BMILMS!$G$24,BMILMS!$D$25*AG283^3+BMILMS!$E$25*AG283^2+BMILMS!$F$25*AG283+BMILMS!$G$25))))),(IF(AG283&lt;2.5,BMILMS!$D$27*AG283^3+BMILMS!$E$27*AG283^2+BMILMS!$F$27*AG283+BMILMS!$G$27,IF(AG283&lt;9.5,BMILMS!$D$28*AG283^3+BMILMS!$E$28*AG283^2+BMILMS!$F$28*AG283+BMILMS!$G$28,IF(AG283&lt;26.75,BMILMS!$D$29*AG283^3+BMILMS!$E$29*AG283^2+BMILMS!$F$29*AG283+BMILMS!$G$29,IF(AG283&lt;90,BMILMS!$D$30*AG283^3+BMILMS!$E$30*AG283^2+BMILMS!$F$30*AG283+BMILMS!$G$30,IF(AG283&lt;150,BMILMS!$D$31*AG283^3+BMILMS!$E$31*AG283^2+BMILMS!$F$31*AG283+BMILMS!$G$31,BMILMS!$D$32*AG283^3+BMILMS!$E$32*AG283^2+BMILMS!$F$32*AG283+BMILMS!$G$32)))))))</f>
        <v>12.568967990000001</v>
      </c>
      <c r="AF283" s="24">
        <f>IF(D283="M",(IF(AG283&lt;90,BMILMS!$D$14*AG283^3+BMILMS!$E$14*AG283^2+BMILMS!$F$14*AG283+BMILMS!$G$14,BMILMS!$D$15*AG283^3+BMILMS!$E$15*AG283^2+BMILMS!$F$15*AG283+BMILMS!$G$15)),(IF(AG283&lt;90,BMILMS!$D$17*AG283^3+BMILMS!$E$17*AG283^2+BMILMS!$F$17*AG283+BMILMS!$G$17,BMILMS!$D$18*AG283^3+BMILMS!$E$18*AG283^2+BMILMS!$F$18*AG283+BMILMS!$G$18)))</f>
        <v>8.8969350000000003E-2</v>
      </c>
      <c r="AG283" s="24">
        <f t="shared" si="80"/>
        <v>0</v>
      </c>
      <c r="AI283" s="38">
        <f>IF(D283="M",WeightSDS!P$5*$AG283^7+WeightSDS!Q$5*$AG283^6+WeightSDS!R$5*$AG283^5+WeightSDS!S$5*$AG283^4+WeightSDS!T$5*$AG283^3+WeightSDS!U$5*$AG283^2+WeightSDS!V$5*$AG283+WeightSDS!W$5,IF($AG283&lt;186,WeightSDS!P$8*$AG283^7+WeightSDS!Q$8*$AG283^6+WeightSDS!R$8*$AG283^5+WeightSDS!S$8*$AG283^4+WeightSDS!T$8*$AG283^3+WeightSDS!U$8*$AG283^2+WeightSDS!V$8*$AG283+WeightSDS!W$8,WeightSDS!$U$9-WeightSDS!$V$9*($AG283-WeightSDS!$W$9)))</f>
        <v>0.75407122999999998</v>
      </c>
      <c r="AJ283" s="24">
        <f>IF(D283="M",IF($AG283&lt;45,WeightSDS!M$23*$AG283^10+WeightSDS!N$23*$AG283^9+WeightSDS!O$23*$AG283^8+WeightSDS!P$23*$AG283^7+WeightSDS!Q$23*$AG283^6+WeightSDS!R$23*$AG283^5+WeightSDS!S$23*$AG283^4+WeightSDS!T$23*$AG283^3+WeightSDS!U$23*$AG283^2+WeightSDS!V$23*$AG283+WeightSDS!W$23,IF($AG283&lt;153,WeightSDS!M$25*$AG283^10+WeightSDS!N$25*$AG283^9+WeightSDS!O$25*$AG283^8+WeightSDS!P$25*$AG283^7+WeightSDS!Q$25*$AG283^6+WeightSDS!R$25*$AG283^5+WeightSDS!S$25*$AG283^4+WeightSDS!T$25*$AG283^3+WeightSDS!U$25*$AG283^2+WeightSDS!V$25*$AG283+WeightSDS!W$25,WeightSDS!M$27+WeightSDS!N$27/(1+EXP(WeightSDS!O$27+WeightSDS!P$27*$AG283)))),IF($AG283&lt;43.8,WeightSDS!M$29*$AG283^10+WeightSDS!N$29*$AG283^9+WeightSDS!O$29*$AG283^8+WeightSDS!P$29*$AG283^7+WeightSDS!Q$29*$AG283^6+WeightSDS!R$29*$AG283^5+WeightSDS!S$29*$AG283^4+WeightSDS!T$29*$AG283^3+WeightSDS!U$29*$AG283^2+WeightSDS!V$29*$AG283+WeightSDS!W$29-0.010431*(1-$AG283/210),IF($AG283&lt;123,WeightSDS!M$30*$AG283^10+WeightSDS!N$30*$AG283^9+WeightSDS!O$30*$AG283^8+WeightSDS!P$30*$AG283^7+WeightSDS!Q$30*$AG283^6+WeightSDS!R$30*$AG283^5+WeightSDS!S$30*$AG283^4+WeightSDS!T$30*$AG283^3+WeightSDS!U$30*$AG283^2+WeightSDS!V$30*$AG283+WeightSDS!W$30-0.010431*(1-1/$AG283),WeightSDS!M$32+WeightSDS!N$32/(1+EXP(WeightSDS!O$32+WeightSDS!P$32*$AG283))-0.010431*(1-$AG283/210))))</f>
        <v>2.9500001032655536</v>
      </c>
      <c r="AK283" s="24">
        <f>IF(D283="M",IF($AG283&lt;162,WeightSDS!P$12*$AG283^7+WeightSDS!Q$12*$AG283^6+WeightSDS!R$12*$AG283^5+WeightSDS!S$12*$AG283^4+WeightSDS!T$12*$AG283^3+WeightSDS!U$12*$AG283^2+WeightSDS!V$12*$AG283+WeightSDS!W$12,WeightSDS!P$14*$AG283^7+WeightSDS!Q$14*$AG283^6+WeightSDS!R$14*$AG283^5+WeightSDS!S$14*$AG283^4+WeightSDS!T$14*$AG283^3+WeightSDS!U$14*$AG283^2+WeightSDS!V$14*$AG283+WeightSDS!W$14),IF($AG283&lt;156,WeightSDS!O$17*$AG283^8+WeightSDS!P$17*$AG283^7+WeightSDS!Q$17*$AG283^6+WeightSDS!R$17*$AG283^5+WeightSDS!S$17*$AG283^4+WeightSDS!T$17*$AG283^3+WeightSDS!U$17*$AG283^2+WeightSDS!V$17*$AG283+WeightSDS!W$17,IF($AG283&lt;186,WeightSDS!$U$18+(WeightSDS!$V$18-WeightSDS!$U$18)/24*($AG283-186)+WeightSDS!$W$18*(-$AG283+186)^2-0.005,WeightSDS!$U$18+(WeightSDS!$V$18-WeightSDS!$U$18)/24*($AG283-186)-0.005)))</f>
        <v>0.14604529399999999</v>
      </c>
    </row>
    <row r="284" spans="1:37">
      <c r="A284" s="4"/>
      <c r="B284" s="21"/>
      <c r="C284" s="21"/>
      <c r="D284" s="21"/>
      <c r="E284" s="22"/>
      <c r="F284" s="22"/>
      <c r="G284" s="23"/>
      <c r="H284" s="23"/>
      <c r="I284" s="8" t="str">
        <f t="shared" si="66"/>
        <v/>
      </c>
      <c r="J284" s="2" t="str">
        <f t="shared" si="73"/>
        <v/>
      </c>
      <c r="K284" s="2" t="str">
        <f t="shared" si="67"/>
        <v/>
      </c>
      <c r="L284" s="2" t="str">
        <f t="shared" si="74"/>
        <v/>
      </c>
      <c r="M284" s="2" t="str">
        <f t="shared" si="79"/>
        <v/>
      </c>
      <c r="N284" s="2" t="str">
        <f t="shared" si="75"/>
        <v/>
      </c>
      <c r="O284" s="8" t="str">
        <f t="shared" si="76"/>
        <v/>
      </c>
      <c r="P284" s="8" t="str">
        <f t="shared" si="77"/>
        <v/>
      </c>
      <c r="Q284" s="40" t="str">
        <f t="shared" si="68"/>
        <v/>
      </c>
      <c r="R284" s="48" t="str">
        <f t="shared" si="78"/>
        <v/>
      </c>
      <c r="S284" s="8"/>
      <c r="U284" s="35">
        <f t="shared" si="69"/>
        <v>0</v>
      </c>
      <c r="V284" s="24">
        <f t="shared" si="70"/>
        <v>0</v>
      </c>
      <c r="W284" s="41">
        <f t="shared" si="65"/>
        <v>0</v>
      </c>
      <c r="X284" s="31"/>
      <c r="Y284" s="31"/>
      <c r="Z284" s="31"/>
      <c r="AA284" s="25">
        <f t="shared" si="71"/>
        <v>9.0359999999999996</v>
      </c>
      <c r="AB284" s="25">
        <f t="shared" si="72"/>
        <v>-184.49199999999999</v>
      </c>
      <c r="AD284" s="24">
        <f>IF(D284="M",IF(AG284&lt;78,BMILMS!$D$5*AG284^3+BMILMS!$E$5*AG284^2+BMILMS!$F$5*AG284+BMILMS!$G$5,IF(AG284&lt;150,BMILMS!$D$6*AG284^3+BMILMS!$E$6*AG284^2+BMILMS!$F$6*AG284+BMILMS!$G$6,BMILMS!$D$7*AG284^3+BMILMS!$E$7*AG284^2+BMILMS!$F$7*AG284+BMILMS!$G$7)),IF(AG284&lt;69,BMILMS!$D$9*AG284^3+BMILMS!$E$9*AG284^2+BMILMS!$F$9*AG284+BMILMS!$G$9,IF(AG284&lt;150,BMILMS!$D$10*AG284^3+BMILMS!$E$10*AG284^2+BMILMS!$F$10*AG284+BMILMS!$G$10,BMILMS!$D$11*AG284^3+BMILMS!$E$11*AG284^2+BMILMS!$F$11*AG284+BMILMS!$G$11)))</f>
        <v>0.79584630099999998</v>
      </c>
      <c r="AE284" s="24">
        <f>IF(D284="M",(IF(AG284&lt;2.5,BMILMS!$D$21*AG284^3+BMILMS!$E$21*AG284^2+BMILMS!$F$21*AG284+BMILMS!$G$21,IF(AG284&lt;9.5,BMILMS!$D$22*AG284^3+BMILMS!$E$22*AG284^2+BMILMS!$F$22*AG284+BMILMS!$G$22,IF(AG284&lt;26.75,BMILMS!$D$23*AG284^3+BMILMS!$E$23*AG284^2+BMILMS!$F$23*AG284+BMILMS!$G$23,IF(AG284&lt;90,BMILMS!$D$24*AG284^3+BMILMS!$E$24*AG284^2+BMILMS!$F$24*AG284+BMILMS!$G$24,BMILMS!$D$25*AG284^3+BMILMS!$E$25*AG284^2+BMILMS!$F$25*AG284+BMILMS!$G$25))))),(IF(AG284&lt;2.5,BMILMS!$D$27*AG284^3+BMILMS!$E$27*AG284^2+BMILMS!$F$27*AG284+BMILMS!$G$27,IF(AG284&lt;9.5,BMILMS!$D$28*AG284^3+BMILMS!$E$28*AG284^2+BMILMS!$F$28*AG284+BMILMS!$G$28,IF(AG284&lt;26.75,BMILMS!$D$29*AG284^3+BMILMS!$E$29*AG284^2+BMILMS!$F$29*AG284+BMILMS!$G$29,IF(AG284&lt;90,BMILMS!$D$30*AG284^3+BMILMS!$E$30*AG284^2+BMILMS!$F$30*AG284+BMILMS!$G$30,IF(AG284&lt;150,BMILMS!$D$31*AG284^3+BMILMS!$E$31*AG284^2+BMILMS!$F$31*AG284+BMILMS!$G$31,BMILMS!$D$32*AG284^3+BMILMS!$E$32*AG284^2+BMILMS!$F$32*AG284+BMILMS!$G$32)))))))</f>
        <v>12.568967990000001</v>
      </c>
      <c r="AF284" s="24">
        <f>IF(D284="M",(IF(AG284&lt;90,BMILMS!$D$14*AG284^3+BMILMS!$E$14*AG284^2+BMILMS!$F$14*AG284+BMILMS!$G$14,BMILMS!$D$15*AG284^3+BMILMS!$E$15*AG284^2+BMILMS!$F$15*AG284+BMILMS!$G$15)),(IF(AG284&lt;90,BMILMS!$D$17*AG284^3+BMILMS!$E$17*AG284^2+BMILMS!$F$17*AG284+BMILMS!$G$17,BMILMS!$D$18*AG284^3+BMILMS!$E$18*AG284^2+BMILMS!$F$18*AG284+BMILMS!$G$18)))</f>
        <v>8.8969350000000003E-2</v>
      </c>
      <c r="AG284" s="24">
        <f t="shared" si="80"/>
        <v>0</v>
      </c>
      <c r="AI284" s="38">
        <f>IF(D284="M",WeightSDS!P$5*$AG284^7+WeightSDS!Q$5*$AG284^6+WeightSDS!R$5*$AG284^5+WeightSDS!S$5*$AG284^4+WeightSDS!T$5*$AG284^3+WeightSDS!U$5*$AG284^2+WeightSDS!V$5*$AG284+WeightSDS!W$5,IF($AG284&lt;186,WeightSDS!P$8*$AG284^7+WeightSDS!Q$8*$AG284^6+WeightSDS!R$8*$AG284^5+WeightSDS!S$8*$AG284^4+WeightSDS!T$8*$AG284^3+WeightSDS!U$8*$AG284^2+WeightSDS!V$8*$AG284+WeightSDS!W$8,WeightSDS!$U$9-WeightSDS!$V$9*($AG284-WeightSDS!$W$9)))</f>
        <v>0.75407122999999998</v>
      </c>
      <c r="AJ284" s="24">
        <f>IF(D284="M",IF($AG284&lt;45,WeightSDS!M$23*$AG284^10+WeightSDS!N$23*$AG284^9+WeightSDS!O$23*$AG284^8+WeightSDS!P$23*$AG284^7+WeightSDS!Q$23*$AG284^6+WeightSDS!R$23*$AG284^5+WeightSDS!S$23*$AG284^4+WeightSDS!T$23*$AG284^3+WeightSDS!U$23*$AG284^2+WeightSDS!V$23*$AG284+WeightSDS!W$23,IF($AG284&lt;153,WeightSDS!M$25*$AG284^10+WeightSDS!N$25*$AG284^9+WeightSDS!O$25*$AG284^8+WeightSDS!P$25*$AG284^7+WeightSDS!Q$25*$AG284^6+WeightSDS!R$25*$AG284^5+WeightSDS!S$25*$AG284^4+WeightSDS!T$25*$AG284^3+WeightSDS!U$25*$AG284^2+WeightSDS!V$25*$AG284+WeightSDS!W$25,WeightSDS!M$27+WeightSDS!N$27/(1+EXP(WeightSDS!O$27+WeightSDS!P$27*$AG284)))),IF($AG284&lt;43.8,WeightSDS!M$29*$AG284^10+WeightSDS!N$29*$AG284^9+WeightSDS!O$29*$AG284^8+WeightSDS!P$29*$AG284^7+WeightSDS!Q$29*$AG284^6+WeightSDS!R$29*$AG284^5+WeightSDS!S$29*$AG284^4+WeightSDS!T$29*$AG284^3+WeightSDS!U$29*$AG284^2+WeightSDS!V$29*$AG284+WeightSDS!W$29-0.010431*(1-$AG284/210),IF($AG284&lt;123,WeightSDS!M$30*$AG284^10+WeightSDS!N$30*$AG284^9+WeightSDS!O$30*$AG284^8+WeightSDS!P$30*$AG284^7+WeightSDS!Q$30*$AG284^6+WeightSDS!R$30*$AG284^5+WeightSDS!S$30*$AG284^4+WeightSDS!T$30*$AG284^3+WeightSDS!U$30*$AG284^2+WeightSDS!V$30*$AG284+WeightSDS!W$30-0.010431*(1-1/$AG284),WeightSDS!M$32+WeightSDS!N$32/(1+EXP(WeightSDS!O$32+WeightSDS!P$32*$AG284))-0.010431*(1-$AG284/210))))</f>
        <v>2.9500001032655536</v>
      </c>
      <c r="AK284" s="24">
        <f>IF(D284="M",IF($AG284&lt;162,WeightSDS!P$12*$AG284^7+WeightSDS!Q$12*$AG284^6+WeightSDS!R$12*$AG284^5+WeightSDS!S$12*$AG284^4+WeightSDS!T$12*$AG284^3+WeightSDS!U$12*$AG284^2+WeightSDS!V$12*$AG284+WeightSDS!W$12,WeightSDS!P$14*$AG284^7+WeightSDS!Q$14*$AG284^6+WeightSDS!R$14*$AG284^5+WeightSDS!S$14*$AG284^4+WeightSDS!T$14*$AG284^3+WeightSDS!U$14*$AG284^2+WeightSDS!V$14*$AG284+WeightSDS!W$14),IF($AG284&lt;156,WeightSDS!O$17*$AG284^8+WeightSDS!P$17*$AG284^7+WeightSDS!Q$17*$AG284^6+WeightSDS!R$17*$AG284^5+WeightSDS!S$17*$AG284^4+WeightSDS!T$17*$AG284^3+WeightSDS!U$17*$AG284^2+WeightSDS!V$17*$AG284+WeightSDS!W$17,IF($AG284&lt;186,WeightSDS!$U$18+(WeightSDS!$V$18-WeightSDS!$U$18)/24*($AG284-186)+WeightSDS!$W$18*(-$AG284+186)^2-0.005,WeightSDS!$U$18+(WeightSDS!$V$18-WeightSDS!$U$18)/24*($AG284-186)-0.005)))</f>
        <v>0.14604529399999999</v>
      </c>
    </row>
    <row r="285" spans="1:37">
      <c r="A285" s="4"/>
      <c r="B285" s="21"/>
      <c r="C285" s="21"/>
      <c r="D285" s="21"/>
      <c r="E285" s="22"/>
      <c r="F285" s="22"/>
      <c r="G285" s="23"/>
      <c r="H285" s="23"/>
      <c r="I285" s="8" t="str">
        <f t="shared" si="66"/>
        <v/>
      </c>
      <c r="J285" s="2" t="str">
        <f t="shared" si="73"/>
        <v/>
      </c>
      <c r="K285" s="2" t="str">
        <f t="shared" si="67"/>
        <v/>
      </c>
      <c r="L285" s="2" t="str">
        <f t="shared" si="74"/>
        <v/>
      </c>
      <c r="M285" s="2" t="str">
        <f t="shared" si="79"/>
        <v/>
      </c>
      <c r="N285" s="2" t="str">
        <f t="shared" si="75"/>
        <v/>
      </c>
      <c r="O285" s="8" t="str">
        <f t="shared" si="76"/>
        <v/>
      </c>
      <c r="P285" s="8" t="str">
        <f t="shared" si="77"/>
        <v/>
      </c>
      <c r="Q285" s="40" t="str">
        <f t="shared" si="68"/>
        <v/>
      </c>
      <c r="R285" s="48" t="str">
        <f t="shared" si="78"/>
        <v/>
      </c>
      <c r="S285" s="8"/>
      <c r="U285" s="35">
        <f t="shared" si="69"/>
        <v>0</v>
      </c>
      <c r="V285" s="24">
        <f t="shared" si="70"/>
        <v>0</v>
      </c>
      <c r="W285" s="41">
        <f t="shared" si="65"/>
        <v>0</v>
      </c>
      <c r="X285" s="31"/>
      <c r="Y285" s="31"/>
      <c r="Z285" s="31"/>
      <c r="AA285" s="25">
        <f t="shared" si="71"/>
        <v>9.0359999999999996</v>
      </c>
      <c r="AB285" s="25">
        <f t="shared" si="72"/>
        <v>-184.49199999999999</v>
      </c>
      <c r="AD285" s="24">
        <f>IF(D285="M",IF(AG285&lt;78,BMILMS!$D$5*AG285^3+BMILMS!$E$5*AG285^2+BMILMS!$F$5*AG285+BMILMS!$G$5,IF(AG285&lt;150,BMILMS!$D$6*AG285^3+BMILMS!$E$6*AG285^2+BMILMS!$F$6*AG285+BMILMS!$G$6,BMILMS!$D$7*AG285^3+BMILMS!$E$7*AG285^2+BMILMS!$F$7*AG285+BMILMS!$G$7)),IF(AG285&lt;69,BMILMS!$D$9*AG285^3+BMILMS!$E$9*AG285^2+BMILMS!$F$9*AG285+BMILMS!$G$9,IF(AG285&lt;150,BMILMS!$D$10*AG285^3+BMILMS!$E$10*AG285^2+BMILMS!$F$10*AG285+BMILMS!$G$10,BMILMS!$D$11*AG285^3+BMILMS!$E$11*AG285^2+BMILMS!$F$11*AG285+BMILMS!$G$11)))</f>
        <v>0.79584630099999998</v>
      </c>
      <c r="AE285" s="24">
        <f>IF(D285="M",(IF(AG285&lt;2.5,BMILMS!$D$21*AG285^3+BMILMS!$E$21*AG285^2+BMILMS!$F$21*AG285+BMILMS!$G$21,IF(AG285&lt;9.5,BMILMS!$D$22*AG285^3+BMILMS!$E$22*AG285^2+BMILMS!$F$22*AG285+BMILMS!$G$22,IF(AG285&lt;26.75,BMILMS!$D$23*AG285^3+BMILMS!$E$23*AG285^2+BMILMS!$F$23*AG285+BMILMS!$G$23,IF(AG285&lt;90,BMILMS!$D$24*AG285^3+BMILMS!$E$24*AG285^2+BMILMS!$F$24*AG285+BMILMS!$G$24,BMILMS!$D$25*AG285^3+BMILMS!$E$25*AG285^2+BMILMS!$F$25*AG285+BMILMS!$G$25))))),(IF(AG285&lt;2.5,BMILMS!$D$27*AG285^3+BMILMS!$E$27*AG285^2+BMILMS!$F$27*AG285+BMILMS!$G$27,IF(AG285&lt;9.5,BMILMS!$D$28*AG285^3+BMILMS!$E$28*AG285^2+BMILMS!$F$28*AG285+BMILMS!$G$28,IF(AG285&lt;26.75,BMILMS!$D$29*AG285^3+BMILMS!$E$29*AG285^2+BMILMS!$F$29*AG285+BMILMS!$G$29,IF(AG285&lt;90,BMILMS!$D$30*AG285^3+BMILMS!$E$30*AG285^2+BMILMS!$F$30*AG285+BMILMS!$G$30,IF(AG285&lt;150,BMILMS!$D$31*AG285^3+BMILMS!$E$31*AG285^2+BMILMS!$F$31*AG285+BMILMS!$G$31,BMILMS!$D$32*AG285^3+BMILMS!$E$32*AG285^2+BMILMS!$F$32*AG285+BMILMS!$G$32)))))))</f>
        <v>12.568967990000001</v>
      </c>
      <c r="AF285" s="24">
        <f>IF(D285="M",(IF(AG285&lt;90,BMILMS!$D$14*AG285^3+BMILMS!$E$14*AG285^2+BMILMS!$F$14*AG285+BMILMS!$G$14,BMILMS!$D$15*AG285^3+BMILMS!$E$15*AG285^2+BMILMS!$F$15*AG285+BMILMS!$G$15)),(IF(AG285&lt;90,BMILMS!$D$17*AG285^3+BMILMS!$E$17*AG285^2+BMILMS!$F$17*AG285+BMILMS!$G$17,BMILMS!$D$18*AG285^3+BMILMS!$E$18*AG285^2+BMILMS!$F$18*AG285+BMILMS!$G$18)))</f>
        <v>8.8969350000000003E-2</v>
      </c>
      <c r="AG285" s="24">
        <f t="shared" si="80"/>
        <v>0</v>
      </c>
      <c r="AI285" s="38">
        <f>IF(D285="M",WeightSDS!P$5*$AG285^7+WeightSDS!Q$5*$AG285^6+WeightSDS!R$5*$AG285^5+WeightSDS!S$5*$AG285^4+WeightSDS!T$5*$AG285^3+WeightSDS!U$5*$AG285^2+WeightSDS!V$5*$AG285+WeightSDS!W$5,IF($AG285&lt;186,WeightSDS!P$8*$AG285^7+WeightSDS!Q$8*$AG285^6+WeightSDS!R$8*$AG285^5+WeightSDS!S$8*$AG285^4+WeightSDS!T$8*$AG285^3+WeightSDS!U$8*$AG285^2+WeightSDS!V$8*$AG285+WeightSDS!W$8,WeightSDS!$U$9-WeightSDS!$V$9*($AG285-WeightSDS!$W$9)))</f>
        <v>0.75407122999999998</v>
      </c>
      <c r="AJ285" s="24">
        <f>IF(D285="M",IF($AG285&lt;45,WeightSDS!M$23*$AG285^10+WeightSDS!N$23*$AG285^9+WeightSDS!O$23*$AG285^8+WeightSDS!P$23*$AG285^7+WeightSDS!Q$23*$AG285^6+WeightSDS!R$23*$AG285^5+WeightSDS!S$23*$AG285^4+WeightSDS!T$23*$AG285^3+WeightSDS!U$23*$AG285^2+WeightSDS!V$23*$AG285+WeightSDS!W$23,IF($AG285&lt;153,WeightSDS!M$25*$AG285^10+WeightSDS!N$25*$AG285^9+WeightSDS!O$25*$AG285^8+WeightSDS!P$25*$AG285^7+WeightSDS!Q$25*$AG285^6+WeightSDS!R$25*$AG285^5+WeightSDS!S$25*$AG285^4+WeightSDS!T$25*$AG285^3+WeightSDS!U$25*$AG285^2+WeightSDS!V$25*$AG285+WeightSDS!W$25,WeightSDS!M$27+WeightSDS!N$27/(1+EXP(WeightSDS!O$27+WeightSDS!P$27*$AG285)))),IF($AG285&lt;43.8,WeightSDS!M$29*$AG285^10+WeightSDS!N$29*$AG285^9+WeightSDS!O$29*$AG285^8+WeightSDS!P$29*$AG285^7+WeightSDS!Q$29*$AG285^6+WeightSDS!R$29*$AG285^5+WeightSDS!S$29*$AG285^4+WeightSDS!T$29*$AG285^3+WeightSDS!U$29*$AG285^2+WeightSDS!V$29*$AG285+WeightSDS!W$29-0.010431*(1-$AG285/210),IF($AG285&lt;123,WeightSDS!M$30*$AG285^10+WeightSDS!N$30*$AG285^9+WeightSDS!O$30*$AG285^8+WeightSDS!P$30*$AG285^7+WeightSDS!Q$30*$AG285^6+WeightSDS!R$30*$AG285^5+WeightSDS!S$30*$AG285^4+WeightSDS!T$30*$AG285^3+WeightSDS!U$30*$AG285^2+WeightSDS!V$30*$AG285+WeightSDS!W$30-0.010431*(1-1/$AG285),WeightSDS!M$32+WeightSDS!N$32/(1+EXP(WeightSDS!O$32+WeightSDS!P$32*$AG285))-0.010431*(1-$AG285/210))))</f>
        <v>2.9500001032655536</v>
      </c>
      <c r="AK285" s="24">
        <f>IF(D285="M",IF($AG285&lt;162,WeightSDS!P$12*$AG285^7+WeightSDS!Q$12*$AG285^6+WeightSDS!R$12*$AG285^5+WeightSDS!S$12*$AG285^4+WeightSDS!T$12*$AG285^3+WeightSDS!U$12*$AG285^2+WeightSDS!V$12*$AG285+WeightSDS!W$12,WeightSDS!P$14*$AG285^7+WeightSDS!Q$14*$AG285^6+WeightSDS!R$14*$AG285^5+WeightSDS!S$14*$AG285^4+WeightSDS!T$14*$AG285^3+WeightSDS!U$14*$AG285^2+WeightSDS!V$14*$AG285+WeightSDS!W$14),IF($AG285&lt;156,WeightSDS!O$17*$AG285^8+WeightSDS!P$17*$AG285^7+WeightSDS!Q$17*$AG285^6+WeightSDS!R$17*$AG285^5+WeightSDS!S$17*$AG285^4+WeightSDS!T$17*$AG285^3+WeightSDS!U$17*$AG285^2+WeightSDS!V$17*$AG285+WeightSDS!W$17,IF($AG285&lt;186,WeightSDS!$U$18+(WeightSDS!$V$18-WeightSDS!$U$18)/24*($AG285-186)+WeightSDS!$W$18*(-$AG285+186)^2-0.005,WeightSDS!$U$18+(WeightSDS!$V$18-WeightSDS!$U$18)/24*($AG285-186)-0.005)))</f>
        <v>0.14604529399999999</v>
      </c>
    </row>
    <row r="286" spans="1:37">
      <c r="A286" s="4"/>
      <c r="B286" s="21"/>
      <c r="C286" s="21"/>
      <c r="D286" s="21"/>
      <c r="E286" s="22"/>
      <c r="F286" s="22"/>
      <c r="G286" s="23"/>
      <c r="H286" s="23"/>
      <c r="I286" s="8" t="str">
        <f t="shared" si="66"/>
        <v/>
      </c>
      <c r="J286" s="2" t="str">
        <f t="shared" si="73"/>
        <v/>
      </c>
      <c r="K286" s="2" t="str">
        <f t="shared" si="67"/>
        <v/>
      </c>
      <c r="L286" s="2" t="str">
        <f t="shared" si="74"/>
        <v/>
      </c>
      <c r="M286" s="2" t="str">
        <f t="shared" si="79"/>
        <v/>
      </c>
      <c r="N286" s="2" t="str">
        <f t="shared" si="75"/>
        <v/>
      </c>
      <c r="O286" s="8" t="str">
        <f t="shared" si="76"/>
        <v/>
      </c>
      <c r="P286" s="8" t="str">
        <f t="shared" si="77"/>
        <v/>
      </c>
      <c r="Q286" s="40" t="str">
        <f t="shared" si="68"/>
        <v/>
      </c>
      <c r="R286" s="48" t="str">
        <f t="shared" si="78"/>
        <v/>
      </c>
      <c r="S286" s="8"/>
      <c r="U286" s="35">
        <f t="shared" si="69"/>
        <v>0</v>
      </c>
      <c r="V286" s="24">
        <f t="shared" si="70"/>
        <v>0</v>
      </c>
      <c r="W286" s="41">
        <f t="shared" ref="W286:W349" si="81">DATEDIF(E286,F286,"Y")+(F286-(DATE(YEAR(E286)+DATEDIF(E286,F286,"Y"),MONTH(E286),DAY(E286))))/(365+IF(MOD(YEAR((DATE(YEAR(F286)-1,MONTH(E286),DAY(E286)))),4)=0,IF((DATE(YEAR(F286)-1,MONTH(E286),DAY(E286)))&gt;DATE(YEAR((DATE(YEAR(F286)-1,MONTH(E286),DAY(E286)))),2,29),0,1),0)+IF(MOD(YEAR(F286),4)=0,IF(F286&gt;DATE(YEAR(F286),2,29),1,0),0))</f>
        <v>0</v>
      </c>
      <c r="X286" s="31"/>
      <c r="Y286" s="31"/>
      <c r="Z286" s="31"/>
      <c r="AA286" s="25">
        <f t="shared" si="71"/>
        <v>9.0359999999999996</v>
      </c>
      <c r="AB286" s="25">
        <f t="shared" si="72"/>
        <v>-184.49199999999999</v>
      </c>
      <c r="AD286" s="24">
        <f>IF(D286="M",IF(AG286&lt;78,BMILMS!$D$5*AG286^3+BMILMS!$E$5*AG286^2+BMILMS!$F$5*AG286+BMILMS!$G$5,IF(AG286&lt;150,BMILMS!$D$6*AG286^3+BMILMS!$E$6*AG286^2+BMILMS!$F$6*AG286+BMILMS!$G$6,BMILMS!$D$7*AG286^3+BMILMS!$E$7*AG286^2+BMILMS!$F$7*AG286+BMILMS!$G$7)),IF(AG286&lt;69,BMILMS!$D$9*AG286^3+BMILMS!$E$9*AG286^2+BMILMS!$F$9*AG286+BMILMS!$G$9,IF(AG286&lt;150,BMILMS!$D$10*AG286^3+BMILMS!$E$10*AG286^2+BMILMS!$F$10*AG286+BMILMS!$G$10,BMILMS!$D$11*AG286^3+BMILMS!$E$11*AG286^2+BMILMS!$F$11*AG286+BMILMS!$G$11)))</f>
        <v>0.79584630099999998</v>
      </c>
      <c r="AE286" s="24">
        <f>IF(D286="M",(IF(AG286&lt;2.5,BMILMS!$D$21*AG286^3+BMILMS!$E$21*AG286^2+BMILMS!$F$21*AG286+BMILMS!$G$21,IF(AG286&lt;9.5,BMILMS!$D$22*AG286^3+BMILMS!$E$22*AG286^2+BMILMS!$F$22*AG286+BMILMS!$G$22,IF(AG286&lt;26.75,BMILMS!$D$23*AG286^3+BMILMS!$E$23*AG286^2+BMILMS!$F$23*AG286+BMILMS!$G$23,IF(AG286&lt;90,BMILMS!$D$24*AG286^3+BMILMS!$E$24*AG286^2+BMILMS!$F$24*AG286+BMILMS!$G$24,BMILMS!$D$25*AG286^3+BMILMS!$E$25*AG286^2+BMILMS!$F$25*AG286+BMILMS!$G$25))))),(IF(AG286&lt;2.5,BMILMS!$D$27*AG286^3+BMILMS!$E$27*AG286^2+BMILMS!$F$27*AG286+BMILMS!$G$27,IF(AG286&lt;9.5,BMILMS!$D$28*AG286^3+BMILMS!$E$28*AG286^2+BMILMS!$F$28*AG286+BMILMS!$G$28,IF(AG286&lt;26.75,BMILMS!$D$29*AG286^3+BMILMS!$E$29*AG286^2+BMILMS!$F$29*AG286+BMILMS!$G$29,IF(AG286&lt;90,BMILMS!$D$30*AG286^3+BMILMS!$E$30*AG286^2+BMILMS!$F$30*AG286+BMILMS!$G$30,IF(AG286&lt;150,BMILMS!$D$31*AG286^3+BMILMS!$E$31*AG286^2+BMILMS!$F$31*AG286+BMILMS!$G$31,BMILMS!$D$32*AG286^3+BMILMS!$E$32*AG286^2+BMILMS!$F$32*AG286+BMILMS!$G$32)))))))</f>
        <v>12.568967990000001</v>
      </c>
      <c r="AF286" s="24">
        <f>IF(D286="M",(IF(AG286&lt;90,BMILMS!$D$14*AG286^3+BMILMS!$E$14*AG286^2+BMILMS!$F$14*AG286+BMILMS!$G$14,BMILMS!$D$15*AG286^3+BMILMS!$E$15*AG286^2+BMILMS!$F$15*AG286+BMILMS!$G$15)),(IF(AG286&lt;90,BMILMS!$D$17*AG286^3+BMILMS!$E$17*AG286^2+BMILMS!$F$17*AG286+BMILMS!$G$17,BMILMS!$D$18*AG286^3+BMILMS!$E$18*AG286^2+BMILMS!$F$18*AG286+BMILMS!$G$18)))</f>
        <v>8.8969350000000003E-2</v>
      </c>
      <c r="AG286" s="24">
        <f t="shared" si="80"/>
        <v>0</v>
      </c>
      <c r="AI286" s="38">
        <f>IF(D286="M",WeightSDS!P$5*$AG286^7+WeightSDS!Q$5*$AG286^6+WeightSDS!R$5*$AG286^5+WeightSDS!S$5*$AG286^4+WeightSDS!T$5*$AG286^3+WeightSDS!U$5*$AG286^2+WeightSDS!V$5*$AG286+WeightSDS!W$5,IF($AG286&lt;186,WeightSDS!P$8*$AG286^7+WeightSDS!Q$8*$AG286^6+WeightSDS!R$8*$AG286^5+WeightSDS!S$8*$AG286^4+WeightSDS!T$8*$AG286^3+WeightSDS!U$8*$AG286^2+WeightSDS!V$8*$AG286+WeightSDS!W$8,WeightSDS!$U$9-WeightSDS!$V$9*($AG286-WeightSDS!$W$9)))</f>
        <v>0.75407122999999998</v>
      </c>
      <c r="AJ286" s="24">
        <f>IF(D286="M",IF($AG286&lt;45,WeightSDS!M$23*$AG286^10+WeightSDS!N$23*$AG286^9+WeightSDS!O$23*$AG286^8+WeightSDS!P$23*$AG286^7+WeightSDS!Q$23*$AG286^6+WeightSDS!R$23*$AG286^5+WeightSDS!S$23*$AG286^4+WeightSDS!T$23*$AG286^3+WeightSDS!U$23*$AG286^2+WeightSDS!V$23*$AG286+WeightSDS!W$23,IF($AG286&lt;153,WeightSDS!M$25*$AG286^10+WeightSDS!N$25*$AG286^9+WeightSDS!O$25*$AG286^8+WeightSDS!P$25*$AG286^7+WeightSDS!Q$25*$AG286^6+WeightSDS!R$25*$AG286^5+WeightSDS!S$25*$AG286^4+WeightSDS!T$25*$AG286^3+WeightSDS!U$25*$AG286^2+WeightSDS!V$25*$AG286+WeightSDS!W$25,WeightSDS!M$27+WeightSDS!N$27/(1+EXP(WeightSDS!O$27+WeightSDS!P$27*$AG286)))),IF($AG286&lt;43.8,WeightSDS!M$29*$AG286^10+WeightSDS!N$29*$AG286^9+WeightSDS!O$29*$AG286^8+WeightSDS!P$29*$AG286^7+WeightSDS!Q$29*$AG286^6+WeightSDS!R$29*$AG286^5+WeightSDS!S$29*$AG286^4+WeightSDS!T$29*$AG286^3+WeightSDS!U$29*$AG286^2+WeightSDS!V$29*$AG286+WeightSDS!W$29-0.010431*(1-$AG286/210),IF($AG286&lt;123,WeightSDS!M$30*$AG286^10+WeightSDS!N$30*$AG286^9+WeightSDS!O$30*$AG286^8+WeightSDS!P$30*$AG286^7+WeightSDS!Q$30*$AG286^6+WeightSDS!R$30*$AG286^5+WeightSDS!S$30*$AG286^4+WeightSDS!T$30*$AG286^3+WeightSDS!U$30*$AG286^2+WeightSDS!V$30*$AG286+WeightSDS!W$30-0.010431*(1-1/$AG286),WeightSDS!M$32+WeightSDS!N$32/(1+EXP(WeightSDS!O$32+WeightSDS!P$32*$AG286))-0.010431*(1-$AG286/210))))</f>
        <v>2.9500001032655536</v>
      </c>
      <c r="AK286" s="24">
        <f>IF(D286="M",IF($AG286&lt;162,WeightSDS!P$12*$AG286^7+WeightSDS!Q$12*$AG286^6+WeightSDS!R$12*$AG286^5+WeightSDS!S$12*$AG286^4+WeightSDS!T$12*$AG286^3+WeightSDS!U$12*$AG286^2+WeightSDS!V$12*$AG286+WeightSDS!W$12,WeightSDS!P$14*$AG286^7+WeightSDS!Q$14*$AG286^6+WeightSDS!R$14*$AG286^5+WeightSDS!S$14*$AG286^4+WeightSDS!T$14*$AG286^3+WeightSDS!U$14*$AG286^2+WeightSDS!V$14*$AG286+WeightSDS!W$14),IF($AG286&lt;156,WeightSDS!O$17*$AG286^8+WeightSDS!P$17*$AG286^7+WeightSDS!Q$17*$AG286^6+WeightSDS!R$17*$AG286^5+WeightSDS!S$17*$AG286^4+WeightSDS!T$17*$AG286^3+WeightSDS!U$17*$AG286^2+WeightSDS!V$17*$AG286+WeightSDS!W$17,IF($AG286&lt;186,WeightSDS!$U$18+(WeightSDS!$V$18-WeightSDS!$U$18)/24*($AG286-186)+WeightSDS!$W$18*(-$AG286+186)^2-0.005,WeightSDS!$U$18+(WeightSDS!$V$18-WeightSDS!$U$18)/24*($AG286-186)-0.005)))</f>
        <v>0.14604529399999999</v>
      </c>
    </row>
    <row r="287" spans="1:37">
      <c r="A287" s="4"/>
      <c r="B287" s="21"/>
      <c r="C287" s="21"/>
      <c r="D287" s="21"/>
      <c r="E287" s="22"/>
      <c r="F287" s="22"/>
      <c r="G287" s="23"/>
      <c r="H287" s="23"/>
      <c r="I287" s="8" t="str">
        <f t="shared" si="66"/>
        <v/>
      </c>
      <c r="J287" s="2" t="str">
        <f t="shared" si="73"/>
        <v/>
      </c>
      <c r="K287" s="2" t="str">
        <f t="shared" si="67"/>
        <v/>
      </c>
      <c r="L287" s="2" t="str">
        <f t="shared" si="74"/>
        <v/>
      </c>
      <c r="M287" s="2" t="str">
        <f t="shared" si="79"/>
        <v/>
      </c>
      <c r="N287" s="2" t="str">
        <f t="shared" si="75"/>
        <v/>
      </c>
      <c r="O287" s="8" t="str">
        <f t="shared" si="76"/>
        <v/>
      </c>
      <c r="P287" s="8" t="str">
        <f t="shared" si="77"/>
        <v/>
      </c>
      <c r="Q287" s="40" t="str">
        <f t="shared" si="68"/>
        <v/>
      </c>
      <c r="R287" s="48" t="str">
        <f t="shared" si="78"/>
        <v/>
      </c>
      <c r="S287" s="8"/>
      <c r="U287" s="35">
        <f t="shared" si="69"/>
        <v>0</v>
      </c>
      <c r="V287" s="24">
        <f t="shared" si="70"/>
        <v>0</v>
      </c>
      <c r="W287" s="41">
        <f t="shared" si="81"/>
        <v>0</v>
      </c>
      <c r="X287" s="31"/>
      <c r="Y287" s="31"/>
      <c r="Z287" s="31"/>
      <c r="AA287" s="25">
        <f t="shared" si="71"/>
        <v>9.0359999999999996</v>
      </c>
      <c r="AB287" s="25">
        <f t="shared" si="72"/>
        <v>-184.49199999999999</v>
      </c>
      <c r="AD287" s="24">
        <f>IF(D287="M",IF(AG287&lt;78,BMILMS!$D$5*AG287^3+BMILMS!$E$5*AG287^2+BMILMS!$F$5*AG287+BMILMS!$G$5,IF(AG287&lt;150,BMILMS!$D$6*AG287^3+BMILMS!$E$6*AG287^2+BMILMS!$F$6*AG287+BMILMS!$G$6,BMILMS!$D$7*AG287^3+BMILMS!$E$7*AG287^2+BMILMS!$F$7*AG287+BMILMS!$G$7)),IF(AG287&lt;69,BMILMS!$D$9*AG287^3+BMILMS!$E$9*AG287^2+BMILMS!$F$9*AG287+BMILMS!$G$9,IF(AG287&lt;150,BMILMS!$D$10*AG287^3+BMILMS!$E$10*AG287^2+BMILMS!$F$10*AG287+BMILMS!$G$10,BMILMS!$D$11*AG287^3+BMILMS!$E$11*AG287^2+BMILMS!$F$11*AG287+BMILMS!$G$11)))</f>
        <v>0.79584630099999998</v>
      </c>
      <c r="AE287" s="24">
        <f>IF(D287="M",(IF(AG287&lt;2.5,BMILMS!$D$21*AG287^3+BMILMS!$E$21*AG287^2+BMILMS!$F$21*AG287+BMILMS!$G$21,IF(AG287&lt;9.5,BMILMS!$D$22*AG287^3+BMILMS!$E$22*AG287^2+BMILMS!$F$22*AG287+BMILMS!$G$22,IF(AG287&lt;26.75,BMILMS!$D$23*AG287^3+BMILMS!$E$23*AG287^2+BMILMS!$F$23*AG287+BMILMS!$G$23,IF(AG287&lt;90,BMILMS!$D$24*AG287^3+BMILMS!$E$24*AG287^2+BMILMS!$F$24*AG287+BMILMS!$G$24,BMILMS!$D$25*AG287^3+BMILMS!$E$25*AG287^2+BMILMS!$F$25*AG287+BMILMS!$G$25))))),(IF(AG287&lt;2.5,BMILMS!$D$27*AG287^3+BMILMS!$E$27*AG287^2+BMILMS!$F$27*AG287+BMILMS!$G$27,IF(AG287&lt;9.5,BMILMS!$D$28*AG287^3+BMILMS!$E$28*AG287^2+BMILMS!$F$28*AG287+BMILMS!$G$28,IF(AG287&lt;26.75,BMILMS!$D$29*AG287^3+BMILMS!$E$29*AG287^2+BMILMS!$F$29*AG287+BMILMS!$G$29,IF(AG287&lt;90,BMILMS!$D$30*AG287^3+BMILMS!$E$30*AG287^2+BMILMS!$F$30*AG287+BMILMS!$G$30,IF(AG287&lt;150,BMILMS!$D$31*AG287^3+BMILMS!$E$31*AG287^2+BMILMS!$F$31*AG287+BMILMS!$G$31,BMILMS!$D$32*AG287^3+BMILMS!$E$32*AG287^2+BMILMS!$F$32*AG287+BMILMS!$G$32)))))))</f>
        <v>12.568967990000001</v>
      </c>
      <c r="AF287" s="24">
        <f>IF(D287="M",(IF(AG287&lt;90,BMILMS!$D$14*AG287^3+BMILMS!$E$14*AG287^2+BMILMS!$F$14*AG287+BMILMS!$G$14,BMILMS!$D$15*AG287^3+BMILMS!$E$15*AG287^2+BMILMS!$F$15*AG287+BMILMS!$G$15)),(IF(AG287&lt;90,BMILMS!$D$17*AG287^3+BMILMS!$E$17*AG287^2+BMILMS!$F$17*AG287+BMILMS!$G$17,BMILMS!$D$18*AG287^3+BMILMS!$E$18*AG287^2+BMILMS!$F$18*AG287+BMILMS!$G$18)))</f>
        <v>8.8969350000000003E-2</v>
      </c>
      <c r="AG287" s="24">
        <f t="shared" si="80"/>
        <v>0</v>
      </c>
      <c r="AI287" s="38">
        <f>IF(D287="M",WeightSDS!P$5*$AG287^7+WeightSDS!Q$5*$AG287^6+WeightSDS!R$5*$AG287^5+WeightSDS!S$5*$AG287^4+WeightSDS!T$5*$AG287^3+WeightSDS!U$5*$AG287^2+WeightSDS!V$5*$AG287+WeightSDS!W$5,IF($AG287&lt;186,WeightSDS!P$8*$AG287^7+WeightSDS!Q$8*$AG287^6+WeightSDS!R$8*$AG287^5+WeightSDS!S$8*$AG287^4+WeightSDS!T$8*$AG287^3+WeightSDS!U$8*$AG287^2+WeightSDS!V$8*$AG287+WeightSDS!W$8,WeightSDS!$U$9-WeightSDS!$V$9*($AG287-WeightSDS!$W$9)))</f>
        <v>0.75407122999999998</v>
      </c>
      <c r="AJ287" s="24">
        <f>IF(D287="M",IF($AG287&lt;45,WeightSDS!M$23*$AG287^10+WeightSDS!N$23*$AG287^9+WeightSDS!O$23*$AG287^8+WeightSDS!P$23*$AG287^7+WeightSDS!Q$23*$AG287^6+WeightSDS!R$23*$AG287^5+WeightSDS!S$23*$AG287^4+WeightSDS!T$23*$AG287^3+WeightSDS!U$23*$AG287^2+WeightSDS!V$23*$AG287+WeightSDS!W$23,IF($AG287&lt;153,WeightSDS!M$25*$AG287^10+WeightSDS!N$25*$AG287^9+WeightSDS!O$25*$AG287^8+WeightSDS!P$25*$AG287^7+WeightSDS!Q$25*$AG287^6+WeightSDS!R$25*$AG287^5+WeightSDS!S$25*$AG287^4+WeightSDS!T$25*$AG287^3+WeightSDS!U$25*$AG287^2+WeightSDS!V$25*$AG287+WeightSDS!W$25,WeightSDS!M$27+WeightSDS!N$27/(1+EXP(WeightSDS!O$27+WeightSDS!P$27*$AG287)))),IF($AG287&lt;43.8,WeightSDS!M$29*$AG287^10+WeightSDS!N$29*$AG287^9+WeightSDS!O$29*$AG287^8+WeightSDS!P$29*$AG287^7+WeightSDS!Q$29*$AG287^6+WeightSDS!R$29*$AG287^5+WeightSDS!S$29*$AG287^4+WeightSDS!T$29*$AG287^3+WeightSDS!U$29*$AG287^2+WeightSDS!V$29*$AG287+WeightSDS!W$29-0.010431*(1-$AG287/210),IF($AG287&lt;123,WeightSDS!M$30*$AG287^10+WeightSDS!N$30*$AG287^9+WeightSDS!O$30*$AG287^8+WeightSDS!P$30*$AG287^7+WeightSDS!Q$30*$AG287^6+WeightSDS!R$30*$AG287^5+WeightSDS!S$30*$AG287^4+WeightSDS!T$30*$AG287^3+WeightSDS!U$30*$AG287^2+WeightSDS!V$30*$AG287+WeightSDS!W$30-0.010431*(1-1/$AG287),WeightSDS!M$32+WeightSDS!N$32/(1+EXP(WeightSDS!O$32+WeightSDS!P$32*$AG287))-0.010431*(1-$AG287/210))))</f>
        <v>2.9500001032655536</v>
      </c>
      <c r="AK287" s="24">
        <f>IF(D287="M",IF($AG287&lt;162,WeightSDS!P$12*$AG287^7+WeightSDS!Q$12*$AG287^6+WeightSDS!R$12*$AG287^5+WeightSDS!S$12*$AG287^4+WeightSDS!T$12*$AG287^3+WeightSDS!U$12*$AG287^2+WeightSDS!V$12*$AG287+WeightSDS!W$12,WeightSDS!P$14*$AG287^7+WeightSDS!Q$14*$AG287^6+WeightSDS!R$14*$AG287^5+WeightSDS!S$14*$AG287^4+WeightSDS!T$14*$AG287^3+WeightSDS!U$14*$AG287^2+WeightSDS!V$14*$AG287+WeightSDS!W$14),IF($AG287&lt;156,WeightSDS!O$17*$AG287^8+WeightSDS!P$17*$AG287^7+WeightSDS!Q$17*$AG287^6+WeightSDS!R$17*$AG287^5+WeightSDS!S$17*$AG287^4+WeightSDS!T$17*$AG287^3+WeightSDS!U$17*$AG287^2+WeightSDS!V$17*$AG287+WeightSDS!W$17,IF($AG287&lt;186,WeightSDS!$U$18+(WeightSDS!$V$18-WeightSDS!$U$18)/24*($AG287-186)+WeightSDS!$W$18*(-$AG287+186)^2-0.005,WeightSDS!$U$18+(WeightSDS!$V$18-WeightSDS!$U$18)/24*($AG287-186)-0.005)))</f>
        <v>0.14604529399999999</v>
      </c>
    </row>
    <row r="288" spans="1:37">
      <c r="A288" s="4"/>
      <c r="B288" s="21"/>
      <c r="C288" s="21"/>
      <c r="D288" s="21"/>
      <c r="E288" s="22"/>
      <c r="F288" s="22"/>
      <c r="G288" s="23"/>
      <c r="H288" s="23"/>
      <c r="I288" s="8" t="str">
        <f t="shared" si="66"/>
        <v/>
      </c>
      <c r="J288" s="2" t="str">
        <f t="shared" si="73"/>
        <v/>
      </c>
      <c r="K288" s="2" t="str">
        <f t="shared" si="67"/>
        <v/>
      </c>
      <c r="L288" s="2" t="str">
        <f t="shared" si="74"/>
        <v/>
      </c>
      <c r="M288" s="2" t="str">
        <f t="shared" si="79"/>
        <v/>
      </c>
      <c r="N288" s="2" t="str">
        <f t="shared" si="75"/>
        <v/>
      </c>
      <c r="O288" s="8" t="str">
        <f t="shared" si="76"/>
        <v/>
      </c>
      <c r="P288" s="8" t="str">
        <f t="shared" si="77"/>
        <v/>
      </c>
      <c r="Q288" s="40" t="str">
        <f t="shared" si="68"/>
        <v/>
      </c>
      <c r="R288" s="48" t="str">
        <f t="shared" si="78"/>
        <v/>
      </c>
      <c r="S288" s="8"/>
      <c r="U288" s="35">
        <f t="shared" si="69"/>
        <v>0</v>
      </c>
      <c r="V288" s="24">
        <f t="shared" si="70"/>
        <v>0</v>
      </c>
      <c r="W288" s="41">
        <f t="shared" si="81"/>
        <v>0</v>
      </c>
      <c r="X288" s="31"/>
      <c r="Y288" s="31"/>
      <c r="Z288" s="31"/>
      <c r="AA288" s="25">
        <f t="shared" si="71"/>
        <v>9.0359999999999996</v>
      </c>
      <c r="AB288" s="25">
        <f t="shared" si="72"/>
        <v>-184.49199999999999</v>
      </c>
      <c r="AD288" s="24">
        <f>IF(D288="M",IF(AG288&lt;78,BMILMS!$D$5*AG288^3+BMILMS!$E$5*AG288^2+BMILMS!$F$5*AG288+BMILMS!$G$5,IF(AG288&lt;150,BMILMS!$D$6*AG288^3+BMILMS!$E$6*AG288^2+BMILMS!$F$6*AG288+BMILMS!$G$6,BMILMS!$D$7*AG288^3+BMILMS!$E$7*AG288^2+BMILMS!$F$7*AG288+BMILMS!$G$7)),IF(AG288&lt;69,BMILMS!$D$9*AG288^3+BMILMS!$E$9*AG288^2+BMILMS!$F$9*AG288+BMILMS!$G$9,IF(AG288&lt;150,BMILMS!$D$10*AG288^3+BMILMS!$E$10*AG288^2+BMILMS!$F$10*AG288+BMILMS!$G$10,BMILMS!$D$11*AG288^3+BMILMS!$E$11*AG288^2+BMILMS!$F$11*AG288+BMILMS!$G$11)))</f>
        <v>0.79584630099999998</v>
      </c>
      <c r="AE288" s="24">
        <f>IF(D288="M",(IF(AG288&lt;2.5,BMILMS!$D$21*AG288^3+BMILMS!$E$21*AG288^2+BMILMS!$F$21*AG288+BMILMS!$G$21,IF(AG288&lt;9.5,BMILMS!$D$22*AG288^3+BMILMS!$E$22*AG288^2+BMILMS!$F$22*AG288+BMILMS!$G$22,IF(AG288&lt;26.75,BMILMS!$D$23*AG288^3+BMILMS!$E$23*AG288^2+BMILMS!$F$23*AG288+BMILMS!$G$23,IF(AG288&lt;90,BMILMS!$D$24*AG288^3+BMILMS!$E$24*AG288^2+BMILMS!$F$24*AG288+BMILMS!$G$24,BMILMS!$D$25*AG288^3+BMILMS!$E$25*AG288^2+BMILMS!$F$25*AG288+BMILMS!$G$25))))),(IF(AG288&lt;2.5,BMILMS!$D$27*AG288^3+BMILMS!$E$27*AG288^2+BMILMS!$F$27*AG288+BMILMS!$G$27,IF(AG288&lt;9.5,BMILMS!$D$28*AG288^3+BMILMS!$E$28*AG288^2+BMILMS!$F$28*AG288+BMILMS!$G$28,IF(AG288&lt;26.75,BMILMS!$D$29*AG288^3+BMILMS!$E$29*AG288^2+BMILMS!$F$29*AG288+BMILMS!$G$29,IF(AG288&lt;90,BMILMS!$D$30*AG288^3+BMILMS!$E$30*AG288^2+BMILMS!$F$30*AG288+BMILMS!$G$30,IF(AG288&lt;150,BMILMS!$D$31*AG288^3+BMILMS!$E$31*AG288^2+BMILMS!$F$31*AG288+BMILMS!$G$31,BMILMS!$D$32*AG288^3+BMILMS!$E$32*AG288^2+BMILMS!$F$32*AG288+BMILMS!$G$32)))))))</f>
        <v>12.568967990000001</v>
      </c>
      <c r="AF288" s="24">
        <f>IF(D288="M",(IF(AG288&lt;90,BMILMS!$D$14*AG288^3+BMILMS!$E$14*AG288^2+BMILMS!$F$14*AG288+BMILMS!$G$14,BMILMS!$D$15*AG288^3+BMILMS!$E$15*AG288^2+BMILMS!$F$15*AG288+BMILMS!$G$15)),(IF(AG288&lt;90,BMILMS!$D$17*AG288^3+BMILMS!$E$17*AG288^2+BMILMS!$F$17*AG288+BMILMS!$G$17,BMILMS!$D$18*AG288^3+BMILMS!$E$18*AG288^2+BMILMS!$F$18*AG288+BMILMS!$G$18)))</f>
        <v>8.8969350000000003E-2</v>
      </c>
      <c r="AG288" s="24">
        <f t="shared" si="80"/>
        <v>0</v>
      </c>
      <c r="AI288" s="38">
        <f>IF(D288="M",WeightSDS!P$5*$AG288^7+WeightSDS!Q$5*$AG288^6+WeightSDS!R$5*$AG288^5+WeightSDS!S$5*$AG288^4+WeightSDS!T$5*$AG288^3+WeightSDS!U$5*$AG288^2+WeightSDS!V$5*$AG288+WeightSDS!W$5,IF($AG288&lt;186,WeightSDS!P$8*$AG288^7+WeightSDS!Q$8*$AG288^6+WeightSDS!R$8*$AG288^5+WeightSDS!S$8*$AG288^4+WeightSDS!T$8*$AG288^3+WeightSDS!U$8*$AG288^2+WeightSDS!V$8*$AG288+WeightSDS!W$8,WeightSDS!$U$9-WeightSDS!$V$9*($AG288-WeightSDS!$W$9)))</f>
        <v>0.75407122999999998</v>
      </c>
      <c r="AJ288" s="24">
        <f>IF(D288="M",IF($AG288&lt;45,WeightSDS!M$23*$AG288^10+WeightSDS!N$23*$AG288^9+WeightSDS!O$23*$AG288^8+WeightSDS!P$23*$AG288^7+WeightSDS!Q$23*$AG288^6+WeightSDS!R$23*$AG288^5+WeightSDS!S$23*$AG288^4+WeightSDS!T$23*$AG288^3+WeightSDS!U$23*$AG288^2+WeightSDS!V$23*$AG288+WeightSDS!W$23,IF($AG288&lt;153,WeightSDS!M$25*$AG288^10+WeightSDS!N$25*$AG288^9+WeightSDS!O$25*$AG288^8+WeightSDS!P$25*$AG288^7+WeightSDS!Q$25*$AG288^6+WeightSDS!R$25*$AG288^5+WeightSDS!S$25*$AG288^4+WeightSDS!T$25*$AG288^3+WeightSDS!U$25*$AG288^2+WeightSDS!V$25*$AG288+WeightSDS!W$25,WeightSDS!M$27+WeightSDS!N$27/(1+EXP(WeightSDS!O$27+WeightSDS!P$27*$AG288)))),IF($AG288&lt;43.8,WeightSDS!M$29*$AG288^10+WeightSDS!N$29*$AG288^9+WeightSDS!O$29*$AG288^8+WeightSDS!P$29*$AG288^7+WeightSDS!Q$29*$AG288^6+WeightSDS!R$29*$AG288^5+WeightSDS!S$29*$AG288^4+WeightSDS!T$29*$AG288^3+WeightSDS!U$29*$AG288^2+WeightSDS!V$29*$AG288+WeightSDS!W$29-0.010431*(1-$AG288/210),IF($AG288&lt;123,WeightSDS!M$30*$AG288^10+WeightSDS!N$30*$AG288^9+WeightSDS!O$30*$AG288^8+WeightSDS!P$30*$AG288^7+WeightSDS!Q$30*$AG288^6+WeightSDS!R$30*$AG288^5+WeightSDS!S$30*$AG288^4+WeightSDS!T$30*$AG288^3+WeightSDS!U$30*$AG288^2+WeightSDS!V$30*$AG288+WeightSDS!W$30-0.010431*(1-1/$AG288),WeightSDS!M$32+WeightSDS!N$32/(1+EXP(WeightSDS!O$32+WeightSDS!P$32*$AG288))-0.010431*(1-$AG288/210))))</f>
        <v>2.9500001032655536</v>
      </c>
      <c r="AK288" s="24">
        <f>IF(D288="M",IF($AG288&lt;162,WeightSDS!P$12*$AG288^7+WeightSDS!Q$12*$AG288^6+WeightSDS!R$12*$AG288^5+WeightSDS!S$12*$AG288^4+WeightSDS!T$12*$AG288^3+WeightSDS!U$12*$AG288^2+WeightSDS!V$12*$AG288+WeightSDS!W$12,WeightSDS!P$14*$AG288^7+WeightSDS!Q$14*$AG288^6+WeightSDS!R$14*$AG288^5+WeightSDS!S$14*$AG288^4+WeightSDS!T$14*$AG288^3+WeightSDS!U$14*$AG288^2+WeightSDS!V$14*$AG288+WeightSDS!W$14),IF($AG288&lt;156,WeightSDS!O$17*$AG288^8+WeightSDS!P$17*$AG288^7+WeightSDS!Q$17*$AG288^6+WeightSDS!R$17*$AG288^5+WeightSDS!S$17*$AG288^4+WeightSDS!T$17*$AG288^3+WeightSDS!U$17*$AG288^2+WeightSDS!V$17*$AG288+WeightSDS!W$17,IF($AG288&lt;186,WeightSDS!$U$18+(WeightSDS!$V$18-WeightSDS!$U$18)/24*($AG288-186)+WeightSDS!$W$18*(-$AG288+186)^2-0.005,WeightSDS!$U$18+(WeightSDS!$V$18-WeightSDS!$U$18)/24*($AG288-186)-0.005)))</f>
        <v>0.14604529399999999</v>
      </c>
    </row>
    <row r="289" spans="1:37">
      <c r="A289" s="4"/>
      <c r="B289" s="21"/>
      <c r="C289" s="21"/>
      <c r="D289" s="21"/>
      <c r="E289" s="22"/>
      <c r="F289" s="22"/>
      <c r="G289" s="23"/>
      <c r="H289" s="23"/>
      <c r="I289" s="8" t="str">
        <f t="shared" si="66"/>
        <v/>
      </c>
      <c r="J289" s="2" t="str">
        <f t="shared" si="73"/>
        <v/>
      </c>
      <c r="K289" s="2" t="str">
        <f t="shared" si="67"/>
        <v/>
      </c>
      <c r="L289" s="2" t="str">
        <f t="shared" si="74"/>
        <v/>
      </c>
      <c r="M289" s="2" t="str">
        <f t="shared" si="79"/>
        <v/>
      </c>
      <c r="N289" s="2" t="str">
        <f t="shared" si="75"/>
        <v/>
      </c>
      <c r="O289" s="8" t="str">
        <f t="shared" si="76"/>
        <v/>
      </c>
      <c r="P289" s="8" t="str">
        <f t="shared" si="77"/>
        <v/>
      </c>
      <c r="Q289" s="40" t="str">
        <f t="shared" si="68"/>
        <v/>
      </c>
      <c r="R289" s="48" t="str">
        <f t="shared" si="78"/>
        <v/>
      </c>
      <c r="S289" s="8"/>
      <c r="U289" s="35">
        <f t="shared" si="69"/>
        <v>0</v>
      </c>
      <c r="V289" s="24">
        <f t="shared" si="70"/>
        <v>0</v>
      </c>
      <c r="W289" s="41">
        <f t="shared" si="81"/>
        <v>0</v>
      </c>
      <c r="X289" s="31"/>
      <c r="Y289" s="31"/>
      <c r="Z289" s="31"/>
      <c r="AA289" s="25">
        <f t="shared" si="71"/>
        <v>9.0359999999999996</v>
      </c>
      <c r="AB289" s="25">
        <f t="shared" si="72"/>
        <v>-184.49199999999999</v>
      </c>
      <c r="AD289" s="24">
        <f>IF(D289="M",IF(AG289&lt;78,BMILMS!$D$5*AG289^3+BMILMS!$E$5*AG289^2+BMILMS!$F$5*AG289+BMILMS!$G$5,IF(AG289&lt;150,BMILMS!$D$6*AG289^3+BMILMS!$E$6*AG289^2+BMILMS!$F$6*AG289+BMILMS!$G$6,BMILMS!$D$7*AG289^3+BMILMS!$E$7*AG289^2+BMILMS!$F$7*AG289+BMILMS!$G$7)),IF(AG289&lt;69,BMILMS!$D$9*AG289^3+BMILMS!$E$9*AG289^2+BMILMS!$F$9*AG289+BMILMS!$G$9,IF(AG289&lt;150,BMILMS!$D$10*AG289^3+BMILMS!$E$10*AG289^2+BMILMS!$F$10*AG289+BMILMS!$G$10,BMILMS!$D$11*AG289^3+BMILMS!$E$11*AG289^2+BMILMS!$F$11*AG289+BMILMS!$G$11)))</f>
        <v>0.79584630099999998</v>
      </c>
      <c r="AE289" s="24">
        <f>IF(D289="M",(IF(AG289&lt;2.5,BMILMS!$D$21*AG289^3+BMILMS!$E$21*AG289^2+BMILMS!$F$21*AG289+BMILMS!$G$21,IF(AG289&lt;9.5,BMILMS!$D$22*AG289^3+BMILMS!$E$22*AG289^2+BMILMS!$F$22*AG289+BMILMS!$G$22,IF(AG289&lt;26.75,BMILMS!$D$23*AG289^3+BMILMS!$E$23*AG289^2+BMILMS!$F$23*AG289+BMILMS!$G$23,IF(AG289&lt;90,BMILMS!$D$24*AG289^3+BMILMS!$E$24*AG289^2+BMILMS!$F$24*AG289+BMILMS!$G$24,BMILMS!$D$25*AG289^3+BMILMS!$E$25*AG289^2+BMILMS!$F$25*AG289+BMILMS!$G$25))))),(IF(AG289&lt;2.5,BMILMS!$D$27*AG289^3+BMILMS!$E$27*AG289^2+BMILMS!$F$27*AG289+BMILMS!$G$27,IF(AG289&lt;9.5,BMILMS!$D$28*AG289^3+BMILMS!$E$28*AG289^2+BMILMS!$F$28*AG289+BMILMS!$G$28,IF(AG289&lt;26.75,BMILMS!$D$29*AG289^3+BMILMS!$E$29*AG289^2+BMILMS!$F$29*AG289+BMILMS!$G$29,IF(AG289&lt;90,BMILMS!$D$30*AG289^3+BMILMS!$E$30*AG289^2+BMILMS!$F$30*AG289+BMILMS!$G$30,IF(AG289&lt;150,BMILMS!$D$31*AG289^3+BMILMS!$E$31*AG289^2+BMILMS!$F$31*AG289+BMILMS!$G$31,BMILMS!$D$32*AG289^3+BMILMS!$E$32*AG289^2+BMILMS!$F$32*AG289+BMILMS!$G$32)))))))</f>
        <v>12.568967990000001</v>
      </c>
      <c r="AF289" s="24">
        <f>IF(D289="M",(IF(AG289&lt;90,BMILMS!$D$14*AG289^3+BMILMS!$E$14*AG289^2+BMILMS!$F$14*AG289+BMILMS!$G$14,BMILMS!$D$15*AG289^3+BMILMS!$E$15*AG289^2+BMILMS!$F$15*AG289+BMILMS!$G$15)),(IF(AG289&lt;90,BMILMS!$D$17*AG289^3+BMILMS!$E$17*AG289^2+BMILMS!$F$17*AG289+BMILMS!$G$17,BMILMS!$D$18*AG289^3+BMILMS!$E$18*AG289^2+BMILMS!$F$18*AG289+BMILMS!$G$18)))</f>
        <v>8.8969350000000003E-2</v>
      </c>
      <c r="AG289" s="24">
        <f t="shared" si="80"/>
        <v>0</v>
      </c>
      <c r="AI289" s="38">
        <f>IF(D289="M",WeightSDS!P$5*$AG289^7+WeightSDS!Q$5*$AG289^6+WeightSDS!R$5*$AG289^5+WeightSDS!S$5*$AG289^4+WeightSDS!T$5*$AG289^3+WeightSDS!U$5*$AG289^2+WeightSDS!V$5*$AG289+WeightSDS!W$5,IF($AG289&lt;186,WeightSDS!P$8*$AG289^7+WeightSDS!Q$8*$AG289^6+WeightSDS!R$8*$AG289^5+WeightSDS!S$8*$AG289^4+WeightSDS!T$8*$AG289^3+WeightSDS!U$8*$AG289^2+WeightSDS!V$8*$AG289+WeightSDS!W$8,WeightSDS!$U$9-WeightSDS!$V$9*($AG289-WeightSDS!$W$9)))</f>
        <v>0.75407122999999998</v>
      </c>
      <c r="AJ289" s="24">
        <f>IF(D289="M",IF($AG289&lt;45,WeightSDS!M$23*$AG289^10+WeightSDS!N$23*$AG289^9+WeightSDS!O$23*$AG289^8+WeightSDS!P$23*$AG289^7+WeightSDS!Q$23*$AG289^6+WeightSDS!R$23*$AG289^5+WeightSDS!S$23*$AG289^4+WeightSDS!T$23*$AG289^3+WeightSDS!U$23*$AG289^2+WeightSDS!V$23*$AG289+WeightSDS!W$23,IF($AG289&lt;153,WeightSDS!M$25*$AG289^10+WeightSDS!N$25*$AG289^9+WeightSDS!O$25*$AG289^8+WeightSDS!P$25*$AG289^7+WeightSDS!Q$25*$AG289^6+WeightSDS!R$25*$AG289^5+WeightSDS!S$25*$AG289^4+WeightSDS!T$25*$AG289^3+WeightSDS!U$25*$AG289^2+WeightSDS!V$25*$AG289+WeightSDS!W$25,WeightSDS!M$27+WeightSDS!N$27/(1+EXP(WeightSDS!O$27+WeightSDS!P$27*$AG289)))),IF($AG289&lt;43.8,WeightSDS!M$29*$AG289^10+WeightSDS!N$29*$AG289^9+WeightSDS!O$29*$AG289^8+WeightSDS!P$29*$AG289^7+WeightSDS!Q$29*$AG289^6+WeightSDS!R$29*$AG289^5+WeightSDS!S$29*$AG289^4+WeightSDS!T$29*$AG289^3+WeightSDS!U$29*$AG289^2+WeightSDS!V$29*$AG289+WeightSDS!W$29-0.010431*(1-$AG289/210),IF($AG289&lt;123,WeightSDS!M$30*$AG289^10+WeightSDS!N$30*$AG289^9+WeightSDS!O$30*$AG289^8+WeightSDS!P$30*$AG289^7+WeightSDS!Q$30*$AG289^6+WeightSDS!R$30*$AG289^5+WeightSDS!S$30*$AG289^4+WeightSDS!T$30*$AG289^3+WeightSDS!U$30*$AG289^2+WeightSDS!V$30*$AG289+WeightSDS!W$30-0.010431*(1-1/$AG289),WeightSDS!M$32+WeightSDS!N$32/(1+EXP(WeightSDS!O$32+WeightSDS!P$32*$AG289))-0.010431*(1-$AG289/210))))</f>
        <v>2.9500001032655536</v>
      </c>
      <c r="AK289" s="24">
        <f>IF(D289="M",IF($AG289&lt;162,WeightSDS!P$12*$AG289^7+WeightSDS!Q$12*$AG289^6+WeightSDS!R$12*$AG289^5+WeightSDS!S$12*$AG289^4+WeightSDS!T$12*$AG289^3+WeightSDS!U$12*$AG289^2+WeightSDS!V$12*$AG289+WeightSDS!W$12,WeightSDS!P$14*$AG289^7+WeightSDS!Q$14*$AG289^6+WeightSDS!R$14*$AG289^5+WeightSDS!S$14*$AG289^4+WeightSDS!T$14*$AG289^3+WeightSDS!U$14*$AG289^2+WeightSDS!V$14*$AG289+WeightSDS!W$14),IF($AG289&lt;156,WeightSDS!O$17*$AG289^8+WeightSDS!P$17*$AG289^7+WeightSDS!Q$17*$AG289^6+WeightSDS!R$17*$AG289^5+WeightSDS!S$17*$AG289^4+WeightSDS!T$17*$AG289^3+WeightSDS!U$17*$AG289^2+WeightSDS!V$17*$AG289+WeightSDS!W$17,IF($AG289&lt;186,WeightSDS!$U$18+(WeightSDS!$V$18-WeightSDS!$U$18)/24*($AG289-186)+WeightSDS!$W$18*(-$AG289+186)^2-0.005,WeightSDS!$U$18+(WeightSDS!$V$18-WeightSDS!$U$18)/24*($AG289-186)-0.005)))</f>
        <v>0.14604529399999999</v>
      </c>
    </row>
    <row r="290" spans="1:37">
      <c r="A290" s="4"/>
      <c r="B290" s="21"/>
      <c r="C290" s="21"/>
      <c r="D290" s="21"/>
      <c r="E290" s="22"/>
      <c r="F290" s="22"/>
      <c r="G290" s="23"/>
      <c r="H290" s="23"/>
      <c r="I290" s="8" t="str">
        <f t="shared" si="66"/>
        <v/>
      </c>
      <c r="J290" s="2" t="str">
        <f t="shared" si="73"/>
        <v/>
      </c>
      <c r="K290" s="2" t="str">
        <f t="shared" si="67"/>
        <v/>
      </c>
      <c r="L290" s="2" t="str">
        <f t="shared" si="74"/>
        <v/>
      </c>
      <c r="M290" s="2" t="str">
        <f t="shared" si="79"/>
        <v/>
      </c>
      <c r="N290" s="2" t="str">
        <f t="shared" si="75"/>
        <v/>
      </c>
      <c r="O290" s="8" t="str">
        <f t="shared" si="76"/>
        <v/>
      </c>
      <c r="P290" s="8" t="str">
        <f t="shared" si="77"/>
        <v/>
      </c>
      <c r="Q290" s="40" t="str">
        <f t="shared" si="68"/>
        <v/>
      </c>
      <c r="R290" s="48" t="str">
        <f t="shared" si="78"/>
        <v/>
      </c>
      <c r="S290" s="8"/>
      <c r="U290" s="35">
        <f t="shared" si="69"/>
        <v>0</v>
      </c>
      <c r="V290" s="24">
        <f t="shared" si="70"/>
        <v>0</v>
      </c>
      <c r="W290" s="41">
        <f t="shared" si="81"/>
        <v>0</v>
      </c>
      <c r="X290" s="31"/>
      <c r="Y290" s="31"/>
      <c r="Z290" s="31"/>
      <c r="AA290" s="25">
        <f t="shared" si="71"/>
        <v>9.0359999999999996</v>
      </c>
      <c r="AB290" s="25">
        <f t="shared" si="72"/>
        <v>-184.49199999999999</v>
      </c>
      <c r="AD290" s="24">
        <f>IF(D290="M",IF(AG290&lt;78,BMILMS!$D$5*AG290^3+BMILMS!$E$5*AG290^2+BMILMS!$F$5*AG290+BMILMS!$G$5,IF(AG290&lt;150,BMILMS!$D$6*AG290^3+BMILMS!$E$6*AG290^2+BMILMS!$F$6*AG290+BMILMS!$G$6,BMILMS!$D$7*AG290^3+BMILMS!$E$7*AG290^2+BMILMS!$F$7*AG290+BMILMS!$G$7)),IF(AG290&lt;69,BMILMS!$D$9*AG290^3+BMILMS!$E$9*AG290^2+BMILMS!$F$9*AG290+BMILMS!$G$9,IF(AG290&lt;150,BMILMS!$D$10*AG290^3+BMILMS!$E$10*AG290^2+BMILMS!$F$10*AG290+BMILMS!$G$10,BMILMS!$D$11*AG290^3+BMILMS!$E$11*AG290^2+BMILMS!$F$11*AG290+BMILMS!$G$11)))</f>
        <v>0.79584630099999998</v>
      </c>
      <c r="AE290" s="24">
        <f>IF(D290="M",(IF(AG290&lt;2.5,BMILMS!$D$21*AG290^3+BMILMS!$E$21*AG290^2+BMILMS!$F$21*AG290+BMILMS!$G$21,IF(AG290&lt;9.5,BMILMS!$D$22*AG290^3+BMILMS!$E$22*AG290^2+BMILMS!$F$22*AG290+BMILMS!$G$22,IF(AG290&lt;26.75,BMILMS!$D$23*AG290^3+BMILMS!$E$23*AG290^2+BMILMS!$F$23*AG290+BMILMS!$G$23,IF(AG290&lt;90,BMILMS!$D$24*AG290^3+BMILMS!$E$24*AG290^2+BMILMS!$F$24*AG290+BMILMS!$G$24,BMILMS!$D$25*AG290^3+BMILMS!$E$25*AG290^2+BMILMS!$F$25*AG290+BMILMS!$G$25))))),(IF(AG290&lt;2.5,BMILMS!$D$27*AG290^3+BMILMS!$E$27*AG290^2+BMILMS!$F$27*AG290+BMILMS!$G$27,IF(AG290&lt;9.5,BMILMS!$D$28*AG290^3+BMILMS!$E$28*AG290^2+BMILMS!$F$28*AG290+BMILMS!$G$28,IF(AG290&lt;26.75,BMILMS!$D$29*AG290^3+BMILMS!$E$29*AG290^2+BMILMS!$F$29*AG290+BMILMS!$G$29,IF(AG290&lt;90,BMILMS!$D$30*AG290^3+BMILMS!$E$30*AG290^2+BMILMS!$F$30*AG290+BMILMS!$G$30,IF(AG290&lt;150,BMILMS!$D$31*AG290^3+BMILMS!$E$31*AG290^2+BMILMS!$F$31*AG290+BMILMS!$G$31,BMILMS!$D$32*AG290^3+BMILMS!$E$32*AG290^2+BMILMS!$F$32*AG290+BMILMS!$G$32)))))))</f>
        <v>12.568967990000001</v>
      </c>
      <c r="AF290" s="24">
        <f>IF(D290="M",(IF(AG290&lt;90,BMILMS!$D$14*AG290^3+BMILMS!$E$14*AG290^2+BMILMS!$F$14*AG290+BMILMS!$G$14,BMILMS!$D$15*AG290^3+BMILMS!$E$15*AG290^2+BMILMS!$F$15*AG290+BMILMS!$G$15)),(IF(AG290&lt;90,BMILMS!$D$17*AG290^3+BMILMS!$E$17*AG290^2+BMILMS!$F$17*AG290+BMILMS!$G$17,BMILMS!$D$18*AG290^3+BMILMS!$E$18*AG290^2+BMILMS!$F$18*AG290+BMILMS!$G$18)))</f>
        <v>8.8969350000000003E-2</v>
      </c>
      <c r="AG290" s="24">
        <f t="shared" si="80"/>
        <v>0</v>
      </c>
      <c r="AI290" s="38">
        <f>IF(D290="M",WeightSDS!P$5*$AG290^7+WeightSDS!Q$5*$AG290^6+WeightSDS!R$5*$AG290^5+WeightSDS!S$5*$AG290^4+WeightSDS!T$5*$AG290^3+WeightSDS!U$5*$AG290^2+WeightSDS!V$5*$AG290+WeightSDS!W$5,IF($AG290&lt;186,WeightSDS!P$8*$AG290^7+WeightSDS!Q$8*$AG290^6+WeightSDS!R$8*$AG290^5+WeightSDS!S$8*$AG290^4+WeightSDS!T$8*$AG290^3+WeightSDS!U$8*$AG290^2+WeightSDS!V$8*$AG290+WeightSDS!W$8,WeightSDS!$U$9-WeightSDS!$V$9*($AG290-WeightSDS!$W$9)))</f>
        <v>0.75407122999999998</v>
      </c>
      <c r="AJ290" s="24">
        <f>IF(D290="M",IF($AG290&lt;45,WeightSDS!M$23*$AG290^10+WeightSDS!N$23*$AG290^9+WeightSDS!O$23*$AG290^8+WeightSDS!P$23*$AG290^7+WeightSDS!Q$23*$AG290^6+WeightSDS!R$23*$AG290^5+WeightSDS!S$23*$AG290^4+WeightSDS!T$23*$AG290^3+WeightSDS!U$23*$AG290^2+WeightSDS!V$23*$AG290+WeightSDS!W$23,IF($AG290&lt;153,WeightSDS!M$25*$AG290^10+WeightSDS!N$25*$AG290^9+WeightSDS!O$25*$AG290^8+WeightSDS!P$25*$AG290^7+WeightSDS!Q$25*$AG290^6+WeightSDS!R$25*$AG290^5+WeightSDS!S$25*$AG290^4+WeightSDS!T$25*$AG290^3+WeightSDS!U$25*$AG290^2+WeightSDS!V$25*$AG290+WeightSDS!W$25,WeightSDS!M$27+WeightSDS!N$27/(1+EXP(WeightSDS!O$27+WeightSDS!P$27*$AG290)))),IF($AG290&lt;43.8,WeightSDS!M$29*$AG290^10+WeightSDS!N$29*$AG290^9+WeightSDS!O$29*$AG290^8+WeightSDS!P$29*$AG290^7+WeightSDS!Q$29*$AG290^6+WeightSDS!R$29*$AG290^5+WeightSDS!S$29*$AG290^4+WeightSDS!T$29*$AG290^3+WeightSDS!U$29*$AG290^2+WeightSDS!V$29*$AG290+WeightSDS!W$29-0.010431*(1-$AG290/210),IF($AG290&lt;123,WeightSDS!M$30*$AG290^10+WeightSDS!N$30*$AG290^9+WeightSDS!O$30*$AG290^8+WeightSDS!P$30*$AG290^7+WeightSDS!Q$30*$AG290^6+WeightSDS!R$30*$AG290^5+WeightSDS!S$30*$AG290^4+WeightSDS!T$30*$AG290^3+WeightSDS!U$30*$AG290^2+WeightSDS!V$30*$AG290+WeightSDS!W$30-0.010431*(1-1/$AG290),WeightSDS!M$32+WeightSDS!N$32/(1+EXP(WeightSDS!O$32+WeightSDS!P$32*$AG290))-0.010431*(1-$AG290/210))))</f>
        <v>2.9500001032655536</v>
      </c>
      <c r="AK290" s="24">
        <f>IF(D290="M",IF($AG290&lt;162,WeightSDS!P$12*$AG290^7+WeightSDS!Q$12*$AG290^6+WeightSDS!R$12*$AG290^5+WeightSDS!S$12*$AG290^4+WeightSDS!T$12*$AG290^3+WeightSDS!U$12*$AG290^2+WeightSDS!V$12*$AG290+WeightSDS!W$12,WeightSDS!P$14*$AG290^7+WeightSDS!Q$14*$AG290^6+WeightSDS!R$14*$AG290^5+WeightSDS!S$14*$AG290^4+WeightSDS!T$14*$AG290^3+WeightSDS!U$14*$AG290^2+WeightSDS!V$14*$AG290+WeightSDS!W$14),IF($AG290&lt;156,WeightSDS!O$17*$AG290^8+WeightSDS!P$17*$AG290^7+WeightSDS!Q$17*$AG290^6+WeightSDS!R$17*$AG290^5+WeightSDS!S$17*$AG290^4+WeightSDS!T$17*$AG290^3+WeightSDS!U$17*$AG290^2+WeightSDS!V$17*$AG290+WeightSDS!W$17,IF($AG290&lt;186,WeightSDS!$U$18+(WeightSDS!$V$18-WeightSDS!$U$18)/24*($AG290-186)+WeightSDS!$W$18*(-$AG290+186)^2-0.005,WeightSDS!$U$18+(WeightSDS!$V$18-WeightSDS!$U$18)/24*($AG290-186)-0.005)))</f>
        <v>0.14604529399999999</v>
      </c>
    </row>
    <row r="291" spans="1:37">
      <c r="A291" s="4"/>
      <c r="B291" s="21"/>
      <c r="C291" s="21"/>
      <c r="D291" s="21"/>
      <c r="E291" s="22"/>
      <c r="F291" s="22"/>
      <c r="G291" s="23"/>
      <c r="H291" s="23"/>
      <c r="I291" s="8" t="str">
        <f t="shared" si="66"/>
        <v/>
      </c>
      <c r="J291" s="2" t="str">
        <f t="shared" si="73"/>
        <v/>
      </c>
      <c r="K291" s="2" t="str">
        <f t="shared" si="67"/>
        <v/>
      </c>
      <c r="L291" s="2" t="str">
        <f t="shared" si="74"/>
        <v/>
      </c>
      <c r="M291" s="2" t="str">
        <f t="shared" si="79"/>
        <v/>
      </c>
      <c r="N291" s="2" t="str">
        <f t="shared" si="75"/>
        <v/>
      </c>
      <c r="O291" s="8" t="str">
        <f t="shared" si="76"/>
        <v/>
      </c>
      <c r="P291" s="8" t="str">
        <f t="shared" si="77"/>
        <v/>
      </c>
      <c r="Q291" s="40" t="str">
        <f t="shared" si="68"/>
        <v/>
      </c>
      <c r="R291" s="48" t="str">
        <f t="shared" si="78"/>
        <v/>
      </c>
      <c r="S291" s="8"/>
      <c r="U291" s="35">
        <f t="shared" si="69"/>
        <v>0</v>
      </c>
      <c r="V291" s="24">
        <f t="shared" si="70"/>
        <v>0</v>
      </c>
      <c r="W291" s="41">
        <f t="shared" si="81"/>
        <v>0</v>
      </c>
      <c r="X291" s="31"/>
      <c r="Y291" s="31"/>
      <c r="Z291" s="31"/>
      <c r="AA291" s="25">
        <f t="shared" si="71"/>
        <v>9.0359999999999996</v>
      </c>
      <c r="AB291" s="25">
        <f t="shared" si="72"/>
        <v>-184.49199999999999</v>
      </c>
      <c r="AD291" s="24">
        <f>IF(D291="M",IF(AG291&lt;78,BMILMS!$D$5*AG291^3+BMILMS!$E$5*AG291^2+BMILMS!$F$5*AG291+BMILMS!$G$5,IF(AG291&lt;150,BMILMS!$D$6*AG291^3+BMILMS!$E$6*AG291^2+BMILMS!$F$6*AG291+BMILMS!$G$6,BMILMS!$D$7*AG291^3+BMILMS!$E$7*AG291^2+BMILMS!$F$7*AG291+BMILMS!$G$7)),IF(AG291&lt;69,BMILMS!$D$9*AG291^3+BMILMS!$E$9*AG291^2+BMILMS!$F$9*AG291+BMILMS!$G$9,IF(AG291&lt;150,BMILMS!$D$10*AG291^3+BMILMS!$E$10*AG291^2+BMILMS!$F$10*AG291+BMILMS!$G$10,BMILMS!$D$11*AG291^3+BMILMS!$E$11*AG291^2+BMILMS!$F$11*AG291+BMILMS!$G$11)))</f>
        <v>0.79584630099999998</v>
      </c>
      <c r="AE291" s="24">
        <f>IF(D291="M",(IF(AG291&lt;2.5,BMILMS!$D$21*AG291^3+BMILMS!$E$21*AG291^2+BMILMS!$F$21*AG291+BMILMS!$G$21,IF(AG291&lt;9.5,BMILMS!$D$22*AG291^3+BMILMS!$E$22*AG291^2+BMILMS!$F$22*AG291+BMILMS!$G$22,IF(AG291&lt;26.75,BMILMS!$D$23*AG291^3+BMILMS!$E$23*AG291^2+BMILMS!$F$23*AG291+BMILMS!$G$23,IF(AG291&lt;90,BMILMS!$D$24*AG291^3+BMILMS!$E$24*AG291^2+BMILMS!$F$24*AG291+BMILMS!$G$24,BMILMS!$D$25*AG291^3+BMILMS!$E$25*AG291^2+BMILMS!$F$25*AG291+BMILMS!$G$25))))),(IF(AG291&lt;2.5,BMILMS!$D$27*AG291^3+BMILMS!$E$27*AG291^2+BMILMS!$F$27*AG291+BMILMS!$G$27,IF(AG291&lt;9.5,BMILMS!$D$28*AG291^3+BMILMS!$E$28*AG291^2+BMILMS!$F$28*AG291+BMILMS!$G$28,IF(AG291&lt;26.75,BMILMS!$D$29*AG291^3+BMILMS!$E$29*AG291^2+BMILMS!$F$29*AG291+BMILMS!$G$29,IF(AG291&lt;90,BMILMS!$D$30*AG291^3+BMILMS!$E$30*AG291^2+BMILMS!$F$30*AG291+BMILMS!$G$30,IF(AG291&lt;150,BMILMS!$D$31*AG291^3+BMILMS!$E$31*AG291^2+BMILMS!$F$31*AG291+BMILMS!$G$31,BMILMS!$D$32*AG291^3+BMILMS!$E$32*AG291^2+BMILMS!$F$32*AG291+BMILMS!$G$32)))))))</f>
        <v>12.568967990000001</v>
      </c>
      <c r="AF291" s="24">
        <f>IF(D291="M",(IF(AG291&lt;90,BMILMS!$D$14*AG291^3+BMILMS!$E$14*AG291^2+BMILMS!$F$14*AG291+BMILMS!$G$14,BMILMS!$D$15*AG291^3+BMILMS!$E$15*AG291^2+BMILMS!$F$15*AG291+BMILMS!$G$15)),(IF(AG291&lt;90,BMILMS!$D$17*AG291^3+BMILMS!$E$17*AG291^2+BMILMS!$F$17*AG291+BMILMS!$G$17,BMILMS!$D$18*AG291^3+BMILMS!$E$18*AG291^2+BMILMS!$F$18*AG291+BMILMS!$G$18)))</f>
        <v>8.8969350000000003E-2</v>
      </c>
      <c r="AG291" s="24">
        <f t="shared" si="80"/>
        <v>0</v>
      </c>
      <c r="AI291" s="38">
        <f>IF(D291="M",WeightSDS!P$5*$AG291^7+WeightSDS!Q$5*$AG291^6+WeightSDS!R$5*$AG291^5+WeightSDS!S$5*$AG291^4+WeightSDS!T$5*$AG291^3+WeightSDS!U$5*$AG291^2+WeightSDS!V$5*$AG291+WeightSDS!W$5,IF($AG291&lt;186,WeightSDS!P$8*$AG291^7+WeightSDS!Q$8*$AG291^6+WeightSDS!R$8*$AG291^5+WeightSDS!S$8*$AG291^4+WeightSDS!T$8*$AG291^3+WeightSDS!U$8*$AG291^2+WeightSDS!V$8*$AG291+WeightSDS!W$8,WeightSDS!$U$9-WeightSDS!$V$9*($AG291-WeightSDS!$W$9)))</f>
        <v>0.75407122999999998</v>
      </c>
      <c r="AJ291" s="24">
        <f>IF(D291="M",IF($AG291&lt;45,WeightSDS!M$23*$AG291^10+WeightSDS!N$23*$AG291^9+WeightSDS!O$23*$AG291^8+WeightSDS!P$23*$AG291^7+WeightSDS!Q$23*$AG291^6+WeightSDS!R$23*$AG291^5+WeightSDS!S$23*$AG291^4+WeightSDS!T$23*$AG291^3+WeightSDS!U$23*$AG291^2+WeightSDS!V$23*$AG291+WeightSDS!W$23,IF($AG291&lt;153,WeightSDS!M$25*$AG291^10+WeightSDS!N$25*$AG291^9+WeightSDS!O$25*$AG291^8+WeightSDS!P$25*$AG291^7+WeightSDS!Q$25*$AG291^6+WeightSDS!R$25*$AG291^5+WeightSDS!S$25*$AG291^4+WeightSDS!T$25*$AG291^3+WeightSDS!U$25*$AG291^2+WeightSDS!V$25*$AG291+WeightSDS!W$25,WeightSDS!M$27+WeightSDS!N$27/(1+EXP(WeightSDS!O$27+WeightSDS!P$27*$AG291)))),IF($AG291&lt;43.8,WeightSDS!M$29*$AG291^10+WeightSDS!N$29*$AG291^9+WeightSDS!O$29*$AG291^8+WeightSDS!P$29*$AG291^7+WeightSDS!Q$29*$AG291^6+WeightSDS!R$29*$AG291^5+WeightSDS!S$29*$AG291^4+WeightSDS!T$29*$AG291^3+WeightSDS!U$29*$AG291^2+WeightSDS!V$29*$AG291+WeightSDS!W$29-0.010431*(1-$AG291/210),IF($AG291&lt;123,WeightSDS!M$30*$AG291^10+WeightSDS!N$30*$AG291^9+WeightSDS!O$30*$AG291^8+WeightSDS!P$30*$AG291^7+WeightSDS!Q$30*$AG291^6+WeightSDS!R$30*$AG291^5+WeightSDS!S$30*$AG291^4+WeightSDS!T$30*$AG291^3+WeightSDS!U$30*$AG291^2+WeightSDS!V$30*$AG291+WeightSDS!W$30-0.010431*(1-1/$AG291),WeightSDS!M$32+WeightSDS!N$32/(1+EXP(WeightSDS!O$32+WeightSDS!P$32*$AG291))-0.010431*(1-$AG291/210))))</f>
        <v>2.9500001032655536</v>
      </c>
      <c r="AK291" s="24">
        <f>IF(D291="M",IF($AG291&lt;162,WeightSDS!P$12*$AG291^7+WeightSDS!Q$12*$AG291^6+WeightSDS!R$12*$AG291^5+WeightSDS!S$12*$AG291^4+WeightSDS!T$12*$AG291^3+WeightSDS!U$12*$AG291^2+WeightSDS!V$12*$AG291+WeightSDS!W$12,WeightSDS!P$14*$AG291^7+WeightSDS!Q$14*$AG291^6+WeightSDS!R$14*$AG291^5+WeightSDS!S$14*$AG291^4+WeightSDS!T$14*$AG291^3+WeightSDS!U$14*$AG291^2+WeightSDS!V$14*$AG291+WeightSDS!W$14),IF($AG291&lt;156,WeightSDS!O$17*$AG291^8+WeightSDS!P$17*$AG291^7+WeightSDS!Q$17*$AG291^6+WeightSDS!R$17*$AG291^5+WeightSDS!S$17*$AG291^4+WeightSDS!T$17*$AG291^3+WeightSDS!U$17*$AG291^2+WeightSDS!V$17*$AG291+WeightSDS!W$17,IF($AG291&lt;186,WeightSDS!$U$18+(WeightSDS!$V$18-WeightSDS!$U$18)/24*($AG291-186)+WeightSDS!$W$18*(-$AG291+186)^2-0.005,WeightSDS!$U$18+(WeightSDS!$V$18-WeightSDS!$U$18)/24*($AG291-186)-0.005)))</f>
        <v>0.14604529399999999</v>
      </c>
    </row>
    <row r="292" spans="1:37">
      <c r="A292" s="4"/>
      <c r="B292" s="21"/>
      <c r="C292" s="21"/>
      <c r="D292" s="21"/>
      <c r="E292" s="22"/>
      <c r="F292" s="22"/>
      <c r="G292" s="23"/>
      <c r="H292" s="23"/>
      <c r="I292" s="8" t="str">
        <f t="shared" si="66"/>
        <v/>
      </c>
      <c r="J292" s="2" t="str">
        <f t="shared" si="73"/>
        <v/>
      </c>
      <c r="K292" s="2" t="str">
        <f t="shared" si="67"/>
        <v/>
      </c>
      <c r="L292" s="2" t="str">
        <f t="shared" si="74"/>
        <v/>
      </c>
      <c r="M292" s="2" t="str">
        <f t="shared" si="79"/>
        <v/>
      </c>
      <c r="N292" s="2" t="str">
        <f t="shared" si="75"/>
        <v/>
      </c>
      <c r="O292" s="8" t="str">
        <f t="shared" si="76"/>
        <v/>
      </c>
      <c r="P292" s="8" t="str">
        <f t="shared" si="77"/>
        <v/>
      </c>
      <c r="Q292" s="40" t="str">
        <f t="shared" si="68"/>
        <v/>
      </c>
      <c r="R292" s="48" t="str">
        <f t="shared" si="78"/>
        <v/>
      </c>
      <c r="S292" s="8"/>
      <c r="U292" s="35">
        <f t="shared" si="69"/>
        <v>0</v>
      </c>
      <c r="V292" s="24">
        <f t="shared" si="70"/>
        <v>0</v>
      </c>
      <c r="W292" s="41">
        <f t="shared" si="81"/>
        <v>0</v>
      </c>
      <c r="X292" s="31"/>
      <c r="Y292" s="31"/>
      <c r="Z292" s="31"/>
      <c r="AA292" s="25">
        <f t="shared" si="71"/>
        <v>9.0359999999999996</v>
      </c>
      <c r="AB292" s="25">
        <f t="shared" si="72"/>
        <v>-184.49199999999999</v>
      </c>
      <c r="AD292" s="24">
        <f>IF(D292="M",IF(AG292&lt;78,BMILMS!$D$5*AG292^3+BMILMS!$E$5*AG292^2+BMILMS!$F$5*AG292+BMILMS!$G$5,IF(AG292&lt;150,BMILMS!$D$6*AG292^3+BMILMS!$E$6*AG292^2+BMILMS!$F$6*AG292+BMILMS!$G$6,BMILMS!$D$7*AG292^3+BMILMS!$E$7*AG292^2+BMILMS!$F$7*AG292+BMILMS!$G$7)),IF(AG292&lt;69,BMILMS!$D$9*AG292^3+BMILMS!$E$9*AG292^2+BMILMS!$F$9*AG292+BMILMS!$G$9,IF(AG292&lt;150,BMILMS!$D$10*AG292^3+BMILMS!$E$10*AG292^2+BMILMS!$F$10*AG292+BMILMS!$G$10,BMILMS!$D$11*AG292^3+BMILMS!$E$11*AG292^2+BMILMS!$F$11*AG292+BMILMS!$G$11)))</f>
        <v>0.79584630099999998</v>
      </c>
      <c r="AE292" s="24">
        <f>IF(D292="M",(IF(AG292&lt;2.5,BMILMS!$D$21*AG292^3+BMILMS!$E$21*AG292^2+BMILMS!$F$21*AG292+BMILMS!$G$21,IF(AG292&lt;9.5,BMILMS!$D$22*AG292^3+BMILMS!$E$22*AG292^2+BMILMS!$F$22*AG292+BMILMS!$G$22,IF(AG292&lt;26.75,BMILMS!$D$23*AG292^3+BMILMS!$E$23*AG292^2+BMILMS!$F$23*AG292+BMILMS!$G$23,IF(AG292&lt;90,BMILMS!$D$24*AG292^3+BMILMS!$E$24*AG292^2+BMILMS!$F$24*AG292+BMILMS!$G$24,BMILMS!$D$25*AG292^3+BMILMS!$E$25*AG292^2+BMILMS!$F$25*AG292+BMILMS!$G$25))))),(IF(AG292&lt;2.5,BMILMS!$D$27*AG292^3+BMILMS!$E$27*AG292^2+BMILMS!$F$27*AG292+BMILMS!$G$27,IF(AG292&lt;9.5,BMILMS!$D$28*AG292^3+BMILMS!$E$28*AG292^2+BMILMS!$F$28*AG292+BMILMS!$G$28,IF(AG292&lt;26.75,BMILMS!$D$29*AG292^3+BMILMS!$E$29*AG292^2+BMILMS!$F$29*AG292+BMILMS!$G$29,IF(AG292&lt;90,BMILMS!$D$30*AG292^3+BMILMS!$E$30*AG292^2+BMILMS!$F$30*AG292+BMILMS!$G$30,IF(AG292&lt;150,BMILMS!$D$31*AG292^3+BMILMS!$E$31*AG292^2+BMILMS!$F$31*AG292+BMILMS!$G$31,BMILMS!$D$32*AG292^3+BMILMS!$E$32*AG292^2+BMILMS!$F$32*AG292+BMILMS!$G$32)))))))</f>
        <v>12.568967990000001</v>
      </c>
      <c r="AF292" s="24">
        <f>IF(D292="M",(IF(AG292&lt;90,BMILMS!$D$14*AG292^3+BMILMS!$E$14*AG292^2+BMILMS!$F$14*AG292+BMILMS!$G$14,BMILMS!$D$15*AG292^3+BMILMS!$E$15*AG292^2+BMILMS!$F$15*AG292+BMILMS!$G$15)),(IF(AG292&lt;90,BMILMS!$D$17*AG292^3+BMILMS!$E$17*AG292^2+BMILMS!$F$17*AG292+BMILMS!$G$17,BMILMS!$D$18*AG292^3+BMILMS!$E$18*AG292^2+BMILMS!$F$18*AG292+BMILMS!$G$18)))</f>
        <v>8.8969350000000003E-2</v>
      </c>
      <c r="AG292" s="24">
        <f t="shared" si="80"/>
        <v>0</v>
      </c>
      <c r="AI292" s="38">
        <f>IF(D292="M",WeightSDS!P$5*$AG292^7+WeightSDS!Q$5*$AG292^6+WeightSDS!R$5*$AG292^5+WeightSDS!S$5*$AG292^4+WeightSDS!T$5*$AG292^3+WeightSDS!U$5*$AG292^2+WeightSDS!V$5*$AG292+WeightSDS!W$5,IF($AG292&lt;186,WeightSDS!P$8*$AG292^7+WeightSDS!Q$8*$AG292^6+WeightSDS!R$8*$AG292^5+WeightSDS!S$8*$AG292^4+WeightSDS!T$8*$AG292^3+WeightSDS!U$8*$AG292^2+WeightSDS!V$8*$AG292+WeightSDS!W$8,WeightSDS!$U$9-WeightSDS!$V$9*($AG292-WeightSDS!$W$9)))</f>
        <v>0.75407122999999998</v>
      </c>
      <c r="AJ292" s="24">
        <f>IF(D292="M",IF($AG292&lt;45,WeightSDS!M$23*$AG292^10+WeightSDS!N$23*$AG292^9+WeightSDS!O$23*$AG292^8+WeightSDS!P$23*$AG292^7+WeightSDS!Q$23*$AG292^6+WeightSDS!R$23*$AG292^5+WeightSDS!S$23*$AG292^4+WeightSDS!T$23*$AG292^3+WeightSDS!U$23*$AG292^2+WeightSDS!V$23*$AG292+WeightSDS!W$23,IF($AG292&lt;153,WeightSDS!M$25*$AG292^10+WeightSDS!N$25*$AG292^9+WeightSDS!O$25*$AG292^8+WeightSDS!P$25*$AG292^7+WeightSDS!Q$25*$AG292^6+WeightSDS!R$25*$AG292^5+WeightSDS!S$25*$AG292^4+WeightSDS!T$25*$AG292^3+WeightSDS!U$25*$AG292^2+WeightSDS!V$25*$AG292+WeightSDS!W$25,WeightSDS!M$27+WeightSDS!N$27/(1+EXP(WeightSDS!O$27+WeightSDS!P$27*$AG292)))),IF($AG292&lt;43.8,WeightSDS!M$29*$AG292^10+WeightSDS!N$29*$AG292^9+WeightSDS!O$29*$AG292^8+WeightSDS!P$29*$AG292^7+WeightSDS!Q$29*$AG292^6+WeightSDS!R$29*$AG292^5+WeightSDS!S$29*$AG292^4+WeightSDS!T$29*$AG292^3+WeightSDS!U$29*$AG292^2+WeightSDS!V$29*$AG292+WeightSDS!W$29-0.010431*(1-$AG292/210),IF($AG292&lt;123,WeightSDS!M$30*$AG292^10+WeightSDS!N$30*$AG292^9+WeightSDS!O$30*$AG292^8+WeightSDS!P$30*$AG292^7+WeightSDS!Q$30*$AG292^6+WeightSDS!R$30*$AG292^5+WeightSDS!S$30*$AG292^4+WeightSDS!T$30*$AG292^3+WeightSDS!U$30*$AG292^2+WeightSDS!V$30*$AG292+WeightSDS!W$30-0.010431*(1-1/$AG292),WeightSDS!M$32+WeightSDS!N$32/(1+EXP(WeightSDS!O$32+WeightSDS!P$32*$AG292))-0.010431*(1-$AG292/210))))</f>
        <v>2.9500001032655536</v>
      </c>
      <c r="AK292" s="24">
        <f>IF(D292="M",IF($AG292&lt;162,WeightSDS!P$12*$AG292^7+WeightSDS!Q$12*$AG292^6+WeightSDS!R$12*$AG292^5+WeightSDS!S$12*$AG292^4+WeightSDS!T$12*$AG292^3+WeightSDS!U$12*$AG292^2+WeightSDS!V$12*$AG292+WeightSDS!W$12,WeightSDS!P$14*$AG292^7+WeightSDS!Q$14*$AG292^6+WeightSDS!R$14*$AG292^5+WeightSDS!S$14*$AG292^4+WeightSDS!T$14*$AG292^3+WeightSDS!U$14*$AG292^2+WeightSDS!V$14*$AG292+WeightSDS!W$14),IF($AG292&lt;156,WeightSDS!O$17*$AG292^8+WeightSDS!P$17*$AG292^7+WeightSDS!Q$17*$AG292^6+WeightSDS!R$17*$AG292^5+WeightSDS!S$17*$AG292^4+WeightSDS!T$17*$AG292^3+WeightSDS!U$17*$AG292^2+WeightSDS!V$17*$AG292+WeightSDS!W$17,IF($AG292&lt;186,WeightSDS!$U$18+(WeightSDS!$V$18-WeightSDS!$U$18)/24*($AG292-186)+WeightSDS!$W$18*(-$AG292+186)^2-0.005,WeightSDS!$U$18+(WeightSDS!$V$18-WeightSDS!$U$18)/24*($AG292-186)-0.005)))</f>
        <v>0.14604529399999999</v>
      </c>
    </row>
    <row r="293" spans="1:37">
      <c r="A293" s="4"/>
      <c r="B293" s="21"/>
      <c r="C293" s="21"/>
      <c r="D293" s="21"/>
      <c r="E293" s="22"/>
      <c r="F293" s="22"/>
      <c r="G293" s="23"/>
      <c r="H293" s="23"/>
      <c r="I293" s="8" t="str">
        <f t="shared" si="66"/>
        <v/>
      </c>
      <c r="J293" s="2" t="str">
        <f t="shared" si="73"/>
        <v/>
      </c>
      <c r="K293" s="2" t="str">
        <f t="shared" si="67"/>
        <v/>
      </c>
      <c r="L293" s="2" t="str">
        <f t="shared" si="74"/>
        <v/>
      </c>
      <c r="M293" s="2" t="str">
        <f t="shared" si="79"/>
        <v/>
      </c>
      <c r="N293" s="2" t="str">
        <f t="shared" si="75"/>
        <v/>
      </c>
      <c r="O293" s="8" t="str">
        <f t="shared" si="76"/>
        <v/>
      </c>
      <c r="P293" s="8" t="str">
        <f t="shared" si="77"/>
        <v/>
      </c>
      <c r="Q293" s="40" t="str">
        <f t="shared" si="68"/>
        <v/>
      </c>
      <c r="R293" s="48" t="str">
        <f t="shared" si="78"/>
        <v/>
      </c>
      <c r="S293" s="8"/>
      <c r="U293" s="35">
        <f t="shared" si="69"/>
        <v>0</v>
      </c>
      <c r="V293" s="24">
        <f t="shared" si="70"/>
        <v>0</v>
      </c>
      <c r="W293" s="41">
        <f t="shared" si="81"/>
        <v>0</v>
      </c>
      <c r="X293" s="31"/>
      <c r="Y293" s="31"/>
      <c r="Z293" s="31"/>
      <c r="AA293" s="25">
        <f t="shared" si="71"/>
        <v>9.0359999999999996</v>
      </c>
      <c r="AB293" s="25">
        <f t="shared" si="72"/>
        <v>-184.49199999999999</v>
      </c>
      <c r="AD293" s="24">
        <f>IF(D293="M",IF(AG293&lt;78,BMILMS!$D$5*AG293^3+BMILMS!$E$5*AG293^2+BMILMS!$F$5*AG293+BMILMS!$G$5,IF(AG293&lt;150,BMILMS!$D$6*AG293^3+BMILMS!$E$6*AG293^2+BMILMS!$F$6*AG293+BMILMS!$G$6,BMILMS!$D$7*AG293^3+BMILMS!$E$7*AG293^2+BMILMS!$F$7*AG293+BMILMS!$G$7)),IF(AG293&lt;69,BMILMS!$D$9*AG293^3+BMILMS!$E$9*AG293^2+BMILMS!$F$9*AG293+BMILMS!$G$9,IF(AG293&lt;150,BMILMS!$D$10*AG293^3+BMILMS!$E$10*AG293^2+BMILMS!$F$10*AG293+BMILMS!$G$10,BMILMS!$D$11*AG293^3+BMILMS!$E$11*AG293^2+BMILMS!$F$11*AG293+BMILMS!$G$11)))</f>
        <v>0.79584630099999998</v>
      </c>
      <c r="AE293" s="24">
        <f>IF(D293="M",(IF(AG293&lt;2.5,BMILMS!$D$21*AG293^3+BMILMS!$E$21*AG293^2+BMILMS!$F$21*AG293+BMILMS!$G$21,IF(AG293&lt;9.5,BMILMS!$D$22*AG293^3+BMILMS!$E$22*AG293^2+BMILMS!$F$22*AG293+BMILMS!$G$22,IF(AG293&lt;26.75,BMILMS!$D$23*AG293^3+BMILMS!$E$23*AG293^2+BMILMS!$F$23*AG293+BMILMS!$G$23,IF(AG293&lt;90,BMILMS!$D$24*AG293^3+BMILMS!$E$24*AG293^2+BMILMS!$F$24*AG293+BMILMS!$G$24,BMILMS!$D$25*AG293^3+BMILMS!$E$25*AG293^2+BMILMS!$F$25*AG293+BMILMS!$G$25))))),(IF(AG293&lt;2.5,BMILMS!$D$27*AG293^3+BMILMS!$E$27*AG293^2+BMILMS!$F$27*AG293+BMILMS!$G$27,IF(AG293&lt;9.5,BMILMS!$D$28*AG293^3+BMILMS!$E$28*AG293^2+BMILMS!$F$28*AG293+BMILMS!$G$28,IF(AG293&lt;26.75,BMILMS!$D$29*AG293^3+BMILMS!$E$29*AG293^2+BMILMS!$F$29*AG293+BMILMS!$G$29,IF(AG293&lt;90,BMILMS!$D$30*AG293^3+BMILMS!$E$30*AG293^2+BMILMS!$F$30*AG293+BMILMS!$G$30,IF(AG293&lt;150,BMILMS!$D$31*AG293^3+BMILMS!$E$31*AG293^2+BMILMS!$F$31*AG293+BMILMS!$G$31,BMILMS!$D$32*AG293^3+BMILMS!$E$32*AG293^2+BMILMS!$F$32*AG293+BMILMS!$G$32)))))))</f>
        <v>12.568967990000001</v>
      </c>
      <c r="AF293" s="24">
        <f>IF(D293="M",(IF(AG293&lt;90,BMILMS!$D$14*AG293^3+BMILMS!$E$14*AG293^2+BMILMS!$F$14*AG293+BMILMS!$G$14,BMILMS!$D$15*AG293^3+BMILMS!$E$15*AG293^2+BMILMS!$F$15*AG293+BMILMS!$G$15)),(IF(AG293&lt;90,BMILMS!$D$17*AG293^3+BMILMS!$E$17*AG293^2+BMILMS!$F$17*AG293+BMILMS!$G$17,BMILMS!$D$18*AG293^3+BMILMS!$E$18*AG293^2+BMILMS!$F$18*AG293+BMILMS!$G$18)))</f>
        <v>8.8969350000000003E-2</v>
      </c>
      <c r="AG293" s="24">
        <f t="shared" si="80"/>
        <v>0</v>
      </c>
      <c r="AI293" s="38">
        <f>IF(D293="M",WeightSDS!P$5*$AG293^7+WeightSDS!Q$5*$AG293^6+WeightSDS!R$5*$AG293^5+WeightSDS!S$5*$AG293^4+WeightSDS!T$5*$AG293^3+WeightSDS!U$5*$AG293^2+WeightSDS!V$5*$AG293+WeightSDS!W$5,IF($AG293&lt;186,WeightSDS!P$8*$AG293^7+WeightSDS!Q$8*$AG293^6+WeightSDS!R$8*$AG293^5+WeightSDS!S$8*$AG293^4+WeightSDS!T$8*$AG293^3+WeightSDS!U$8*$AG293^2+WeightSDS!V$8*$AG293+WeightSDS!W$8,WeightSDS!$U$9-WeightSDS!$V$9*($AG293-WeightSDS!$W$9)))</f>
        <v>0.75407122999999998</v>
      </c>
      <c r="AJ293" s="24">
        <f>IF(D293="M",IF($AG293&lt;45,WeightSDS!M$23*$AG293^10+WeightSDS!N$23*$AG293^9+WeightSDS!O$23*$AG293^8+WeightSDS!P$23*$AG293^7+WeightSDS!Q$23*$AG293^6+WeightSDS!R$23*$AG293^5+WeightSDS!S$23*$AG293^4+WeightSDS!T$23*$AG293^3+WeightSDS!U$23*$AG293^2+WeightSDS!V$23*$AG293+WeightSDS!W$23,IF($AG293&lt;153,WeightSDS!M$25*$AG293^10+WeightSDS!N$25*$AG293^9+WeightSDS!O$25*$AG293^8+WeightSDS!P$25*$AG293^7+WeightSDS!Q$25*$AG293^6+WeightSDS!R$25*$AG293^5+WeightSDS!S$25*$AG293^4+WeightSDS!T$25*$AG293^3+WeightSDS!U$25*$AG293^2+WeightSDS!V$25*$AG293+WeightSDS!W$25,WeightSDS!M$27+WeightSDS!N$27/(1+EXP(WeightSDS!O$27+WeightSDS!P$27*$AG293)))),IF($AG293&lt;43.8,WeightSDS!M$29*$AG293^10+WeightSDS!N$29*$AG293^9+WeightSDS!O$29*$AG293^8+WeightSDS!P$29*$AG293^7+WeightSDS!Q$29*$AG293^6+WeightSDS!R$29*$AG293^5+WeightSDS!S$29*$AG293^4+WeightSDS!T$29*$AG293^3+WeightSDS!U$29*$AG293^2+WeightSDS!V$29*$AG293+WeightSDS!W$29-0.010431*(1-$AG293/210),IF($AG293&lt;123,WeightSDS!M$30*$AG293^10+WeightSDS!N$30*$AG293^9+WeightSDS!O$30*$AG293^8+WeightSDS!P$30*$AG293^7+WeightSDS!Q$30*$AG293^6+WeightSDS!R$30*$AG293^5+WeightSDS!S$30*$AG293^4+WeightSDS!T$30*$AG293^3+WeightSDS!U$30*$AG293^2+WeightSDS!V$30*$AG293+WeightSDS!W$30-0.010431*(1-1/$AG293),WeightSDS!M$32+WeightSDS!N$32/(1+EXP(WeightSDS!O$32+WeightSDS!P$32*$AG293))-0.010431*(1-$AG293/210))))</f>
        <v>2.9500001032655536</v>
      </c>
      <c r="AK293" s="24">
        <f>IF(D293="M",IF($AG293&lt;162,WeightSDS!P$12*$AG293^7+WeightSDS!Q$12*$AG293^6+WeightSDS!R$12*$AG293^5+WeightSDS!S$12*$AG293^4+WeightSDS!T$12*$AG293^3+WeightSDS!U$12*$AG293^2+WeightSDS!V$12*$AG293+WeightSDS!W$12,WeightSDS!P$14*$AG293^7+WeightSDS!Q$14*$AG293^6+WeightSDS!R$14*$AG293^5+WeightSDS!S$14*$AG293^4+WeightSDS!T$14*$AG293^3+WeightSDS!U$14*$AG293^2+WeightSDS!V$14*$AG293+WeightSDS!W$14),IF($AG293&lt;156,WeightSDS!O$17*$AG293^8+WeightSDS!P$17*$AG293^7+WeightSDS!Q$17*$AG293^6+WeightSDS!R$17*$AG293^5+WeightSDS!S$17*$AG293^4+WeightSDS!T$17*$AG293^3+WeightSDS!U$17*$AG293^2+WeightSDS!V$17*$AG293+WeightSDS!W$17,IF($AG293&lt;186,WeightSDS!$U$18+(WeightSDS!$V$18-WeightSDS!$U$18)/24*($AG293-186)+WeightSDS!$W$18*(-$AG293+186)^2-0.005,WeightSDS!$U$18+(WeightSDS!$V$18-WeightSDS!$U$18)/24*($AG293-186)-0.005)))</f>
        <v>0.14604529399999999</v>
      </c>
    </row>
    <row r="294" spans="1:37">
      <c r="A294" s="4"/>
      <c r="B294" s="21"/>
      <c r="C294" s="21"/>
      <c r="D294" s="21"/>
      <c r="E294" s="22"/>
      <c r="F294" s="22"/>
      <c r="G294" s="23"/>
      <c r="H294" s="23"/>
      <c r="I294" s="8" t="str">
        <f t="shared" si="66"/>
        <v/>
      </c>
      <c r="J294" s="2" t="str">
        <f t="shared" si="73"/>
        <v/>
      </c>
      <c r="K294" s="2" t="str">
        <f t="shared" si="67"/>
        <v/>
      </c>
      <c r="L294" s="2" t="str">
        <f t="shared" si="74"/>
        <v/>
      </c>
      <c r="M294" s="2" t="str">
        <f t="shared" si="79"/>
        <v/>
      </c>
      <c r="N294" s="2" t="str">
        <f t="shared" si="75"/>
        <v/>
      </c>
      <c r="O294" s="8" t="str">
        <f t="shared" si="76"/>
        <v/>
      </c>
      <c r="P294" s="8" t="str">
        <f t="shared" si="77"/>
        <v/>
      </c>
      <c r="Q294" s="40" t="str">
        <f t="shared" si="68"/>
        <v/>
      </c>
      <c r="R294" s="48" t="str">
        <f t="shared" si="78"/>
        <v/>
      </c>
      <c r="S294" s="8"/>
      <c r="U294" s="35">
        <f t="shared" si="69"/>
        <v>0</v>
      </c>
      <c r="V294" s="24">
        <f t="shared" si="70"/>
        <v>0</v>
      </c>
      <c r="W294" s="41">
        <f t="shared" si="81"/>
        <v>0</v>
      </c>
      <c r="X294" s="31"/>
      <c r="Y294" s="31"/>
      <c r="Z294" s="31"/>
      <c r="AA294" s="25">
        <f t="shared" si="71"/>
        <v>9.0359999999999996</v>
      </c>
      <c r="AB294" s="25">
        <f t="shared" si="72"/>
        <v>-184.49199999999999</v>
      </c>
      <c r="AD294" s="24">
        <f>IF(D294="M",IF(AG294&lt;78,BMILMS!$D$5*AG294^3+BMILMS!$E$5*AG294^2+BMILMS!$F$5*AG294+BMILMS!$G$5,IF(AG294&lt;150,BMILMS!$D$6*AG294^3+BMILMS!$E$6*AG294^2+BMILMS!$F$6*AG294+BMILMS!$G$6,BMILMS!$D$7*AG294^3+BMILMS!$E$7*AG294^2+BMILMS!$F$7*AG294+BMILMS!$G$7)),IF(AG294&lt;69,BMILMS!$D$9*AG294^3+BMILMS!$E$9*AG294^2+BMILMS!$F$9*AG294+BMILMS!$G$9,IF(AG294&lt;150,BMILMS!$D$10*AG294^3+BMILMS!$E$10*AG294^2+BMILMS!$F$10*AG294+BMILMS!$G$10,BMILMS!$D$11*AG294^3+BMILMS!$E$11*AG294^2+BMILMS!$F$11*AG294+BMILMS!$G$11)))</f>
        <v>0.79584630099999998</v>
      </c>
      <c r="AE294" s="24">
        <f>IF(D294="M",(IF(AG294&lt;2.5,BMILMS!$D$21*AG294^3+BMILMS!$E$21*AG294^2+BMILMS!$F$21*AG294+BMILMS!$G$21,IF(AG294&lt;9.5,BMILMS!$D$22*AG294^3+BMILMS!$E$22*AG294^2+BMILMS!$F$22*AG294+BMILMS!$G$22,IF(AG294&lt;26.75,BMILMS!$D$23*AG294^3+BMILMS!$E$23*AG294^2+BMILMS!$F$23*AG294+BMILMS!$G$23,IF(AG294&lt;90,BMILMS!$D$24*AG294^3+BMILMS!$E$24*AG294^2+BMILMS!$F$24*AG294+BMILMS!$G$24,BMILMS!$D$25*AG294^3+BMILMS!$E$25*AG294^2+BMILMS!$F$25*AG294+BMILMS!$G$25))))),(IF(AG294&lt;2.5,BMILMS!$D$27*AG294^3+BMILMS!$E$27*AG294^2+BMILMS!$F$27*AG294+BMILMS!$G$27,IF(AG294&lt;9.5,BMILMS!$D$28*AG294^3+BMILMS!$E$28*AG294^2+BMILMS!$F$28*AG294+BMILMS!$G$28,IF(AG294&lt;26.75,BMILMS!$D$29*AG294^3+BMILMS!$E$29*AG294^2+BMILMS!$F$29*AG294+BMILMS!$G$29,IF(AG294&lt;90,BMILMS!$D$30*AG294^3+BMILMS!$E$30*AG294^2+BMILMS!$F$30*AG294+BMILMS!$G$30,IF(AG294&lt;150,BMILMS!$D$31*AG294^3+BMILMS!$E$31*AG294^2+BMILMS!$F$31*AG294+BMILMS!$G$31,BMILMS!$D$32*AG294^3+BMILMS!$E$32*AG294^2+BMILMS!$F$32*AG294+BMILMS!$G$32)))))))</f>
        <v>12.568967990000001</v>
      </c>
      <c r="AF294" s="24">
        <f>IF(D294="M",(IF(AG294&lt;90,BMILMS!$D$14*AG294^3+BMILMS!$E$14*AG294^2+BMILMS!$F$14*AG294+BMILMS!$G$14,BMILMS!$D$15*AG294^3+BMILMS!$E$15*AG294^2+BMILMS!$F$15*AG294+BMILMS!$G$15)),(IF(AG294&lt;90,BMILMS!$D$17*AG294^3+BMILMS!$E$17*AG294^2+BMILMS!$F$17*AG294+BMILMS!$G$17,BMILMS!$D$18*AG294^3+BMILMS!$E$18*AG294^2+BMILMS!$F$18*AG294+BMILMS!$G$18)))</f>
        <v>8.8969350000000003E-2</v>
      </c>
      <c r="AG294" s="24">
        <f t="shared" si="80"/>
        <v>0</v>
      </c>
      <c r="AI294" s="38">
        <f>IF(D294="M",WeightSDS!P$5*$AG294^7+WeightSDS!Q$5*$AG294^6+WeightSDS!R$5*$AG294^5+WeightSDS!S$5*$AG294^4+WeightSDS!T$5*$AG294^3+WeightSDS!U$5*$AG294^2+WeightSDS!V$5*$AG294+WeightSDS!W$5,IF($AG294&lt;186,WeightSDS!P$8*$AG294^7+WeightSDS!Q$8*$AG294^6+WeightSDS!R$8*$AG294^5+WeightSDS!S$8*$AG294^4+WeightSDS!T$8*$AG294^3+WeightSDS!U$8*$AG294^2+WeightSDS!V$8*$AG294+WeightSDS!W$8,WeightSDS!$U$9-WeightSDS!$V$9*($AG294-WeightSDS!$W$9)))</f>
        <v>0.75407122999999998</v>
      </c>
      <c r="AJ294" s="24">
        <f>IF(D294="M",IF($AG294&lt;45,WeightSDS!M$23*$AG294^10+WeightSDS!N$23*$AG294^9+WeightSDS!O$23*$AG294^8+WeightSDS!P$23*$AG294^7+WeightSDS!Q$23*$AG294^6+WeightSDS!R$23*$AG294^5+WeightSDS!S$23*$AG294^4+WeightSDS!T$23*$AG294^3+WeightSDS!U$23*$AG294^2+WeightSDS!V$23*$AG294+WeightSDS!W$23,IF($AG294&lt;153,WeightSDS!M$25*$AG294^10+WeightSDS!N$25*$AG294^9+WeightSDS!O$25*$AG294^8+WeightSDS!P$25*$AG294^7+WeightSDS!Q$25*$AG294^6+WeightSDS!R$25*$AG294^5+WeightSDS!S$25*$AG294^4+WeightSDS!T$25*$AG294^3+WeightSDS!U$25*$AG294^2+WeightSDS!V$25*$AG294+WeightSDS!W$25,WeightSDS!M$27+WeightSDS!N$27/(1+EXP(WeightSDS!O$27+WeightSDS!P$27*$AG294)))),IF($AG294&lt;43.8,WeightSDS!M$29*$AG294^10+WeightSDS!N$29*$AG294^9+WeightSDS!O$29*$AG294^8+WeightSDS!P$29*$AG294^7+WeightSDS!Q$29*$AG294^6+WeightSDS!R$29*$AG294^5+WeightSDS!S$29*$AG294^4+WeightSDS!T$29*$AG294^3+WeightSDS!U$29*$AG294^2+WeightSDS!V$29*$AG294+WeightSDS!W$29-0.010431*(1-$AG294/210),IF($AG294&lt;123,WeightSDS!M$30*$AG294^10+WeightSDS!N$30*$AG294^9+WeightSDS!O$30*$AG294^8+WeightSDS!P$30*$AG294^7+WeightSDS!Q$30*$AG294^6+WeightSDS!R$30*$AG294^5+WeightSDS!S$30*$AG294^4+WeightSDS!T$30*$AG294^3+WeightSDS!U$30*$AG294^2+WeightSDS!V$30*$AG294+WeightSDS!W$30-0.010431*(1-1/$AG294),WeightSDS!M$32+WeightSDS!N$32/(1+EXP(WeightSDS!O$32+WeightSDS!P$32*$AG294))-0.010431*(1-$AG294/210))))</f>
        <v>2.9500001032655536</v>
      </c>
      <c r="AK294" s="24">
        <f>IF(D294="M",IF($AG294&lt;162,WeightSDS!P$12*$AG294^7+WeightSDS!Q$12*$AG294^6+WeightSDS!R$12*$AG294^5+WeightSDS!S$12*$AG294^4+WeightSDS!T$12*$AG294^3+WeightSDS!U$12*$AG294^2+WeightSDS!V$12*$AG294+WeightSDS!W$12,WeightSDS!P$14*$AG294^7+WeightSDS!Q$14*$AG294^6+WeightSDS!R$14*$AG294^5+WeightSDS!S$14*$AG294^4+WeightSDS!T$14*$AG294^3+WeightSDS!U$14*$AG294^2+WeightSDS!V$14*$AG294+WeightSDS!W$14),IF($AG294&lt;156,WeightSDS!O$17*$AG294^8+WeightSDS!P$17*$AG294^7+WeightSDS!Q$17*$AG294^6+WeightSDS!R$17*$AG294^5+WeightSDS!S$17*$AG294^4+WeightSDS!T$17*$AG294^3+WeightSDS!U$17*$AG294^2+WeightSDS!V$17*$AG294+WeightSDS!W$17,IF($AG294&lt;186,WeightSDS!$U$18+(WeightSDS!$V$18-WeightSDS!$U$18)/24*($AG294-186)+WeightSDS!$W$18*(-$AG294+186)^2-0.005,WeightSDS!$U$18+(WeightSDS!$V$18-WeightSDS!$U$18)/24*($AG294-186)-0.005)))</f>
        <v>0.14604529399999999</v>
      </c>
    </row>
    <row r="295" spans="1:37">
      <c r="A295" s="4"/>
      <c r="B295" s="21"/>
      <c r="C295" s="21"/>
      <c r="D295" s="21"/>
      <c r="E295" s="22"/>
      <c r="F295" s="22"/>
      <c r="G295" s="23"/>
      <c r="H295" s="23"/>
      <c r="I295" s="8" t="str">
        <f t="shared" si="66"/>
        <v/>
      </c>
      <c r="J295" s="2" t="str">
        <f t="shared" si="73"/>
        <v/>
      </c>
      <c r="K295" s="2" t="str">
        <f t="shared" si="67"/>
        <v/>
      </c>
      <c r="L295" s="2" t="str">
        <f t="shared" si="74"/>
        <v/>
      </c>
      <c r="M295" s="2" t="str">
        <f t="shared" si="79"/>
        <v/>
      </c>
      <c r="N295" s="2" t="str">
        <f t="shared" si="75"/>
        <v/>
      </c>
      <c r="O295" s="8" t="str">
        <f t="shared" si="76"/>
        <v/>
      </c>
      <c r="P295" s="8" t="str">
        <f t="shared" si="77"/>
        <v/>
      </c>
      <c r="Q295" s="40" t="str">
        <f t="shared" si="68"/>
        <v/>
      </c>
      <c r="R295" s="48" t="str">
        <f t="shared" si="78"/>
        <v/>
      </c>
      <c r="S295" s="8"/>
      <c r="U295" s="35">
        <f t="shared" si="69"/>
        <v>0</v>
      </c>
      <c r="V295" s="24">
        <f t="shared" si="70"/>
        <v>0</v>
      </c>
      <c r="W295" s="41">
        <f t="shared" si="81"/>
        <v>0</v>
      </c>
      <c r="X295" s="31"/>
      <c r="Y295" s="31"/>
      <c r="Z295" s="31"/>
      <c r="AA295" s="25">
        <f t="shared" si="71"/>
        <v>9.0359999999999996</v>
      </c>
      <c r="AB295" s="25">
        <f t="shared" si="72"/>
        <v>-184.49199999999999</v>
      </c>
      <c r="AD295" s="24">
        <f>IF(D295="M",IF(AG295&lt;78,BMILMS!$D$5*AG295^3+BMILMS!$E$5*AG295^2+BMILMS!$F$5*AG295+BMILMS!$G$5,IF(AG295&lt;150,BMILMS!$D$6*AG295^3+BMILMS!$E$6*AG295^2+BMILMS!$F$6*AG295+BMILMS!$G$6,BMILMS!$D$7*AG295^3+BMILMS!$E$7*AG295^2+BMILMS!$F$7*AG295+BMILMS!$G$7)),IF(AG295&lt;69,BMILMS!$D$9*AG295^3+BMILMS!$E$9*AG295^2+BMILMS!$F$9*AG295+BMILMS!$G$9,IF(AG295&lt;150,BMILMS!$D$10*AG295^3+BMILMS!$E$10*AG295^2+BMILMS!$F$10*AG295+BMILMS!$G$10,BMILMS!$D$11*AG295^3+BMILMS!$E$11*AG295^2+BMILMS!$F$11*AG295+BMILMS!$G$11)))</f>
        <v>0.79584630099999998</v>
      </c>
      <c r="AE295" s="24">
        <f>IF(D295="M",(IF(AG295&lt;2.5,BMILMS!$D$21*AG295^3+BMILMS!$E$21*AG295^2+BMILMS!$F$21*AG295+BMILMS!$G$21,IF(AG295&lt;9.5,BMILMS!$D$22*AG295^3+BMILMS!$E$22*AG295^2+BMILMS!$F$22*AG295+BMILMS!$G$22,IF(AG295&lt;26.75,BMILMS!$D$23*AG295^3+BMILMS!$E$23*AG295^2+BMILMS!$F$23*AG295+BMILMS!$G$23,IF(AG295&lt;90,BMILMS!$D$24*AG295^3+BMILMS!$E$24*AG295^2+BMILMS!$F$24*AG295+BMILMS!$G$24,BMILMS!$D$25*AG295^3+BMILMS!$E$25*AG295^2+BMILMS!$F$25*AG295+BMILMS!$G$25))))),(IF(AG295&lt;2.5,BMILMS!$D$27*AG295^3+BMILMS!$E$27*AG295^2+BMILMS!$F$27*AG295+BMILMS!$G$27,IF(AG295&lt;9.5,BMILMS!$D$28*AG295^3+BMILMS!$E$28*AG295^2+BMILMS!$F$28*AG295+BMILMS!$G$28,IF(AG295&lt;26.75,BMILMS!$D$29*AG295^3+BMILMS!$E$29*AG295^2+BMILMS!$F$29*AG295+BMILMS!$G$29,IF(AG295&lt;90,BMILMS!$D$30*AG295^3+BMILMS!$E$30*AG295^2+BMILMS!$F$30*AG295+BMILMS!$G$30,IF(AG295&lt;150,BMILMS!$D$31*AG295^3+BMILMS!$E$31*AG295^2+BMILMS!$F$31*AG295+BMILMS!$G$31,BMILMS!$D$32*AG295^3+BMILMS!$E$32*AG295^2+BMILMS!$F$32*AG295+BMILMS!$G$32)))))))</f>
        <v>12.568967990000001</v>
      </c>
      <c r="AF295" s="24">
        <f>IF(D295="M",(IF(AG295&lt;90,BMILMS!$D$14*AG295^3+BMILMS!$E$14*AG295^2+BMILMS!$F$14*AG295+BMILMS!$G$14,BMILMS!$D$15*AG295^3+BMILMS!$E$15*AG295^2+BMILMS!$F$15*AG295+BMILMS!$G$15)),(IF(AG295&lt;90,BMILMS!$D$17*AG295^3+BMILMS!$E$17*AG295^2+BMILMS!$F$17*AG295+BMILMS!$G$17,BMILMS!$D$18*AG295^3+BMILMS!$E$18*AG295^2+BMILMS!$F$18*AG295+BMILMS!$G$18)))</f>
        <v>8.8969350000000003E-2</v>
      </c>
      <c r="AG295" s="24">
        <f t="shared" si="80"/>
        <v>0</v>
      </c>
      <c r="AI295" s="38">
        <f>IF(D295="M",WeightSDS!P$5*$AG295^7+WeightSDS!Q$5*$AG295^6+WeightSDS!R$5*$AG295^5+WeightSDS!S$5*$AG295^4+WeightSDS!T$5*$AG295^3+WeightSDS!U$5*$AG295^2+WeightSDS!V$5*$AG295+WeightSDS!W$5,IF($AG295&lt;186,WeightSDS!P$8*$AG295^7+WeightSDS!Q$8*$AG295^6+WeightSDS!R$8*$AG295^5+WeightSDS!S$8*$AG295^4+WeightSDS!T$8*$AG295^3+WeightSDS!U$8*$AG295^2+WeightSDS!V$8*$AG295+WeightSDS!W$8,WeightSDS!$U$9-WeightSDS!$V$9*($AG295-WeightSDS!$W$9)))</f>
        <v>0.75407122999999998</v>
      </c>
      <c r="AJ295" s="24">
        <f>IF(D295="M",IF($AG295&lt;45,WeightSDS!M$23*$AG295^10+WeightSDS!N$23*$AG295^9+WeightSDS!O$23*$AG295^8+WeightSDS!P$23*$AG295^7+WeightSDS!Q$23*$AG295^6+WeightSDS!R$23*$AG295^5+WeightSDS!S$23*$AG295^4+WeightSDS!T$23*$AG295^3+WeightSDS!U$23*$AG295^2+WeightSDS!V$23*$AG295+WeightSDS!W$23,IF($AG295&lt;153,WeightSDS!M$25*$AG295^10+WeightSDS!N$25*$AG295^9+WeightSDS!O$25*$AG295^8+WeightSDS!P$25*$AG295^7+WeightSDS!Q$25*$AG295^6+WeightSDS!R$25*$AG295^5+WeightSDS!S$25*$AG295^4+WeightSDS!T$25*$AG295^3+WeightSDS!U$25*$AG295^2+WeightSDS!V$25*$AG295+WeightSDS!W$25,WeightSDS!M$27+WeightSDS!N$27/(1+EXP(WeightSDS!O$27+WeightSDS!P$27*$AG295)))),IF($AG295&lt;43.8,WeightSDS!M$29*$AG295^10+WeightSDS!N$29*$AG295^9+WeightSDS!O$29*$AG295^8+WeightSDS!P$29*$AG295^7+WeightSDS!Q$29*$AG295^6+WeightSDS!R$29*$AG295^5+WeightSDS!S$29*$AG295^4+WeightSDS!T$29*$AG295^3+WeightSDS!U$29*$AG295^2+WeightSDS!V$29*$AG295+WeightSDS!W$29-0.010431*(1-$AG295/210),IF($AG295&lt;123,WeightSDS!M$30*$AG295^10+WeightSDS!N$30*$AG295^9+WeightSDS!O$30*$AG295^8+WeightSDS!P$30*$AG295^7+WeightSDS!Q$30*$AG295^6+WeightSDS!R$30*$AG295^5+WeightSDS!S$30*$AG295^4+WeightSDS!T$30*$AG295^3+WeightSDS!U$30*$AG295^2+WeightSDS!V$30*$AG295+WeightSDS!W$30-0.010431*(1-1/$AG295),WeightSDS!M$32+WeightSDS!N$32/(1+EXP(WeightSDS!O$32+WeightSDS!P$32*$AG295))-0.010431*(1-$AG295/210))))</f>
        <v>2.9500001032655536</v>
      </c>
      <c r="AK295" s="24">
        <f>IF(D295="M",IF($AG295&lt;162,WeightSDS!P$12*$AG295^7+WeightSDS!Q$12*$AG295^6+WeightSDS!R$12*$AG295^5+WeightSDS!S$12*$AG295^4+WeightSDS!T$12*$AG295^3+WeightSDS!U$12*$AG295^2+WeightSDS!V$12*$AG295+WeightSDS!W$12,WeightSDS!P$14*$AG295^7+WeightSDS!Q$14*$AG295^6+WeightSDS!R$14*$AG295^5+WeightSDS!S$14*$AG295^4+WeightSDS!T$14*$AG295^3+WeightSDS!U$14*$AG295^2+WeightSDS!V$14*$AG295+WeightSDS!W$14),IF($AG295&lt;156,WeightSDS!O$17*$AG295^8+WeightSDS!P$17*$AG295^7+WeightSDS!Q$17*$AG295^6+WeightSDS!R$17*$AG295^5+WeightSDS!S$17*$AG295^4+WeightSDS!T$17*$AG295^3+WeightSDS!U$17*$AG295^2+WeightSDS!V$17*$AG295+WeightSDS!W$17,IF($AG295&lt;186,WeightSDS!$U$18+(WeightSDS!$V$18-WeightSDS!$U$18)/24*($AG295-186)+WeightSDS!$W$18*(-$AG295+186)^2-0.005,WeightSDS!$U$18+(WeightSDS!$V$18-WeightSDS!$U$18)/24*($AG295-186)-0.005)))</f>
        <v>0.14604529399999999</v>
      </c>
    </row>
    <row r="296" spans="1:37">
      <c r="A296" s="4"/>
      <c r="B296" s="21"/>
      <c r="C296" s="21"/>
      <c r="D296" s="21"/>
      <c r="E296" s="22"/>
      <c r="F296" s="22"/>
      <c r="G296" s="23"/>
      <c r="H296" s="23"/>
      <c r="I296" s="8" t="str">
        <f t="shared" si="66"/>
        <v/>
      </c>
      <c r="J296" s="2" t="str">
        <f t="shared" si="73"/>
        <v/>
      </c>
      <c r="K296" s="2" t="str">
        <f t="shared" si="67"/>
        <v/>
      </c>
      <c r="L296" s="2" t="str">
        <f t="shared" si="74"/>
        <v/>
      </c>
      <c r="M296" s="2" t="str">
        <f t="shared" si="79"/>
        <v/>
      </c>
      <c r="N296" s="2" t="str">
        <f t="shared" si="75"/>
        <v/>
      </c>
      <c r="O296" s="8" t="str">
        <f t="shared" si="76"/>
        <v/>
      </c>
      <c r="P296" s="8" t="str">
        <f t="shared" si="77"/>
        <v/>
      </c>
      <c r="Q296" s="40" t="str">
        <f t="shared" si="68"/>
        <v/>
      </c>
      <c r="R296" s="48" t="str">
        <f t="shared" si="78"/>
        <v/>
      </c>
      <c r="S296" s="8"/>
      <c r="U296" s="35">
        <f t="shared" si="69"/>
        <v>0</v>
      </c>
      <c r="V296" s="24">
        <f t="shared" si="70"/>
        <v>0</v>
      </c>
      <c r="W296" s="41">
        <f t="shared" si="81"/>
        <v>0</v>
      </c>
      <c r="X296" s="31"/>
      <c r="Y296" s="31"/>
      <c r="Z296" s="31"/>
      <c r="AA296" s="25">
        <f t="shared" si="71"/>
        <v>9.0359999999999996</v>
      </c>
      <c r="AB296" s="25">
        <f t="shared" si="72"/>
        <v>-184.49199999999999</v>
      </c>
      <c r="AD296" s="24">
        <f>IF(D296="M",IF(AG296&lt;78,BMILMS!$D$5*AG296^3+BMILMS!$E$5*AG296^2+BMILMS!$F$5*AG296+BMILMS!$G$5,IF(AG296&lt;150,BMILMS!$D$6*AG296^3+BMILMS!$E$6*AG296^2+BMILMS!$F$6*AG296+BMILMS!$G$6,BMILMS!$D$7*AG296^3+BMILMS!$E$7*AG296^2+BMILMS!$F$7*AG296+BMILMS!$G$7)),IF(AG296&lt;69,BMILMS!$D$9*AG296^3+BMILMS!$E$9*AG296^2+BMILMS!$F$9*AG296+BMILMS!$G$9,IF(AG296&lt;150,BMILMS!$D$10*AG296^3+BMILMS!$E$10*AG296^2+BMILMS!$F$10*AG296+BMILMS!$G$10,BMILMS!$D$11*AG296^3+BMILMS!$E$11*AG296^2+BMILMS!$F$11*AG296+BMILMS!$G$11)))</f>
        <v>0.79584630099999998</v>
      </c>
      <c r="AE296" s="24">
        <f>IF(D296="M",(IF(AG296&lt;2.5,BMILMS!$D$21*AG296^3+BMILMS!$E$21*AG296^2+BMILMS!$F$21*AG296+BMILMS!$G$21,IF(AG296&lt;9.5,BMILMS!$D$22*AG296^3+BMILMS!$E$22*AG296^2+BMILMS!$F$22*AG296+BMILMS!$G$22,IF(AG296&lt;26.75,BMILMS!$D$23*AG296^3+BMILMS!$E$23*AG296^2+BMILMS!$F$23*AG296+BMILMS!$G$23,IF(AG296&lt;90,BMILMS!$D$24*AG296^3+BMILMS!$E$24*AG296^2+BMILMS!$F$24*AG296+BMILMS!$G$24,BMILMS!$D$25*AG296^3+BMILMS!$E$25*AG296^2+BMILMS!$F$25*AG296+BMILMS!$G$25))))),(IF(AG296&lt;2.5,BMILMS!$D$27*AG296^3+BMILMS!$E$27*AG296^2+BMILMS!$F$27*AG296+BMILMS!$G$27,IF(AG296&lt;9.5,BMILMS!$D$28*AG296^3+BMILMS!$E$28*AG296^2+BMILMS!$F$28*AG296+BMILMS!$G$28,IF(AG296&lt;26.75,BMILMS!$D$29*AG296^3+BMILMS!$E$29*AG296^2+BMILMS!$F$29*AG296+BMILMS!$G$29,IF(AG296&lt;90,BMILMS!$D$30*AG296^3+BMILMS!$E$30*AG296^2+BMILMS!$F$30*AG296+BMILMS!$G$30,IF(AG296&lt;150,BMILMS!$D$31*AG296^3+BMILMS!$E$31*AG296^2+BMILMS!$F$31*AG296+BMILMS!$G$31,BMILMS!$D$32*AG296^3+BMILMS!$E$32*AG296^2+BMILMS!$F$32*AG296+BMILMS!$G$32)))))))</f>
        <v>12.568967990000001</v>
      </c>
      <c r="AF296" s="24">
        <f>IF(D296="M",(IF(AG296&lt;90,BMILMS!$D$14*AG296^3+BMILMS!$E$14*AG296^2+BMILMS!$F$14*AG296+BMILMS!$G$14,BMILMS!$D$15*AG296^3+BMILMS!$E$15*AG296^2+BMILMS!$F$15*AG296+BMILMS!$G$15)),(IF(AG296&lt;90,BMILMS!$D$17*AG296^3+BMILMS!$E$17*AG296^2+BMILMS!$F$17*AG296+BMILMS!$G$17,BMILMS!$D$18*AG296^3+BMILMS!$E$18*AG296^2+BMILMS!$F$18*AG296+BMILMS!$G$18)))</f>
        <v>8.8969350000000003E-2</v>
      </c>
      <c r="AG296" s="24">
        <f t="shared" si="80"/>
        <v>0</v>
      </c>
      <c r="AI296" s="38">
        <f>IF(D296="M",WeightSDS!P$5*$AG296^7+WeightSDS!Q$5*$AG296^6+WeightSDS!R$5*$AG296^5+WeightSDS!S$5*$AG296^4+WeightSDS!T$5*$AG296^3+WeightSDS!U$5*$AG296^2+WeightSDS!V$5*$AG296+WeightSDS!W$5,IF($AG296&lt;186,WeightSDS!P$8*$AG296^7+WeightSDS!Q$8*$AG296^6+WeightSDS!R$8*$AG296^5+WeightSDS!S$8*$AG296^4+WeightSDS!T$8*$AG296^3+WeightSDS!U$8*$AG296^2+WeightSDS!V$8*$AG296+WeightSDS!W$8,WeightSDS!$U$9-WeightSDS!$V$9*($AG296-WeightSDS!$W$9)))</f>
        <v>0.75407122999999998</v>
      </c>
      <c r="AJ296" s="24">
        <f>IF(D296="M",IF($AG296&lt;45,WeightSDS!M$23*$AG296^10+WeightSDS!N$23*$AG296^9+WeightSDS!O$23*$AG296^8+WeightSDS!P$23*$AG296^7+WeightSDS!Q$23*$AG296^6+WeightSDS!R$23*$AG296^5+WeightSDS!S$23*$AG296^4+WeightSDS!T$23*$AG296^3+WeightSDS!U$23*$AG296^2+WeightSDS!V$23*$AG296+WeightSDS!W$23,IF($AG296&lt;153,WeightSDS!M$25*$AG296^10+WeightSDS!N$25*$AG296^9+WeightSDS!O$25*$AG296^8+WeightSDS!P$25*$AG296^7+WeightSDS!Q$25*$AG296^6+WeightSDS!R$25*$AG296^5+WeightSDS!S$25*$AG296^4+WeightSDS!T$25*$AG296^3+WeightSDS!U$25*$AG296^2+WeightSDS!V$25*$AG296+WeightSDS!W$25,WeightSDS!M$27+WeightSDS!N$27/(1+EXP(WeightSDS!O$27+WeightSDS!P$27*$AG296)))),IF($AG296&lt;43.8,WeightSDS!M$29*$AG296^10+WeightSDS!N$29*$AG296^9+WeightSDS!O$29*$AG296^8+WeightSDS!P$29*$AG296^7+WeightSDS!Q$29*$AG296^6+WeightSDS!R$29*$AG296^5+WeightSDS!S$29*$AG296^4+WeightSDS!T$29*$AG296^3+WeightSDS!U$29*$AG296^2+WeightSDS!V$29*$AG296+WeightSDS!W$29-0.010431*(1-$AG296/210),IF($AG296&lt;123,WeightSDS!M$30*$AG296^10+WeightSDS!N$30*$AG296^9+WeightSDS!O$30*$AG296^8+WeightSDS!P$30*$AG296^7+WeightSDS!Q$30*$AG296^6+WeightSDS!R$30*$AG296^5+WeightSDS!S$30*$AG296^4+WeightSDS!T$30*$AG296^3+WeightSDS!U$30*$AG296^2+WeightSDS!V$30*$AG296+WeightSDS!W$30-0.010431*(1-1/$AG296),WeightSDS!M$32+WeightSDS!N$32/(1+EXP(WeightSDS!O$32+WeightSDS!P$32*$AG296))-0.010431*(1-$AG296/210))))</f>
        <v>2.9500001032655536</v>
      </c>
      <c r="AK296" s="24">
        <f>IF(D296="M",IF($AG296&lt;162,WeightSDS!P$12*$AG296^7+WeightSDS!Q$12*$AG296^6+WeightSDS!R$12*$AG296^5+WeightSDS!S$12*$AG296^4+WeightSDS!T$12*$AG296^3+WeightSDS!U$12*$AG296^2+WeightSDS!V$12*$AG296+WeightSDS!W$12,WeightSDS!P$14*$AG296^7+WeightSDS!Q$14*$AG296^6+WeightSDS!R$14*$AG296^5+WeightSDS!S$14*$AG296^4+WeightSDS!T$14*$AG296^3+WeightSDS!U$14*$AG296^2+WeightSDS!V$14*$AG296+WeightSDS!W$14),IF($AG296&lt;156,WeightSDS!O$17*$AG296^8+WeightSDS!P$17*$AG296^7+WeightSDS!Q$17*$AG296^6+WeightSDS!R$17*$AG296^5+WeightSDS!S$17*$AG296^4+WeightSDS!T$17*$AG296^3+WeightSDS!U$17*$AG296^2+WeightSDS!V$17*$AG296+WeightSDS!W$17,IF($AG296&lt;186,WeightSDS!$U$18+(WeightSDS!$V$18-WeightSDS!$U$18)/24*($AG296-186)+WeightSDS!$W$18*(-$AG296+186)^2-0.005,WeightSDS!$U$18+(WeightSDS!$V$18-WeightSDS!$U$18)/24*($AG296-186)-0.005)))</f>
        <v>0.14604529399999999</v>
      </c>
    </row>
    <row r="297" spans="1:37">
      <c r="A297" s="4"/>
      <c r="B297" s="21"/>
      <c r="C297" s="21"/>
      <c r="D297" s="21"/>
      <c r="E297" s="22"/>
      <c r="F297" s="22"/>
      <c r="G297" s="23"/>
      <c r="H297" s="23"/>
      <c r="I297" s="8" t="str">
        <f t="shared" si="66"/>
        <v/>
      </c>
      <c r="J297" s="2" t="str">
        <f t="shared" si="73"/>
        <v/>
      </c>
      <c r="K297" s="2" t="str">
        <f t="shared" si="67"/>
        <v/>
      </c>
      <c r="L297" s="2" t="str">
        <f t="shared" si="74"/>
        <v/>
      </c>
      <c r="M297" s="2" t="str">
        <f t="shared" si="79"/>
        <v/>
      </c>
      <c r="N297" s="2" t="str">
        <f t="shared" si="75"/>
        <v/>
      </c>
      <c r="O297" s="8" t="str">
        <f t="shared" si="76"/>
        <v/>
      </c>
      <c r="P297" s="8" t="str">
        <f t="shared" si="77"/>
        <v/>
      </c>
      <c r="Q297" s="40" t="str">
        <f t="shared" si="68"/>
        <v/>
      </c>
      <c r="R297" s="48" t="str">
        <f t="shared" si="78"/>
        <v/>
      </c>
      <c r="S297" s="8"/>
      <c r="U297" s="35">
        <f t="shared" si="69"/>
        <v>0</v>
      </c>
      <c r="V297" s="24">
        <f t="shared" si="70"/>
        <v>0</v>
      </c>
      <c r="W297" s="41">
        <f t="shared" si="81"/>
        <v>0</v>
      </c>
      <c r="X297" s="31"/>
      <c r="Y297" s="31"/>
      <c r="Z297" s="31"/>
      <c r="AA297" s="25">
        <f t="shared" si="71"/>
        <v>9.0359999999999996</v>
      </c>
      <c r="AB297" s="25">
        <f t="shared" si="72"/>
        <v>-184.49199999999999</v>
      </c>
      <c r="AD297" s="24">
        <f>IF(D297="M",IF(AG297&lt;78,BMILMS!$D$5*AG297^3+BMILMS!$E$5*AG297^2+BMILMS!$F$5*AG297+BMILMS!$G$5,IF(AG297&lt;150,BMILMS!$D$6*AG297^3+BMILMS!$E$6*AG297^2+BMILMS!$F$6*AG297+BMILMS!$G$6,BMILMS!$D$7*AG297^3+BMILMS!$E$7*AG297^2+BMILMS!$F$7*AG297+BMILMS!$G$7)),IF(AG297&lt;69,BMILMS!$D$9*AG297^3+BMILMS!$E$9*AG297^2+BMILMS!$F$9*AG297+BMILMS!$G$9,IF(AG297&lt;150,BMILMS!$D$10*AG297^3+BMILMS!$E$10*AG297^2+BMILMS!$F$10*AG297+BMILMS!$G$10,BMILMS!$D$11*AG297^3+BMILMS!$E$11*AG297^2+BMILMS!$F$11*AG297+BMILMS!$G$11)))</f>
        <v>0.79584630099999998</v>
      </c>
      <c r="AE297" s="24">
        <f>IF(D297="M",(IF(AG297&lt;2.5,BMILMS!$D$21*AG297^3+BMILMS!$E$21*AG297^2+BMILMS!$F$21*AG297+BMILMS!$G$21,IF(AG297&lt;9.5,BMILMS!$D$22*AG297^3+BMILMS!$E$22*AG297^2+BMILMS!$F$22*AG297+BMILMS!$G$22,IF(AG297&lt;26.75,BMILMS!$D$23*AG297^3+BMILMS!$E$23*AG297^2+BMILMS!$F$23*AG297+BMILMS!$G$23,IF(AG297&lt;90,BMILMS!$D$24*AG297^3+BMILMS!$E$24*AG297^2+BMILMS!$F$24*AG297+BMILMS!$G$24,BMILMS!$D$25*AG297^3+BMILMS!$E$25*AG297^2+BMILMS!$F$25*AG297+BMILMS!$G$25))))),(IF(AG297&lt;2.5,BMILMS!$D$27*AG297^3+BMILMS!$E$27*AG297^2+BMILMS!$F$27*AG297+BMILMS!$G$27,IF(AG297&lt;9.5,BMILMS!$D$28*AG297^3+BMILMS!$E$28*AG297^2+BMILMS!$F$28*AG297+BMILMS!$G$28,IF(AG297&lt;26.75,BMILMS!$D$29*AG297^3+BMILMS!$E$29*AG297^2+BMILMS!$F$29*AG297+BMILMS!$G$29,IF(AG297&lt;90,BMILMS!$D$30*AG297^3+BMILMS!$E$30*AG297^2+BMILMS!$F$30*AG297+BMILMS!$G$30,IF(AG297&lt;150,BMILMS!$D$31*AG297^3+BMILMS!$E$31*AG297^2+BMILMS!$F$31*AG297+BMILMS!$G$31,BMILMS!$D$32*AG297^3+BMILMS!$E$32*AG297^2+BMILMS!$F$32*AG297+BMILMS!$G$32)))))))</f>
        <v>12.568967990000001</v>
      </c>
      <c r="AF297" s="24">
        <f>IF(D297="M",(IF(AG297&lt;90,BMILMS!$D$14*AG297^3+BMILMS!$E$14*AG297^2+BMILMS!$F$14*AG297+BMILMS!$G$14,BMILMS!$D$15*AG297^3+BMILMS!$E$15*AG297^2+BMILMS!$F$15*AG297+BMILMS!$G$15)),(IF(AG297&lt;90,BMILMS!$D$17*AG297^3+BMILMS!$E$17*AG297^2+BMILMS!$F$17*AG297+BMILMS!$G$17,BMILMS!$D$18*AG297^3+BMILMS!$E$18*AG297^2+BMILMS!$F$18*AG297+BMILMS!$G$18)))</f>
        <v>8.8969350000000003E-2</v>
      </c>
      <c r="AG297" s="24">
        <f t="shared" si="80"/>
        <v>0</v>
      </c>
      <c r="AI297" s="38">
        <f>IF(D297="M",WeightSDS!P$5*$AG297^7+WeightSDS!Q$5*$AG297^6+WeightSDS!R$5*$AG297^5+WeightSDS!S$5*$AG297^4+WeightSDS!T$5*$AG297^3+WeightSDS!U$5*$AG297^2+WeightSDS!V$5*$AG297+WeightSDS!W$5,IF($AG297&lt;186,WeightSDS!P$8*$AG297^7+WeightSDS!Q$8*$AG297^6+WeightSDS!R$8*$AG297^5+WeightSDS!S$8*$AG297^4+WeightSDS!T$8*$AG297^3+WeightSDS!U$8*$AG297^2+WeightSDS!V$8*$AG297+WeightSDS!W$8,WeightSDS!$U$9-WeightSDS!$V$9*($AG297-WeightSDS!$W$9)))</f>
        <v>0.75407122999999998</v>
      </c>
      <c r="AJ297" s="24">
        <f>IF(D297="M",IF($AG297&lt;45,WeightSDS!M$23*$AG297^10+WeightSDS!N$23*$AG297^9+WeightSDS!O$23*$AG297^8+WeightSDS!P$23*$AG297^7+WeightSDS!Q$23*$AG297^6+WeightSDS!R$23*$AG297^5+WeightSDS!S$23*$AG297^4+WeightSDS!T$23*$AG297^3+WeightSDS!U$23*$AG297^2+WeightSDS!V$23*$AG297+WeightSDS!W$23,IF($AG297&lt;153,WeightSDS!M$25*$AG297^10+WeightSDS!N$25*$AG297^9+WeightSDS!O$25*$AG297^8+WeightSDS!P$25*$AG297^7+WeightSDS!Q$25*$AG297^6+WeightSDS!R$25*$AG297^5+WeightSDS!S$25*$AG297^4+WeightSDS!T$25*$AG297^3+WeightSDS!U$25*$AG297^2+WeightSDS!V$25*$AG297+WeightSDS!W$25,WeightSDS!M$27+WeightSDS!N$27/(1+EXP(WeightSDS!O$27+WeightSDS!P$27*$AG297)))),IF($AG297&lt;43.8,WeightSDS!M$29*$AG297^10+WeightSDS!N$29*$AG297^9+WeightSDS!O$29*$AG297^8+WeightSDS!P$29*$AG297^7+WeightSDS!Q$29*$AG297^6+WeightSDS!R$29*$AG297^5+WeightSDS!S$29*$AG297^4+WeightSDS!T$29*$AG297^3+WeightSDS!U$29*$AG297^2+WeightSDS!V$29*$AG297+WeightSDS!W$29-0.010431*(1-$AG297/210),IF($AG297&lt;123,WeightSDS!M$30*$AG297^10+WeightSDS!N$30*$AG297^9+WeightSDS!O$30*$AG297^8+WeightSDS!P$30*$AG297^7+WeightSDS!Q$30*$AG297^6+WeightSDS!R$30*$AG297^5+WeightSDS!S$30*$AG297^4+WeightSDS!T$30*$AG297^3+WeightSDS!U$30*$AG297^2+WeightSDS!V$30*$AG297+WeightSDS!W$30-0.010431*(1-1/$AG297),WeightSDS!M$32+WeightSDS!N$32/(1+EXP(WeightSDS!O$32+WeightSDS!P$32*$AG297))-0.010431*(1-$AG297/210))))</f>
        <v>2.9500001032655536</v>
      </c>
      <c r="AK297" s="24">
        <f>IF(D297="M",IF($AG297&lt;162,WeightSDS!P$12*$AG297^7+WeightSDS!Q$12*$AG297^6+WeightSDS!R$12*$AG297^5+WeightSDS!S$12*$AG297^4+WeightSDS!T$12*$AG297^3+WeightSDS!U$12*$AG297^2+WeightSDS!V$12*$AG297+WeightSDS!W$12,WeightSDS!P$14*$AG297^7+WeightSDS!Q$14*$AG297^6+WeightSDS!R$14*$AG297^5+WeightSDS!S$14*$AG297^4+WeightSDS!T$14*$AG297^3+WeightSDS!U$14*$AG297^2+WeightSDS!V$14*$AG297+WeightSDS!W$14),IF($AG297&lt;156,WeightSDS!O$17*$AG297^8+WeightSDS!P$17*$AG297^7+WeightSDS!Q$17*$AG297^6+WeightSDS!R$17*$AG297^5+WeightSDS!S$17*$AG297^4+WeightSDS!T$17*$AG297^3+WeightSDS!U$17*$AG297^2+WeightSDS!V$17*$AG297+WeightSDS!W$17,IF($AG297&lt;186,WeightSDS!$U$18+(WeightSDS!$V$18-WeightSDS!$U$18)/24*($AG297-186)+WeightSDS!$W$18*(-$AG297+186)^2-0.005,WeightSDS!$U$18+(WeightSDS!$V$18-WeightSDS!$U$18)/24*($AG297-186)-0.005)))</f>
        <v>0.14604529399999999</v>
      </c>
    </row>
    <row r="298" spans="1:37">
      <c r="A298" s="4"/>
      <c r="B298" s="21"/>
      <c r="C298" s="21"/>
      <c r="D298" s="21"/>
      <c r="E298" s="22"/>
      <c r="F298" s="22"/>
      <c r="G298" s="23"/>
      <c r="H298" s="23"/>
      <c r="I298" s="8" t="str">
        <f t="shared" si="66"/>
        <v/>
      </c>
      <c r="J298" s="2" t="str">
        <f t="shared" si="73"/>
        <v/>
      </c>
      <c r="K298" s="2" t="str">
        <f t="shared" si="67"/>
        <v/>
      </c>
      <c r="L298" s="2" t="str">
        <f t="shared" si="74"/>
        <v/>
      </c>
      <c r="M298" s="2" t="str">
        <f t="shared" si="79"/>
        <v/>
      </c>
      <c r="N298" s="2" t="str">
        <f t="shared" si="75"/>
        <v/>
      </c>
      <c r="O298" s="8" t="str">
        <f t="shared" si="76"/>
        <v/>
      </c>
      <c r="P298" s="8" t="str">
        <f t="shared" si="77"/>
        <v/>
      </c>
      <c r="Q298" s="40" t="str">
        <f t="shared" si="68"/>
        <v/>
      </c>
      <c r="R298" s="48" t="str">
        <f t="shared" si="78"/>
        <v/>
      </c>
      <c r="S298" s="8"/>
      <c r="U298" s="35">
        <f t="shared" si="69"/>
        <v>0</v>
      </c>
      <c r="V298" s="24">
        <f t="shared" si="70"/>
        <v>0</v>
      </c>
      <c r="W298" s="41">
        <f t="shared" si="81"/>
        <v>0</v>
      </c>
      <c r="X298" s="31"/>
      <c r="Y298" s="31"/>
      <c r="Z298" s="31"/>
      <c r="AA298" s="25">
        <f t="shared" si="71"/>
        <v>9.0359999999999996</v>
      </c>
      <c r="AB298" s="25">
        <f t="shared" si="72"/>
        <v>-184.49199999999999</v>
      </c>
      <c r="AD298" s="24">
        <f>IF(D298="M",IF(AG298&lt;78,BMILMS!$D$5*AG298^3+BMILMS!$E$5*AG298^2+BMILMS!$F$5*AG298+BMILMS!$G$5,IF(AG298&lt;150,BMILMS!$D$6*AG298^3+BMILMS!$E$6*AG298^2+BMILMS!$F$6*AG298+BMILMS!$G$6,BMILMS!$D$7*AG298^3+BMILMS!$E$7*AG298^2+BMILMS!$F$7*AG298+BMILMS!$G$7)),IF(AG298&lt;69,BMILMS!$D$9*AG298^3+BMILMS!$E$9*AG298^2+BMILMS!$F$9*AG298+BMILMS!$G$9,IF(AG298&lt;150,BMILMS!$D$10*AG298^3+BMILMS!$E$10*AG298^2+BMILMS!$F$10*AG298+BMILMS!$G$10,BMILMS!$D$11*AG298^3+BMILMS!$E$11*AG298^2+BMILMS!$F$11*AG298+BMILMS!$G$11)))</f>
        <v>0.79584630099999998</v>
      </c>
      <c r="AE298" s="24">
        <f>IF(D298="M",(IF(AG298&lt;2.5,BMILMS!$D$21*AG298^3+BMILMS!$E$21*AG298^2+BMILMS!$F$21*AG298+BMILMS!$G$21,IF(AG298&lt;9.5,BMILMS!$D$22*AG298^3+BMILMS!$E$22*AG298^2+BMILMS!$F$22*AG298+BMILMS!$G$22,IF(AG298&lt;26.75,BMILMS!$D$23*AG298^3+BMILMS!$E$23*AG298^2+BMILMS!$F$23*AG298+BMILMS!$G$23,IF(AG298&lt;90,BMILMS!$D$24*AG298^3+BMILMS!$E$24*AG298^2+BMILMS!$F$24*AG298+BMILMS!$G$24,BMILMS!$D$25*AG298^3+BMILMS!$E$25*AG298^2+BMILMS!$F$25*AG298+BMILMS!$G$25))))),(IF(AG298&lt;2.5,BMILMS!$D$27*AG298^3+BMILMS!$E$27*AG298^2+BMILMS!$F$27*AG298+BMILMS!$G$27,IF(AG298&lt;9.5,BMILMS!$D$28*AG298^3+BMILMS!$E$28*AG298^2+BMILMS!$F$28*AG298+BMILMS!$G$28,IF(AG298&lt;26.75,BMILMS!$D$29*AG298^3+BMILMS!$E$29*AG298^2+BMILMS!$F$29*AG298+BMILMS!$G$29,IF(AG298&lt;90,BMILMS!$D$30*AG298^3+BMILMS!$E$30*AG298^2+BMILMS!$F$30*AG298+BMILMS!$G$30,IF(AG298&lt;150,BMILMS!$D$31*AG298^3+BMILMS!$E$31*AG298^2+BMILMS!$F$31*AG298+BMILMS!$G$31,BMILMS!$D$32*AG298^3+BMILMS!$E$32*AG298^2+BMILMS!$F$32*AG298+BMILMS!$G$32)))))))</f>
        <v>12.568967990000001</v>
      </c>
      <c r="AF298" s="24">
        <f>IF(D298="M",(IF(AG298&lt;90,BMILMS!$D$14*AG298^3+BMILMS!$E$14*AG298^2+BMILMS!$F$14*AG298+BMILMS!$G$14,BMILMS!$D$15*AG298^3+BMILMS!$E$15*AG298^2+BMILMS!$F$15*AG298+BMILMS!$G$15)),(IF(AG298&lt;90,BMILMS!$D$17*AG298^3+BMILMS!$E$17*AG298^2+BMILMS!$F$17*AG298+BMILMS!$G$17,BMILMS!$D$18*AG298^3+BMILMS!$E$18*AG298^2+BMILMS!$F$18*AG298+BMILMS!$G$18)))</f>
        <v>8.8969350000000003E-2</v>
      </c>
      <c r="AG298" s="24">
        <f t="shared" si="80"/>
        <v>0</v>
      </c>
      <c r="AI298" s="38">
        <f>IF(D298="M",WeightSDS!P$5*$AG298^7+WeightSDS!Q$5*$AG298^6+WeightSDS!R$5*$AG298^5+WeightSDS!S$5*$AG298^4+WeightSDS!T$5*$AG298^3+WeightSDS!U$5*$AG298^2+WeightSDS!V$5*$AG298+WeightSDS!W$5,IF($AG298&lt;186,WeightSDS!P$8*$AG298^7+WeightSDS!Q$8*$AG298^6+WeightSDS!R$8*$AG298^5+WeightSDS!S$8*$AG298^4+WeightSDS!T$8*$AG298^3+WeightSDS!U$8*$AG298^2+WeightSDS!V$8*$AG298+WeightSDS!W$8,WeightSDS!$U$9-WeightSDS!$V$9*($AG298-WeightSDS!$W$9)))</f>
        <v>0.75407122999999998</v>
      </c>
      <c r="AJ298" s="24">
        <f>IF(D298="M",IF($AG298&lt;45,WeightSDS!M$23*$AG298^10+WeightSDS!N$23*$AG298^9+WeightSDS!O$23*$AG298^8+WeightSDS!P$23*$AG298^7+WeightSDS!Q$23*$AG298^6+WeightSDS!R$23*$AG298^5+WeightSDS!S$23*$AG298^4+WeightSDS!T$23*$AG298^3+WeightSDS!U$23*$AG298^2+WeightSDS!V$23*$AG298+WeightSDS!W$23,IF($AG298&lt;153,WeightSDS!M$25*$AG298^10+WeightSDS!N$25*$AG298^9+WeightSDS!O$25*$AG298^8+WeightSDS!P$25*$AG298^7+WeightSDS!Q$25*$AG298^6+WeightSDS!R$25*$AG298^5+WeightSDS!S$25*$AG298^4+WeightSDS!T$25*$AG298^3+WeightSDS!U$25*$AG298^2+WeightSDS!V$25*$AG298+WeightSDS!W$25,WeightSDS!M$27+WeightSDS!N$27/(1+EXP(WeightSDS!O$27+WeightSDS!P$27*$AG298)))),IF($AG298&lt;43.8,WeightSDS!M$29*$AG298^10+WeightSDS!N$29*$AG298^9+WeightSDS!O$29*$AG298^8+WeightSDS!P$29*$AG298^7+WeightSDS!Q$29*$AG298^6+WeightSDS!R$29*$AG298^5+WeightSDS!S$29*$AG298^4+WeightSDS!T$29*$AG298^3+WeightSDS!U$29*$AG298^2+WeightSDS!V$29*$AG298+WeightSDS!W$29-0.010431*(1-$AG298/210),IF($AG298&lt;123,WeightSDS!M$30*$AG298^10+WeightSDS!N$30*$AG298^9+WeightSDS!O$30*$AG298^8+WeightSDS!P$30*$AG298^7+WeightSDS!Q$30*$AG298^6+WeightSDS!R$30*$AG298^5+WeightSDS!S$30*$AG298^4+WeightSDS!T$30*$AG298^3+WeightSDS!U$30*$AG298^2+WeightSDS!V$30*$AG298+WeightSDS!W$30-0.010431*(1-1/$AG298),WeightSDS!M$32+WeightSDS!N$32/(1+EXP(WeightSDS!O$32+WeightSDS!P$32*$AG298))-0.010431*(1-$AG298/210))))</f>
        <v>2.9500001032655536</v>
      </c>
      <c r="AK298" s="24">
        <f>IF(D298="M",IF($AG298&lt;162,WeightSDS!P$12*$AG298^7+WeightSDS!Q$12*$AG298^6+WeightSDS!R$12*$AG298^5+WeightSDS!S$12*$AG298^4+WeightSDS!T$12*$AG298^3+WeightSDS!U$12*$AG298^2+WeightSDS!V$12*$AG298+WeightSDS!W$12,WeightSDS!P$14*$AG298^7+WeightSDS!Q$14*$AG298^6+WeightSDS!R$14*$AG298^5+WeightSDS!S$14*$AG298^4+WeightSDS!T$14*$AG298^3+WeightSDS!U$14*$AG298^2+WeightSDS!V$14*$AG298+WeightSDS!W$14),IF($AG298&lt;156,WeightSDS!O$17*$AG298^8+WeightSDS!P$17*$AG298^7+WeightSDS!Q$17*$AG298^6+WeightSDS!R$17*$AG298^5+WeightSDS!S$17*$AG298^4+WeightSDS!T$17*$AG298^3+WeightSDS!U$17*$AG298^2+WeightSDS!V$17*$AG298+WeightSDS!W$17,IF($AG298&lt;186,WeightSDS!$U$18+(WeightSDS!$V$18-WeightSDS!$U$18)/24*($AG298-186)+WeightSDS!$W$18*(-$AG298+186)^2-0.005,WeightSDS!$U$18+(WeightSDS!$V$18-WeightSDS!$U$18)/24*($AG298-186)-0.005)))</f>
        <v>0.14604529399999999</v>
      </c>
    </row>
    <row r="299" spans="1:37">
      <c r="A299" s="4"/>
      <c r="B299" s="21"/>
      <c r="C299" s="21"/>
      <c r="D299" s="21"/>
      <c r="E299" s="22"/>
      <c r="F299" s="22"/>
      <c r="G299" s="23"/>
      <c r="H299" s="23"/>
      <c r="I299" s="8" t="str">
        <f t="shared" si="66"/>
        <v/>
      </c>
      <c r="J299" s="2" t="str">
        <f t="shared" si="73"/>
        <v/>
      </c>
      <c r="K299" s="2" t="str">
        <f t="shared" si="67"/>
        <v/>
      </c>
      <c r="L299" s="2" t="str">
        <f t="shared" si="74"/>
        <v/>
      </c>
      <c r="M299" s="2" t="str">
        <f t="shared" si="79"/>
        <v/>
      </c>
      <c r="N299" s="2" t="str">
        <f t="shared" si="75"/>
        <v/>
      </c>
      <c r="O299" s="8" t="str">
        <f t="shared" si="76"/>
        <v/>
      </c>
      <c r="P299" s="8" t="str">
        <f t="shared" si="77"/>
        <v/>
      </c>
      <c r="Q299" s="40" t="str">
        <f t="shared" si="68"/>
        <v/>
      </c>
      <c r="R299" s="48" t="str">
        <f t="shared" si="78"/>
        <v/>
      </c>
      <c r="S299" s="8"/>
      <c r="U299" s="35">
        <f t="shared" si="69"/>
        <v>0</v>
      </c>
      <c r="V299" s="24">
        <f t="shared" si="70"/>
        <v>0</v>
      </c>
      <c r="W299" s="41">
        <f t="shared" si="81"/>
        <v>0</v>
      </c>
      <c r="X299" s="31"/>
      <c r="Y299" s="31"/>
      <c r="Z299" s="31"/>
      <c r="AA299" s="25">
        <f t="shared" si="71"/>
        <v>9.0359999999999996</v>
      </c>
      <c r="AB299" s="25">
        <f t="shared" si="72"/>
        <v>-184.49199999999999</v>
      </c>
      <c r="AD299" s="24">
        <f>IF(D299="M",IF(AG299&lt;78,BMILMS!$D$5*AG299^3+BMILMS!$E$5*AG299^2+BMILMS!$F$5*AG299+BMILMS!$G$5,IF(AG299&lt;150,BMILMS!$D$6*AG299^3+BMILMS!$E$6*AG299^2+BMILMS!$F$6*AG299+BMILMS!$G$6,BMILMS!$D$7*AG299^3+BMILMS!$E$7*AG299^2+BMILMS!$F$7*AG299+BMILMS!$G$7)),IF(AG299&lt;69,BMILMS!$D$9*AG299^3+BMILMS!$E$9*AG299^2+BMILMS!$F$9*AG299+BMILMS!$G$9,IF(AG299&lt;150,BMILMS!$D$10*AG299^3+BMILMS!$E$10*AG299^2+BMILMS!$F$10*AG299+BMILMS!$G$10,BMILMS!$D$11*AG299^3+BMILMS!$E$11*AG299^2+BMILMS!$F$11*AG299+BMILMS!$G$11)))</f>
        <v>0.79584630099999998</v>
      </c>
      <c r="AE299" s="24">
        <f>IF(D299="M",(IF(AG299&lt;2.5,BMILMS!$D$21*AG299^3+BMILMS!$E$21*AG299^2+BMILMS!$F$21*AG299+BMILMS!$G$21,IF(AG299&lt;9.5,BMILMS!$D$22*AG299^3+BMILMS!$E$22*AG299^2+BMILMS!$F$22*AG299+BMILMS!$G$22,IF(AG299&lt;26.75,BMILMS!$D$23*AG299^3+BMILMS!$E$23*AG299^2+BMILMS!$F$23*AG299+BMILMS!$G$23,IF(AG299&lt;90,BMILMS!$D$24*AG299^3+BMILMS!$E$24*AG299^2+BMILMS!$F$24*AG299+BMILMS!$G$24,BMILMS!$D$25*AG299^3+BMILMS!$E$25*AG299^2+BMILMS!$F$25*AG299+BMILMS!$G$25))))),(IF(AG299&lt;2.5,BMILMS!$D$27*AG299^3+BMILMS!$E$27*AG299^2+BMILMS!$F$27*AG299+BMILMS!$G$27,IF(AG299&lt;9.5,BMILMS!$D$28*AG299^3+BMILMS!$E$28*AG299^2+BMILMS!$F$28*AG299+BMILMS!$G$28,IF(AG299&lt;26.75,BMILMS!$D$29*AG299^3+BMILMS!$E$29*AG299^2+BMILMS!$F$29*AG299+BMILMS!$G$29,IF(AG299&lt;90,BMILMS!$D$30*AG299^3+BMILMS!$E$30*AG299^2+BMILMS!$F$30*AG299+BMILMS!$G$30,IF(AG299&lt;150,BMILMS!$D$31*AG299^3+BMILMS!$E$31*AG299^2+BMILMS!$F$31*AG299+BMILMS!$G$31,BMILMS!$D$32*AG299^3+BMILMS!$E$32*AG299^2+BMILMS!$F$32*AG299+BMILMS!$G$32)))))))</f>
        <v>12.568967990000001</v>
      </c>
      <c r="AF299" s="24">
        <f>IF(D299="M",(IF(AG299&lt;90,BMILMS!$D$14*AG299^3+BMILMS!$E$14*AG299^2+BMILMS!$F$14*AG299+BMILMS!$G$14,BMILMS!$D$15*AG299^3+BMILMS!$E$15*AG299^2+BMILMS!$F$15*AG299+BMILMS!$G$15)),(IF(AG299&lt;90,BMILMS!$D$17*AG299^3+BMILMS!$E$17*AG299^2+BMILMS!$F$17*AG299+BMILMS!$G$17,BMILMS!$D$18*AG299^3+BMILMS!$E$18*AG299^2+BMILMS!$F$18*AG299+BMILMS!$G$18)))</f>
        <v>8.8969350000000003E-2</v>
      </c>
      <c r="AG299" s="24">
        <f t="shared" si="80"/>
        <v>0</v>
      </c>
      <c r="AI299" s="38">
        <f>IF(D299="M",WeightSDS!P$5*$AG299^7+WeightSDS!Q$5*$AG299^6+WeightSDS!R$5*$AG299^5+WeightSDS!S$5*$AG299^4+WeightSDS!T$5*$AG299^3+WeightSDS!U$5*$AG299^2+WeightSDS!V$5*$AG299+WeightSDS!W$5,IF($AG299&lt;186,WeightSDS!P$8*$AG299^7+WeightSDS!Q$8*$AG299^6+WeightSDS!R$8*$AG299^5+WeightSDS!S$8*$AG299^4+WeightSDS!T$8*$AG299^3+WeightSDS!U$8*$AG299^2+WeightSDS!V$8*$AG299+WeightSDS!W$8,WeightSDS!$U$9-WeightSDS!$V$9*($AG299-WeightSDS!$W$9)))</f>
        <v>0.75407122999999998</v>
      </c>
      <c r="AJ299" s="24">
        <f>IF(D299="M",IF($AG299&lt;45,WeightSDS!M$23*$AG299^10+WeightSDS!N$23*$AG299^9+WeightSDS!O$23*$AG299^8+WeightSDS!P$23*$AG299^7+WeightSDS!Q$23*$AG299^6+WeightSDS!R$23*$AG299^5+WeightSDS!S$23*$AG299^4+WeightSDS!T$23*$AG299^3+WeightSDS!U$23*$AG299^2+WeightSDS!V$23*$AG299+WeightSDS!W$23,IF($AG299&lt;153,WeightSDS!M$25*$AG299^10+WeightSDS!N$25*$AG299^9+WeightSDS!O$25*$AG299^8+WeightSDS!P$25*$AG299^7+WeightSDS!Q$25*$AG299^6+WeightSDS!R$25*$AG299^5+WeightSDS!S$25*$AG299^4+WeightSDS!T$25*$AG299^3+WeightSDS!U$25*$AG299^2+WeightSDS!V$25*$AG299+WeightSDS!W$25,WeightSDS!M$27+WeightSDS!N$27/(1+EXP(WeightSDS!O$27+WeightSDS!P$27*$AG299)))),IF($AG299&lt;43.8,WeightSDS!M$29*$AG299^10+WeightSDS!N$29*$AG299^9+WeightSDS!O$29*$AG299^8+WeightSDS!P$29*$AG299^7+WeightSDS!Q$29*$AG299^6+WeightSDS!R$29*$AG299^5+WeightSDS!S$29*$AG299^4+WeightSDS!T$29*$AG299^3+WeightSDS!U$29*$AG299^2+WeightSDS!V$29*$AG299+WeightSDS!W$29-0.010431*(1-$AG299/210),IF($AG299&lt;123,WeightSDS!M$30*$AG299^10+WeightSDS!N$30*$AG299^9+WeightSDS!O$30*$AG299^8+WeightSDS!P$30*$AG299^7+WeightSDS!Q$30*$AG299^6+WeightSDS!R$30*$AG299^5+WeightSDS!S$30*$AG299^4+WeightSDS!T$30*$AG299^3+WeightSDS!U$30*$AG299^2+WeightSDS!V$30*$AG299+WeightSDS!W$30-0.010431*(1-1/$AG299),WeightSDS!M$32+WeightSDS!N$32/(1+EXP(WeightSDS!O$32+WeightSDS!P$32*$AG299))-0.010431*(1-$AG299/210))))</f>
        <v>2.9500001032655536</v>
      </c>
      <c r="AK299" s="24">
        <f>IF(D299="M",IF($AG299&lt;162,WeightSDS!P$12*$AG299^7+WeightSDS!Q$12*$AG299^6+WeightSDS!R$12*$AG299^5+WeightSDS!S$12*$AG299^4+WeightSDS!T$12*$AG299^3+WeightSDS!U$12*$AG299^2+WeightSDS!V$12*$AG299+WeightSDS!W$12,WeightSDS!P$14*$AG299^7+WeightSDS!Q$14*$AG299^6+WeightSDS!R$14*$AG299^5+WeightSDS!S$14*$AG299^4+WeightSDS!T$14*$AG299^3+WeightSDS!U$14*$AG299^2+WeightSDS!V$14*$AG299+WeightSDS!W$14),IF($AG299&lt;156,WeightSDS!O$17*$AG299^8+WeightSDS!P$17*$AG299^7+WeightSDS!Q$17*$AG299^6+WeightSDS!R$17*$AG299^5+WeightSDS!S$17*$AG299^4+WeightSDS!T$17*$AG299^3+WeightSDS!U$17*$AG299^2+WeightSDS!V$17*$AG299+WeightSDS!W$17,IF($AG299&lt;186,WeightSDS!$U$18+(WeightSDS!$V$18-WeightSDS!$U$18)/24*($AG299-186)+WeightSDS!$W$18*(-$AG299+186)^2-0.005,WeightSDS!$U$18+(WeightSDS!$V$18-WeightSDS!$U$18)/24*($AG299-186)-0.005)))</f>
        <v>0.14604529399999999</v>
      </c>
    </row>
    <row r="300" spans="1:37">
      <c r="A300" s="4"/>
      <c r="B300" s="21"/>
      <c r="C300" s="21"/>
      <c r="D300" s="21"/>
      <c r="E300" s="22"/>
      <c r="F300" s="22"/>
      <c r="G300" s="23"/>
      <c r="H300" s="23"/>
      <c r="I300" s="8" t="str">
        <f t="shared" si="66"/>
        <v/>
      </c>
      <c r="J300" s="2" t="str">
        <f t="shared" si="73"/>
        <v/>
      </c>
      <c r="K300" s="2" t="str">
        <f t="shared" si="67"/>
        <v/>
      </c>
      <c r="L300" s="2" t="str">
        <f t="shared" si="74"/>
        <v/>
      </c>
      <c r="M300" s="2" t="str">
        <f t="shared" si="79"/>
        <v/>
      </c>
      <c r="N300" s="2" t="str">
        <f t="shared" si="75"/>
        <v/>
      </c>
      <c r="O300" s="8" t="str">
        <f t="shared" si="76"/>
        <v/>
      </c>
      <c r="P300" s="8" t="str">
        <f t="shared" si="77"/>
        <v/>
      </c>
      <c r="Q300" s="40" t="str">
        <f t="shared" si="68"/>
        <v/>
      </c>
      <c r="R300" s="48" t="str">
        <f t="shared" si="78"/>
        <v/>
      </c>
      <c r="S300" s="8"/>
      <c r="U300" s="35">
        <f t="shared" si="69"/>
        <v>0</v>
      </c>
      <c r="V300" s="24">
        <f t="shared" si="70"/>
        <v>0</v>
      </c>
      <c r="W300" s="41">
        <f t="shared" si="81"/>
        <v>0</v>
      </c>
      <c r="X300" s="31"/>
      <c r="Y300" s="31"/>
      <c r="Z300" s="31"/>
      <c r="AA300" s="25">
        <f t="shared" si="71"/>
        <v>9.0359999999999996</v>
      </c>
      <c r="AB300" s="25">
        <f t="shared" si="72"/>
        <v>-184.49199999999999</v>
      </c>
      <c r="AD300" s="24">
        <f>IF(D300="M",IF(AG300&lt;78,BMILMS!$D$5*AG300^3+BMILMS!$E$5*AG300^2+BMILMS!$F$5*AG300+BMILMS!$G$5,IF(AG300&lt;150,BMILMS!$D$6*AG300^3+BMILMS!$E$6*AG300^2+BMILMS!$F$6*AG300+BMILMS!$G$6,BMILMS!$D$7*AG300^3+BMILMS!$E$7*AG300^2+BMILMS!$F$7*AG300+BMILMS!$G$7)),IF(AG300&lt;69,BMILMS!$D$9*AG300^3+BMILMS!$E$9*AG300^2+BMILMS!$F$9*AG300+BMILMS!$G$9,IF(AG300&lt;150,BMILMS!$D$10*AG300^3+BMILMS!$E$10*AG300^2+BMILMS!$F$10*AG300+BMILMS!$G$10,BMILMS!$D$11*AG300^3+BMILMS!$E$11*AG300^2+BMILMS!$F$11*AG300+BMILMS!$G$11)))</f>
        <v>0.79584630099999998</v>
      </c>
      <c r="AE300" s="24">
        <f>IF(D300="M",(IF(AG300&lt;2.5,BMILMS!$D$21*AG300^3+BMILMS!$E$21*AG300^2+BMILMS!$F$21*AG300+BMILMS!$G$21,IF(AG300&lt;9.5,BMILMS!$D$22*AG300^3+BMILMS!$E$22*AG300^2+BMILMS!$F$22*AG300+BMILMS!$G$22,IF(AG300&lt;26.75,BMILMS!$D$23*AG300^3+BMILMS!$E$23*AG300^2+BMILMS!$F$23*AG300+BMILMS!$G$23,IF(AG300&lt;90,BMILMS!$D$24*AG300^3+BMILMS!$E$24*AG300^2+BMILMS!$F$24*AG300+BMILMS!$G$24,BMILMS!$D$25*AG300^3+BMILMS!$E$25*AG300^2+BMILMS!$F$25*AG300+BMILMS!$G$25))))),(IF(AG300&lt;2.5,BMILMS!$D$27*AG300^3+BMILMS!$E$27*AG300^2+BMILMS!$F$27*AG300+BMILMS!$G$27,IF(AG300&lt;9.5,BMILMS!$D$28*AG300^3+BMILMS!$E$28*AG300^2+BMILMS!$F$28*AG300+BMILMS!$G$28,IF(AG300&lt;26.75,BMILMS!$D$29*AG300^3+BMILMS!$E$29*AG300^2+BMILMS!$F$29*AG300+BMILMS!$G$29,IF(AG300&lt;90,BMILMS!$D$30*AG300^3+BMILMS!$E$30*AG300^2+BMILMS!$F$30*AG300+BMILMS!$G$30,IF(AG300&lt;150,BMILMS!$D$31*AG300^3+BMILMS!$E$31*AG300^2+BMILMS!$F$31*AG300+BMILMS!$G$31,BMILMS!$D$32*AG300^3+BMILMS!$E$32*AG300^2+BMILMS!$F$32*AG300+BMILMS!$G$32)))))))</f>
        <v>12.568967990000001</v>
      </c>
      <c r="AF300" s="24">
        <f>IF(D300="M",(IF(AG300&lt;90,BMILMS!$D$14*AG300^3+BMILMS!$E$14*AG300^2+BMILMS!$F$14*AG300+BMILMS!$G$14,BMILMS!$D$15*AG300^3+BMILMS!$E$15*AG300^2+BMILMS!$F$15*AG300+BMILMS!$G$15)),(IF(AG300&lt;90,BMILMS!$D$17*AG300^3+BMILMS!$E$17*AG300^2+BMILMS!$F$17*AG300+BMILMS!$G$17,BMILMS!$D$18*AG300^3+BMILMS!$E$18*AG300^2+BMILMS!$F$18*AG300+BMILMS!$G$18)))</f>
        <v>8.8969350000000003E-2</v>
      </c>
      <c r="AG300" s="24">
        <f t="shared" si="80"/>
        <v>0</v>
      </c>
      <c r="AI300" s="38">
        <f>IF(D300="M",WeightSDS!P$5*$AG300^7+WeightSDS!Q$5*$AG300^6+WeightSDS!R$5*$AG300^5+WeightSDS!S$5*$AG300^4+WeightSDS!T$5*$AG300^3+WeightSDS!U$5*$AG300^2+WeightSDS!V$5*$AG300+WeightSDS!W$5,IF($AG300&lt;186,WeightSDS!P$8*$AG300^7+WeightSDS!Q$8*$AG300^6+WeightSDS!R$8*$AG300^5+WeightSDS!S$8*$AG300^4+WeightSDS!T$8*$AG300^3+WeightSDS!U$8*$AG300^2+WeightSDS!V$8*$AG300+WeightSDS!W$8,WeightSDS!$U$9-WeightSDS!$V$9*($AG300-WeightSDS!$W$9)))</f>
        <v>0.75407122999999998</v>
      </c>
      <c r="AJ300" s="24">
        <f>IF(D300="M",IF($AG300&lt;45,WeightSDS!M$23*$AG300^10+WeightSDS!N$23*$AG300^9+WeightSDS!O$23*$AG300^8+WeightSDS!P$23*$AG300^7+WeightSDS!Q$23*$AG300^6+WeightSDS!R$23*$AG300^5+WeightSDS!S$23*$AG300^4+WeightSDS!T$23*$AG300^3+WeightSDS!U$23*$AG300^2+WeightSDS!V$23*$AG300+WeightSDS!W$23,IF($AG300&lt;153,WeightSDS!M$25*$AG300^10+WeightSDS!N$25*$AG300^9+WeightSDS!O$25*$AG300^8+WeightSDS!P$25*$AG300^7+WeightSDS!Q$25*$AG300^6+WeightSDS!R$25*$AG300^5+WeightSDS!S$25*$AG300^4+WeightSDS!T$25*$AG300^3+WeightSDS!U$25*$AG300^2+WeightSDS!V$25*$AG300+WeightSDS!W$25,WeightSDS!M$27+WeightSDS!N$27/(1+EXP(WeightSDS!O$27+WeightSDS!P$27*$AG300)))),IF($AG300&lt;43.8,WeightSDS!M$29*$AG300^10+WeightSDS!N$29*$AG300^9+WeightSDS!O$29*$AG300^8+WeightSDS!P$29*$AG300^7+WeightSDS!Q$29*$AG300^6+WeightSDS!R$29*$AG300^5+WeightSDS!S$29*$AG300^4+WeightSDS!T$29*$AG300^3+WeightSDS!U$29*$AG300^2+WeightSDS!V$29*$AG300+WeightSDS!W$29-0.010431*(1-$AG300/210),IF($AG300&lt;123,WeightSDS!M$30*$AG300^10+WeightSDS!N$30*$AG300^9+WeightSDS!O$30*$AG300^8+WeightSDS!P$30*$AG300^7+WeightSDS!Q$30*$AG300^6+WeightSDS!R$30*$AG300^5+WeightSDS!S$30*$AG300^4+WeightSDS!T$30*$AG300^3+WeightSDS!U$30*$AG300^2+WeightSDS!V$30*$AG300+WeightSDS!W$30-0.010431*(1-1/$AG300),WeightSDS!M$32+WeightSDS!N$32/(1+EXP(WeightSDS!O$32+WeightSDS!P$32*$AG300))-0.010431*(1-$AG300/210))))</f>
        <v>2.9500001032655536</v>
      </c>
      <c r="AK300" s="24">
        <f>IF(D300="M",IF($AG300&lt;162,WeightSDS!P$12*$AG300^7+WeightSDS!Q$12*$AG300^6+WeightSDS!R$12*$AG300^5+WeightSDS!S$12*$AG300^4+WeightSDS!T$12*$AG300^3+WeightSDS!U$12*$AG300^2+WeightSDS!V$12*$AG300+WeightSDS!W$12,WeightSDS!P$14*$AG300^7+WeightSDS!Q$14*$AG300^6+WeightSDS!R$14*$AG300^5+WeightSDS!S$14*$AG300^4+WeightSDS!T$14*$AG300^3+WeightSDS!U$14*$AG300^2+WeightSDS!V$14*$AG300+WeightSDS!W$14),IF($AG300&lt;156,WeightSDS!O$17*$AG300^8+WeightSDS!P$17*$AG300^7+WeightSDS!Q$17*$AG300^6+WeightSDS!R$17*$AG300^5+WeightSDS!S$17*$AG300^4+WeightSDS!T$17*$AG300^3+WeightSDS!U$17*$AG300^2+WeightSDS!V$17*$AG300+WeightSDS!W$17,IF($AG300&lt;186,WeightSDS!$U$18+(WeightSDS!$V$18-WeightSDS!$U$18)/24*($AG300-186)+WeightSDS!$W$18*(-$AG300+186)^2-0.005,WeightSDS!$U$18+(WeightSDS!$V$18-WeightSDS!$U$18)/24*($AG300-186)-0.005)))</f>
        <v>0.14604529399999999</v>
      </c>
    </row>
    <row r="301" spans="1:37">
      <c r="A301" s="4"/>
      <c r="B301" s="21"/>
      <c r="C301" s="21"/>
      <c r="D301" s="21"/>
      <c r="E301" s="22"/>
      <c r="F301" s="22"/>
      <c r="G301" s="23"/>
      <c r="H301" s="23"/>
      <c r="I301" s="8" t="str">
        <f t="shared" si="66"/>
        <v/>
      </c>
      <c r="J301" s="2" t="str">
        <f t="shared" si="73"/>
        <v/>
      </c>
      <c r="K301" s="2" t="str">
        <f t="shared" si="67"/>
        <v/>
      </c>
      <c r="L301" s="2" t="str">
        <f t="shared" si="74"/>
        <v/>
      </c>
      <c r="M301" s="2" t="str">
        <f t="shared" si="79"/>
        <v/>
      </c>
      <c r="N301" s="2" t="str">
        <f t="shared" si="75"/>
        <v/>
      </c>
      <c r="O301" s="8" t="str">
        <f t="shared" si="76"/>
        <v/>
      </c>
      <c r="P301" s="8" t="str">
        <f t="shared" si="77"/>
        <v/>
      </c>
      <c r="Q301" s="40" t="str">
        <f t="shared" si="68"/>
        <v/>
      </c>
      <c r="R301" s="48" t="str">
        <f t="shared" si="78"/>
        <v/>
      </c>
      <c r="S301" s="8"/>
      <c r="U301" s="35">
        <f t="shared" si="69"/>
        <v>0</v>
      </c>
      <c r="V301" s="24">
        <f t="shared" si="70"/>
        <v>0</v>
      </c>
      <c r="W301" s="41">
        <f t="shared" si="81"/>
        <v>0</v>
      </c>
      <c r="X301" s="31"/>
      <c r="Y301" s="31"/>
      <c r="Z301" s="31"/>
      <c r="AA301" s="25">
        <f t="shared" si="71"/>
        <v>9.0359999999999996</v>
      </c>
      <c r="AB301" s="25">
        <f t="shared" si="72"/>
        <v>-184.49199999999999</v>
      </c>
      <c r="AD301" s="24">
        <f>IF(D301="M",IF(AG301&lt;78,BMILMS!$D$5*AG301^3+BMILMS!$E$5*AG301^2+BMILMS!$F$5*AG301+BMILMS!$G$5,IF(AG301&lt;150,BMILMS!$D$6*AG301^3+BMILMS!$E$6*AG301^2+BMILMS!$F$6*AG301+BMILMS!$G$6,BMILMS!$D$7*AG301^3+BMILMS!$E$7*AG301^2+BMILMS!$F$7*AG301+BMILMS!$G$7)),IF(AG301&lt;69,BMILMS!$D$9*AG301^3+BMILMS!$E$9*AG301^2+BMILMS!$F$9*AG301+BMILMS!$G$9,IF(AG301&lt;150,BMILMS!$D$10*AG301^3+BMILMS!$E$10*AG301^2+BMILMS!$F$10*AG301+BMILMS!$G$10,BMILMS!$D$11*AG301^3+BMILMS!$E$11*AG301^2+BMILMS!$F$11*AG301+BMILMS!$G$11)))</f>
        <v>0.79584630099999998</v>
      </c>
      <c r="AE301" s="24">
        <f>IF(D301="M",(IF(AG301&lt;2.5,BMILMS!$D$21*AG301^3+BMILMS!$E$21*AG301^2+BMILMS!$F$21*AG301+BMILMS!$G$21,IF(AG301&lt;9.5,BMILMS!$D$22*AG301^3+BMILMS!$E$22*AG301^2+BMILMS!$F$22*AG301+BMILMS!$G$22,IF(AG301&lt;26.75,BMILMS!$D$23*AG301^3+BMILMS!$E$23*AG301^2+BMILMS!$F$23*AG301+BMILMS!$G$23,IF(AG301&lt;90,BMILMS!$D$24*AG301^3+BMILMS!$E$24*AG301^2+BMILMS!$F$24*AG301+BMILMS!$G$24,BMILMS!$D$25*AG301^3+BMILMS!$E$25*AG301^2+BMILMS!$F$25*AG301+BMILMS!$G$25))))),(IF(AG301&lt;2.5,BMILMS!$D$27*AG301^3+BMILMS!$E$27*AG301^2+BMILMS!$F$27*AG301+BMILMS!$G$27,IF(AG301&lt;9.5,BMILMS!$D$28*AG301^3+BMILMS!$E$28*AG301^2+BMILMS!$F$28*AG301+BMILMS!$G$28,IF(AG301&lt;26.75,BMILMS!$D$29*AG301^3+BMILMS!$E$29*AG301^2+BMILMS!$F$29*AG301+BMILMS!$G$29,IF(AG301&lt;90,BMILMS!$D$30*AG301^3+BMILMS!$E$30*AG301^2+BMILMS!$F$30*AG301+BMILMS!$G$30,IF(AG301&lt;150,BMILMS!$D$31*AG301^3+BMILMS!$E$31*AG301^2+BMILMS!$F$31*AG301+BMILMS!$G$31,BMILMS!$D$32*AG301^3+BMILMS!$E$32*AG301^2+BMILMS!$F$32*AG301+BMILMS!$G$32)))))))</f>
        <v>12.568967990000001</v>
      </c>
      <c r="AF301" s="24">
        <f>IF(D301="M",(IF(AG301&lt;90,BMILMS!$D$14*AG301^3+BMILMS!$E$14*AG301^2+BMILMS!$F$14*AG301+BMILMS!$G$14,BMILMS!$D$15*AG301^3+BMILMS!$E$15*AG301^2+BMILMS!$F$15*AG301+BMILMS!$G$15)),(IF(AG301&lt;90,BMILMS!$D$17*AG301^3+BMILMS!$E$17*AG301^2+BMILMS!$F$17*AG301+BMILMS!$G$17,BMILMS!$D$18*AG301^3+BMILMS!$E$18*AG301^2+BMILMS!$F$18*AG301+BMILMS!$G$18)))</f>
        <v>8.8969350000000003E-2</v>
      </c>
      <c r="AG301" s="24">
        <f t="shared" si="80"/>
        <v>0</v>
      </c>
      <c r="AI301" s="38">
        <f>IF(D301="M",WeightSDS!P$5*$AG301^7+WeightSDS!Q$5*$AG301^6+WeightSDS!R$5*$AG301^5+WeightSDS!S$5*$AG301^4+WeightSDS!T$5*$AG301^3+WeightSDS!U$5*$AG301^2+WeightSDS!V$5*$AG301+WeightSDS!W$5,IF($AG301&lt;186,WeightSDS!P$8*$AG301^7+WeightSDS!Q$8*$AG301^6+WeightSDS!R$8*$AG301^5+WeightSDS!S$8*$AG301^4+WeightSDS!T$8*$AG301^3+WeightSDS!U$8*$AG301^2+WeightSDS!V$8*$AG301+WeightSDS!W$8,WeightSDS!$U$9-WeightSDS!$V$9*($AG301-WeightSDS!$W$9)))</f>
        <v>0.75407122999999998</v>
      </c>
      <c r="AJ301" s="24">
        <f>IF(D301="M",IF($AG301&lt;45,WeightSDS!M$23*$AG301^10+WeightSDS!N$23*$AG301^9+WeightSDS!O$23*$AG301^8+WeightSDS!P$23*$AG301^7+WeightSDS!Q$23*$AG301^6+WeightSDS!R$23*$AG301^5+WeightSDS!S$23*$AG301^4+WeightSDS!T$23*$AG301^3+WeightSDS!U$23*$AG301^2+WeightSDS!V$23*$AG301+WeightSDS!W$23,IF($AG301&lt;153,WeightSDS!M$25*$AG301^10+WeightSDS!N$25*$AG301^9+WeightSDS!O$25*$AG301^8+WeightSDS!P$25*$AG301^7+WeightSDS!Q$25*$AG301^6+WeightSDS!R$25*$AG301^5+WeightSDS!S$25*$AG301^4+WeightSDS!T$25*$AG301^3+WeightSDS!U$25*$AG301^2+WeightSDS!V$25*$AG301+WeightSDS!W$25,WeightSDS!M$27+WeightSDS!N$27/(1+EXP(WeightSDS!O$27+WeightSDS!P$27*$AG301)))),IF($AG301&lt;43.8,WeightSDS!M$29*$AG301^10+WeightSDS!N$29*$AG301^9+WeightSDS!O$29*$AG301^8+WeightSDS!P$29*$AG301^7+WeightSDS!Q$29*$AG301^6+WeightSDS!R$29*$AG301^5+WeightSDS!S$29*$AG301^4+WeightSDS!T$29*$AG301^3+WeightSDS!U$29*$AG301^2+WeightSDS!V$29*$AG301+WeightSDS!W$29-0.010431*(1-$AG301/210),IF($AG301&lt;123,WeightSDS!M$30*$AG301^10+WeightSDS!N$30*$AG301^9+WeightSDS!O$30*$AG301^8+WeightSDS!P$30*$AG301^7+WeightSDS!Q$30*$AG301^6+WeightSDS!R$30*$AG301^5+WeightSDS!S$30*$AG301^4+WeightSDS!T$30*$AG301^3+WeightSDS!U$30*$AG301^2+WeightSDS!V$30*$AG301+WeightSDS!W$30-0.010431*(1-1/$AG301),WeightSDS!M$32+WeightSDS!N$32/(1+EXP(WeightSDS!O$32+WeightSDS!P$32*$AG301))-0.010431*(1-$AG301/210))))</f>
        <v>2.9500001032655536</v>
      </c>
      <c r="AK301" s="24">
        <f>IF(D301="M",IF($AG301&lt;162,WeightSDS!P$12*$AG301^7+WeightSDS!Q$12*$AG301^6+WeightSDS!R$12*$AG301^5+WeightSDS!S$12*$AG301^4+WeightSDS!T$12*$AG301^3+WeightSDS!U$12*$AG301^2+WeightSDS!V$12*$AG301+WeightSDS!W$12,WeightSDS!P$14*$AG301^7+WeightSDS!Q$14*$AG301^6+WeightSDS!R$14*$AG301^5+WeightSDS!S$14*$AG301^4+WeightSDS!T$14*$AG301^3+WeightSDS!U$14*$AG301^2+WeightSDS!V$14*$AG301+WeightSDS!W$14),IF($AG301&lt;156,WeightSDS!O$17*$AG301^8+WeightSDS!P$17*$AG301^7+WeightSDS!Q$17*$AG301^6+WeightSDS!R$17*$AG301^5+WeightSDS!S$17*$AG301^4+WeightSDS!T$17*$AG301^3+WeightSDS!U$17*$AG301^2+WeightSDS!V$17*$AG301+WeightSDS!W$17,IF($AG301&lt;186,WeightSDS!$U$18+(WeightSDS!$V$18-WeightSDS!$U$18)/24*($AG301-186)+WeightSDS!$W$18*(-$AG301+186)^2-0.005,WeightSDS!$U$18+(WeightSDS!$V$18-WeightSDS!$U$18)/24*($AG301-186)-0.005)))</f>
        <v>0.14604529399999999</v>
      </c>
    </row>
    <row r="302" spans="1:37">
      <c r="A302" s="4"/>
      <c r="B302" s="21"/>
      <c r="C302" s="21"/>
      <c r="D302" s="21"/>
      <c r="E302" s="22"/>
      <c r="F302" s="22"/>
      <c r="G302" s="23"/>
      <c r="H302" s="23"/>
      <c r="I302" s="8" t="str">
        <f t="shared" si="66"/>
        <v/>
      </c>
      <c r="J302" s="2" t="str">
        <f t="shared" si="73"/>
        <v/>
      </c>
      <c r="K302" s="2" t="str">
        <f t="shared" si="67"/>
        <v/>
      </c>
      <c r="L302" s="2" t="str">
        <f t="shared" si="74"/>
        <v/>
      </c>
      <c r="M302" s="2" t="str">
        <f t="shared" si="79"/>
        <v/>
      </c>
      <c r="N302" s="2" t="str">
        <f t="shared" si="75"/>
        <v/>
      </c>
      <c r="O302" s="8" t="str">
        <f t="shared" si="76"/>
        <v/>
      </c>
      <c r="P302" s="8" t="str">
        <f t="shared" si="77"/>
        <v/>
      </c>
      <c r="Q302" s="40" t="str">
        <f t="shared" si="68"/>
        <v/>
      </c>
      <c r="R302" s="48" t="str">
        <f t="shared" si="78"/>
        <v/>
      </c>
      <c r="S302" s="8"/>
      <c r="U302" s="35">
        <f t="shared" si="69"/>
        <v>0</v>
      </c>
      <c r="V302" s="24">
        <f t="shared" si="70"/>
        <v>0</v>
      </c>
      <c r="W302" s="41">
        <f t="shared" si="81"/>
        <v>0</v>
      </c>
      <c r="X302" s="31"/>
      <c r="Y302" s="31"/>
      <c r="Z302" s="31"/>
      <c r="AA302" s="25">
        <f t="shared" si="71"/>
        <v>9.0359999999999996</v>
      </c>
      <c r="AB302" s="25">
        <f t="shared" si="72"/>
        <v>-184.49199999999999</v>
      </c>
      <c r="AD302" s="24">
        <f>IF(D302="M",IF(AG302&lt;78,BMILMS!$D$5*AG302^3+BMILMS!$E$5*AG302^2+BMILMS!$F$5*AG302+BMILMS!$G$5,IF(AG302&lt;150,BMILMS!$D$6*AG302^3+BMILMS!$E$6*AG302^2+BMILMS!$F$6*AG302+BMILMS!$G$6,BMILMS!$D$7*AG302^3+BMILMS!$E$7*AG302^2+BMILMS!$F$7*AG302+BMILMS!$G$7)),IF(AG302&lt;69,BMILMS!$D$9*AG302^3+BMILMS!$E$9*AG302^2+BMILMS!$F$9*AG302+BMILMS!$G$9,IF(AG302&lt;150,BMILMS!$D$10*AG302^3+BMILMS!$E$10*AG302^2+BMILMS!$F$10*AG302+BMILMS!$G$10,BMILMS!$D$11*AG302^3+BMILMS!$E$11*AG302^2+BMILMS!$F$11*AG302+BMILMS!$G$11)))</f>
        <v>0.79584630099999998</v>
      </c>
      <c r="AE302" s="24">
        <f>IF(D302="M",(IF(AG302&lt;2.5,BMILMS!$D$21*AG302^3+BMILMS!$E$21*AG302^2+BMILMS!$F$21*AG302+BMILMS!$G$21,IF(AG302&lt;9.5,BMILMS!$D$22*AG302^3+BMILMS!$E$22*AG302^2+BMILMS!$F$22*AG302+BMILMS!$G$22,IF(AG302&lt;26.75,BMILMS!$D$23*AG302^3+BMILMS!$E$23*AG302^2+BMILMS!$F$23*AG302+BMILMS!$G$23,IF(AG302&lt;90,BMILMS!$D$24*AG302^3+BMILMS!$E$24*AG302^2+BMILMS!$F$24*AG302+BMILMS!$G$24,BMILMS!$D$25*AG302^3+BMILMS!$E$25*AG302^2+BMILMS!$F$25*AG302+BMILMS!$G$25))))),(IF(AG302&lt;2.5,BMILMS!$D$27*AG302^3+BMILMS!$E$27*AG302^2+BMILMS!$F$27*AG302+BMILMS!$G$27,IF(AG302&lt;9.5,BMILMS!$D$28*AG302^3+BMILMS!$E$28*AG302^2+BMILMS!$F$28*AG302+BMILMS!$G$28,IF(AG302&lt;26.75,BMILMS!$D$29*AG302^3+BMILMS!$E$29*AG302^2+BMILMS!$F$29*AG302+BMILMS!$G$29,IF(AG302&lt;90,BMILMS!$D$30*AG302^3+BMILMS!$E$30*AG302^2+BMILMS!$F$30*AG302+BMILMS!$G$30,IF(AG302&lt;150,BMILMS!$D$31*AG302^3+BMILMS!$E$31*AG302^2+BMILMS!$F$31*AG302+BMILMS!$G$31,BMILMS!$D$32*AG302^3+BMILMS!$E$32*AG302^2+BMILMS!$F$32*AG302+BMILMS!$G$32)))))))</f>
        <v>12.568967990000001</v>
      </c>
      <c r="AF302" s="24">
        <f>IF(D302="M",(IF(AG302&lt;90,BMILMS!$D$14*AG302^3+BMILMS!$E$14*AG302^2+BMILMS!$F$14*AG302+BMILMS!$G$14,BMILMS!$D$15*AG302^3+BMILMS!$E$15*AG302^2+BMILMS!$F$15*AG302+BMILMS!$G$15)),(IF(AG302&lt;90,BMILMS!$D$17*AG302^3+BMILMS!$E$17*AG302^2+BMILMS!$F$17*AG302+BMILMS!$G$17,BMILMS!$D$18*AG302^3+BMILMS!$E$18*AG302^2+BMILMS!$F$18*AG302+BMILMS!$G$18)))</f>
        <v>8.8969350000000003E-2</v>
      </c>
      <c r="AG302" s="24">
        <f t="shared" si="80"/>
        <v>0</v>
      </c>
      <c r="AI302" s="38">
        <f>IF(D302="M",WeightSDS!P$5*$AG302^7+WeightSDS!Q$5*$AG302^6+WeightSDS!R$5*$AG302^5+WeightSDS!S$5*$AG302^4+WeightSDS!T$5*$AG302^3+WeightSDS!U$5*$AG302^2+WeightSDS!V$5*$AG302+WeightSDS!W$5,IF($AG302&lt;186,WeightSDS!P$8*$AG302^7+WeightSDS!Q$8*$AG302^6+WeightSDS!R$8*$AG302^5+WeightSDS!S$8*$AG302^4+WeightSDS!T$8*$AG302^3+WeightSDS!U$8*$AG302^2+WeightSDS!V$8*$AG302+WeightSDS!W$8,WeightSDS!$U$9-WeightSDS!$V$9*($AG302-WeightSDS!$W$9)))</f>
        <v>0.75407122999999998</v>
      </c>
      <c r="AJ302" s="24">
        <f>IF(D302="M",IF($AG302&lt;45,WeightSDS!M$23*$AG302^10+WeightSDS!N$23*$AG302^9+WeightSDS!O$23*$AG302^8+WeightSDS!P$23*$AG302^7+WeightSDS!Q$23*$AG302^6+WeightSDS!R$23*$AG302^5+WeightSDS!S$23*$AG302^4+WeightSDS!T$23*$AG302^3+WeightSDS!U$23*$AG302^2+WeightSDS!V$23*$AG302+WeightSDS!W$23,IF($AG302&lt;153,WeightSDS!M$25*$AG302^10+WeightSDS!N$25*$AG302^9+WeightSDS!O$25*$AG302^8+WeightSDS!P$25*$AG302^7+WeightSDS!Q$25*$AG302^6+WeightSDS!R$25*$AG302^5+WeightSDS!S$25*$AG302^4+WeightSDS!T$25*$AG302^3+WeightSDS!U$25*$AG302^2+WeightSDS!V$25*$AG302+WeightSDS!W$25,WeightSDS!M$27+WeightSDS!N$27/(1+EXP(WeightSDS!O$27+WeightSDS!P$27*$AG302)))),IF($AG302&lt;43.8,WeightSDS!M$29*$AG302^10+WeightSDS!N$29*$AG302^9+WeightSDS!O$29*$AG302^8+WeightSDS!P$29*$AG302^7+WeightSDS!Q$29*$AG302^6+WeightSDS!R$29*$AG302^5+WeightSDS!S$29*$AG302^4+WeightSDS!T$29*$AG302^3+WeightSDS!U$29*$AG302^2+WeightSDS!V$29*$AG302+WeightSDS!W$29-0.010431*(1-$AG302/210),IF($AG302&lt;123,WeightSDS!M$30*$AG302^10+WeightSDS!N$30*$AG302^9+WeightSDS!O$30*$AG302^8+WeightSDS!P$30*$AG302^7+WeightSDS!Q$30*$AG302^6+WeightSDS!R$30*$AG302^5+WeightSDS!S$30*$AG302^4+WeightSDS!T$30*$AG302^3+WeightSDS!U$30*$AG302^2+WeightSDS!V$30*$AG302+WeightSDS!W$30-0.010431*(1-1/$AG302),WeightSDS!M$32+WeightSDS!N$32/(1+EXP(WeightSDS!O$32+WeightSDS!P$32*$AG302))-0.010431*(1-$AG302/210))))</f>
        <v>2.9500001032655536</v>
      </c>
      <c r="AK302" s="24">
        <f>IF(D302="M",IF($AG302&lt;162,WeightSDS!P$12*$AG302^7+WeightSDS!Q$12*$AG302^6+WeightSDS!R$12*$AG302^5+WeightSDS!S$12*$AG302^4+WeightSDS!T$12*$AG302^3+WeightSDS!U$12*$AG302^2+WeightSDS!V$12*$AG302+WeightSDS!W$12,WeightSDS!P$14*$AG302^7+WeightSDS!Q$14*$AG302^6+WeightSDS!R$14*$AG302^5+WeightSDS!S$14*$AG302^4+WeightSDS!T$14*$AG302^3+WeightSDS!U$14*$AG302^2+WeightSDS!V$14*$AG302+WeightSDS!W$14),IF($AG302&lt;156,WeightSDS!O$17*$AG302^8+WeightSDS!P$17*$AG302^7+WeightSDS!Q$17*$AG302^6+WeightSDS!R$17*$AG302^5+WeightSDS!S$17*$AG302^4+WeightSDS!T$17*$AG302^3+WeightSDS!U$17*$AG302^2+WeightSDS!V$17*$AG302+WeightSDS!W$17,IF($AG302&lt;186,WeightSDS!$U$18+(WeightSDS!$V$18-WeightSDS!$U$18)/24*($AG302-186)+WeightSDS!$W$18*(-$AG302+186)^2-0.005,WeightSDS!$U$18+(WeightSDS!$V$18-WeightSDS!$U$18)/24*($AG302-186)-0.005)))</f>
        <v>0.14604529399999999</v>
      </c>
    </row>
    <row r="303" spans="1:37">
      <c r="A303" s="4"/>
      <c r="B303" s="21"/>
      <c r="C303" s="21"/>
      <c r="D303" s="21"/>
      <c r="E303" s="22"/>
      <c r="F303" s="22"/>
      <c r="G303" s="23"/>
      <c r="H303" s="23"/>
      <c r="I303" s="8" t="str">
        <f t="shared" si="66"/>
        <v/>
      </c>
      <c r="J303" s="2" t="str">
        <f t="shared" si="73"/>
        <v/>
      </c>
      <c r="K303" s="2" t="str">
        <f t="shared" si="67"/>
        <v/>
      </c>
      <c r="L303" s="2" t="str">
        <f t="shared" si="74"/>
        <v/>
      </c>
      <c r="M303" s="2" t="str">
        <f t="shared" si="79"/>
        <v/>
      </c>
      <c r="N303" s="2" t="str">
        <f t="shared" si="75"/>
        <v/>
      </c>
      <c r="O303" s="8" t="str">
        <f t="shared" si="76"/>
        <v/>
      </c>
      <c r="P303" s="8" t="str">
        <f t="shared" si="77"/>
        <v/>
      </c>
      <c r="Q303" s="40" t="str">
        <f t="shared" si="68"/>
        <v/>
      </c>
      <c r="R303" s="48" t="str">
        <f t="shared" si="78"/>
        <v/>
      </c>
      <c r="S303" s="8"/>
      <c r="U303" s="35">
        <f t="shared" si="69"/>
        <v>0</v>
      </c>
      <c r="V303" s="24">
        <f t="shared" si="70"/>
        <v>0</v>
      </c>
      <c r="W303" s="41">
        <f t="shared" si="81"/>
        <v>0</v>
      </c>
      <c r="X303" s="31"/>
      <c r="Y303" s="31"/>
      <c r="Z303" s="31"/>
      <c r="AA303" s="25">
        <f t="shared" si="71"/>
        <v>9.0359999999999996</v>
      </c>
      <c r="AB303" s="25">
        <f t="shared" si="72"/>
        <v>-184.49199999999999</v>
      </c>
      <c r="AD303" s="24">
        <f>IF(D303="M",IF(AG303&lt;78,BMILMS!$D$5*AG303^3+BMILMS!$E$5*AG303^2+BMILMS!$F$5*AG303+BMILMS!$G$5,IF(AG303&lt;150,BMILMS!$D$6*AG303^3+BMILMS!$E$6*AG303^2+BMILMS!$F$6*AG303+BMILMS!$G$6,BMILMS!$D$7*AG303^3+BMILMS!$E$7*AG303^2+BMILMS!$F$7*AG303+BMILMS!$G$7)),IF(AG303&lt;69,BMILMS!$D$9*AG303^3+BMILMS!$E$9*AG303^2+BMILMS!$F$9*AG303+BMILMS!$G$9,IF(AG303&lt;150,BMILMS!$D$10*AG303^3+BMILMS!$E$10*AG303^2+BMILMS!$F$10*AG303+BMILMS!$G$10,BMILMS!$D$11*AG303^3+BMILMS!$E$11*AG303^2+BMILMS!$F$11*AG303+BMILMS!$G$11)))</f>
        <v>0.79584630099999998</v>
      </c>
      <c r="AE303" s="24">
        <f>IF(D303="M",(IF(AG303&lt;2.5,BMILMS!$D$21*AG303^3+BMILMS!$E$21*AG303^2+BMILMS!$F$21*AG303+BMILMS!$G$21,IF(AG303&lt;9.5,BMILMS!$D$22*AG303^3+BMILMS!$E$22*AG303^2+BMILMS!$F$22*AG303+BMILMS!$G$22,IF(AG303&lt;26.75,BMILMS!$D$23*AG303^3+BMILMS!$E$23*AG303^2+BMILMS!$F$23*AG303+BMILMS!$G$23,IF(AG303&lt;90,BMILMS!$D$24*AG303^3+BMILMS!$E$24*AG303^2+BMILMS!$F$24*AG303+BMILMS!$G$24,BMILMS!$D$25*AG303^3+BMILMS!$E$25*AG303^2+BMILMS!$F$25*AG303+BMILMS!$G$25))))),(IF(AG303&lt;2.5,BMILMS!$D$27*AG303^3+BMILMS!$E$27*AG303^2+BMILMS!$F$27*AG303+BMILMS!$G$27,IF(AG303&lt;9.5,BMILMS!$D$28*AG303^3+BMILMS!$E$28*AG303^2+BMILMS!$F$28*AG303+BMILMS!$G$28,IF(AG303&lt;26.75,BMILMS!$D$29*AG303^3+BMILMS!$E$29*AG303^2+BMILMS!$F$29*AG303+BMILMS!$G$29,IF(AG303&lt;90,BMILMS!$D$30*AG303^3+BMILMS!$E$30*AG303^2+BMILMS!$F$30*AG303+BMILMS!$G$30,IF(AG303&lt;150,BMILMS!$D$31*AG303^3+BMILMS!$E$31*AG303^2+BMILMS!$F$31*AG303+BMILMS!$G$31,BMILMS!$D$32*AG303^3+BMILMS!$E$32*AG303^2+BMILMS!$F$32*AG303+BMILMS!$G$32)))))))</f>
        <v>12.568967990000001</v>
      </c>
      <c r="AF303" s="24">
        <f>IF(D303="M",(IF(AG303&lt;90,BMILMS!$D$14*AG303^3+BMILMS!$E$14*AG303^2+BMILMS!$F$14*AG303+BMILMS!$G$14,BMILMS!$D$15*AG303^3+BMILMS!$E$15*AG303^2+BMILMS!$F$15*AG303+BMILMS!$G$15)),(IF(AG303&lt;90,BMILMS!$D$17*AG303^3+BMILMS!$E$17*AG303^2+BMILMS!$F$17*AG303+BMILMS!$G$17,BMILMS!$D$18*AG303^3+BMILMS!$E$18*AG303^2+BMILMS!$F$18*AG303+BMILMS!$G$18)))</f>
        <v>8.8969350000000003E-2</v>
      </c>
      <c r="AG303" s="24">
        <f t="shared" si="80"/>
        <v>0</v>
      </c>
      <c r="AI303" s="38">
        <f>IF(D303="M",WeightSDS!P$5*$AG303^7+WeightSDS!Q$5*$AG303^6+WeightSDS!R$5*$AG303^5+WeightSDS!S$5*$AG303^4+WeightSDS!T$5*$AG303^3+WeightSDS!U$5*$AG303^2+WeightSDS!V$5*$AG303+WeightSDS!W$5,IF($AG303&lt;186,WeightSDS!P$8*$AG303^7+WeightSDS!Q$8*$AG303^6+WeightSDS!R$8*$AG303^5+WeightSDS!S$8*$AG303^4+WeightSDS!T$8*$AG303^3+WeightSDS!U$8*$AG303^2+WeightSDS!V$8*$AG303+WeightSDS!W$8,WeightSDS!$U$9-WeightSDS!$V$9*($AG303-WeightSDS!$W$9)))</f>
        <v>0.75407122999999998</v>
      </c>
      <c r="AJ303" s="24">
        <f>IF(D303="M",IF($AG303&lt;45,WeightSDS!M$23*$AG303^10+WeightSDS!N$23*$AG303^9+WeightSDS!O$23*$AG303^8+WeightSDS!P$23*$AG303^7+WeightSDS!Q$23*$AG303^6+WeightSDS!R$23*$AG303^5+WeightSDS!S$23*$AG303^4+WeightSDS!T$23*$AG303^3+WeightSDS!U$23*$AG303^2+WeightSDS!V$23*$AG303+WeightSDS!W$23,IF($AG303&lt;153,WeightSDS!M$25*$AG303^10+WeightSDS!N$25*$AG303^9+WeightSDS!O$25*$AG303^8+WeightSDS!P$25*$AG303^7+WeightSDS!Q$25*$AG303^6+WeightSDS!R$25*$AG303^5+WeightSDS!S$25*$AG303^4+WeightSDS!T$25*$AG303^3+WeightSDS!U$25*$AG303^2+WeightSDS!V$25*$AG303+WeightSDS!W$25,WeightSDS!M$27+WeightSDS!N$27/(1+EXP(WeightSDS!O$27+WeightSDS!P$27*$AG303)))),IF($AG303&lt;43.8,WeightSDS!M$29*$AG303^10+WeightSDS!N$29*$AG303^9+WeightSDS!O$29*$AG303^8+WeightSDS!P$29*$AG303^7+WeightSDS!Q$29*$AG303^6+WeightSDS!R$29*$AG303^5+WeightSDS!S$29*$AG303^4+WeightSDS!T$29*$AG303^3+WeightSDS!U$29*$AG303^2+WeightSDS!V$29*$AG303+WeightSDS!W$29-0.010431*(1-$AG303/210),IF($AG303&lt;123,WeightSDS!M$30*$AG303^10+WeightSDS!N$30*$AG303^9+WeightSDS!O$30*$AG303^8+WeightSDS!P$30*$AG303^7+WeightSDS!Q$30*$AG303^6+WeightSDS!R$30*$AG303^5+WeightSDS!S$30*$AG303^4+WeightSDS!T$30*$AG303^3+WeightSDS!U$30*$AG303^2+WeightSDS!V$30*$AG303+WeightSDS!W$30-0.010431*(1-1/$AG303),WeightSDS!M$32+WeightSDS!N$32/(1+EXP(WeightSDS!O$32+WeightSDS!P$32*$AG303))-0.010431*(1-$AG303/210))))</f>
        <v>2.9500001032655536</v>
      </c>
      <c r="AK303" s="24">
        <f>IF(D303="M",IF($AG303&lt;162,WeightSDS!P$12*$AG303^7+WeightSDS!Q$12*$AG303^6+WeightSDS!R$12*$AG303^5+WeightSDS!S$12*$AG303^4+WeightSDS!T$12*$AG303^3+WeightSDS!U$12*$AG303^2+WeightSDS!V$12*$AG303+WeightSDS!W$12,WeightSDS!P$14*$AG303^7+WeightSDS!Q$14*$AG303^6+WeightSDS!R$14*$AG303^5+WeightSDS!S$14*$AG303^4+WeightSDS!T$14*$AG303^3+WeightSDS!U$14*$AG303^2+WeightSDS!V$14*$AG303+WeightSDS!W$14),IF($AG303&lt;156,WeightSDS!O$17*$AG303^8+WeightSDS!P$17*$AG303^7+WeightSDS!Q$17*$AG303^6+WeightSDS!R$17*$AG303^5+WeightSDS!S$17*$AG303^4+WeightSDS!T$17*$AG303^3+WeightSDS!U$17*$AG303^2+WeightSDS!V$17*$AG303+WeightSDS!W$17,IF($AG303&lt;186,WeightSDS!$U$18+(WeightSDS!$V$18-WeightSDS!$U$18)/24*($AG303-186)+WeightSDS!$W$18*(-$AG303+186)^2-0.005,WeightSDS!$U$18+(WeightSDS!$V$18-WeightSDS!$U$18)/24*($AG303-186)-0.005)))</f>
        <v>0.14604529399999999</v>
      </c>
    </row>
    <row r="304" spans="1:37">
      <c r="A304" s="4"/>
      <c r="B304" s="21"/>
      <c r="C304" s="21"/>
      <c r="D304" s="21"/>
      <c r="E304" s="22"/>
      <c r="F304" s="22"/>
      <c r="G304" s="23"/>
      <c r="H304" s="23"/>
      <c r="I304" s="8" t="str">
        <f t="shared" si="66"/>
        <v/>
      </c>
      <c r="J304" s="2" t="str">
        <f t="shared" si="73"/>
        <v/>
      </c>
      <c r="K304" s="2" t="str">
        <f t="shared" si="67"/>
        <v/>
      </c>
      <c r="L304" s="2" t="str">
        <f t="shared" si="74"/>
        <v/>
      </c>
      <c r="M304" s="2" t="str">
        <f t="shared" si="79"/>
        <v/>
      </c>
      <c r="N304" s="2" t="str">
        <f t="shared" si="75"/>
        <v/>
      </c>
      <c r="O304" s="8" t="str">
        <f t="shared" si="76"/>
        <v/>
      </c>
      <c r="P304" s="8" t="str">
        <f t="shared" si="77"/>
        <v/>
      </c>
      <c r="Q304" s="40" t="str">
        <f t="shared" si="68"/>
        <v/>
      </c>
      <c r="R304" s="48" t="str">
        <f t="shared" si="78"/>
        <v/>
      </c>
      <c r="S304" s="8"/>
      <c r="U304" s="35">
        <f t="shared" si="69"/>
        <v>0</v>
      </c>
      <c r="V304" s="24">
        <f t="shared" si="70"/>
        <v>0</v>
      </c>
      <c r="W304" s="41">
        <f t="shared" si="81"/>
        <v>0</v>
      </c>
      <c r="X304" s="31"/>
      <c r="Y304" s="31"/>
      <c r="Z304" s="31"/>
      <c r="AA304" s="25">
        <f t="shared" si="71"/>
        <v>9.0359999999999996</v>
      </c>
      <c r="AB304" s="25">
        <f t="shared" si="72"/>
        <v>-184.49199999999999</v>
      </c>
      <c r="AD304" s="24">
        <f>IF(D304="M",IF(AG304&lt;78,BMILMS!$D$5*AG304^3+BMILMS!$E$5*AG304^2+BMILMS!$F$5*AG304+BMILMS!$G$5,IF(AG304&lt;150,BMILMS!$D$6*AG304^3+BMILMS!$E$6*AG304^2+BMILMS!$F$6*AG304+BMILMS!$G$6,BMILMS!$D$7*AG304^3+BMILMS!$E$7*AG304^2+BMILMS!$F$7*AG304+BMILMS!$G$7)),IF(AG304&lt;69,BMILMS!$D$9*AG304^3+BMILMS!$E$9*AG304^2+BMILMS!$F$9*AG304+BMILMS!$G$9,IF(AG304&lt;150,BMILMS!$D$10*AG304^3+BMILMS!$E$10*AG304^2+BMILMS!$F$10*AG304+BMILMS!$G$10,BMILMS!$D$11*AG304^3+BMILMS!$E$11*AG304^2+BMILMS!$F$11*AG304+BMILMS!$G$11)))</f>
        <v>0.79584630099999998</v>
      </c>
      <c r="AE304" s="24">
        <f>IF(D304="M",(IF(AG304&lt;2.5,BMILMS!$D$21*AG304^3+BMILMS!$E$21*AG304^2+BMILMS!$F$21*AG304+BMILMS!$G$21,IF(AG304&lt;9.5,BMILMS!$D$22*AG304^3+BMILMS!$E$22*AG304^2+BMILMS!$F$22*AG304+BMILMS!$G$22,IF(AG304&lt;26.75,BMILMS!$D$23*AG304^3+BMILMS!$E$23*AG304^2+BMILMS!$F$23*AG304+BMILMS!$G$23,IF(AG304&lt;90,BMILMS!$D$24*AG304^3+BMILMS!$E$24*AG304^2+BMILMS!$F$24*AG304+BMILMS!$G$24,BMILMS!$D$25*AG304^3+BMILMS!$E$25*AG304^2+BMILMS!$F$25*AG304+BMILMS!$G$25))))),(IF(AG304&lt;2.5,BMILMS!$D$27*AG304^3+BMILMS!$E$27*AG304^2+BMILMS!$F$27*AG304+BMILMS!$G$27,IF(AG304&lt;9.5,BMILMS!$D$28*AG304^3+BMILMS!$E$28*AG304^2+BMILMS!$F$28*AG304+BMILMS!$G$28,IF(AG304&lt;26.75,BMILMS!$D$29*AG304^3+BMILMS!$E$29*AG304^2+BMILMS!$F$29*AG304+BMILMS!$G$29,IF(AG304&lt;90,BMILMS!$D$30*AG304^3+BMILMS!$E$30*AG304^2+BMILMS!$F$30*AG304+BMILMS!$G$30,IF(AG304&lt;150,BMILMS!$D$31*AG304^3+BMILMS!$E$31*AG304^2+BMILMS!$F$31*AG304+BMILMS!$G$31,BMILMS!$D$32*AG304^3+BMILMS!$E$32*AG304^2+BMILMS!$F$32*AG304+BMILMS!$G$32)))))))</f>
        <v>12.568967990000001</v>
      </c>
      <c r="AF304" s="24">
        <f>IF(D304="M",(IF(AG304&lt;90,BMILMS!$D$14*AG304^3+BMILMS!$E$14*AG304^2+BMILMS!$F$14*AG304+BMILMS!$G$14,BMILMS!$D$15*AG304^3+BMILMS!$E$15*AG304^2+BMILMS!$F$15*AG304+BMILMS!$G$15)),(IF(AG304&lt;90,BMILMS!$D$17*AG304^3+BMILMS!$E$17*AG304^2+BMILMS!$F$17*AG304+BMILMS!$G$17,BMILMS!$D$18*AG304^3+BMILMS!$E$18*AG304^2+BMILMS!$F$18*AG304+BMILMS!$G$18)))</f>
        <v>8.8969350000000003E-2</v>
      </c>
      <c r="AG304" s="24">
        <f t="shared" si="80"/>
        <v>0</v>
      </c>
      <c r="AI304" s="38">
        <f>IF(D304="M",WeightSDS!P$5*$AG304^7+WeightSDS!Q$5*$AG304^6+WeightSDS!R$5*$AG304^5+WeightSDS!S$5*$AG304^4+WeightSDS!T$5*$AG304^3+WeightSDS!U$5*$AG304^2+WeightSDS!V$5*$AG304+WeightSDS!W$5,IF($AG304&lt;186,WeightSDS!P$8*$AG304^7+WeightSDS!Q$8*$AG304^6+WeightSDS!R$8*$AG304^5+WeightSDS!S$8*$AG304^4+WeightSDS!T$8*$AG304^3+WeightSDS!U$8*$AG304^2+WeightSDS!V$8*$AG304+WeightSDS!W$8,WeightSDS!$U$9-WeightSDS!$V$9*($AG304-WeightSDS!$W$9)))</f>
        <v>0.75407122999999998</v>
      </c>
      <c r="AJ304" s="24">
        <f>IF(D304="M",IF($AG304&lt;45,WeightSDS!M$23*$AG304^10+WeightSDS!N$23*$AG304^9+WeightSDS!O$23*$AG304^8+WeightSDS!P$23*$AG304^7+WeightSDS!Q$23*$AG304^6+WeightSDS!R$23*$AG304^5+WeightSDS!S$23*$AG304^4+WeightSDS!T$23*$AG304^3+WeightSDS!U$23*$AG304^2+WeightSDS!V$23*$AG304+WeightSDS!W$23,IF($AG304&lt;153,WeightSDS!M$25*$AG304^10+WeightSDS!N$25*$AG304^9+WeightSDS!O$25*$AG304^8+WeightSDS!P$25*$AG304^7+WeightSDS!Q$25*$AG304^6+WeightSDS!R$25*$AG304^5+WeightSDS!S$25*$AG304^4+WeightSDS!T$25*$AG304^3+WeightSDS!U$25*$AG304^2+WeightSDS!V$25*$AG304+WeightSDS!W$25,WeightSDS!M$27+WeightSDS!N$27/(1+EXP(WeightSDS!O$27+WeightSDS!P$27*$AG304)))),IF($AG304&lt;43.8,WeightSDS!M$29*$AG304^10+WeightSDS!N$29*$AG304^9+WeightSDS!O$29*$AG304^8+WeightSDS!P$29*$AG304^7+WeightSDS!Q$29*$AG304^6+WeightSDS!R$29*$AG304^5+WeightSDS!S$29*$AG304^4+WeightSDS!T$29*$AG304^3+WeightSDS!U$29*$AG304^2+WeightSDS!V$29*$AG304+WeightSDS!W$29-0.010431*(1-$AG304/210),IF($AG304&lt;123,WeightSDS!M$30*$AG304^10+WeightSDS!N$30*$AG304^9+WeightSDS!O$30*$AG304^8+WeightSDS!P$30*$AG304^7+WeightSDS!Q$30*$AG304^6+WeightSDS!R$30*$AG304^5+WeightSDS!S$30*$AG304^4+WeightSDS!T$30*$AG304^3+WeightSDS!U$30*$AG304^2+WeightSDS!V$30*$AG304+WeightSDS!W$30-0.010431*(1-1/$AG304),WeightSDS!M$32+WeightSDS!N$32/(1+EXP(WeightSDS!O$32+WeightSDS!P$32*$AG304))-0.010431*(1-$AG304/210))))</f>
        <v>2.9500001032655536</v>
      </c>
      <c r="AK304" s="24">
        <f>IF(D304="M",IF($AG304&lt;162,WeightSDS!P$12*$AG304^7+WeightSDS!Q$12*$AG304^6+WeightSDS!R$12*$AG304^5+WeightSDS!S$12*$AG304^4+WeightSDS!T$12*$AG304^3+WeightSDS!U$12*$AG304^2+WeightSDS!V$12*$AG304+WeightSDS!W$12,WeightSDS!P$14*$AG304^7+WeightSDS!Q$14*$AG304^6+WeightSDS!R$14*$AG304^5+WeightSDS!S$14*$AG304^4+WeightSDS!T$14*$AG304^3+WeightSDS!U$14*$AG304^2+WeightSDS!V$14*$AG304+WeightSDS!W$14),IF($AG304&lt;156,WeightSDS!O$17*$AG304^8+WeightSDS!P$17*$AG304^7+WeightSDS!Q$17*$AG304^6+WeightSDS!R$17*$AG304^5+WeightSDS!S$17*$AG304^4+WeightSDS!T$17*$AG304^3+WeightSDS!U$17*$AG304^2+WeightSDS!V$17*$AG304+WeightSDS!W$17,IF($AG304&lt;186,WeightSDS!$U$18+(WeightSDS!$V$18-WeightSDS!$U$18)/24*($AG304-186)+WeightSDS!$W$18*(-$AG304+186)^2-0.005,WeightSDS!$U$18+(WeightSDS!$V$18-WeightSDS!$U$18)/24*($AG304-186)-0.005)))</f>
        <v>0.14604529399999999</v>
      </c>
    </row>
    <row r="305" spans="1:37">
      <c r="A305" s="4"/>
      <c r="B305" s="21"/>
      <c r="C305" s="21"/>
      <c r="D305" s="21"/>
      <c r="E305" s="22"/>
      <c r="F305" s="22"/>
      <c r="G305" s="23"/>
      <c r="H305" s="23"/>
      <c r="I305" s="8" t="str">
        <f t="shared" si="66"/>
        <v/>
      </c>
      <c r="J305" s="2" t="str">
        <f t="shared" si="73"/>
        <v/>
      </c>
      <c r="K305" s="2" t="str">
        <f t="shared" si="67"/>
        <v/>
      </c>
      <c r="L305" s="2" t="str">
        <f t="shared" si="74"/>
        <v/>
      </c>
      <c r="M305" s="2" t="str">
        <f t="shared" si="79"/>
        <v/>
      </c>
      <c r="N305" s="2" t="str">
        <f t="shared" si="75"/>
        <v/>
      </c>
      <c r="O305" s="8" t="str">
        <f t="shared" si="76"/>
        <v/>
      </c>
      <c r="P305" s="8" t="str">
        <f t="shared" si="77"/>
        <v/>
      </c>
      <c r="Q305" s="40" t="str">
        <f t="shared" si="68"/>
        <v/>
      </c>
      <c r="R305" s="48" t="str">
        <f t="shared" si="78"/>
        <v/>
      </c>
      <c r="S305" s="8"/>
      <c r="U305" s="35">
        <f t="shared" si="69"/>
        <v>0</v>
      </c>
      <c r="V305" s="24">
        <f t="shared" si="70"/>
        <v>0</v>
      </c>
      <c r="W305" s="41">
        <f t="shared" si="81"/>
        <v>0</v>
      </c>
      <c r="X305" s="31"/>
      <c r="Y305" s="31"/>
      <c r="Z305" s="31"/>
      <c r="AA305" s="25">
        <f t="shared" si="71"/>
        <v>9.0359999999999996</v>
      </c>
      <c r="AB305" s="25">
        <f t="shared" si="72"/>
        <v>-184.49199999999999</v>
      </c>
      <c r="AD305" s="24">
        <f>IF(D305="M",IF(AG305&lt;78,BMILMS!$D$5*AG305^3+BMILMS!$E$5*AG305^2+BMILMS!$F$5*AG305+BMILMS!$G$5,IF(AG305&lt;150,BMILMS!$D$6*AG305^3+BMILMS!$E$6*AG305^2+BMILMS!$F$6*AG305+BMILMS!$G$6,BMILMS!$D$7*AG305^3+BMILMS!$E$7*AG305^2+BMILMS!$F$7*AG305+BMILMS!$G$7)),IF(AG305&lt;69,BMILMS!$D$9*AG305^3+BMILMS!$E$9*AG305^2+BMILMS!$F$9*AG305+BMILMS!$G$9,IF(AG305&lt;150,BMILMS!$D$10*AG305^3+BMILMS!$E$10*AG305^2+BMILMS!$F$10*AG305+BMILMS!$G$10,BMILMS!$D$11*AG305^3+BMILMS!$E$11*AG305^2+BMILMS!$F$11*AG305+BMILMS!$G$11)))</f>
        <v>0.79584630099999998</v>
      </c>
      <c r="AE305" s="24">
        <f>IF(D305="M",(IF(AG305&lt;2.5,BMILMS!$D$21*AG305^3+BMILMS!$E$21*AG305^2+BMILMS!$F$21*AG305+BMILMS!$G$21,IF(AG305&lt;9.5,BMILMS!$D$22*AG305^3+BMILMS!$E$22*AG305^2+BMILMS!$F$22*AG305+BMILMS!$G$22,IF(AG305&lt;26.75,BMILMS!$D$23*AG305^3+BMILMS!$E$23*AG305^2+BMILMS!$F$23*AG305+BMILMS!$G$23,IF(AG305&lt;90,BMILMS!$D$24*AG305^3+BMILMS!$E$24*AG305^2+BMILMS!$F$24*AG305+BMILMS!$G$24,BMILMS!$D$25*AG305^3+BMILMS!$E$25*AG305^2+BMILMS!$F$25*AG305+BMILMS!$G$25))))),(IF(AG305&lt;2.5,BMILMS!$D$27*AG305^3+BMILMS!$E$27*AG305^2+BMILMS!$F$27*AG305+BMILMS!$G$27,IF(AG305&lt;9.5,BMILMS!$D$28*AG305^3+BMILMS!$E$28*AG305^2+BMILMS!$F$28*AG305+BMILMS!$G$28,IF(AG305&lt;26.75,BMILMS!$D$29*AG305^3+BMILMS!$E$29*AG305^2+BMILMS!$F$29*AG305+BMILMS!$G$29,IF(AG305&lt;90,BMILMS!$D$30*AG305^3+BMILMS!$E$30*AG305^2+BMILMS!$F$30*AG305+BMILMS!$G$30,IF(AG305&lt;150,BMILMS!$D$31*AG305^3+BMILMS!$E$31*AG305^2+BMILMS!$F$31*AG305+BMILMS!$G$31,BMILMS!$D$32*AG305^3+BMILMS!$E$32*AG305^2+BMILMS!$F$32*AG305+BMILMS!$G$32)))))))</f>
        <v>12.568967990000001</v>
      </c>
      <c r="AF305" s="24">
        <f>IF(D305="M",(IF(AG305&lt;90,BMILMS!$D$14*AG305^3+BMILMS!$E$14*AG305^2+BMILMS!$F$14*AG305+BMILMS!$G$14,BMILMS!$D$15*AG305^3+BMILMS!$E$15*AG305^2+BMILMS!$F$15*AG305+BMILMS!$G$15)),(IF(AG305&lt;90,BMILMS!$D$17*AG305^3+BMILMS!$E$17*AG305^2+BMILMS!$F$17*AG305+BMILMS!$G$17,BMILMS!$D$18*AG305^3+BMILMS!$E$18*AG305^2+BMILMS!$F$18*AG305+BMILMS!$G$18)))</f>
        <v>8.8969350000000003E-2</v>
      </c>
      <c r="AG305" s="24">
        <f t="shared" si="80"/>
        <v>0</v>
      </c>
      <c r="AI305" s="38">
        <f>IF(D305="M",WeightSDS!P$5*$AG305^7+WeightSDS!Q$5*$AG305^6+WeightSDS!R$5*$AG305^5+WeightSDS!S$5*$AG305^4+WeightSDS!T$5*$AG305^3+WeightSDS!U$5*$AG305^2+WeightSDS!V$5*$AG305+WeightSDS!W$5,IF($AG305&lt;186,WeightSDS!P$8*$AG305^7+WeightSDS!Q$8*$AG305^6+WeightSDS!R$8*$AG305^5+WeightSDS!S$8*$AG305^4+WeightSDS!T$8*$AG305^3+WeightSDS!U$8*$AG305^2+WeightSDS!V$8*$AG305+WeightSDS!W$8,WeightSDS!$U$9-WeightSDS!$V$9*($AG305-WeightSDS!$W$9)))</f>
        <v>0.75407122999999998</v>
      </c>
      <c r="AJ305" s="24">
        <f>IF(D305="M",IF($AG305&lt;45,WeightSDS!M$23*$AG305^10+WeightSDS!N$23*$AG305^9+WeightSDS!O$23*$AG305^8+WeightSDS!P$23*$AG305^7+WeightSDS!Q$23*$AG305^6+WeightSDS!R$23*$AG305^5+WeightSDS!S$23*$AG305^4+WeightSDS!T$23*$AG305^3+WeightSDS!U$23*$AG305^2+WeightSDS!V$23*$AG305+WeightSDS!W$23,IF($AG305&lt;153,WeightSDS!M$25*$AG305^10+WeightSDS!N$25*$AG305^9+WeightSDS!O$25*$AG305^8+WeightSDS!P$25*$AG305^7+WeightSDS!Q$25*$AG305^6+WeightSDS!R$25*$AG305^5+WeightSDS!S$25*$AG305^4+WeightSDS!T$25*$AG305^3+WeightSDS!U$25*$AG305^2+WeightSDS!V$25*$AG305+WeightSDS!W$25,WeightSDS!M$27+WeightSDS!N$27/(1+EXP(WeightSDS!O$27+WeightSDS!P$27*$AG305)))),IF($AG305&lt;43.8,WeightSDS!M$29*$AG305^10+WeightSDS!N$29*$AG305^9+WeightSDS!O$29*$AG305^8+WeightSDS!P$29*$AG305^7+WeightSDS!Q$29*$AG305^6+WeightSDS!R$29*$AG305^5+WeightSDS!S$29*$AG305^4+WeightSDS!T$29*$AG305^3+WeightSDS!U$29*$AG305^2+WeightSDS!V$29*$AG305+WeightSDS!W$29-0.010431*(1-$AG305/210),IF($AG305&lt;123,WeightSDS!M$30*$AG305^10+WeightSDS!N$30*$AG305^9+WeightSDS!O$30*$AG305^8+WeightSDS!P$30*$AG305^7+WeightSDS!Q$30*$AG305^6+WeightSDS!R$30*$AG305^5+WeightSDS!S$30*$AG305^4+WeightSDS!T$30*$AG305^3+WeightSDS!U$30*$AG305^2+WeightSDS!V$30*$AG305+WeightSDS!W$30-0.010431*(1-1/$AG305),WeightSDS!M$32+WeightSDS!N$32/(1+EXP(WeightSDS!O$32+WeightSDS!P$32*$AG305))-0.010431*(1-$AG305/210))))</f>
        <v>2.9500001032655536</v>
      </c>
      <c r="AK305" s="24">
        <f>IF(D305="M",IF($AG305&lt;162,WeightSDS!P$12*$AG305^7+WeightSDS!Q$12*$AG305^6+WeightSDS!R$12*$AG305^5+WeightSDS!S$12*$AG305^4+WeightSDS!T$12*$AG305^3+WeightSDS!U$12*$AG305^2+WeightSDS!V$12*$AG305+WeightSDS!W$12,WeightSDS!P$14*$AG305^7+WeightSDS!Q$14*$AG305^6+WeightSDS!R$14*$AG305^5+WeightSDS!S$14*$AG305^4+WeightSDS!T$14*$AG305^3+WeightSDS!U$14*$AG305^2+WeightSDS!V$14*$AG305+WeightSDS!W$14),IF($AG305&lt;156,WeightSDS!O$17*$AG305^8+WeightSDS!P$17*$AG305^7+WeightSDS!Q$17*$AG305^6+WeightSDS!R$17*$AG305^5+WeightSDS!S$17*$AG305^4+WeightSDS!T$17*$AG305^3+WeightSDS!U$17*$AG305^2+WeightSDS!V$17*$AG305+WeightSDS!W$17,IF($AG305&lt;186,WeightSDS!$U$18+(WeightSDS!$V$18-WeightSDS!$U$18)/24*($AG305-186)+WeightSDS!$W$18*(-$AG305+186)^2-0.005,WeightSDS!$U$18+(WeightSDS!$V$18-WeightSDS!$U$18)/24*($AG305-186)-0.005)))</f>
        <v>0.14604529399999999</v>
      </c>
    </row>
    <row r="306" spans="1:37">
      <c r="A306" s="4"/>
      <c r="B306" s="21"/>
      <c r="C306" s="21"/>
      <c r="D306" s="21"/>
      <c r="E306" s="22"/>
      <c r="F306" s="22"/>
      <c r="G306" s="23"/>
      <c r="H306" s="23"/>
      <c r="I306" s="8" t="str">
        <f t="shared" si="66"/>
        <v/>
      </c>
      <c r="J306" s="2" t="str">
        <f t="shared" si="73"/>
        <v/>
      </c>
      <c r="K306" s="2" t="str">
        <f t="shared" si="67"/>
        <v/>
      </c>
      <c r="L306" s="2" t="str">
        <f t="shared" si="74"/>
        <v/>
      </c>
      <c r="M306" s="2" t="str">
        <f t="shared" si="79"/>
        <v/>
      </c>
      <c r="N306" s="2" t="str">
        <f t="shared" si="75"/>
        <v/>
      </c>
      <c r="O306" s="8" t="str">
        <f t="shared" si="76"/>
        <v/>
      </c>
      <c r="P306" s="8" t="str">
        <f t="shared" si="77"/>
        <v/>
      </c>
      <c r="Q306" s="40" t="str">
        <f t="shared" si="68"/>
        <v/>
      </c>
      <c r="R306" s="48" t="str">
        <f t="shared" si="78"/>
        <v/>
      </c>
      <c r="S306" s="8"/>
      <c r="U306" s="35">
        <f t="shared" si="69"/>
        <v>0</v>
      </c>
      <c r="V306" s="24">
        <f t="shared" si="70"/>
        <v>0</v>
      </c>
      <c r="W306" s="41">
        <f t="shared" si="81"/>
        <v>0</v>
      </c>
      <c r="X306" s="31"/>
      <c r="Y306" s="31"/>
      <c r="Z306" s="31"/>
      <c r="AA306" s="25">
        <f t="shared" si="71"/>
        <v>9.0359999999999996</v>
      </c>
      <c r="AB306" s="25">
        <f t="shared" si="72"/>
        <v>-184.49199999999999</v>
      </c>
      <c r="AD306" s="24">
        <f>IF(D306="M",IF(AG306&lt;78,BMILMS!$D$5*AG306^3+BMILMS!$E$5*AG306^2+BMILMS!$F$5*AG306+BMILMS!$G$5,IF(AG306&lt;150,BMILMS!$D$6*AG306^3+BMILMS!$E$6*AG306^2+BMILMS!$F$6*AG306+BMILMS!$G$6,BMILMS!$D$7*AG306^3+BMILMS!$E$7*AG306^2+BMILMS!$F$7*AG306+BMILMS!$G$7)),IF(AG306&lt;69,BMILMS!$D$9*AG306^3+BMILMS!$E$9*AG306^2+BMILMS!$F$9*AG306+BMILMS!$G$9,IF(AG306&lt;150,BMILMS!$D$10*AG306^3+BMILMS!$E$10*AG306^2+BMILMS!$F$10*AG306+BMILMS!$G$10,BMILMS!$D$11*AG306^3+BMILMS!$E$11*AG306^2+BMILMS!$F$11*AG306+BMILMS!$G$11)))</f>
        <v>0.79584630099999998</v>
      </c>
      <c r="AE306" s="24">
        <f>IF(D306="M",(IF(AG306&lt;2.5,BMILMS!$D$21*AG306^3+BMILMS!$E$21*AG306^2+BMILMS!$F$21*AG306+BMILMS!$G$21,IF(AG306&lt;9.5,BMILMS!$D$22*AG306^3+BMILMS!$E$22*AG306^2+BMILMS!$F$22*AG306+BMILMS!$G$22,IF(AG306&lt;26.75,BMILMS!$D$23*AG306^3+BMILMS!$E$23*AG306^2+BMILMS!$F$23*AG306+BMILMS!$G$23,IF(AG306&lt;90,BMILMS!$D$24*AG306^3+BMILMS!$E$24*AG306^2+BMILMS!$F$24*AG306+BMILMS!$G$24,BMILMS!$D$25*AG306^3+BMILMS!$E$25*AG306^2+BMILMS!$F$25*AG306+BMILMS!$G$25))))),(IF(AG306&lt;2.5,BMILMS!$D$27*AG306^3+BMILMS!$E$27*AG306^2+BMILMS!$F$27*AG306+BMILMS!$G$27,IF(AG306&lt;9.5,BMILMS!$D$28*AG306^3+BMILMS!$E$28*AG306^2+BMILMS!$F$28*AG306+BMILMS!$G$28,IF(AG306&lt;26.75,BMILMS!$D$29*AG306^3+BMILMS!$E$29*AG306^2+BMILMS!$F$29*AG306+BMILMS!$G$29,IF(AG306&lt;90,BMILMS!$D$30*AG306^3+BMILMS!$E$30*AG306^2+BMILMS!$F$30*AG306+BMILMS!$G$30,IF(AG306&lt;150,BMILMS!$D$31*AG306^3+BMILMS!$E$31*AG306^2+BMILMS!$F$31*AG306+BMILMS!$G$31,BMILMS!$D$32*AG306^3+BMILMS!$E$32*AG306^2+BMILMS!$F$32*AG306+BMILMS!$G$32)))))))</f>
        <v>12.568967990000001</v>
      </c>
      <c r="AF306" s="24">
        <f>IF(D306="M",(IF(AG306&lt;90,BMILMS!$D$14*AG306^3+BMILMS!$E$14*AG306^2+BMILMS!$F$14*AG306+BMILMS!$G$14,BMILMS!$D$15*AG306^3+BMILMS!$E$15*AG306^2+BMILMS!$F$15*AG306+BMILMS!$G$15)),(IF(AG306&lt;90,BMILMS!$D$17*AG306^3+BMILMS!$E$17*AG306^2+BMILMS!$F$17*AG306+BMILMS!$G$17,BMILMS!$D$18*AG306^3+BMILMS!$E$18*AG306^2+BMILMS!$F$18*AG306+BMILMS!$G$18)))</f>
        <v>8.8969350000000003E-2</v>
      </c>
      <c r="AG306" s="24">
        <f t="shared" si="80"/>
        <v>0</v>
      </c>
      <c r="AI306" s="38">
        <f>IF(D306="M",WeightSDS!P$5*$AG306^7+WeightSDS!Q$5*$AG306^6+WeightSDS!R$5*$AG306^5+WeightSDS!S$5*$AG306^4+WeightSDS!T$5*$AG306^3+WeightSDS!U$5*$AG306^2+WeightSDS!V$5*$AG306+WeightSDS!W$5,IF($AG306&lt;186,WeightSDS!P$8*$AG306^7+WeightSDS!Q$8*$AG306^6+WeightSDS!R$8*$AG306^5+WeightSDS!S$8*$AG306^4+WeightSDS!T$8*$AG306^3+WeightSDS!U$8*$AG306^2+WeightSDS!V$8*$AG306+WeightSDS!W$8,WeightSDS!$U$9-WeightSDS!$V$9*($AG306-WeightSDS!$W$9)))</f>
        <v>0.75407122999999998</v>
      </c>
      <c r="AJ306" s="24">
        <f>IF(D306="M",IF($AG306&lt;45,WeightSDS!M$23*$AG306^10+WeightSDS!N$23*$AG306^9+WeightSDS!O$23*$AG306^8+WeightSDS!P$23*$AG306^7+WeightSDS!Q$23*$AG306^6+WeightSDS!R$23*$AG306^5+WeightSDS!S$23*$AG306^4+WeightSDS!T$23*$AG306^3+WeightSDS!U$23*$AG306^2+WeightSDS!V$23*$AG306+WeightSDS!W$23,IF($AG306&lt;153,WeightSDS!M$25*$AG306^10+WeightSDS!N$25*$AG306^9+WeightSDS!O$25*$AG306^8+WeightSDS!P$25*$AG306^7+WeightSDS!Q$25*$AG306^6+WeightSDS!R$25*$AG306^5+WeightSDS!S$25*$AG306^4+WeightSDS!T$25*$AG306^3+WeightSDS!U$25*$AG306^2+WeightSDS!V$25*$AG306+WeightSDS!W$25,WeightSDS!M$27+WeightSDS!N$27/(1+EXP(WeightSDS!O$27+WeightSDS!P$27*$AG306)))),IF($AG306&lt;43.8,WeightSDS!M$29*$AG306^10+WeightSDS!N$29*$AG306^9+WeightSDS!O$29*$AG306^8+WeightSDS!P$29*$AG306^7+WeightSDS!Q$29*$AG306^6+WeightSDS!R$29*$AG306^5+WeightSDS!S$29*$AG306^4+WeightSDS!T$29*$AG306^3+WeightSDS!U$29*$AG306^2+WeightSDS!V$29*$AG306+WeightSDS!W$29-0.010431*(1-$AG306/210),IF($AG306&lt;123,WeightSDS!M$30*$AG306^10+WeightSDS!N$30*$AG306^9+WeightSDS!O$30*$AG306^8+WeightSDS!P$30*$AG306^7+WeightSDS!Q$30*$AG306^6+WeightSDS!R$30*$AG306^5+WeightSDS!S$30*$AG306^4+WeightSDS!T$30*$AG306^3+WeightSDS!U$30*$AG306^2+WeightSDS!V$30*$AG306+WeightSDS!W$30-0.010431*(1-1/$AG306),WeightSDS!M$32+WeightSDS!N$32/(1+EXP(WeightSDS!O$32+WeightSDS!P$32*$AG306))-0.010431*(1-$AG306/210))))</f>
        <v>2.9500001032655536</v>
      </c>
      <c r="AK306" s="24">
        <f>IF(D306="M",IF($AG306&lt;162,WeightSDS!P$12*$AG306^7+WeightSDS!Q$12*$AG306^6+WeightSDS!R$12*$AG306^5+WeightSDS!S$12*$AG306^4+WeightSDS!T$12*$AG306^3+WeightSDS!U$12*$AG306^2+WeightSDS!V$12*$AG306+WeightSDS!W$12,WeightSDS!P$14*$AG306^7+WeightSDS!Q$14*$AG306^6+WeightSDS!R$14*$AG306^5+WeightSDS!S$14*$AG306^4+WeightSDS!T$14*$AG306^3+WeightSDS!U$14*$AG306^2+WeightSDS!V$14*$AG306+WeightSDS!W$14),IF($AG306&lt;156,WeightSDS!O$17*$AG306^8+WeightSDS!P$17*$AG306^7+WeightSDS!Q$17*$AG306^6+WeightSDS!R$17*$AG306^5+WeightSDS!S$17*$AG306^4+WeightSDS!T$17*$AG306^3+WeightSDS!U$17*$AG306^2+WeightSDS!V$17*$AG306+WeightSDS!W$17,IF($AG306&lt;186,WeightSDS!$U$18+(WeightSDS!$V$18-WeightSDS!$U$18)/24*($AG306-186)+WeightSDS!$W$18*(-$AG306+186)^2-0.005,WeightSDS!$U$18+(WeightSDS!$V$18-WeightSDS!$U$18)/24*($AG306-186)-0.005)))</f>
        <v>0.14604529399999999</v>
      </c>
    </row>
    <row r="307" spans="1:37">
      <c r="A307" s="4"/>
      <c r="B307" s="21"/>
      <c r="C307" s="21"/>
      <c r="D307" s="21"/>
      <c r="E307" s="22"/>
      <c r="F307" s="22"/>
      <c r="G307" s="23"/>
      <c r="H307" s="23"/>
      <c r="I307" s="8" t="str">
        <f t="shared" si="66"/>
        <v/>
      </c>
      <c r="J307" s="2" t="str">
        <f t="shared" si="73"/>
        <v/>
      </c>
      <c r="K307" s="2" t="str">
        <f t="shared" si="67"/>
        <v/>
      </c>
      <c r="L307" s="2" t="str">
        <f t="shared" si="74"/>
        <v/>
      </c>
      <c r="M307" s="2" t="str">
        <f t="shared" si="79"/>
        <v/>
      </c>
      <c r="N307" s="2" t="str">
        <f t="shared" si="75"/>
        <v/>
      </c>
      <c r="O307" s="8" t="str">
        <f t="shared" si="76"/>
        <v/>
      </c>
      <c r="P307" s="8" t="str">
        <f t="shared" si="77"/>
        <v/>
      </c>
      <c r="Q307" s="40" t="str">
        <f t="shared" si="68"/>
        <v/>
      </c>
      <c r="R307" s="48" t="str">
        <f t="shared" si="78"/>
        <v/>
      </c>
      <c r="S307" s="8"/>
      <c r="U307" s="35">
        <f t="shared" si="69"/>
        <v>0</v>
      </c>
      <c r="V307" s="24">
        <f t="shared" si="70"/>
        <v>0</v>
      </c>
      <c r="W307" s="41">
        <f t="shared" si="81"/>
        <v>0</v>
      </c>
      <c r="X307" s="31"/>
      <c r="Y307" s="31"/>
      <c r="Z307" s="31"/>
      <c r="AA307" s="25">
        <f t="shared" si="71"/>
        <v>9.0359999999999996</v>
      </c>
      <c r="AB307" s="25">
        <f t="shared" si="72"/>
        <v>-184.49199999999999</v>
      </c>
      <c r="AD307" s="24">
        <f>IF(D307="M",IF(AG307&lt;78,BMILMS!$D$5*AG307^3+BMILMS!$E$5*AG307^2+BMILMS!$F$5*AG307+BMILMS!$G$5,IF(AG307&lt;150,BMILMS!$D$6*AG307^3+BMILMS!$E$6*AG307^2+BMILMS!$F$6*AG307+BMILMS!$G$6,BMILMS!$D$7*AG307^3+BMILMS!$E$7*AG307^2+BMILMS!$F$7*AG307+BMILMS!$G$7)),IF(AG307&lt;69,BMILMS!$D$9*AG307^3+BMILMS!$E$9*AG307^2+BMILMS!$F$9*AG307+BMILMS!$G$9,IF(AG307&lt;150,BMILMS!$D$10*AG307^3+BMILMS!$E$10*AG307^2+BMILMS!$F$10*AG307+BMILMS!$G$10,BMILMS!$D$11*AG307^3+BMILMS!$E$11*AG307^2+BMILMS!$F$11*AG307+BMILMS!$G$11)))</f>
        <v>0.79584630099999998</v>
      </c>
      <c r="AE307" s="24">
        <f>IF(D307="M",(IF(AG307&lt;2.5,BMILMS!$D$21*AG307^3+BMILMS!$E$21*AG307^2+BMILMS!$F$21*AG307+BMILMS!$G$21,IF(AG307&lt;9.5,BMILMS!$D$22*AG307^3+BMILMS!$E$22*AG307^2+BMILMS!$F$22*AG307+BMILMS!$G$22,IF(AG307&lt;26.75,BMILMS!$D$23*AG307^3+BMILMS!$E$23*AG307^2+BMILMS!$F$23*AG307+BMILMS!$G$23,IF(AG307&lt;90,BMILMS!$D$24*AG307^3+BMILMS!$E$24*AG307^2+BMILMS!$F$24*AG307+BMILMS!$G$24,BMILMS!$D$25*AG307^3+BMILMS!$E$25*AG307^2+BMILMS!$F$25*AG307+BMILMS!$G$25))))),(IF(AG307&lt;2.5,BMILMS!$D$27*AG307^3+BMILMS!$E$27*AG307^2+BMILMS!$F$27*AG307+BMILMS!$G$27,IF(AG307&lt;9.5,BMILMS!$D$28*AG307^3+BMILMS!$E$28*AG307^2+BMILMS!$F$28*AG307+BMILMS!$G$28,IF(AG307&lt;26.75,BMILMS!$D$29*AG307^3+BMILMS!$E$29*AG307^2+BMILMS!$F$29*AG307+BMILMS!$G$29,IF(AG307&lt;90,BMILMS!$D$30*AG307^3+BMILMS!$E$30*AG307^2+BMILMS!$F$30*AG307+BMILMS!$G$30,IF(AG307&lt;150,BMILMS!$D$31*AG307^3+BMILMS!$E$31*AG307^2+BMILMS!$F$31*AG307+BMILMS!$G$31,BMILMS!$D$32*AG307^3+BMILMS!$E$32*AG307^2+BMILMS!$F$32*AG307+BMILMS!$G$32)))))))</f>
        <v>12.568967990000001</v>
      </c>
      <c r="AF307" s="24">
        <f>IF(D307="M",(IF(AG307&lt;90,BMILMS!$D$14*AG307^3+BMILMS!$E$14*AG307^2+BMILMS!$F$14*AG307+BMILMS!$G$14,BMILMS!$D$15*AG307^3+BMILMS!$E$15*AG307^2+BMILMS!$F$15*AG307+BMILMS!$G$15)),(IF(AG307&lt;90,BMILMS!$D$17*AG307^3+BMILMS!$E$17*AG307^2+BMILMS!$F$17*AG307+BMILMS!$G$17,BMILMS!$D$18*AG307^3+BMILMS!$E$18*AG307^2+BMILMS!$F$18*AG307+BMILMS!$G$18)))</f>
        <v>8.8969350000000003E-2</v>
      </c>
      <c r="AG307" s="24">
        <f t="shared" si="80"/>
        <v>0</v>
      </c>
      <c r="AI307" s="38">
        <f>IF(D307="M",WeightSDS!P$5*$AG307^7+WeightSDS!Q$5*$AG307^6+WeightSDS!R$5*$AG307^5+WeightSDS!S$5*$AG307^4+WeightSDS!T$5*$AG307^3+WeightSDS!U$5*$AG307^2+WeightSDS!V$5*$AG307+WeightSDS!W$5,IF($AG307&lt;186,WeightSDS!P$8*$AG307^7+WeightSDS!Q$8*$AG307^6+WeightSDS!R$8*$AG307^5+WeightSDS!S$8*$AG307^4+WeightSDS!T$8*$AG307^3+WeightSDS!U$8*$AG307^2+WeightSDS!V$8*$AG307+WeightSDS!W$8,WeightSDS!$U$9-WeightSDS!$V$9*($AG307-WeightSDS!$W$9)))</f>
        <v>0.75407122999999998</v>
      </c>
      <c r="AJ307" s="24">
        <f>IF(D307="M",IF($AG307&lt;45,WeightSDS!M$23*$AG307^10+WeightSDS!N$23*$AG307^9+WeightSDS!O$23*$AG307^8+WeightSDS!P$23*$AG307^7+WeightSDS!Q$23*$AG307^6+WeightSDS!R$23*$AG307^5+WeightSDS!S$23*$AG307^4+WeightSDS!T$23*$AG307^3+WeightSDS!U$23*$AG307^2+WeightSDS!V$23*$AG307+WeightSDS!W$23,IF($AG307&lt;153,WeightSDS!M$25*$AG307^10+WeightSDS!N$25*$AG307^9+WeightSDS!O$25*$AG307^8+WeightSDS!P$25*$AG307^7+WeightSDS!Q$25*$AG307^6+WeightSDS!R$25*$AG307^5+WeightSDS!S$25*$AG307^4+WeightSDS!T$25*$AG307^3+WeightSDS!U$25*$AG307^2+WeightSDS!V$25*$AG307+WeightSDS!W$25,WeightSDS!M$27+WeightSDS!N$27/(1+EXP(WeightSDS!O$27+WeightSDS!P$27*$AG307)))),IF($AG307&lt;43.8,WeightSDS!M$29*$AG307^10+WeightSDS!N$29*$AG307^9+WeightSDS!O$29*$AG307^8+WeightSDS!P$29*$AG307^7+WeightSDS!Q$29*$AG307^6+WeightSDS!R$29*$AG307^5+WeightSDS!S$29*$AG307^4+WeightSDS!T$29*$AG307^3+WeightSDS!U$29*$AG307^2+WeightSDS!V$29*$AG307+WeightSDS!W$29-0.010431*(1-$AG307/210),IF($AG307&lt;123,WeightSDS!M$30*$AG307^10+WeightSDS!N$30*$AG307^9+WeightSDS!O$30*$AG307^8+WeightSDS!P$30*$AG307^7+WeightSDS!Q$30*$AG307^6+WeightSDS!R$30*$AG307^5+WeightSDS!S$30*$AG307^4+WeightSDS!T$30*$AG307^3+WeightSDS!U$30*$AG307^2+WeightSDS!V$30*$AG307+WeightSDS!W$30-0.010431*(1-1/$AG307),WeightSDS!M$32+WeightSDS!N$32/(1+EXP(WeightSDS!O$32+WeightSDS!P$32*$AG307))-0.010431*(1-$AG307/210))))</f>
        <v>2.9500001032655536</v>
      </c>
      <c r="AK307" s="24">
        <f>IF(D307="M",IF($AG307&lt;162,WeightSDS!P$12*$AG307^7+WeightSDS!Q$12*$AG307^6+WeightSDS!R$12*$AG307^5+WeightSDS!S$12*$AG307^4+WeightSDS!T$12*$AG307^3+WeightSDS!U$12*$AG307^2+WeightSDS!V$12*$AG307+WeightSDS!W$12,WeightSDS!P$14*$AG307^7+WeightSDS!Q$14*$AG307^6+WeightSDS!R$14*$AG307^5+WeightSDS!S$14*$AG307^4+WeightSDS!T$14*$AG307^3+WeightSDS!U$14*$AG307^2+WeightSDS!V$14*$AG307+WeightSDS!W$14),IF($AG307&lt;156,WeightSDS!O$17*$AG307^8+WeightSDS!P$17*$AG307^7+WeightSDS!Q$17*$AG307^6+WeightSDS!R$17*$AG307^5+WeightSDS!S$17*$AG307^4+WeightSDS!T$17*$AG307^3+WeightSDS!U$17*$AG307^2+WeightSDS!V$17*$AG307+WeightSDS!W$17,IF($AG307&lt;186,WeightSDS!$U$18+(WeightSDS!$V$18-WeightSDS!$U$18)/24*($AG307-186)+WeightSDS!$W$18*(-$AG307+186)^2-0.005,WeightSDS!$U$18+(WeightSDS!$V$18-WeightSDS!$U$18)/24*($AG307-186)-0.005)))</f>
        <v>0.14604529399999999</v>
      </c>
    </row>
    <row r="308" spans="1:37">
      <c r="A308" s="4"/>
      <c r="B308" s="21"/>
      <c r="C308" s="21"/>
      <c r="D308" s="21"/>
      <c r="E308" s="22"/>
      <c r="F308" s="22"/>
      <c r="G308" s="23"/>
      <c r="H308" s="23"/>
      <c r="I308" s="8" t="str">
        <f t="shared" si="66"/>
        <v/>
      </c>
      <c r="J308" s="2" t="str">
        <f t="shared" si="73"/>
        <v/>
      </c>
      <c r="K308" s="2" t="str">
        <f t="shared" si="67"/>
        <v/>
      </c>
      <c r="L308" s="2" t="str">
        <f t="shared" si="74"/>
        <v/>
      </c>
      <c r="M308" s="2" t="str">
        <f t="shared" si="79"/>
        <v/>
      </c>
      <c r="N308" s="2" t="str">
        <f t="shared" si="75"/>
        <v/>
      </c>
      <c r="O308" s="8" t="str">
        <f t="shared" si="76"/>
        <v/>
      </c>
      <c r="P308" s="8" t="str">
        <f t="shared" si="77"/>
        <v/>
      </c>
      <c r="Q308" s="40" t="str">
        <f t="shared" si="68"/>
        <v/>
      </c>
      <c r="R308" s="48" t="str">
        <f t="shared" si="78"/>
        <v/>
      </c>
      <c r="S308" s="8"/>
      <c r="U308" s="35">
        <f t="shared" si="69"/>
        <v>0</v>
      </c>
      <c r="V308" s="24">
        <f t="shared" si="70"/>
        <v>0</v>
      </c>
      <c r="W308" s="41">
        <f t="shared" si="81"/>
        <v>0</v>
      </c>
      <c r="X308" s="31"/>
      <c r="Y308" s="31"/>
      <c r="Z308" s="31"/>
      <c r="AA308" s="25">
        <f t="shared" si="71"/>
        <v>9.0359999999999996</v>
      </c>
      <c r="AB308" s="25">
        <f t="shared" si="72"/>
        <v>-184.49199999999999</v>
      </c>
      <c r="AD308" s="24">
        <f>IF(D308="M",IF(AG308&lt;78,BMILMS!$D$5*AG308^3+BMILMS!$E$5*AG308^2+BMILMS!$F$5*AG308+BMILMS!$G$5,IF(AG308&lt;150,BMILMS!$D$6*AG308^3+BMILMS!$E$6*AG308^2+BMILMS!$F$6*AG308+BMILMS!$G$6,BMILMS!$D$7*AG308^3+BMILMS!$E$7*AG308^2+BMILMS!$F$7*AG308+BMILMS!$G$7)),IF(AG308&lt;69,BMILMS!$D$9*AG308^3+BMILMS!$E$9*AG308^2+BMILMS!$F$9*AG308+BMILMS!$G$9,IF(AG308&lt;150,BMILMS!$D$10*AG308^3+BMILMS!$E$10*AG308^2+BMILMS!$F$10*AG308+BMILMS!$G$10,BMILMS!$D$11*AG308^3+BMILMS!$E$11*AG308^2+BMILMS!$F$11*AG308+BMILMS!$G$11)))</f>
        <v>0.79584630099999998</v>
      </c>
      <c r="AE308" s="24">
        <f>IF(D308="M",(IF(AG308&lt;2.5,BMILMS!$D$21*AG308^3+BMILMS!$E$21*AG308^2+BMILMS!$F$21*AG308+BMILMS!$G$21,IF(AG308&lt;9.5,BMILMS!$D$22*AG308^3+BMILMS!$E$22*AG308^2+BMILMS!$F$22*AG308+BMILMS!$G$22,IF(AG308&lt;26.75,BMILMS!$D$23*AG308^3+BMILMS!$E$23*AG308^2+BMILMS!$F$23*AG308+BMILMS!$G$23,IF(AG308&lt;90,BMILMS!$D$24*AG308^3+BMILMS!$E$24*AG308^2+BMILMS!$F$24*AG308+BMILMS!$G$24,BMILMS!$D$25*AG308^3+BMILMS!$E$25*AG308^2+BMILMS!$F$25*AG308+BMILMS!$G$25))))),(IF(AG308&lt;2.5,BMILMS!$D$27*AG308^3+BMILMS!$E$27*AG308^2+BMILMS!$F$27*AG308+BMILMS!$G$27,IF(AG308&lt;9.5,BMILMS!$D$28*AG308^3+BMILMS!$E$28*AG308^2+BMILMS!$F$28*AG308+BMILMS!$G$28,IF(AG308&lt;26.75,BMILMS!$D$29*AG308^3+BMILMS!$E$29*AG308^2+BMILMS!$F$29*AG308+BMILMS!$G$29,IF(AG308&lt;90,BMILMS!$D$30*AG308^3+BMILMS!$E$30*AG308^2+BMILMS!$F$30*AG308+BMILMS!$G$30,IF(AG308&lt;150,BMILMS!$D$31*AG308^3+BMILMS!$E$31*AG308^2+BMILMS!$F$31*AG308+BMILMS!$G$31,BMILMS!$D$32*AG308^3+BMILMS!$E$32*AG308^2+BMILMS!$F$32*AG308+BMILMS!$G$32)))))))</f>
        <v>12.568967990000001</v>
      </c>
      <c r="AF308" s="24">
        <f>IF(D308="M",(IF(AG308&lt;90,BMILMS!$D$14*AG308^3+BMILMS!$E$14*AG308^2+BMILMS!$F$14*AG308+BMILMS!$G$14,BMILMS!$D$15*AG308^3+BMILMS!$E$15*AG308^2+BMILMS!$F$15*AG308+BMILMS!$G$15)),(IF(AG308&lt;90,BMILMS!$D$17*AG308^3+BMILMS!$E$17*AG308^2+BMILMS!$F$17*AG308+BMILMS!$G$17,BMILMS!$D$18*AG308^3+BMILMS!$E$18*AG308^2+BMILMS!$F$18*AG308+BMILMS!$G$18)))</f>
        <v>8.8969350000000003E-2</v>
      </c>
      <c r="AG308" s="24">
        <f t="shared" si="80"/>
        <v>0</v>
      </c>
      <c r="AI308" s="38">
        <f>IF(D308="M",WeightSDS!P$5*$AG308^7+WeightSDS!Q$5*$AG308^6+WeightSDS!R$5*$AG308^5+WeightSDS!S$5*$AG308^4+WeightSDS!T$5*$AG308^3+WeightSDS!U$5*$AG308^2+WeightSDS!V$5*$AG308+WeightSDS!W$5,IF($AG308&lt;186,WeightSDS!P$8*$AG308^7+WeightSDS!Q$8*$AG308^6+WeightSDS!R$8*$AG308^5+WeightSDS!S$8*$AG308^4+WeightSDS!T$8*$AG308^3+WeightSDS!U$8*$AG308^2+WeightSDS!V$8*$AG308+WeightSDS!W$8,WeightSDS!$U$9-WeightSDS!$V$9*($AG308-WeightSDS!$W$9)))</f>
        <v>0.75407122999999998</v>
      </c>
      <c r="AJ308" s="24">
        <f>IF(D308="M",IF($AG308&lt;45,WeightSDS!M$23*$AG308^10+WeightSDS!N$23*$AG308^9+WeightSDS!O$23*$AG308^8+WeightSDS!P$23*$AG308^7+WeightSDS!Q$23*$AG308^6+WeightSDS!R$23*$AG308^5+WeightSDS!S$23*$AG308^4+WeightSDS!T$23*$AG308^3+WeightSDS!U$23*$AG308^2+WeightSDS!V$23*$AG308+WeightSDS!W$23,IF($AG308&lt;153,WeightSDS!M$25*$AG308^10+WeightSDS!N$25*$AG308^9+WeightSDS!O$25*$AG308^8+WeightSDS!P$25*$AG308^7+WeightSDS!Q$25*$AG308^6+WeightSDS!R$25*$AG308^5+WeightSDS!S$25*$AG308^4+WeightSDS!T$25*$AG308^3+WeightSDS!U$25*$AG308^2+WeightSDS!V$25*$AG308+WeightSDS!W$25,WeightSDS!M$27+WeightSDS!N$27/(1+EXP(WeightSDS!O$27+WeightSDS!P$27*$AG308)))),IF($AG308&lt;43.8,WeightSDS!M$29*$AG308^10+WeightSDS!N$29*$AG308^9+WeightSDS!O$29*$AG308^8+WeightSDS!P$29*$AG308^7+WeightSDS!Q$29*$AG308^6+WeightSDS!R$29*$AG308^5+WeightSDS!S$29*$AG308^4+WeightSDS!T$29*$AG308^3+WeightSDS!U$29*$AG308^2+WeightSDS!V$29*$AG308+WeightSDS!W$29-0.010431*(1-$AG308/210),IF($AG308&lt;123,WeightSDS!M$30*$AG308^10+WeightSDS!N$30*$AG308^9+WeightSDS!O$30*$AG308^8+WeightSDS!P$30*$AG308^7+WeightSDS!Q$30*$AG308^6+WeightSDS!R$30*$AG308^5+WeightSDS!S$30*$AG308^4+WeightSDS!T$30*$AG308^3+WeightSDS!U$30*$AG308^2+WeightSDS!V$30*$AG308+WeightSDS!W$30-0.010431*(1-1/$AG308),WeightSDS!M$32+WeightSDS!N$32/(1+EXP(WeightSDS!O$32+WeightSDS!P$32*$AG308))-0.010431*(1-$AG308/210))))</f>
        <v>2.9500001032655536</v>
      </c>
      <c r="AK308" s="24">
        <f>IF(D308="M",IF($AG308&lt;162,WeightSDS!P$12*$AG308^7+WeightSDS!Q$12*$AG308^6+WeightSDS!R$12*$AG308^5+WeightSDS!S$12*$AG308^4+WeightSDS!T$12*$AG308^3+WeightSDS!U$12*$AG308^2+WeightSDS!V$12*$AG308+WeightSDS!W$12,WeightSDS!P$14*$AG308^7+WeightSDS!Q$14*$AG308^6+WeightSDS!R$14*$AG308^5+WeightSDS!S$14*$AG308^4+WeightSDS!T$14*$AG308^3+WeightSDS!U$14*$AG308^2+WeightSDS!V$14*$AG308+WeightSDS!W$14),IF($AG308&lt;156,WeightSDS!O$17*$AG308^8+WeightSDS!P$17*$AG308^7+WeightSDS!Q$17*$AG308^6+WeightSDS!R$17*$AG308^5+WeightSDS!S$17*$AG308^4+WeightSDS!T$17*$AG308^3+WeightSDS!U$17*$AG308^2+WeightSDS!V$17*$AG308+WeightSDS!W$17,IF($AG308&lt;186,WeightSDS!$U$18+(WeightSDS!$V$18-WeightSDS!$U$18)/24*($AG308-186)+WeightSDS!$W$18*(-$AG308+186)^2-0.005,WeightSDS!$U$18+(WeightSDS!$V$18-WeightSDS!$U$18)/24*($AG308-186)-0.005)))</f>
        <v>0.14604529399999999</v>
      </c>
    </row>
    <row r="309" spans="1:37">
      <c r="A309" s="4"/>
      <c r="B309" s="21"/>
      <c r="C309" s="21"/>
      <c r="D309" s="21"/>
      <c r="E309" s="22"/>
      <c r="F309" s="22"/>
      <c r="G309" s="23"/>
      <c r="H309" s="23"/>
      <c r="I309" s="8" t="str">
        <f t="shared" si="66"/>
        <v/>
      </c>
      <c r="J309" s="2" t="str">
        <f t="shared" si="73"/>
        <v/>
      </c>
      <c r="K309" s="2" t="str">
        <f t="shared" si="67"/>
        <v/>
      </c>
      <c r="L309" s="2" t="str">
        <f t="shared" si="74"/>
        <v/>
      </c>
      <c r="M309" s="2" t="str">
        <f t="shared" si="79"/>
        <v/>
      </c>
      <c r="N309" s="2" t="str">
        <f t="shared" si="75"/>
        <v/>
      </c>
      <c r="O309" s="8" t="str">
        <f t="shared" si="76"/>
        <v/>
      </c>
      <c r="P309" s="8" t="str">
        <f t="shared" si="77"/>
        <v/>
      </c>
      <c r="Q309" s="40" t="str">
        <f t="shared" si="68"/>
        <v/>
      </c>
      <c r="R309" s="48" t="str">
        <f t="shared" si="78"/>
        <v/>
      </c>
      <c r="S309" s="8"/>
      <c r="U309" s="35">
        <f t="shared" si="69"/>
        <v>0</v>
      </c>
      <c r="V309" s="24">
        <f t="shared" si="70"/>
        <v>0</v>
      </c>
      <c r="W309" s="41">
        <f t="shared" si="81"/>
        <v>0</v>
      </c>
      <c r="X309" s="31"/>
      <c r="Y309" s="31"/>
      <c r="Z309" s="31"/>
      <c r="AA309" s="25">
        <f t="shared" si="71"/>
        <v>9.0359999999999996</v>
      </c>
      <c r="AB309" s="25">
        <f t="shared" si="72"/>
        <v>-184.49199999999999</v>
      </c>
      <c r="AD309" s="24">
        <f>IF(D309="M",IF(AG309&lt;78,BMILMS!$D$5*AG309^3+BMILMS!$E$5*AG309^2+BMILMS!$F$5*AG309+BMILMS!$G$5,IF(AG309&lt;150,BMILMS!$D$6*AG309^3+BMILMS!$E$6*AG309^2+BMILMS!$F$6*AG309+BMILMS!$G$6,BMILMS!$D$7*AG309^3+BMILMS!$E$7*AG309^2+BMILMS!$F$7*AG309+BMILMS!$G$7)),IF(AG309&lt;69,BMILMS!$D$9*AG309^3+BMILMS!$E$9*AG309^2+BMILMS!$F$9*AG309+BMILMS!$G$9,IF(AG309&lt;150,BMILMS!$D$10*AG309^3+BMILMS!$E$10*AG309^2+BMILMS!$F$10*AG309+BMILMS!$G$10,BMILMS!$D$11*AG309^3+BMILMS!$E$11*AG309^2+BMILMS!$F$11*AG309+BMILMS!$G$11)))</f>
        <v>0.79584630099999998</v>
      </c>
      <c r="AE309" s="24">
        <f>IF(D309="M",(IF(AG309&lt;2.5,BMILMS!$D$21*AG309^3+BMILMS!$E$21*AG309^2+BMILMS!$F$21*AG309+BMILMS!$G$21,IF(AG309&lt;9.5,BMILMS!$D$22*AG309^3+BMILMS!$E$22*AG309^2+BMILMS!$F$22*AG309+BMILMS!$G$22,IF(AG309&lt;26.75,BMILMS!$D$23*AG309^3+BMILMS!$E$23*AG309^2+BMILMS!$F$23*AG309+BMILMS!$G$23,IF(AG309&lt;90,BMILMS!$D$24*AG309^3+BMILMS!$E$24*AG309^2+BMILMS!$F$24*AG309+BMILMS!$G$24,BMILMS!$D$25*AG309^3+BMILMS!$E$25*AG309^2+BMILMS!$F$25*AG309+BMILMS!$G$25))))),(IF(AG309&lt;2.5,BMILMS!$D$27*AG309^3+BMILMS!$E$27*AG309^2+BMILMS!$F$27*AG309+BMILMS!$G$27,IF(AG309&lt;9.5,BMILMS!$D$28*AG309^3+BMILMS!$E$28*AG309^2+BMILMS!$F$28*AG309+BMILMS!$G$28,IF(AG309&lt;26.75,BMILMS!$D$29*AG309^3+BMILMS!$E$29*AG309^2+BMILMS!$F$29*AG309+BMILMS!$G$29,IF(AG309&lt;90,BMILMS!$D$30*AG309^3+BMILMS!$E$30*AG309^2+BMILMS!$F$30*AG309+BMILMS!$G$30,IF(AG309&lt;150,BMILMS!$D$31*AG309^3+BMILMS!$E$31*AG309^2+BMILMS!$F$31*AG309+BMILMS!$G$31,BMILMS!$D$32*AG309^3+BMILMS!$E$32*AG309^2+BMILMS!$F$32*AG309+BMILMS!$G$32)))))))</f>
        <v>12.568967990000001</v>
      </c>
      <c r="AF309" s="24">
        <f>IF(D309="M",(IF(AG309&lt;90,BMILMS!$D$14*AG309^3+BMILMS!$E$14*AG309^2+BMILMS!$F$14*AG309+BMILMS!$G$14,BMILMS!$D$15*AG309^3+BMILMS!$E$15*AG309^2+BMILMS!$F$15*AG309+BMILMS!$G$15)),(IF(AG309&lt;90,BMILMS!$D$17*AG309^3+BMILMS!$E$17*AG309^2+BMILMS!$F$17*AG309+BMILMS!$G$17,BMILMS!$D$18*AG309^3+BMILMS!$E$18*AG309^2+BMILMS!$F$18*AG309+BMILMS!$G$18)))</f>
        <v>8.8969350000000003E-2</v>
      </c>
      <c r="AG309" s="24">
        <f t="shared" si="80"/>
        <v>0</v>
      </c>
      <c r="AI309" s="38">
        <f>IF(D309="M",WeightSDS!P$5*$AG309^7+WeightSDS!Q$5*$AG309^6+WeightSDS!R$5*$AG309^5+WeightSDS!S$5*$AG309^4+WeightSDS!T$5*$AG309^3+WeightSDS!U$5*$AG309^2+WeightSDS!V$5*$AG309+WeightSDS!W$5,IF($AG309&lt;186,WeightSDS!P$8*$AG309^7+WeightSDS!Q$8*$AG309^6+WeightSDS!R$8*$AG309^5+WeightSDS!S$8*$AG309^4+WeightSDS!T$8*$AG309^3+WeightSDS!U$8*$AG309^2+WeightSDS!V$8*$AG309+WeightSDS!W$8,WeightSDS!$U$9-WeightSDS!$V$9*($AG309-WeightSDS!$W$9)))</f>
        <v>0.75407122999999998</v>
      </c>
      <c r="AJ309" s="24">
        <f>IF(D309="M",IF($AG309&lt;45,WeightSDS!M$23*$AG309^10+WeightSDS!N$23*$AG309^9+WeightSDS!O$23*$AG309^8+WeightSDS!P$23*$AG309^7+WeightSDS!Q$23*$AG309^6+WeightSDS!R$23*$AG309^5+WeightSDS!S$23*$AG309^4+WeightSDS!T$23*$AG309^3+WeightSDS!U$23*$AG309^2+WeightSDS!V$23*$AG309+WeightSDS!W$23,IF($AG309&lt;153,WeightSDS!M$25*$AG309^10+WeightSDS!N$25*$AG309^9+WeightSDS!O$25*$AG309^8+WeightSDS!P$25*$AG309^7+WeightSDS!Q$25*$AG309^6+WeightSDS!R$25*$AG309^5+WeightSDS!S$25*$AG309^4+WeightSDS!T$25*$AG309^3+WeightSDS!U$25*$AG309^2+WeightSDS!V$25*$AG309+WeightSDS!W$25,WeightSDS!M$27+WeightSDS!N$27/(1+EXP(WeightSDS!O$27+WeightSDS!P$27*$AG309)))),IF($AG309&lt;43.8,WeightSDS!M$29*$AG309^10+WeightSDS!N$29*$AG309^9+WeightSDS!O$29*$AG309^8+WeightSDS!P$29*$AG309^7+WeightSDS!Q$29*$AG309^6+WeightSDS!R$29*$AG309^5+WeightSDS!S$29*$AG309^4+WeightSDS!T$29*$AG309^3+WeightSDS!U$29*$AG309^2+WeightSDS!V$29*$AG309+WeightSDS!W$29-0.010431*(1-$AG309/210),IF($AG309&lt;123,WeightSDS!M$30*$AG309^10+WeightSDS!N$30*$AG309^9+WeightSDS!O$30*$AG309^8+WeightSDS!P$30*$AG309^7+WeightSDS!Q$30*$AG309^6+WeightSDS!R$30*$AG309^5+WeightSDS!S$30*$AG309^4+WeightSDS!T$30*$AG309^3+WeightSDS!U$30*$AG309^2+WeightSDS!V$30*$AG309+WeightSDS!W$30-0.010431*(1-1/$AG309),WeightSDS!M$32+WeightSDS!N$32/(1+EXP(WeightSDS!O$32+WeightSDS!P$32*$AG309))-0.010431*(1-$AG309/210))))</f>
        <v>2.9500001032655536</v>
      </c>
      <c r="AK309" s="24">
        <f>IF(D309="M",IF($AG309&lt;162,WeightSDS!P$12*$AG309^7+WeightSDS!Q$12*$AG309^6+WeightSDS!R$12*$AG309^5+WeightSDS!S$12*$AG309^4+WeightSDS!T$12*$AG309^3+WeightSDS!U$12*$AG309^2+WeightSDS!V$12*$AG309+WeightSDS!W$12,WeightSDS!P$14*$AG309^7+WeightSDS!Q$14*$AG309^6+WeightSDS!R$14*$AG309^5+WeightSDS!S$14*$AG309^4+WeightSDS!T$14*$AG309^3+WeightSDS!U$14*$AG309^2+WeightSDS!V$14*$AG309+WeightSDS!W$14),IF($AG309&lt;156,WeightSDS!O$17*$AG309^8+WeightSDS!P$17*$AG309^7+WeightSDS!Q$17*$AG309^6+WeightSDS!R$17*$AG309^5+WeightSDS!S$17*$AG309^4+WeightSDS!T$17*$AG309^3+WeightSDS!U$17*$AG309^2+WeightSDS!V$17*$AG309+WeightSDS!W$17,IF($AG309&lt;186,WeightSDS!$U$18+(WeightSDS!$V$18-WeightSDS!$U$18)/24*($AG309-186)+WeightSDS!$W$18*(-$AG309+186)^2-0.005,WeightSDS!$U$18+(WeightSDS!$V$18-WeightSDS!$U$18)/24*($AG309-186)-0.005)))</f>
        <v>0.14604529399999999</v>
      </c>
    </row>
    <row r="310" spans="1:37">
      <c r="A310" s="4"/>
      <c r="B310" s="21"/>
      <c r="C310" s="21"/>
      <c r="D310" s="21"/>
      <c r="E310" s="22"/>
      <c r="F310" s="22"/>
      <c r="G310" s="23"/>
      <c r="H310" s="23"/>
      <c r="I310" s="8" t="str">
        <f t="shared" si="66"/>
        <v/>
      </c>
      <c r="J310" s="2" t="str">
        <f t="shared" si="73"/>
        <v/>
      </c>
      <c r="K310" s="2" t="str">
        <f t="shared" si="67"/>
        <v/>
      </c>
      <c r="L310" s="2" t="str">
        <f t="shared" si="74"/>
        <v/>
      </c>
      <c r="M310" s="2" t="str">
        <f t="shared" si="79"/>
        <v/>
      </c>
      <c r="N310" s="2" t="str">
        <f t="shared" si="75"/>
        <v/>
      </c>
      <c r="O310" s="8" t="str">
        <f t="shared" si="76"/>
        <v/>
      </c>
      <c r="P310" s="8" t="str">
        <f t="shared" si="77"/>
        <v/>
      </c>
      <c r="Q310" s="40" t="str">
        <f t="shared" si="68"/>
        <v/>
      </c>
      <c r="R310" s="48" t="str">
        <f t="shared" si="78"/>
        <v/>
      </c>
      <c r="S310" s="8"/>
      <c r="U310" s="35">
        <f t="shared" si="69"/>
        <v>0</v>
      </c>
      <c r="V310" s="24">
        <f t="shared" si="70"/>
        <v>0</v>
      </c>
      <c r="W310" s="41">
        <f t="shared" si="81"/>
        <v>0</v>
      </c>
      <c r="X310" s="31"/>
      <c r="Y310" s="31"/>
      <c r="Z310" s="31"/>
      <c r="AA310" s="25">
        <f t="shared" si="71"/>
        <v>9.0359999999999996</v>
      </c>
      <c r="AB310" s="25">
        <f t="shared" si="72"/>
        <v>-184.49199999999999</v>
      </c>
      <c r="AD310" s="24">
        <f>IF(D310="M",IF(AG310&lt;78,BMILMS!$D$5*AG310^3+BMILMS!$E$5*AG310^2+BMILMS!$F$5*AG310+BMILMS!$G$5,IF(AG310&lt;150,BMILMS!$D$6*AG310^3+BMILMS!$E$6*AG310^2+BMILMS!$F$6*AG310+BMILMS!$G$6,BMILMS!$D$7*AG310^3+BMILMS!$E$7*AG310^2+BMILMS!$F$7*AG310+BMILMS!$G$7)),IF(AG310&lt;69,BMILMS!$D$9*AG310^3+BMILMS!$E$9*AG310^2+BMILMS!$F$9*AG310+BMILMS!$G$9,IF(AG310&lt;150,BMILMS!$D$10*AG310^3+BMILMS!$E$10*AG310^2+BMILMS!$F$10*AG310+BMILMS!$G$10,BMILMS!$D$11*AG310^3+BMILMS!$E$11*AG310^2+BMILMS!$F$11*AG310+BMILMS!$G$11)))</f>
        <v>0.79584630099999998</v>
      </c>
      <c r="AE310" s="24">
        <f>IF(D310="M",(IF(AG310&lt;2.5,BMILMS!$D$21*AG310^3+BMILMS!$E$21*AG310^2+BMILMS!$F$21*AG310+BMILMS!$G$21,IF(AG310&lt;9.5,BMILMS!$D$22*AG310^3+BMILMS!$E$22*AG310^2+BMILMS!$F$22*AG310+BMILMS!$G$22,IF(AG310&lt;26.75,BMILMS!$D$23*AG310^3+BMILMS!$E$23*AG310^2+BMILMS!$F$23*AG310+BMILMS!$G$23,IF(AG310&lt;90,BMILMS!$D$24*AG310^3+BMILMS!$E$24*AG310^2+BMILMS!$F$24*AG310+BMILMS!$G$24,BMILMS!$D$25*AG310^3+BMILMS!$E$25*AG310^2+BMILMS!$F$25*AG310+BMILMS!$G$25))))),(IF(AG310&lt;2.5,BMILMS!$D$27*AG310^3+BMILMS!$E$27*AG310^2+BMILMS!$F$27*AG310+BMILMS!$G$27,IF(AG310&lt;9.5,BMILMS!$D$28*AG310^3+BMILMS!$E$28*AG310^2+BMILMS!$F$28*AG310+BMILMS!$G$28,IF(AG310&lt;26.75,BMILMS!$D$29*AG310^3+BMILMS!$E$29*AG310^2+BMILMS!$F$29*AG310+BMILMS!$G$29,IF(AG310&lt;90,BMILMS!$D$30*AG310^3+BMILMS!$E$30*AG310^2+BMILMS!$F$30*AG310+BMILMS!$G$30,IF(AG310&lt;150,BMILMS!$D$31*AG310^3+BMILMS!$E$31*AG310^2+BMILMS!$F$31*AG310+BMILMS!$G$31,BMILMS!$D$32*AG310^3+BMILMS!$E$32*AG310^2+BMILMS!$F$32*AG310+BMILMS!$G$32)))))))</f>
        <v>12.568967990000001</v>
      </c>
      <c r="AF310" s="24">
        <f>IF(D310="M",(IF(AG310&lt;90,BMILMS!$D$14*AG310^3+BMILMS!$E$14*AG310^2+BMILMS!$F$14*AG310+BMILMS!$G$14,BMILMS!$D$15*AG310^3+BMILMS!$E$15*AG310^2+BMILMS!$F$15*AG310+BMILMS!$G$15)),(IF(AG310&lt;90,BMILMS!$D$17*AG310^3+BMILMS!$E$17*AG310^2+BMILMS!$F$17*AG310+BMILMS!$G$17,BMILMS!$D$18*AG310^3+BMILMS!$E$18*AG310^2+BMILMS!$F$18*AG310+BMILMS!$G$18)))</f>
        <v>8.8969350000000003E-2</v>
      </c>
      <c r="AG310" s="24">
        <f t="shared" si="80"/>
        <v>0</v>
      </c>
      <c r="AI310" s="38">
        <f>IF(D310="M",WeightSDS!P$5*$AG310^7+WeightSDS!Q$5*$AG310^6+WeightSDS!R$5*$AG310^5+WeightSDS!S$5*$AG310^4+WeightSDS!T$5*$AG310^3+WeightSDS!U$5*$AG310^2+WeightSDS!V$5*$AG310+WeightSDS!W$5,IF($AG310&lt;186,WeightSDS!P$8*$AG310^7+WeightSDS!Q$8*$AG310^6+WeightSDS!R$8*$AG310^5+WeightSDS!S$8*$AG310^4+WeightSDS!T$8*$AG310^3+WeightSDS!U$8*$AG310^2+WeightSDS!V$8*$AG310+WeightSDS!W$8,WeightSDS!$U$9-WeightSDS!$V$9*($AG310-WeightSDS!$W$9)))</f>
        <v>0.75407122999999998</v>
      </c>
      <c r="AJ310" s="24">
        <f>IF(D310="M",IF($AG310&lt;45,WeightSDS!M$23*$AG310^10+WeightSDS!N$23*$AG310^9+WeightSDS!O$23*$AG310^8+WeightSDS!P$23*$AG310^7+WeightSDS!Q$23*$AG310^6+WeightSDS!R$23*$AG310^5+WeightSDS!S$23*$AG310^4+WeightSDS!T$23*$AG310^3+WeightSDS!U$23*$AG310^2+WeightSDS!V$23*$AG310+WeightSDS!W$23,IF($AG310&lt;153,WeightSDS!M$25*$AG310^10+WeightSDS!N$25*$AG310^9+WeightSDS!O$25*$AG310^8+WeightSDS!P$25*$AG310^7+WeightSDS!Q$25*$AG310^6+WeightSDS!R$25*$AG310^5+WeightSDS!S$25*$AG310^4+WeightSDS!T$25*$AG310^3+WeightSDS!U$25*$AG310^2+WeightSDS!V$25*$AG310+WeightSDS!W$25,WeightSDS!M$27+WeightSDS!N$27/(1+EXP(WeightSDS!O$27+WeightSDS!P$27*$AG310)))),IF($AG310&lt;43.8,WeightSDS!M$29*$AG310^10+WeightSDS!N$29*$AG310^9+WeightSDS!O$29*$AG310^8+WeightSDS!P$29*$AG310^7+WeightSDS!Q$29*$AG310^6+WeightSDS!R$29*$AG310^5+WeightSDS!S$29*$AG310^4+WeightSDS!T$29*$AG310^3+WeightSDS!U$29*$AG310^2+WeightSDS!V$29*$AG310+WeightSDS!W$29-0.010431*(1-$AG310/210),IF($AG310&lt;123,WeightSDS!M$30*$AG310^10+WeightSDS!N$30*$AG310^9+WeightSDS!O$30*$AG310^8+WeightSDS!P$30*$AG310^7+WeightSDS!Q$30*$AG310^6+WeightSDS!R$30*$AG310^5+WeightSDS!S$30*$AG310^4+WeightSDS!T$30*$AG310^3+WeightSDS!U$30*$AG310^2+WeightSDS!V$30*$AG310+WeightSDS!W$30-0.010431*(1-1/$AG310),WeightSDS!M$32+WeightSDS!N$32/(1+EXP(WeightSDS!O$32+WeightSDS!P$32*$AG310))-0.010431*(1-$AG310/210))))</f>
        <v>2.9500001032655536</v>
      </c>
      <c r="AK310" s="24">
        <f>IF(D310="M",IF($AG310&lt;162,WeightSDS!P$12*$AG310^7+WeightSDS!Q$12*$AG310^6+WeightSDS!R$12*$AG310^5+WeightSDS!S$12*$AG310^4+WeightSDS!T$12*$AG310^3+WeightSDS!U$12*$AG310^2+WeightSDS!V$12*$AG310+WeightSDS!W$12,WeightSDS!P$14*$AG310^7+WeightSDS!Q$14*$AG310^6+WeightSDS!R$14*$AG310^5+WeightSDS!S$14*$AG310^4+WeightSDS!T$14*$AG310^3+WeightSDS!U$14*$AG310^2+WeightSDS!V$14*$AG310+WeightSDS!W$14),IF($AG310&lt;156,WeightSDS!O$17*$AG310^8+WeightSDS!P$17*$AG310^7+WeightSDS!Q$17*$AG310^6+WeightSDS!R$17*$AG310^5+WeightSDS!S$17*$AG310^4+WeightSDS!T$17*$AG310^3+WeightSDS!U$17*$AG310^2+WeightSDS!V$17*$AG310+WeightSDS!W$17,IF($AG310&lt;186,WeightSDS!$U$18+(WeightSDS!$V$18-WeightSDS!$U$18)/24*($AG310-186)+WeightSDS!$W$18*(-$AG310+186)^2-0.005,WeightSDS!$U$18+(WeightSDS!$V$18-WeightSDS!$U$18)/24*($AG310-186)-0.005)))</f>
        <v>0.14604529399999999</v>
      </c>
    </row>
    <row r="311" spans="1:37">
      <c r="A311" s="4"/>
      <c r="B311" s="21"/>
      <c r="C311" s="21"/>
      <c r="D311" s="21"/>
      <c r="E311" s="22"/>
      <c r="F311" s="22"/>
      <c r="G311" s="23"/>
      <c r="H311" s="23"/>
      <c r="I311" s="8" t="str">
        <f t="shared" si="66"/>
        <v/>
      </c>
      <c r="J311" s="2" t="str">
        <f t="shared" si="73"/>
        <v/>
      </c>
      <c r="K311" s="2" t="str">
        <f t="shared" si="67"/>
        <v/>
      </c>
      <c r="L311" s="2" t="str">
        <f t="shared" si="74"/>
        <v/>
      </c>
      <c r="M311" s="2" t="str">
        <f t="shared" si="79"/>
        <v/>
      </c>
      <c r="N311" s="2" t="str">
        <f t="shared" si="75"/>
        <v/>
      </c>
      <c r="O311" s="8" t="str">
        <f t="shared" si="76"/>
        <v/>
      </c>
      <c r="P311" s="8" t="str">
        <f t="shared" si="77"/>
        <v/>
      </c>
      <c r="Q311" s="40" t="str">
        <f t="shared" si="68"/>
        <v/>
      </c>
      <c r="R311" s="48" t="str">
        <f t="shared" si="78"/>
        <v/>
      </c>
      <c r="S311" s="8"/>
      <c r="U311" s="35">
        <f t="shared" si="69"/>
        <v>0</v>
      </c>
      <c r="V311" s="24">
        <f t="shared" si="70"/>
        <v>0</v>
      </c>
      <c r="W311" s="41">
        <f t="shared" si="81"/>
        <v>0</v>
      </c>
      <c r="X311" s="31"/>
      <c r="Y311" s="31"/>
      <c r="Z311" s="31"/>
      <c r="AA311" s="25">
        <f t="shared" si="71"/>
        <v>9.0359999999999996</v>
      </c>
      <c r="AB311" s="25">
        <f t="shared" si="72"/>
        <v>-184.49199999999999</v>
      </c>
      <c r="AD311" s="24">
        <f>IF(D311="M",IF(AG311&lt;78,BMILMS!$D$5*AG311^3+BMILMS!$E$5*AG311^2+BMILMS!$F$5*AG311+BMILMS!$G$5,IF(AG311&lt;150,BMILMS!$D$6*AG311^3+BMILMS!$E$6*AG311^2+BMILMS!$F$6*AG311+BMILMS!$G$6,BMILMS!$D$7*AG311^3+BMILMS!$E$7*AG311^2+BMILMS!$F$7*AG311+BMILMS!$G$7)),IF(AG311&lt;69,BMILMS!$D$9*AG311^3+BMILMS!$E$9*AG311^2+BMILMS!$F$9*AG311+BMILMS!$G$9,IF(AG311&lt;150,BMILMS!$D$10*AG311^3+BMILMS!$E$10*AG311^2+BMILMS!$F$10*AG311+BMILMS!$G$10,BMILMS!$D$11*AG311^3+BMILMS!$E$11*AG311^2+BMILMS!$F$11*AG311+BMILMS!$G$11)))</f>
        <v>0.79584630099999998</v>
      </c>
      <c r="AE311" s="24">
        <f>IF(D311="M",(IF(AG311&lt;2.5,BMILMS!$D$21*AG311^3+BMILMS!$E$21*AG311^2+BMILMS!$F$21*AG311+BMILMS!$G$21,IF(AG311&lt;9.5,BMILMS!$D$22*AG311^3+BMILMS!$E$22*AG311^2+BMILMS!$F$22*AG311+BMILMS!$G$22,IF(AG311&lt;26.75,BMILMS!$D$23*AG311^3+BMILMS!$E$23*AG311^2+BMILMS!$F$23*AG311+BMILMS!$G$23,IF(AG311&lt;90,BMILMS!$D$24*AG311^3+BMILMS!$E$24*AG311^2+BMILMS!$F$24*AG311+BMILMS!$G$24,BMILMS!$D$25*AG311^3+BMILMS!$E$25*AG311^2+BMILMS!$F$25*AG311+BMILMS!$G$25))))),(IF(AG311&lt;2.5,BMILMS!$D$27*AG311^3+BMILMS!$E$27*AG311^2+BMILMS!$F$27*AG311+BMILMS!$G$27,IF(AG311&lt;9.5,BMILMS!$D$28*AG311^3+BMILMS!$E$28*AG311^2+BMILMS!$F$28*AG311+BMILMS!$G$28,IF(AG311&lt;26.75,BMILMS!$D$29*AG311^3+BMILMS!$E$29*AG311^2+BMILMS!$F$29*AG311+BMILMS!$G$29,IF(AG311&lt;90,BMILMS!$D$30*AG311^3+BMILMS!$E$30*AG311^2+BMILMS!$F$30*AG311+BMILMS!$G$30,IF(AG311&lt;150,BMILMS!$D$31*AG311^3+BMILMS!$E$31*AG311^2+BMILMS!$F$31*AG311+BMILMS!$G$31,BMILMS!$D$32*AG311^3+BMILMS!$E$32*AG311^2+BMILMS!$F$32*AG311+BMILMS!$G$32)))))))</f>
        <v>12.568967990000001</v>
      </c>
      <c r="AF311" s="24">
        <f>IF(D311="M",(IF(AG311&lt;90,BMILMS!$D$14*AG311^3+BMILMS!$E$14*AG311^2+BMILMS!$F$14*AG311+BMILMS!$G$14,BMILMS!$D$15*AG311^3+BMILMS!$E$15*AG311^2+BMILMS!$F$15*AG311+BMILMS!$G$15)),(IF(AG311&lt;90,BMILMS!$D$17*AG311^3+BMILMS!$E$17*AG311^2+BMILMS!$F$17*AG311+BMILMS!$G$17,BMILMS!$D$18*AG311^3+BMILMS!$E$18*AG311^2+BMILMS!$F$18*AG311+BMILMS!$G$18)))</f>
        <v>8.8969350000000003E-2</v>
      </c>
      <c r="AG311" s="24">
        <f t="shared" si="80"/>
        <v>0</v>
      </c>
      <c r="AI311" s="38">
        <f>IF(D311="M",WeightSDS!P$5*$AG311^7+WeightSDS!Q$5*$AG311^6+WeightSDS!R$5*$AG311^5+WeightSDS!S$5*$AG311^4+WeightSDS!T$5*$AG311^3+WeightSDS!U$5*$AG311^2+WeightSDS!V$5*$AG311+WeightSDS!W$5,IF($AG311&lt;186,WeightSDS!P$8*$AG311^7+WeightSDS!Q$8*$AG311^6+WeightSDS!R$8*$AG311^5+WeightSDS!S$8*$AG311^4+WeightSDS!T$8*$AG311^3+WeightSDS!U$8*$AG311^2+WeightSDS!V$8*$AG311+WeightSDS!W$8,WeightSDS!$U$9-WeightSDS!$V$9*($AG311-WeightSDS!$W$9)))</f>
        <v>0.75407122999999998</v>
      </c>
      <c r="AJ311" s="24">
        <f>IF(D311="M",IF($AG311&lt;45,WeightSDS!M$23*$AG311^10+WeightSDS!N$23*$AG311^9+WeightSDS!O$23*$AG311^8+WeightSDS!P$23*$AG311^7+WeightSDS!Q$23*$AG311^6+WeightSDS!R$23*$AG311^5+WeightSDS!S$23*$AG311^4+WeightSDS!T$23*$AG311^3+WeightSDS!U$23*$AG311^2+WeightSDS!V$23*$AG311+WeightSDS!W$23,IF($AG311&lt;153,WeightSDS!M$25*$AG311^10+WeightSDS!N$25*$AG311^9+WeightSDS!O$25*$AG311^8+WeightSDS!P$25*$AG311^7+WeightSDS!Q$25*$AG311^6+WeightSDS!R$25*$AG311^5+WeightSDS!S$25*$AG311^4+WeightSDS!T$25*$AG311^3+WeightSDS!U$25*$AG311^2+WeightSDS!V$25*$AG311+WeightSDS!W$25,WeightSDS!M$27+WeightSDS!N$27/(1+EXP(WeightSDS!O$27+WeightSDS!P$27*$AG311)))),IF($AG311&lt;43.8,WeightSDS!M$29*$AG311^10+WeightSDS!N$29*$AG311^9+WeightSDS!O$29*$AG311^8+WeightSDS!P$29*$AG311^7+WeightSDS!Q$29*$AG311^6+WeightSDS!R$29*$AG311^5+WeightSDS!S$29*$AG311^4+WeightSDS!T$29*$AG311^3+WeightSDS!U$29*$AG311^2+WeightSDS!V$29*$AG311+WeightSDS!W$29-0.010431*(1-$AG311/210),IF($AG311&lt;123,WeightSDS!M$30*$AG311^10+WeightSDS!N$30*$AG311^9+WeightSDS!O$30*$AG311^8+WeightSDS!P$30*$AG311^7+WeightSDS!Q$30*$AG311^6+WeightSDS!R$30*$AG311^5+WeightSDS!S$30*$AG311^4+WeightSDS!T$30*$AG311^3+WeightSDS!U$30*$AG311^2+WeightSDS!V$30*$AG311+WeightSDS!W$30-0.010431*(1-1/$AG311),WeightSDS!M$32+WeightSDS!N$32/(1+EXP(WeightSDS!O$32+WeightSDS!P$32*$AG311))-0.010431*(1-$AG311/210))))</f>
        <v>2.9500001032655536</v>
      </c>
      <c r="AK311" s="24">
        <f>IF(D311="M",IF($AG311&lt;162,WeightSDS!P$12*$AG311^7+WeightSDS!Q$12*$AG311^6+WeightSDS!R$12*$AG311^5+WeightSDS!S$12*$AG311^4+WeightSDS!T$12*$AG311^3+WeightSDS!U$12*$AG311^2+WeightSDS!V$12*$AG311+WeightSDS!W$12,WeightSDS!P$14*$AG311^7+WeightSDS!Q$14*$AG311^6+WeightSDS!R$14*$AG311^5+WeightSDS!S$14*$AG311^4+WeightSDS!T$14*$AG311^3+WeightSDS!U$14*$AG311^2+WeightSDS!V$14*$AG311+WeightSDS!W$14),IF($AG311&lt;156,WeightSDS!O$17*$AG311^8+WeightSDS!P$17*$AG311^7+WeightSDS!Q$17*$AG311^6+WeightSDS!R$17*$AG311^5+WeightSDS!S$17*$AG311^4+WeightSDS!T$17*$AG311^3+WeightSDS!U$17*$AG311^2+WeightSDS!V$17*$AG311+WeightSDS!W$17,IF($AG311&lt;186,WeightSDS!$U$18+(WeightSDS!$V$18-WeightSDS!$U$18)/24*($AG311-186)+WeightSDS!$W$18*(-$AG311+186)^2-0.005,WeightSDS!$U$18+(WeightSDS!$V$18-WeightSDS!$U$18)/24*($AG311-186)-0.005)))</f>
        <v>0.14604529399999999</v>
      </c>
    </row>
    <row r="312" spans="1:37">
      <c r="A312" s="4"/>
      <c r="B312" s="21"/>
      <c r="C312" s="21"/>
      <c r="D312" s="21"/>
      <c r="E312" s="22"/>
      <c r="F312" s="22"/>
      <c r="G312" s="23"/>
      <c r="H312" s="23"/>
      <c r="I312" s="8" t="str">
        <f t="shared" si="66"/>
        <v/>
      </c>
      <c r="J312" s="2" t="str">
        <f t="shared" si="73"/>
        <v/>
      </c>
      <c r="K312" s="2" t="str">
        <f t="shared" si="67"/>
        <v/>
      </c>
      <c r="L312" s="2" t="str">
        <f t="shared" si="74"/>
        <v/>
      </c>
      <c r="M312" s="2" t="str">
        <f t="shared" si="79"/>
        <v/>
      </c>
      <c r="N312" s="2" t="str">
        <f t="shared" si="75"/>
        <v/>
      </c>
      <c r="O312" s="8" t="str">
        <f t="shared" si="76"/>
        <v/>
      </c>
      <c r="P312" s="8" t="str">
        <f t="shared" si="77"/>
        <v/>
      </c>
      <c r="Q312" s="40" t="str">
        <f t="shared" si="68"/>
        <v/>
      </c>
      <c r="R312" s="48" t="str">
        <f t="shared" si="78"/>
        <v/>
      </c>
      <c r="S312" s="8"/>
      <c r="U312" s="35">
        <f t="shared" si="69"/>
        <v>0</v>
      </c>
      <c r="V312" s="24">
        <f t="shared" si="70"/>
        <v>0</v>
      </c>
      <c r="W312" s="41">
        <f t="shared" si="81"/>
        <v>0</v>
      </c>
      <c r="X312" s="31"/>
      <c r="Y312" s="31"/>
      <c r="Z312" s="31"/>
      <c r="AA312" s="25">
        <f t="shared" si="71"/>
        <v>9.0359999999999996</v>
      </c>
      <c r="AB312" s="25">
        <f t="shared" si="72"/>
        <v>-184.49199999999999</v>
      </c>
      <c r="AD312" s="24">
        <f>IF(D312="M",IF(AG312&lt;78,BMILMS!$D$5*AG312^3+BMILMS!$E$5*AG312^2+BMILMS!$F$5*AG312+BMILMS!$G$5,IF(AG312&lt;150,BMILMS!$D$6*AG312^3+BMILMS!$E$6*AG312^2+BMILMS!$F$6*AG312+BMILMS!$G$6,BMILMS!$D$7*AG312^3+BMILMS!$E$7*AG312^2+BMILMS!$F$7*AG312+BMILMS!$G$7)),IF(AG312&lt;69,BMILMS!$D$9*AG312^3+BMILMS!$E$9*AG312^2+BMILMS!$F$9*AG312+BMILMS!$G$9,IF(AG312&lt;150,BMILMS!$D$10*AG312^3+BMILMS!$E$10*AG312^2+BMILMS!$F$10*AG312+BMILMS!$G$10,BMILMS!$D$11*AG312^3+BMILMS!$E$11*AG312^2+BMILMS!$F$11*AG312+BMILMS!$G$11)))</f>
        <v>0.79584630099999998</v>
      </c>
      <c r="AE312" s="24">
        <f>IF(D312="M",(IF(AG312&lt;2.5,BMILMS!$D$21*AG312^3+BMILMS!$E$21*AG312^2+BMILMS!$F$21*AG312+BMILMS!$G$21,IF(AG312&lt;9.5,BMILMS!$D$22*AG312^3+BMILMS!$E$22*AG312^2+BMILMS!$F$22*AG312+BMILMS!$G$22,IF(AG312&lt;26.75,BMILMS!$D$23*AG312^3+BMILMS!$E$23*AG312^2+BMILMS!$F$23*AG312+BMILMS!$G$23,IF(AG312&lt;90,BMILMS!$D$24*AG312^3+BMILMS!$E$24*AG312^2+BMILMS!$F$24*AG312+BMILMS!$G$24,BMILMS!$D$25*AG312^3+BMILMS!$E$25*AG312^2+BMILMS!$F$25*AG312+BMILMS!$G$25))))),(IF(AG312&lt;2.5,BMILMS!$D$27*AG312^3+BMILMS!$E$27*AG312^2+BMILMS!$F$27*AG312+BMILMS!$G$27,IF(AG312&lt;9.5,BMILMS!$D$28*AG312^3+BMILMS!$E$28*AG312^2+BMILMS!$F$28*AG312+BMILMS!$G$28,IF(AG312&lt;26.75,BMILMS!$D$29*AG312^3+BMILMS!$E$29*AG312^2+BMILMS!$F$29*AG312+BMILMS!$G$29,IF(AG312&lt;90,BMILMS!$D$30*AG312^3+BMILMS!$E$30*AG312^2+BMILMS!$F$30*AG312+BMILMS!$G$30,IF(AG312&lt;150,BMILMS!$D$31*AG312^3+BMILMS!$E$31*AG312^2+BMILMS!$F$31*AG312+BMILMS!$G$31,BMILMS!$D$32*AG312^3+BMILMS!$E$32*AG312^2+BMILMS!$F$32*AG312+BMILMS!$G$32)))))))</f>
        <v>12.568967990000001</v>
      </c>
      <c r="AF312" s="24">
        <f>IF(D312="M",(IF(AG312&lt;90,BMILMS!$D$14*AG312^3+BMILMS!$E$14*AG312^2+BMILMS!$F$14*AG312+BMILMS!$G$14,BMILMS!$D$15*AG312^3+BMILMS!$E$15*AG312^2+BMILMS!$F$15*AG312+BMILMS!$G$15)),(IF(AG312&lt;90,BMILMS!$D$17*AG312^3+BMILMS!$E$17*AG312^2+BMILMS!$F$17*AG312+BMILMS!$G$17,BMILMS!$D$18*AG312^3+BMILMS!$E$18*AG312^2+BMILMS!$F$18*AG312+BMILMS!$G$18)))</f>
        <v>8.8969350000000003E-2</v>
      </c>
      <c r="AG312" s="24">
        <f t="shared" si="80"/>
        <v>0</v>
      </c>
      <c r="AI312" s="38">
        <f>IF(D312="M",WeightSDS!P$5*$AG312^7+WeightSDS!Q$5*$AG312^6+WeightSDS!R$5*$AG312^5+WeightSDS!S$5*$AG312^4+WeightSDS!T$5*$AG312^3+WeightSDS!U$5*$AG312^2+WeightSDS!V$5*$AG312+WeightSDS!W$5,IF($AG312&lt;186,WeightSDS!P$8*$AG312^7+WeightSDS!Q$8*$AG312^6+WeightSDS!R$8*$AG312^5+WeightSDS!S$8*$AG312^4+WeightSDS!T$8*$AG312^3+WeightSDS!U$8*$AG312^2+WeightSDS!V$8*$AG312+WeightSDS!W$8,WeightSDS!$U$9-WeightSDS!$V$9*($AG312-WeightSDS!$W$9)))</f>
        <v>0.75407122999999998</v>
      </c>
      <c r="AJ312" s="24">
        <f>IF(D312="M",IF($AG312&lt;45,WeightSDS!M$23*$AG312^10+WeightSDS!N$23*$AG312^9+WeightSDS!O$23*$AG312^8+WeightSDS!P$23*$AG312^7+WeightSDS!Q$23*$AG312^6+WeightSDS!R$23*$AG312^5+WeightSDS!S$23*$AG312^4+WeightSDS!T$23*$AG312^3+WeightSDS!U$23*$AG312^2+WeightSDS!V$23*$AG312+WeightSDS!W$23,IF($AG312&lt;153,WeightSDS!M$25*$AG312^10+WeightSDS!N$25*$AG312^9+WeightSDS!O$25*$AG312^8+WeightSDS!P$25*$AG312^7+WeightSDS!Q$25*$AG312^6+WeightSDS!R$25*$AG312^5+WeightSDS!S$25*$AG312^4+WeightSDS!T$25*$AG312^3+WeightSDS!U$25*$AG312^2+WeightSDS!V$25*$AG312+WeightSDS!W$25,WeightSDS!M$27+WeightSDS!N$27/(1+EXP(WeightSDS!O$27+WeightSDS!P$27*$AG312)))),IF($AG312&lt;43.8,WeightSDS!M$29*$AG312^10+WeightSDS!N$29*$AG312^9+WeightSDS!O$29*$AG312^8+WeightSDS!P$29*$AG312^7+WeightSDS!Q$29*$AG312^6+WeightSDS!R$29*$AG312^5+WeightSDS!S$29*$AG312^4+WeightSDS!T$29*$AG312^3+WeightSDS!U$29*$AG312^2+WeightSDS!V$29*$AG312+WeightSDS!W$29-0.010431*(1-$AG312/210),IF($AG312&lt;123,WeightSDS!M$30*$AG312^10+WeightSDS!N$30*$AG312^9+WeightSDS!O$30*$AG312^8+WeightSDS!P$30*$AG312^7+WeightSDS!Q$30*$AG312^6+WeightSDS!R$30*$AG312^5+WeightSDS!S$30*$AG312^4+WeightSDS!T$30*$AG312^3+WeightSDS!U$30*$AG312^2+WeightSDS!V$30*$AG312+WeightSDS!W$30-0.010431*(1-1/$AG312),WeightSDS!M$32+WeightSDS!N$32/(1+EXP(WeightSDS!O$32+WeightSDS!P$32*$AG312))-0.010431*(1-$AG312/210))))</f>
        <v>2.9500001032655536</v>
      </c>
      <c r="AK312" s="24">
        <f>IF(D312="M",IF($AG312&lt;162,WeightSDS!P$12*$AG312^7+WeightSDS!Q$12*$AG312^6+WeightSDS!R$12*$AG312^5+WeightSDS!S$12*$AG312^4+WeightSDS!T$12*$AG312^3+WeightSDS!U$12*$AG312^2+WeightSDS!V$12*$AG312+WeightSDS!W$12,WeightSDS!P$14*$AG312^7+WeightSDS!Q$14*$AG312^6+WeightSDS!R$14*$AG312^5+WeightSDS!S$14*$AG312^4+WeightSDS!T$14*$AG312^3+WeightSDS!U$14*$AG312^2+WeightSDS!V$14*$AG312+WeightSDS!W$14),IF($AG312&lt;156,WeightSDS!O$17*$AG312^8+WeightSDS!P$17*$AG312^7+WeightSDS!Q$17*$AG312^6+WeightSDS!R$17*$AG312^5+WeightSDS!S$17*$AG312^4+WeightSDS!T$17*$AG312^3+WeightSDS!U$17*$AG312^2+WeightSDS!V$17*$AG312+WeightSDS!W$17,IF($AG312&lt;186,WeightSDS!$U$18+(WeightSDS!$V$18-WeightSDS!$U$18)/24*($AG312-186)+WeightSDS!$W$18*(-$AG312+186)^2-0.005,WeightSDS!$U$18+(WeightSDS!$V$18-WeightSDS!$U$18)/24*($AG312-186)-0.005)))</f>
        <v>0.14604529399999999</v>
      </c>
    </row>
    <row r="313" spans="1:37">
      <c r="A313" s="4"/>
      <c r="B313" s="21"/>
      <c r="C313" s="21"/>
      <c r="D313" s="21"/>
      <c r="E313" s="22"/>
      <c r="F313" s="22"/>
      <c r="G313" s="23"/>
      <c r="H313" s="23"/>
      <c r="I313" s="8" t="str">
        <f t="shared" si="66"/>
        <v/>
      </c>
      <c r="J313" s="2" t="str">
        <f t="shared" si="73"/>
        <v/>
      </c>
      <c r="K313" s="2" t="str">
        <f t="shared" si="67"/>
        <v/>
      </c>
      <c r="L313" s="2" t="str">
        <f t="shared" si="74"/>
        <v/>
      </c>
      <c r="M313" s="2" t="str">
        <f t="shared" si="79"/>
        <v/>
      </c>
      <c r="N313" s="2" t="str">
        <f t="shared" si="75"/>
        <v/>
      </c>
      <c r="O313" s="8" t="str">
        <f t="shared" si="76"/>
        <v/>
      </c>
      <c r="P313" s="8" t="str">
        <f t="shared" si="77"/>
        <v/>
      </c>
      <c r="Q313" s="40" t="str">
        <f t="shared" si="68"/>
        <v/>
      </c>
      <c r="R313" s="48" t="str">
        <f t="shared" si="78"/>
        <v/>
      </c>
      <c r="S313" s="8"/>
      <c r="U313" s="35">
        <f t="shared" si="69"/>
        <v>0</v>
      </c>
      <c r="V313" s="24">
        <f t="shared" si="70"/>
        <v>0</v>
      </c>
      <c r="W313" s="41">
        <f t="shared" si="81"/>
        <v>0</v>
      </c>
      <c r="X313" s="31"/>
      <c r="Y313" s="31"/>
      <c r="Z313" s="31"/>
      <c r="AA313" s="25">
        <f t="shared" si="71"/>
        <v>9.0359999999999996</v>
      </c>
      <c r="AB313" s="25">
        <f t="shared" si="72"/>
        <v>-184.49199999999999</v>
      </c>
      <c r="AD313" s="24">
        <f>IF(D313="M",IF(AG313&lt;78,BMILMS!$D$5*AG313^3+BMILMS!$E$5*AG313^2+BMILMS!$F$5*AG313+BMILMS!$G$5,IF(AG313&lt;150,BMILMS!$D$6*AG313^3+BMILMS!$E$6*AG313^2+BMILMS!$F$6*AG313+BMILMS!$G$6,BMILMS!$D$7*AG313^3+BMILMS!$E$7*AG313^2+BMILMS!$F$7*AG313+BMILMS!$G$7)),IF(AG313&lt;69,BMILMS!$D$9*AG313^3+BMILMS!$E$9*AG313^2+BMILMS!$F$9*AG313+BMILMS!$G$9,IF(AG313&lt;150,BMILMS!$D$10*AG313^3+BMILMS!$E$10*AG313^2+BMILMS!$F$10*AG313+BMILMS!$G$10,BMILMS!$D$11*AG313^3+BMILMS!$E$11*AG313^2+BMILMS!$F$11*AG313+BMILMS!$G$11)))</f>
        <v>0.79584630099999998</v>
      </c>
      <c r="AE313" s="24">
        <f>IF(D313="M",(IF(AG313&lt;2.5,BMILMS!$D$21*AG313^3+BMILMS!$E$21*AG313^2+BMILMS!$F$21*AG313+BMILMS!$G$21,IF(AG313&lt;9.5,BMILMS!$D$22*AG313^3+BMILMS!$E$22*AG313^2+BMILMS!$F$22*AG313+BMILMS!$G$22,IF(AG313&lt;26.75,BMILMS!$D$23*AG313^3+BMILMS!$E$23*AG313^2+BMILMS!$F$23*AG313+BMILMS!$G$23,IF(AG313&lt;90,BMILMS!$D$24*AG313^3+BMILMS!$E$24*AG313^2+BMILMS!$F$24*AG313+BMILMS!$G$24,BMILMS!$D$25*AG313^3+BMILMS!$E$25*AG313^2+BMILMS!$F$25*AG313+BMILMS!$G$25))))),(IF(AG313&lt;2.5,BMILMS!$D$27*AG313^3+BMILMS!$E$27*AG313^2+BMILMS!$F$27*AG313+BMILMS!$G$27,IF(AG313&lt;9.5,BMILMS!$D$28*AG313^3+BMILMS!$E$28*AG313^2+BMILMS!$F$28*AG313+BMILMS!$G$28,IF(AG313&lt;26.75,BMILMS!$D$29*AG313^3+BMILMS!$E$29*AG313^2+BMILMS!$F$29*AG313+BMILMS!$G$29,IF(AG313&lt;90,BMILMS!$D$30*AG313^3+BMILMS!$E$30*AG313^2+BMILMS!$F$30*AG313+BMILMS!$G$30,IF(AG313&lt;150,BMILMS!$D$31*AG313^3+BMILMS!$E$31*AG313^2+BMILMS!$F$31*AG313+BMILMS!$G$31,BMILMS!$D$32*AG313^3+BMILMS!$E$32*AG313^2+BMILMS!$F$32*AG313+BMILMS!$G$32)))))))</f>
        <v>12.568967990000001</v>
      </c>
      <c r="AF313" s="24">
        <f>IF(D313="M",(IF(AG313&lt;90,BMILMS!$D$14*AG313^3+BMILMS!$E$14*AG313^2+BMILMS!$F$14*AG313+BMILMS!$G$14,BMILMS!$D$15*AG313^3+BMILMS!$E$15*AG313^2+BMILMS!$F$15*AG313+BMILMS!$G$15)),(IF(AG313&lt;90,BMILMS!$D$17*AG313^3+BMILMS!$E$17*AG313^2+BMILMS!$F$17*AG313+BMILMS!$G$17,BMILMS!$D$18*AG313^3+BMILMS!$E$18*AG313^2+BMILMS!$F$18*AG313+BMILMS!$G$18)))</f>
        <v>8.8969350000000003E-2</v>
      </c>
      <c r="AG313" s="24">
        <f t="shared" si="80"/>
        <v>0</v>
      </c>
      <c r="AI313" s="38">
        <f>IF(D313="M",WeightSDS!P$5*$AG313^7+WeightSDS!Q$5*$AG313^6+WeightSDS!R$5*$AG313^5+WeightSDS!S$5*$AG313^4+WeightSDS!T$5*$AG313^3+WeightSDS!U$5*$AG313^2+WeightSDS!V$5*$AG313+WeightSDS!W$5,IF($AG313&lt;186,WeightSDS!P$8*$AG313^7+WeightSDS!Q$8*$AG313^6+WeightSDS!R$8*$AG313^5+WeightSDS!S$8*$AG313^4+WeightSDS!T$8*$AG313^3+WeightSDS!U$8*$AG313^2+WeightSDS!V$8*$AG313+WeightSDS!W$8,WeightSDS!$U$9-WeightSDS!$V$9*($AG313-WeightSDS!$W$9)))</f>
        <v>0.75407122999999998</v>
      </c>
      <c r="AJ313" s="24">
        <f>IF(D313="M",IF($AG313&lt;45,WeightSDS!M$23*$AG313^10+WeightSDS!N$23*$AG313^9+WeightSDS!O$23*$AG313^8+WeightSDS!P$23*$AG313^7+WeightSDS!Q$23*$AG313^6+WeightSDS!R$23*$AG313^5+WeightSDS!S$23*$AG313^4+WeightSDS!T$23*$AG313^3+WeightSDS!U$23*$AG313^2+WeightSDS!V$23*$AG313+WeightSDS!W$23,IF($AG313&lt;153,WeightSDS!M$25*$AG313^10+WeightSDS!N$25*$AG313^9+WeightSDS!O$25*$AG313^8+WeightSDS!P$25*$AG313^7+WeightSDS!Q$25*$AG313^6+WeightSDS!R$25*$AG313^5+WeightSDS!S$25*$AG313^4+WeightSDS!T$25*$AG313^3+WeightSDS!U$25*$AG313^2+WeightSDS!V$25*$AG313+WeightSDS!W$25,WeightSDS!M$27+WeightSDS!N$27/(1+EXP(WeightSDS!O$27+WeightSDS!P$27*$AG313)))),IF($AG313&lt;43.8,WeightSDS!M$29*$AG313^10+WeightSDS!N$29*$AG313^9+WeightSDS!O$29*$AG313^8+WeightSDS!P$29*$AG313^7+WeightSDS!Q$29*$AG313^6+WeightSDS!R$29*$AG313^5+WeightSDS!S$29*$AG313^4+WeightSDS!T$29*$AG313^3+WeightSDS!U$29*$AG313^2+WeightSDS!V$29*$AG313+WeightSDS!W$29-0.010431*(1-$AG313/210),IF($AG313&lt;123,WeightSDS!M$30*$AG313^10+WeightSDS!N$30*$AG313^9+WeightSDS!O$30*$AG313^8+WeightSDS!P$30*$AG313^7+WeightSDS!Q$30*$AG313^6+WeightSDS!R$30*$AG313^5+WeightSDS!S$30*$AG313^4+WeightSDS!T$30*$AG313^3+WeightSDS!U$30*$AG313^2+WeightSDS!V$30*$AG313+WeightSDS!W$30-0.010431*(1-1/$AG313),WeightSDS!M$32+WeightSDS!N$32/(1+EXP(WeightSDS!O$32+WeightSDS!P$32*$AG313))-0.010431*(1-$AG313/210))))</f>
        <v>2.9500001032655536</v>
      </c>
      <c r="AK313" s="24">
        <f>IF(D313="M",IF($AG313&lt;162,WeightSDS!P$12*$AG313^7+WeightSDS!Q$12*$AG313^6+WeightSDS!R$12*$AG313^5+WeightSDS!S$12*$AG313^4+WeightSDS!T$12*$AG313^3+WeightSDS!U$12*$AG313^2+WeightSDS!V$12*$AG313+WeightSDS!W$12,WeightSDS!P$14*$AG313^7+WeightSDS!Q$14*$AG313^6+WeightSDS!R$14*$AG313^5+WeightSDS!S$14*$AG313^4+WeightSDS!T$14*$AG313^3+WeightSDS!U$14*$AG313^2+WeightSDS!V$14*$AG313+WeightSDS!W$14),IF($AG313&lt;156,WeightSDS!O$17*$AG313^8+WeightSDS!P$17*$AG313^7+WeightSDS!Q$17*$AG313^6+WeightSDS!R$17*$AG313^5+WeightSDS!S$17*$AG313^4+WeightSDS!T$17*$AG313^3+WeightSDS!U$17*$AG313^2+WeightSDS!V$17*$AG313+WeightSDS!W$17,IF($AG313&lt;186,WeightSDS!$U$18+(WeightSDS!$V$18-WeightSDS!$U$18)/24*($AG313-186)+WeightSDS!$W$18*(-$AG313+186)^2-0.005,WeightSDS!$U$18+(WeightSDS!$V$18-WeightSDS!$U$18)/24*($AG313-186)-0.005)))</f>
        <v>0.14604529399999999</v>
      </c>
    </row>
    <row r="314" spans="1:37">
      <c r="A314" s="4"/>
      <c r="B314" s="21"/>
      <c r="C314" s="21"/>
      <c r="D314" s="21"/>
      <c r="E314" s="22"/>
      <c r="F314" s="22"/>
      <c r="G314" s="23"/>
      <c r="H314" s="23"/>
      <c r="I314" s="8" t="str">
        <f t="shared" si="66"/>
        <v/>
      </c>
      <c r="J314" s="2" t="str">
        <f t="shared" si="73"/>
        <v/>
      </c>
      <c r="K314" s="2" t="str">
        <f t="shared" si="67"/>
        <v/>
      </c>
      <c r="L314" s="2" t="str">
        <f t="shared" si="74"/>
        <v/>
      </c>
      <c r="M314" s="2" t="str">
        <f t="shared" si="79"/>
        <v/>
      </c>
      <c r="N314" s="2" t="str">
        <f t="shared" si="75"/>
        <v/>
      </c>
      <c r="O314" s="8" t="str">
        <f t="shared" si="76"/>
        <v/>
      </c>
      <c r="P314" s="8" t="str">
        <f t="shared" si="77"/>
        <v/>
      </c>
      <c r="Q314" s="40" t="str">
        <f t="shared" si="68"/>
        <v/>
      </c>
      <c r="R314" s="48" t="str">
        <f t="shared" si="78"/>
        <v/>
      </c>
      <c r="S314" s="8"/>
      <c r="U314" s="35">
        <f t="shared" si="69"/>
        <v>0</v>
      </c>
      <c r="V314" s="24">
        <f t="shared" si="70"/>
        <v>0</v>
      </c>
      <c r="W314" s="41">
        <f t="shared" si="81"/>
        <v>0</v>
      </c>
      <c r="X314" s="31"/>
      <c r="Y314" s="31"/>
      <c r="Z314" s="31"/>
      <c r="AA314" s="25">
        <f t="shared" si="71"/>
        <v>9.0359999999999996</v>
      </c>
      <c r="AB314" s="25">
        <f t="shared" si="72"/>
        <v>-184.49199999999999</v>
      </c>
      <c r="AD314" s="24">
        <f>IF(D314="M",IF(AG314&lt;78,BMILMS!$D$5*AG314^3+BMILMS!$E$5*AG314^2+BMILMS!$F$5*AG314+BMILMS!$G$5,IF(AG314&lt;150,BMILMS!$D$6*AG314^3+BMILMS!$E$6*AG314^2+BMILMS!$F$6*AG314+BMILMS!$G$6,BMILMS!$D$7*AG314^3+BMILMS!$E$7*AG314^2+BMILMS!$F$7*AG314+BMILMS!$G$7)),IF(AG314&lt;69,BMILMS!$D$9*AG314^3+BMILMS!$E$9*AG314^2+BMILMS!$F$9*AG314+BMILMS!$G$9,IF(AG314&lt;150,BMILMS!$D$10*AG314^3+BMILMS!$E$10*AG314^2+BMILMS!$F$10*AG314+BMILMS!$G$10,BMILMS!$D$11*AG314^3+BMILMS!$E$11*AG314^2+BMILMS!$F$11*AG314+BMILMS!$G$11)))</f>
        <v>0.79584630099999998</v>
      </c>
      <c r="AE314" s="24">
        <f>IF(D314="M",(IF(AG314&lt;2.5,BMILMS!$D$21*AG314^3+BMILMS!$E$21*AG314^2+BMILMS!$F$21*AG314+BMILMS!$G$21,IF(AG314&lt;9.5,BMILMS!$D$22*AG314^3+BMILMS!$E$22*AG314^2+BMILMS!$F$22*AG314+BMILMS!$G$22,IF(AG314&lt;26.75,BMILMS!$D$23*AG314^3+BMILMS!$E$23*AG314^2+BMILMS!$F$23*AG314+BMILMS!$G$23,IF(AG314&lt;90,BMILMS!$D$24*AG314^3+BMILMS!$E$24*AG314^2+BMILMS!$F$24*AG314+BMILMS!$G$24,BMILMS!$D$25*AG314^3+BMILMS!$E$25*AG314^2+BMILMS!$F$25*AG314+BMILMS!$G$25))))),(IF(AG314&lt;2.5,BMILMS!$D$27*AG314^3+BMILMS!$E$27*AG314^2+BMILMS!$F$27*AG314+BMILMS!$G$27,IF(AG314&lt;9.5,BMILMS!$D$28*AG314^3+BMILMS!$E$28*AG314^2+BMILMS!$F$28*AG314+BMILMS!$G$28,IF(AG314&lt;26.75,BMILMS!$D$29*AG314^3+BMILMS!$E$29*AG314^2+BMILMS!$F$29*AG314+BMILMS!$G$29,IF(AG314&lt;90,BMILMS!$D$30*AG314^3+BMILMS!$E$30*AG314^2+BMILMS!$F$30*AG314+BMILMS!$G$30,IF(AG314&lt;150,BMILMS!$D$31*AG314^3+BMILMS!$E$31*AG314^2+BMILMS!$F$31*AG314+BMILMS!$G$31,BMILMS!$D$32*AG314^3+BMILMS!$E$32*AG314^2+BMILMS!$F$32*AG314+BMILMS!$G$32)))))))</f>
        <v>12.568967990000001</v>
      </c>
      <c r="AF314" s="24">
        <f>IF(D314="M",(IF(AG314&lt;90,BMILMS!$D$14*AG314^3+BMILMS!$E$14*AG314^2+BMILMS!$F$14*AG314+BMILMS!$G$14,BMILMS!$D$15*AG314^3+BMILMS!$E$15*AG314^2+BMILMS!$F$15*AG314+BMILMS!$G$15)),(IF(AG314&lt;90,BMILMS!$D$17*AG314^3+BMILMS!$E$17*AG314^2+BMILMS!$F$17*AG314+BMILMS!$G$17,BMILMS!$D$18*AG314^3+BMILMS!$E$18*AG314^2+BMILMS!$F$18*AG314+BMILMS!$G$18)))</f>
        <v>8.8969350000000003E-2</v>
      </c>
      <c r="AG314" s="24">
        <f t="shared" si="80"/>
        <v>0</v>
      </c>
      <c r="AI314" s="38">
        <f>IF(D314="M",WeightSDS!P$5*$AG314^7+WeightSDS!Q$5*$AG314^6+WeightSDS!R$5*$AG314^5+WeightSDS!S$5*$AG314^4+WeightSDS!T$5*$AG314^3+WeightSDS!U$5*$AG314^2+WeightSDS!V$5*$AG314+WeightSDS!W$5,IF($AG314&lt;186,WeightSDS!P$8*$AG314^7+WeightSDS!Q$8*$AG314^6+WeightSDS!R$8*$AG314^5+WeightSDS!S$8*$AG314^4+WeightSDS!T$8*$AG314^3+WeightSDS!U$8*$AG314^2+WeightSDS!V$8*$AG314+WeightSDS!W$8,WeightSDS!$U$9-WeightSDS!$V$9*($AG314-WeightSDS!$W$9)))</f>
        <v>0.75407122999999998</v>
      </c>
      <c r="AJ314" s="24">
        <f>IF(D314="M",IF($AG314&lt;45,WeightSDS!M$23*$AG314^10+WeightSDS!N$23*$AG314^9+WeightSDS!O$23*$AG314^8+WeightSDS!P$23*$AG314^7+WeightSDS!Q$23*$AG314^6+WeightSDS!R$23*$AG314^5+WeightSDS!S$23*$AG314^4+WeightSDS!T$23*$AG314^3+WeightSDS!U$23*$AG314^2+WeightSDS!V$23*$AG314+WeightSDS!W$23,IF($AG314&lt;153,WeightSDS!M$25*$AG314^10+WeightSDS!N$25*$AG314^9+WeightSDS!O$25*$AG314^8+WeightSDS!P$25*$AG314^7+WeightSDS!Q$25*$AG314^6+WeightSDS!R$25*$AG314^5+WeightSDS!S$25*$AG314^4+WeightSDS!T$25*$AG314^3+WeightSDS!U$25*$AG314^2+WeightSDS!V$25*$AG314+WeightSDS!W$25,WeightSDS!M$27+WeightSDS!N$27/(1+EXP(WeightSDS!O$27+WeightSDS!P$27*$AG314)))),IF($AG314&lt;43.8,WeightSDS!M$29*$AG314^10+WeightSDS!N$29*$AG314^9+WeightSDS!O$29*$AG314^8+WeightSDS!P$29*$AG314^7+WeightSDS!Q$29*$AG314^6+WeightSDS!R$29*$AG314^5+WeightSDS!S$29*$AG314^4+WeightSDS!T$29*$AG314^3+WeightSDS!U$29*$AG314^2+WeightSDS!V$29*$AG314+WeightSDS!W$29-0.010431*(1-$AG314/210),IF($AG314&lt;123,WeightSDS!M$30*$AG314^10+WeightSDS!N$30*$AG314^9+WeightSDS!O$30*$AG314^8+WeightSDS!P$30*$AG314^7+WeightSDS!Q$30*$AG314^6+WeightSDS!R$30*$AG314^5+WeightSDS!S$30*$AG314^4+WeightSDS!T$30*$AG314^3+WeightSDS!U$30*$AG314^2+WeightSDS!V$30*$AG314+WeightSDS!W$30-0.010431*(1-1/$AG314),WeightSDS!M$32+WeightSDS!N$32/(1+EXP(WeightSDS!O$32+WeightSDS!P$32*$AG314))-0.010431*(1-$AG314/210))))</f>
        <v>2.9500001032655536</v>
      </c>
      <c r="AK314" s="24">
        <f>IF(D314="M",IF($AG314&lt;162,WeightSDS!P$12*$AG314^7+WeightSDS!Q$12*$AG314^6+WeightSDS!R$12*$AG314^5+WeightSDS!S$12*$AG314^4+WeightSDS!T$12*$AG314^3+WeightSDS!U$12*$AG314^2+WeightSDS!V$12*$AG314+WeightSDS!W$12,WeightSDS!P$14*$AG314^7+WeightSDS!Q$14*$AG314^6+WeightSDS!R$14*$AG314^5+WeightSDS!S$14*$AG314^4+WeightSDS!T$14*$AG314^3+WeightSDS!U$14*$AG314^2+WeightSDS!V$14*$AG314+WeightSDS!W$14),IF($AG314&lt;156,WeightSDS!O$17*$AG314^8+WeightSDS!P$17*$AG314^7+WeightSDS!Q$17*$AG314^6+WeightSDS!R$17*$AG314^5+WeightSDS!S$17*$AG314^4+WeightSDS!T$17*$AG314^3+WeightSDS!U$17*$AG314^2+WeightSDS!V$17*$AG314+WeightSDS!W$17,IF($AG314&lt;186,WeightSDS!$U$18+(WeightSDS!$V$18-WeightSDS!$U$18)/24*($AG314-186)+WeightSDS!$W$18*(-$AG314+186)^2-0.005,WeightSDS!$U$18+(WeightSDS!$V$18-WeightSDS!$U$18)/24*($AG314-186)-0.005)))</f>
        <v>0.14604529399999999</v>
      </c>
    </row>
    <row r="315" spans="1:37">
      <c r="A315" s="4"/>
      <c r="B315" s="21"/>
      <c r="C315" s="21"/>
      <c r="D315" s="21"/>
      <c r="E315" s="22"/>
      <c r="F315" s="22"/>
      <c r="G315" s="23"/>
      <c r="H315" s="23"/>
      <c r="I315" s="8" t="str">
        <f t="shared" si="66"/>
        <v/>
      </c>
      <c r="J315" s="2" t="str">
        <f t="shared" si="73"/>
        <v/>
      </c>
      <c r="K315" s="2" t="str">
        <f t="shared" si="67"/>
        <v/>
      </c>
      <c r="L315" s="2" t="str">
        <f t="shared" si="74"/>
        <v/>
      </c>
      <c r="M315" s="2" t="str">
        <f t="shared" si="79"/>
        <v/>
      </c>
      <c r="N315" s="2" t="str">
        <f t="shared" si="75"/>
        <v/>
      </c>
      <c r="O315" s="8" t="str">
        <f t="shared" si="76"/>
        <v/>
      </c>
      <c r="P315" s="8" t="str">
        <f t="shared" si="77"/>
        <v/>
      </c>
      <c r="Q315" s="40" t="str">
        <f t="shared" si="68"/>
        <v/>
      </c>
      <c r="R315" s="48" t="str">
        <f t="shared" si="78"/>
        <v/>
      </c>
      <c r="S315" s="8"/>
      <c r="U315" s="35">
        <f t="shared" si="69"/>
        <v>0</v>
      </c>
      <c r="V315" s="24">
        <f t="shared" si="70"/>
        <v>0</v>
      </c>
      <c r="W315" s="41">
        <f t="shared" si="81"/>
        <v>0</v>
      </c>
      <c r="X315" s="31"/>
      <c r="Y315" s="31"/>
      <c r="Z315" s="31"/>
      <c r="AA315" s="25">
        <f t="shared" si="71"/>
        <v>9.0359999999999996</v>
      </c>
      <c r="AB315" s="25">
        <f t="shared" si="72"/>
        <v>-184.49199999999999</v>
      </c>
      <c r="AD315" s="24">
        <f>IF(D315="M",IF(AG315&lt;78,BMILMS!$D$5*AG315^3+BMILMS!$E$5*AG315^2+BMILMS!$F$5*AG315+BMILMS!$G$5,IF(AG315&lt;150,BMILMS!$D$6*AG315^3+BMILMS!$E$6*AG315^2+BMILMS!$F$6*AG315+BMILMS!$G$6,BMILMS!$D$7*AG315^3+BMILMS!$E$7*AG315^2+BMILMS!$F$7*AG315+BMILMS!$G$7)),IF(AG315&lt;69,BMILMS!$D$9*AG315^3+BMILMS!$E$9*AG315^2+BMILMS!$F$9*AG315+BMILMS!$G$9,IF(AG315&lt;150,BMILMS!$D$10*AG315^3+BMILMS!$E$10*AG315^2+BMILMS!$F$10*AG315+BMILMS!$G$10,BMILMS!$D$11*AG315^3+BMILMS!$E$11*AG315^2+BMILMS!$F$11*AG315+BMILMS!$G$11)))</f>
        <v>0.79584630099999998</v>
      </c>
      <c r="AE315" s="24">
        <f>IF(D315="M",(IF(AG315&lt;2.5,BMILMS!$D$21*AG315^3+BMILMS!$E$21*AG315^2+BMILMS!$F$21*AG315+BMILMS!$G$21,IF(AG315&lt;9.5,BMILMS!$D$22*AG315^3+BMILMS!$E$22*AG315^2+BMILMS!$F$22*AG315+BMILMS!$G$22,IF(AG315&lt;26.75,BMILMS!$D$23*AG315^3+BMILMS!$E$23*AG315^2+BMILMS!$F$23*AG315+BMILMS!$G$23,IF(AG315&lt;90,BMILMS!$D$24*AG315^3+BMILMS!$E$24*AG315^2+BMILMS!$F$24*AG315+BMILMS!$G$24,BMILMS!$D$25*AG315^3+BMILMS!$E$25*AG315^2+BMILMS!$F$25*AG315+BMILMS!$G$25))))),(IF(AG315&lt;2.5,BMILMS!$D$27*AG315^3+BMILMS!$E$27*AG315^2+BMILMS!$F$27*AG315+BMILMS!$G$27,IF(AG315&lt;9.5,BMILMS!$D$28*AG315^3+BMILMS!$E$28*AG315^2+BMILMS!$F$28*AG315+BMILMS!$G$28,IF(AG315&lt;26.75,BMILMS!$D$29*AG315^3+BMILMS!$E$29*AG315^2+BMILMS!$F$29*AG315+BMILMS!$G$29,IF(AG315&lt;90,BMILMS!$D$30*AG315^3+BMILMS!$E$30*AG315^2+BMILMS!$F$30*AG315+BMILMS!$G$30,IF(AG315&lt;150,BMILMS!$D$31*AG315^3+BMILMS!$E$31*AG315^2+BMILMS!$F$31*AG315+BMILMS!$G$31,BMILMS!$D$32*AG315^3+BMILMS!$E$32*AG315^2+BMILMS!$F$32*AG315+BMILMS!$G$32)))))))</f>
        <v>12.568967990000001</v>
      </c>
      <c r="AF315" s="24">
        <f>IF(D315="M",(IF(AG315&lt;90,BMILMS!$D$14*AG315^3+BMILMS!$E$14*AG315^2+BMILMS!$F$14*AG315+BMILMS!$G$14,BMILMS!$D$15*AG315^3+BMILMS!$E$15*AG315^2+BMILMS!$F$15*AG315+BMILMS!$G$15)),(IF(AG315&lt;90,BMILMS!$D$17*AG315^3+BMILMS!$E$17*AG315^2+BMILMS!$F$17*AG315+BMILMS!$G$17,BMILMS!$D$18*AG315^3+BMILMS!$E$18*AG315^2+BMILMS!$F$18*AG315+BMILMS!$G$18)))</f>
        <v>8.8969350000000003E-2</v>
      </c>
      <c r="AG315" s="24">
        <f t="shared" si="80"/>
        <v>0</v>
      </c>
      <c r="AI315" s="38">
        <f>IF(D315="M",WeightSDS!P$5*$AG315^7+WeightSDS!Q$5*$AG315^6+WeightSDS!R$5*$AG315^5+WeightSDS!S$5*$AG315^4+WeightSDS!T$5*$AG315^3+WeightSDS!U$5*$AG315^2+WeightSDS!V$5*$AG315+WeightSDS!W$5,IF($AG315&lt;186,WeightSDS!P$8*$AG315^7+WeightSDS!Q$8*$AG315^6+WeightSDS!R$8*$AG315^5+WeightSDS!S$8*$AG315^4+WeightSDS!T$8*$AG315^3+WeightSDS!U$8*$AG315^2+WeightSDS!V$8*$AG315+WeightSDS!W$8,WeightSDS!$U$9-WeightSDS!$V$9*($AG315-WeightSDS!$W$9)))</f>
        <v>0.75407122999999998</v>
      </c>
      <c r="AJ315" s="24">
        <f>IF(D315="M",IF($AG315&lt;45,WeightSDS!M$23*$AG315^10+WeightSDS!N$23*$AG315^9+WeightSDS!O$23*$AG315^8+WeightSDS!P$23*$AG315^7+WeightSDS!Q$23*$AG315^6+WeightSDS!R$23*$AG315^5+WeightSDS!S$23*$AG315^4+WeightSDS!T$23*$AG315^3+WeightSDS!U$23*$AG315^2+WeightSDS!V$23*$AG315+WeightSDS!W$23,IF($AG315&lt;153,WeightSDS!M$25*$AG315^10+WeightSDS!N$25*$AG315^9+WeightSDS!O$25*$AG315^8+WeightSDS!P$25*$AG315^7+WeightSDS!Q$25*$AG315^6+WeightSDS!R$25*$AG315^5+WeightSDS!S$25*$AG315^4+WeightSDS!T$25*$AG315^3+WeightSDS!U$25*$AG315^2+WeightSDS!V$25*$AG315+WeightSDS!W$25,WeightSDS!M$27+WeightSDS!N$27/(1+EXP(WeightSDS!O$27+WeightSDS!P$27*$AG315)))),IF($AG315&lt;43.8,WeightSDS!M$29*$AG315^10+WeightSDS!N$29*$AG315^9+WeightSDS!O$29*$AG315^8+WeightSDS!P$29*$AG315^7+WeightSDS!Q$29*$AG315^6+WeightSDS!R$29*$AG315^5+WeightSDS!S$29*$AG315^4+WeightSDS!T$29*$AG315^3+WeightSDS!U$29*$AG315^2+WeightSDS!V$29*$AG315+WeightSDS!W$29-0.010431*(1-$AG315/210),IF($AG315&lt;123,WeightSDS!M$30*$AG315^10+WeightSDS!N$30*$AG315^9+WeightSDS!O$30*$AG315^8+WeightSDS!P$30*$AG315^7+WeightSDS!Q$30*$AG315^6+WeightSDS!R$30*$AG315^5+WeightSDS!S$30*$AG315^4+WeightSDS!T$30*$AG315^3+WeightSDS!U$30*$AG315^2+WeightSDS!V$30*$AG315+WeightSDS!W$30-0.010431*(1-1/$AG315),WeightSDS!M$32+WeightSDS!N$32/(1+EXP(WeightSDS!O$32+WeightSDS!P$32*$AG315))-0.010431*(1-$AG315/210))))</f>
        <v>2.9500001032655536</v>
      </c>
      <c r="AK315" s="24">
        <f>IF(D315="M",IF($AG315&lt;162,WeightSDS!P$12*$AG315^7+WeightSDS!Q$12*$AG315^6+WeightSDS!R$12*$AG315^5+WeightSDS!S$12*$AG315^4+WeightSDS!T$12*$AG315^3+WeightSDS!U$12*$AG315^2+WeightSDS!V$12*$AG315+WeightSDS!W$12,WeightSDS!P$14*$AG315^7+WeightSDS!Q$14*$AG315^6+WeightSDS!R$14*$AG315^5+WeightSDS!S$14*$AG315^4+WeightSDS!T$14*$AG315^3+WeightSDS!U$14*$AG315^2+WeightSDS!V$14*$AG315+WeightSDS!W$14),IF($AG315&lt;156,WeightSDS!O$17*$AG315^8+WeightSDS!P$17*$AG315^7+WeightSDS!Q$17*$AG315^6+WeightSDS!R$17*$AG315^5+WeightSDS!S$17*$AG315^4+WeightSDS!T$17*$AG315^3+WeightSDS!U$17*$AG315^2+WeightSDS!V$17*$AG315+WeightSDS!W$17,IF($AG315&lt;186,WeightSDS!$U$18+(WeightSDS!$V$18-WeightSDS!$U$18)/24*($AG315-186)+WeightSDS!$W$18*(-$AG315+186)^2-0.005,WeightSDS!$U$18+(WeightSDS!$V$18-WeightSDS!$U$18)/24*($AG315-186)-0.005)))</f>
        <v>0.14604529399999999</v>
      </c>
    </row>
    <row r="316" spans="1:37">
      <c r="A316" s="4"/>
      <c r="B316" s="21"/>
      <c r="C316" s="21"/>
      <c r="D316" s="21"/>
      <c r="E316" s="22"/>
      <c r="F316" s="22"/>
      <c r="G316" s="23"/>
      <c r="H316" s="23"/>
      <c r="I316" s="8" t="str">
        <f t="shared" si="66"/>
        <v/>
      </c>
      <c r="J316" s="2" t="str">
        <f t="shared" si="73"/>
        <v/>
      </c>
      <c r="K316" s="2" t="str">
        <f t="shared" si="67"/>
        <v/>
      </c>
      <c r="L316" s="2" t="str">
        <f t="shared" si="74"/>
        <v/>
      </c>
      <c r="M316" s="2" t="str">
        <f t="shared" si="79"/>
        <v/>
      </c>
      <c r="N316" s="2" t="str">
        <f t="shared" si="75"/>
        <v/>
      </c>
      <c r="O316" s="8" t="str">
        <f t="shared" si="76"/>
        <v/>
      </c>
      <c r="P316" s="8" t="str">
        <f t="shared" si="77"/>
        <v/>
      </c>
      <c r="Q316" s="40" t="str">
        <f t="shared" si="68"/>
        <v/>
      </c>
      <c r="R316" s="48" t="str">
        <f t="shared" si="78"/>
        <v/>
      </c>
      <c r="S316" s="8"/>
      <c r="U316" s="35">
        <f t="shared" si="69"/>
        <v>0</v>
      </c>
      <c r="V316" s="24">
        <f t="shared" si="70"/>
        <v>0</v>
      </c>
      <c r="W316" s="41">
        <f t="shared" si="81"/>
        <v>0</v>
      </c>
      <c r="X316" s="31"/>
      <c r="Y316" s="31"/>
      <c r="Z316" s="31"/>
      <c r="AA316" s="25">
        <f t="shared" si="71"/>
        <v>9.0359999999999996</v>
      </c>
      <c r="AB316" s="25">
        <f t="shared" si="72"/>
        <v>-184.49199999999999</v>
      </c>
      <c r="AD316" s="24">
        <f>IF(D316="M",IF(AG316&lt;78,BMILMS!$D$5*AG316^3+BMILMS!$E$5*AG316^2+BMILMS!$F$5*AG316+BMILMS!$G$5,IF(AG316&lt;150,BMILMS!$D$6*AG316^3+BMILMS!$E$6*AG316^2+BMILMS!$F$6*AG316+BMILMS!$G$6,BMILMS!$D$7*AG316^3+BMILMS!$E$7*AG316^2+BMILMS!$F$7*AG316+BMILMS!$G$7)),IF(AG316&lt;69,BMILMS!$D$9*AG316^3+BMILMS!$E$9*AG316^2+BMILMS!$F$9*AG316+BMILMS!$G$9,IF(AG316&lt;150,BMILMS!$D$10*AG316^3+BMILMS!$E$10*AG316^2+BMILMS!$F$10*AG316+BMILMS!$G$10,BMILMS!$D$11*AG316^3+BMILMS!$E$11*AG316^2+BMILMS!$F$11*AG316+BMILMS!$G$11)))</f>
        <v>0.79584630099999998</v>
      </c>
      <c r="AE316" s="24">
        <f>IF(D316="M",(IF(AG316&lt;2.5,BMILMS!$D$21*AG316^3+BMILMS!$E$21*AG316^2+BMILMS!$F$21*AG316+BMILMS!$G$21,IF(AG316&lt;9.5,BMILMS!$D$22*AG316^3+BMILMS!$E$22*AG316^2+BMILMS!$F$22*AG316+BMILMS!$G$22,IF(AG316&lt;26.75,BMILMS!$D$23*AG316^3+BMILMS!$E$23*AG316^2+BMILMS!$F$23*AG316+BMILMS!$G$23,IF(AG316&lt;90,BMILMS!$D$24*AG316^3+BMILMS!$E$24*AG316^2+BMILMS!$F$24*AG316+BMILMS!$G$24,BMILMS!$D$25*AG316^3+BMILMS!$E$25*AG316^2+BMILMS!$F$25*AG316+BMILMS!$G$25))))),(IF(AG316&lt;2.5,BMILMS!$D$27*AG316^3+BMILMS!$E$27*AG316^2+BMILMS!$F$27*AG316+BMILMS!$G$27,IF(AG316&lt;9.5,BMILMS!$D$28*AG316^3+BMILMS!$E$28*AG316^2+BMILMS!$F$28*AG316+BMILMS!$G$28,IF(AG316&lt;26.75,BMILMS!$D$29*AG316^3+BMILMS!$E$29*AG316^2+BMILMS!$F$29*AG316+BMILMS!$G$29,IF(AG316&lt;90,BMILMS!$D$30*AG316^3+BMILMS!$E$30*AG316^2+BMILMS!$F$30*AG316+BMILMS!$G$30,IF(AG316&lt;150,BMILMS!$D$31*AG316^3+BMILMS!$E$31*AG316^2+BMILMS!$F$31*AG316+BMILMS!$G$31,BMILMS!$D$32*AG316^3+BMILMS!$E$32*AG316^2+BMILMS!$F$32*AG316+BMILMS!$G$32)))))))</f>
        <v>12.568967990000001</v>
      </c>
      <c r="AF316" s="24">
        <f>IF(D316="M",(IF(AG316&lt;90,BMILMS!$D$14*AG316^3+BMILMS!$E$14*AG316^2+BMILMS!$F$14*AG316+BMILMS!$G$14,BMILMS!$D$15*AG316^3+BMILMS!$E$15*AG316^2+BMILMS!$F$15*AG316+BMILMS!$G$15)),(IF(AG316&lt;90,BMILMS!$D$17*AG316^3+BMILMS!$E$17*AG316^2+BMILMS!$F$17*AG316+BMILMS!$G$17,BMILMS!$D$18*AG316^3+BMILMS!$E$18*AG316^2+BMILMS!$F$18*AG316+BMILMS!$G$18)))</f>
        <v>8.8969350000000003E-2</v>
      </c>
      <c r="AG316" s="24">
        <f t="shared" si="80"/>
        <v>0</v>
      </c>
      <c r="AI316" s="38">
        <f>IF(D316="M",WeightSDS!P$5*$AG316^7+WeightSDS!Q$5*$AG316^6+WeightSDS!R$5*$AG316^5+WeightSDS!S$5*$AG316^4+WeightSDS!T$5*$AG316^3+WeightSDS!U$5*$AG316^2+WeightSDS!V$5*$AG316+WeightSDS!W$5,IF($AG316&lt;186,WeightSDS!P$8*$AG316^7+WeightSDS!Q$8*$AG316^6+WeightSDS!R$8*$AG316^5+WeightSDS!S$8*$AG316^4+WeightSDS!T$8*$AG316^3+WeightSDS!U$8*$AG316^2+WeightSDS!V$8*$AG316+WeightSDS!W$8,WeightSDS!$U$9-WeightSDS!$V$9*($AG316-WeightSDS!$W$9)))</f>
        <v>0.75407122999999998</v>
      </c>
      <c r="AJ316" s="24">
        <f>IF(D316="M",IF($AG316&lt;45,WeightSDS!M$23*$AG316^10+WeightSDS!N$23*$AG316^9+WeightSDS!O$23*$AG316^8+WeightSDS!P$23*$AG316^7+WeightSDS!Q$23*$AG316^6+WeightSDS!R$23*$AG316^5+WeightSDS!S$23*$AG316^4+WeightSDS!T$23*$AG316^3+WeightSDS!U$23*$AG316^2+WeightSDS!V$23*$AG316+WeightSDS!W$23,IF($AG316&lt;153,WeightSDS!M$25*$AG316^10+WeightSDS!N$25*$AG316^9+WeightSDS!O$25*$AG316^8+WeightSDS!P$25*$AG316^7+WeightSDS!Q$25*$AG316^6+WeightSDS!R$25*$AG316^5+WeightSDS!S$25*$AG316^4+WeightSDS!T$25*$AG316^3+WeightSDS!U$25*$AG316^2+WeightSDS!V$25*$AG316+WeightSDS!W$25,WeightSDS!M$27+WeightSDS!N$27/(1+EXP(WeightSDS!O$27+WeightSDS!P$27*$AG316)))),IF($AG316&lt;43.8,WeightSDS!M$29*$AG316^10+WeightSDS!N$29*$AG316^9+WeightSDS!O$29*$AG316^8+WeightSDS!P$29*$AG316^7+WeightSDS!Q$29*$AG316^6+WeightSDS!R$29*$AG316^5+WeightSDS!S$29*$AG316^4+WeightSDS!T$29*$AG316^3+WeightSDS!U$29*$AG316^2+WeightSDS!V$29*$AG316+WeightSDS!W$29-0.010431*(1-$AG316/210),IF($AG316&lt;123,WeightSDS!M$30*$AG316^10+WeightSDS!N$30*$AG316^9+WeightSDS!O$30*$AG316^8+WeightSDS!P$30*$AG316^7+WeightSDS!Q$30*$AG316^6+WeightSDS!R$30*$AG316^5+WeightSDS!S$30*$AG316^4+WeightSDS!T$30*$AG316^3+WeightSDS!U$30*$AG316^2+WeightSDS!V$30*$AG316+WeightSDS!W$30-0.010431*(1-1/$AG316),WeightSDS!M$32+WeightSDS!N$32/(1+EXP(WeightSDS!O$32+WeightSDS!P$32*$AG316))-0.010431*(1-$AG316/210))))</f>
        <v>2.9500001032655536</v>
      </c>
      <c r="AK316" s="24">
        <f>IF(D316="M",IF($AG316&lt;162,WeightSDS!P$12*$AG316^7+WeightSDS!Q$12*$AG316^6+WeightSDS!R$12*$AG316^5+WeightSDS!S$12*$AG316^4+WeightSDS!T$12*$AG316^3+WeightSDS!U$12*$AG316^2+WeightSDS!V$12*$AG316+WeightSDS!W$12,WeightSDS!P$14*$AG316^7+WeightSDS!Q$14*$AG316^6+WeightSDS!R$14*$AG316^5+WeightSDS!S$14*$AG316^4+WeightSDS!T$14*$AG316^3+WeightSDS!U$14*$AG316^2+WeightSDS!V$14*$AG316+WeightSDS!W$14),IF($AG316&lt;156,WeightSDS!O$17*$AG316^8+WeightSDS!P$17*$AG316^7+WeightSDS!Q$17*$AG316^6+WeightSDS!R$17*$AG316^5+WeightSDS!S$17*$AG316^4+WeightSDS!T$17*$AG316^3+WeightSDS!U$17*$AG316^2+WeightSDS!V$17*$AG316+WeightSDS!W$17,IF($AG316&lt;186,WeightSDS!$U$18+(WeightSDS!$V$18-WeightSDS!$U$18)/24*($AG316-186)+WeightSDS!$W$18*(-$AG316+186)^2-0.005,WeightSDS!$U$18+(WeightSDS!$V$18-WeightSDS!$U$18)/24*($AG316-186)-0.005)))</f>
        <v>0.14604529399999999</v>
      </c>
    </row>
    <row r="317" spans="1:37">
      <c r="A317" s="4"/>
      <c r="B317" s="21"/>
      <c r="C317" s="21"/>
      <c r="D317" s="21"/>
      <c r="E317" s="22"/>
      <c r="F317" s="22"/>
      <c r="G317" s="23"/>
      <c r="H317" s="23"/>
      <c r="I317" s="8" t="str">
        <f t="shared" si="66"/>
        <v/>
      </c>
      <c r="J317" s="2" t="str">
        <f t="shared" si="73"/>
        <v/>
      </c>
      <c r="K317" s="2" t="str">
        <f t="shared" si="67"/>
        <v/>
      </c>
      <c r="L317" s="2" t="str">
        <f t="shared" si="74"/>
        <v/>
      </c>
      <c r="M317" s="2" t="str">
        <f t="shared" si="79"/>
        <v/>
      </c>
      <c r="N317" s="2" t="str">
        <f t="shared" si="75"/>
        <v/>
      </c>
      <c r="O317" s="8" t="str">
        <f t="shared" si="76"/>
        <v/>
      </c>
      <c r="P317" s="8" t="str">
        <f t="shared" si="77"/>
        <v/>
      </c>
      <c r="Q317" s="40" t="str">
        <f t="shared" si="68"/>
        <v/>
      </c>
      <c r="R317" s="48" t="str">
        <f t="shared" si="78"/>
        <v/>
      </c>
      <c r="S317" s="8"/>
      <c r="U317" s="35">
        <f t="shared" si="69"/>
        <v>0</v>
      </c>
      <c r="V317" s="24">
        <f t="shared" si="70"/>
        <v>0</v>
      </c>
      <c r="W317" s="41">
        <f t="shared" si="81"/>
        <v>0</v>
      </c>
      <c r="X317" s="31"/>
      <c r="Y317" s="31"/>
      <c r="Z317" s="31"/>
      <c r="AA317" s="25">
        <f t="shared" si="71"/>
        <v>9.0359999999999996</v>
      </c>
      <c r="AB317" s="25">
        <f t="shared" si="72"/>
        <v>-184.49199999999999</v>
      </c>
      <c r="AD317" s="24">
        <f>IF(D317="M",IF(AG317&lt;78,BMILMS!$D$5*AG317^3+BMILMS!$E$5*AG317^2+BMILMS!$F$5*AG317+BMILMS!$G$5,IF(AG317&lt;150,BMILMS!$D$6*AG317^3+BMILMS!$E$6*AG317^2+BMILMS!$F$6*AG317+BMILMS!$G$6,BMILMS!$D$7*AG317^3+BMILMS!$E$7*AG317^2+BMILMS!$F$7*AG317+BMILMS!$G$7)),IF(AG317&lt;69,BMILMS!$D$9*AG317^3+BMILMS!$E$9*AG317^2+BMILMS!$F$9*AG317+BMILMS!$G$9,IF(AG317&lt;150,BMILMS!$D$10*AG317^3+BMILMS!$E$10*AG317^2+BMILMS!$F$10*AG317+BMILMS!$G$10,BMILMS!$D$11*AG317^3+BMILMS!$E$11*AG317^2+BMILMS!$F$11*AG317+BMILMS!$G$11)))</f>
        <v>0.79584630099999998</v>
      </c>
      <c r="AE317" s="24">
        <f>IF(D317="M",(IF(AG317&lt;2.5,BMILMS!$D$21*AG317^3+BMILMS!$E$21*AG317^2+BMILMS!$F$21*AG317+BMILMS!$G$21,IF(AG317&lt;9.5,BMILMS!$D$22*AG317^3+BMILMS!$E$22*AG317^2+BMILMS!$F$22*AG317+BMILMS!$G$22,IF(AG317&lt;26.75,BMILMS!$D$23*AG317^3+BMILMS!$E$23*AG317^2+BMILMS!$F$23*AG317+BMILMS!$G$23,IF(AG317&lt;90,BMILMS!$D$24*AG317^3+BMILMS!$E$24*AG317^2+BMILMS!$F$24*AG317+BMILMS!$G$24,BMILMS!$D$25*AG317^3+BMILMS!$E$25*AG317^2+BMILMS!$F$25*AG317+BMILMS!$G$25))))),(IF(AG317&lt;2.5,BMILMS!$D$27*AG317^3+BMILMS!$E$27*AG317^2+BMILMS!$F$27*AG317+BMILMS!$G$27,IF(AG317&lt;9.5,BMILMS!$D$28*AG317^3+BMILMS!$E$28*AG317^2+BMILMS!$F$28*AG317+BMILMS!$G$28,IF(AG317&lt;26.75,BMILMS!$D$29*AG317^3+BMILMS!$E$29*AG317^2+BMILMS!$F$29*AG317+BMILMS!$G$29,IF(AG317&lt;90,BMILMS!$D$30*AG317^3+BMILMS!$E$30*AG317^2+BMILMS!$F$30*AG317+BMILMS!$G$30,IF(AG317&lt;150,BMILMS!$D$31*AG317^3+BMILMS!$E$31*AG317^2+BMILMS!$F$31*AG317+BMILMS!$G$31,BMILMS!$D$32*AG317^3+BMILMS!$E$32*AG317^2+BMILMS!$F$32*AG317+BMILMS!$G$32)))))))</f>
        <v>12.568967990000001</v>
      </c>
      <c r="AF317" s="24">
        <f>IF(D317="M",(IF(AG317&lt;90,BMILMS!$D$14*AG317^3+BMILMS!$E$14*AG317^2+BMILMS!$F$14*AG317+BMILMS!$G$14,BMILMS!$D$15*AG317^3+BMILMS!$E$15*AG317^2+BMILMS!$F$15*AG317+BMILMS!$G$15)),(IF(AG317&lt;90,BMILMS!$D$17*AG317^3+BMILMS!$E$17*AG317^2+BMILMS!$F$17*AG317+BMILMS!$G$17,BMILMS!$D$18*AG317^3+BMILMS!$E$18*AG317^2+BMILMS!$F$18*AG317+BMILMS!$G$18)))</f>
        <v>8.8969350000000003E-2</v>
      </c>
      <c r="AG317" s="24">
        <f t="shared" si="80"/>
        <v>0</v>
      </c>
      <c r="AI317" s="38">
        <f>IF(D317="M",WeightSDS!P$5*$AG317^7+WeightSDS!Q$5*$AG317^6+WeightSDS!R$5*$AG317^5+WeightSDS!S$5*$AG317^4+WeightSDS!T$5*$AG317^3+WeightSDS!U$5*$AG317^2+WeightSDS!V$5*$AG317+WeightSDS!W$5,IF($AG317&lt;186,WeightSDS!P$8*$AG317^7+WeightSDS!Q$8*$AG317^6+WeightSDS!R$8*$AG317^5+WeightSDS!S$8*$AG317^4+WeightSDS!T$8*$AG317^3+WeightSDS!U$8*$AG317^2+WeightSDS!V$8*$AG317+WeightSDS!W$8,WeightSDS!$U$9-WeightSDS!$V$9*($AG317-WeightSDS!$W$9)))</f>
        <v>0.75407122999999998</v>
      </c>
      <c r="AJ317" s="24">
        <f>IF(D317="M",IF($AG317&lt;45,WeightSDS!M$23*$AG317^10+WeightSDS!N$23*$AG317^9+WeightSDS!O$23*$AG317^8+WeightSDS!P$23*$AG317^7+WeightSDS!Q$23*$AG317^6+WeightSDS!R$23*$AG317^5+WeightSDS!S$23*$AG317^4+WeightSDS!T$23*$AG317^3+WeightSDS!U$23*$AG317^2+WeightSDS!V$23*$AG317+WeightSDS!W$23,IF($AG317&lt;153,WeightSDS!M$25*$AG317^10+WeightSDS!N$25*$AG317^9+WeightSDS!O$25*$AG317^8+WeightSDS!P$25*$AG317^7+WeightSDS!Q$25*$AG317^6+WeightSDS!R$25*$AG317^5+WeightSDS!S$25*$AG317^4+WeightSDS!T$25*$AG317^3+WeightSDS!U$25*$AG317^2+WeightSDS!V$25*$AG317+WeightSDS!W$25,WeightSDS!M$27+WeightSDS!N$27/(1+EXP(WeightSDS!O$27+WeightSDS!P$27*$AG317)))),IF($AG317&lt;43.8,WeightSDS!M$29*$AG317^10+WeightSDS!N$29*$AG317^9+WeightSDS!O$29*$AG317^8+WeightSDS!P$29*$AG317^7+WeightSDS!Q$29*$AG317^6+WeightSDS!R$29*$AG317^5+WeightSDS!S$29*$AG317^4+WeightSDS!T$29*$AG317^3+WeightSDS!U$29*$AG317^2+WeightSDS!V$29*$AG317+WeightSDS!W$29-0.010431*(1-$AG317/210),IF($AG317&lt;123,WeightSDS!M$30*$AG317^10+WeightSDS!N$30*$AG317^9+WeightSDS!O$30*$AG317^8+WeightSDS!P$30*$AG317^7+WeightSDS!Q$30*$AG317^6+WeightSDS!R$30*$AG317^5+WeightSDS!S$30*$AG317^4+WeightSDS!T$30*$AG317^3+WeightSDS!U$30*$AG317^2+WeightSDS!V$30*$AG317+WeightSDS!W$30-0.010431*(1-1/$AG317),WeightSDS!M$32+WeightSDS!N$32/(1+EXP(WeightSDS!O$32+WeightSDS!P$32*$AG317))-0.010431*(1-$AG317/210))))</f>
        <v>2.9500001032655536</v>
      </c>
      <c r="AK317" s="24">
        <f>IF(D317="M",IF($AG317&lt;162,WeightSDS!P$12*$AG317^7+WeightSDS!Q$12*$AG317^6+WeightSDS!R$12*$AG317^5+WeightSDS!S$12*$AG317^4+WeightSDS!T$12*$AG317^3+WeightSDS!U$12*$AG317^2+WeightSDS!V$12*$AG317+WeightSDS!W$12,WeightSDS!P$14*$AG317^7+WeightSDS!Q$14*$AG317^6+WeightSDS!R$14*$AG317^5+WeightSDS!S$14*$AG317^4+WeightSDS!T$14*$AG317^3+WeightSDS!U$14*$AG317^2+WeightSDS!V$14*$AG317+WeightSDS!W$14),IF($AG317&lt;156,WeightSDS!O$17*$AG317^8+WeightSDS!P$17*$AG317^7+WeightSDS!Q$17*$AG317^6+WeightSDS!R$17*$AG317^5+WeightSDS!S$17*$AG317^4+WeightSDS!T$17*$AG317^3+WeightSDS!U$17*$AG317^2+WeightSDS!V$17*$AG317+WeightSDS!W$17,IF($AG317&lt;186,WeightSDS!$U$18+(WeightSDS!$V$18-WeightSDS!$U$18)/24*($AG317-186)+WeightSDS!$W$18*(-$AG317+186)^2-0.005,WeightSDS!$U$18+(WeightSDS!$V$18-WeightSDS!$U$18)/24*($AG317-186)-0.005)))</f>
        <v>0.14604529399999999</v>
      </c>
    </row>
    <row r="318" spans="1:37">
      <c r="A318" s="4"/>
      <c r="B318" s="21"/>
      <c r="C318" s="21"/>
      <c r="D318" s="21"/>
      <c r="E318" s="22"/>
      <c r="F318" s="22"/>
      <c r="G318" s="23"/>
      <c r="H318" s="23"/>
      <c r="I318" s="8" t="str">
        <f t="shared" si="66"/>
        <v/>
      </c>
      <c r="J318" s="2" t="str">
        <f t="shared" si="73"/>
        <v/>
      </c>
      <c r="K318" s="2" t="str">
        <f t="shared" si="67"/>
        <v/>
      </c>
      <c r="L318" s="2" t="str">
        <f t="shared" si="74"/>
        <v/>
      </c>
      <c r="M318" s="2" t="str">
        <f t="shared" si="79"/>
        <v/>
      </c>
      <c r="N318" s="2" t="str">
        <f t="shared" si="75"/>
        <v/>
      </c>
      <c r="O318" s="8" t="str">
        <f t="shared" si="76"/>
        <v/>
      </c>
      <c r="P318" s="8" t="str">
        <f t="shared" si="77"/>
        <v/>
      </c>
      <c r="Q318" s="40" t="str">
        <f t="shared" si="68"/>
        <v/>
      </c>
      <c r="R318" s="48" t="str">
        <f t="shared" si="78"/>
        <v/>
      </c>
      <c r="S318" s="8"/>
      <c r="U318" s="35">
        <f t="shared" si="69"/>
        <v>0</v>
      </c>
      <c r="V318" s="24">
        <f t="shared" si="70"/>
        <v>0</v>
      </c>
      <c r="W318" s="41">
        <f t="shared" si="81"/>
        <v>0</v>
      </c>
      <c r="X318" s="31"/>
      <c r="Y318" s="31"/>
      <c r="Z318" s="31"/>
      <c r="AA318" s="25">
        <f t="shared" si="71"/>
        <v>9.0359999999999996</v>
      </c>
      <c r="AB318" s="25">
        <f t="shared" si="72"/>
        <v>-184.49199999999999</v>
      </c>
      <c r="AD318" s="24">
        <f>IF(D318="M",IF(AG318&lt;78,BMILMS!$D$5*AG318^3+BMILMS!$E$5*AG318^2+BMILMS!$F$5*AG318+BMILMS!$G$5,IF(AG318&lt;150,BMILMS!$D$6*AG318^3+BMILMS!$E$6*AG318^2+BMILMS!$F$6*AG318+BMILMS!$G$6,BMILMS!$D$7*AG318^3+BMILMS!$E$7*AG318^2+BMILMS!$F$7*AG318+BMILMS!$G$7)),IF(AG318&lt;69,BMILMS!$D$9*AG318^3+BMILMS!$E$9*AG318^2+BMILMS!$F$9*AG318+BMILMS!$G$9,IF(AG318&lt;150,BMILMS!$D$10*AG318^3+BMILMS!$E$10*AG318^2+BMILMS!$F$10*AG318+BMILMS!$G$10,BMILMS!$D$11*AG318^3+BMILMS!$E$11*AG318^2+BMILMS!$F$11*AG318+BMILMS!$G$11)))</f>
        <v>0.79584630099999998</v>
      </c>
      <c r="AE318" s="24">
        <f>IF(D318="M",(IF(AG318&lt;2.5,BMILMS!$D$21*AG318^3+BMILMS!$E$21*AG318^2+BMILMS!$F$21*AG318+BMILMS!$G$21,IF(AG318&lt;9.5,BMILMS!$D$22*AG318^3+BMILMS!$E$22*AG318^2+BMILMS!$F$22*AG318+BMILMS!$G$22,IF(AG318&lt;26.75,BMILMS!$D$23*AG318^3+BMILMS!$E$23*AG318^2+BMILMS!$F$23*AG318+BMILMS!$G$23,IF(AG318&lt;90,BMILMS!$D$24*AG318^3+BMILMS!$E$24*AG318^2+BMILMS!$F$24*AG318+BMILMS!$G$24,BMILMS!$D$25*AG318^3+BMILMS!$E$25*AG318^2+BMILMS!$F$25*AG318+BMILMS!$G$25))))),(IF(AG318&lt;2.5,BMILMS!$D$27*AG318^3+BMILMS!$E$27*AG318^2+BMILMS!$F$27*AG318+BMILMS!$G$27,IF(AG318&lt;9.5,BMILMS!$D$28*AG318^3+BMILMS!$E$28*AG318^2+BMILMS!$F$28*AG318+BMILMS!$G$28,IF(AG318&lt;26.75,BMILMS!$D$29*AG318^3+BMILMS!$E$29*AG318^2+BMILMS!$F$29*AG318+BMILMS!$G$29,IF(AG318&lt;90,BMILMS!$D$30*AG318^3+BMILMS!$E$30*AG318^2+BMILMS!$F$30*AG318+BMILMS!$G$30,IF(AG318&lt;150,BMILMS!$D$31*AG318^3+BMILMS!$E$31*AG318^2+BMILMS!$F$31*AG318+BMILMS!$G$31,BMILMS!$D$32*AG318^3+BMILMS!$E$32*AG318^2+BMILMS!$F$32*AG318+BMILMS!$G$32)))))))</f>
        <v>12.568967990000001</v>
      </c>
      <c r="AF318" s="24">
        <f>IF(D318="M",(IF(AG318&lt;90,BMILMS!$D$14*AG318^3+BMILMS!$E$14*AG318^2+BMILMS!$F$14*AG318+BMILMS!$G$14,BMILMS!$D$15*AG318^3+BMILMS!$E$15*AG318^2+BMILMS!$F$15*AG318+BMILMS!$G$15)),(IF(AG318&lt;90,BMILMS!$D$17*AG318^3+BMILMS!$E$17*AG318^2+BMILMS!$F$17*AG318+BMILMS!$G$17,BMILMS!$D$18*AG318^3+BMILMS!$E$18*AG318^2+BMILMS!$F$18*AG318+BMILMS!$G$18)))</f>
        <v>8.8969350000000003E-2</v>
      </c>
      <c r="AG318" s="24">
        <f t="shared" si="80"/>
        <v>0</v>
      </c>
      <c r="AI318" s="38">
        <f>IF(D318="M",WeightSDS!P$5*$AG318^7+WeightSDS!Q$5*$AG318^6+WeightSDS!R$5*$AG318^5+WeightSDS!S$5*$AG318^4+WeightSDS!T$5*$AG318^3+WeightSDS!U$5*$AG318^2+WeightSDS!V$5*$AG318+WeightSDS!W$5,IF($AG318&lt;186,WeightSDS!P$8*$AG318^7+WeightSDS!Q$8*$AG318^6+WeightSDS!R$8*$AG318^5+WeightSDS!S$8*$AG318^4+WeightSDS!T$8*$AG318^3+WeightSDS!U$8*$AG318^2+WeightSDS!V$8*$AG318+WeightSDS!W$8,WeightSDS!$U$9-WeightSDS!$V$9*($AG318-WeightSDS!$W$9)))</f>
        <v>0.75407122999999998</v>
      </c>
      <c r="AJ318" s="24">
        <f>IF(D318="M",IF($AG318&lt;45,WeightSDS!M$23*$AG318^10+WeightSDS!N$23*$AG318^9+WeightSDS!O$23*$AG318^8+WeightSDS!P$23*$AG318^7+WeightSDS!Q$23*$AG318^6+WeightSDS!R$23*$AG318^5+WeightSDS!S$23*$AG318^4+WeightSDS!T$23*$AG318^3+WeightSDS!U$23*$AG318^2+WeightSDS!V$23*$AG318+WeightSDS!W$23,IF($AG318&lt;153,WeightSDS!M$25*$AG318^10+WeightSDS!N$25*$AG318^9+WeightSDS!O$25*$AG318^8+WeightSDS!P$25*$AG318^7+WeightSDS!Q$25*$AG318^6+WeightSDS!R$25*$AG318^5+WeightSDS!S$25*$AG318^4+WeightSDS!T$25*$AG318^3+WeightSDS!U$25*$AG318^2+WeightSDS!V$25*$AG318+WeightSDS!W$25,WeightSDS!M$27+WeightSDS!N$27/(1+EXP(WeightSDS!O$27+WeightSDS!P$27*$AG318)))),IF($AG318&lt;43.8,WeightSDS!M$29*$AG318^10+WeightSDS!N$29*$AG318^9+WeightSDS!O$29*$AG318^8+WeightSDS!P$29*$AG318^7+WeightSDS!Q$29*$AG318^6+WeightSDS!R$29*$AG318^5+WeightSDS!S$29*$AG318^4+WeightSDS!T$29*$AG318^3+WeightSDS!U$29*$AG318^2+WeightSDS!V$29*$AG318+WeightSDS!W$29-0.010431*(1-$AG318/210),IF($AG318&lt;123,WeightSDS!M$30*$AG318^10+WeightSDS!N$30*$AG318^9+WeightSDS!O$30*$AG318^8+WeightSDS!P$30*$AG318^7+WeightSDS!Q$30*$AG318^6+WeightSDS!R$30*$AG318^5+WeightSDS!S$30*$AG318^4+WeightSDS!T$30*$AG318^3+WeightSDS!U$30*$AG318^2+WeightSDS!V$30*$AG318+WeightSDS!W$30-0.010431*(1-1/$AG318),WeightSDS!M$32+WeightSDS!N$32/(1+EXP(WeightSDS!O$32+WeightSDS!P$32*$AG318))-0.010431*(1-$AG318/210))))</f>
        <v>2.9500001032655536</v>
      </c>
      <c r="AK318" s="24">
        <f>IF(D318="M",IF($AG318&lt;162,WeightSDS!P$12*$AG318^7+WeightSDS!Q$12*$AG318^6+WeightSDS!R$12*$AG318^5+WeightSDS!S$12*$AG318^4+WeightSDS!T$12*$AG318^3+WeightSDS!U$12*$AG318^2+WeightSDS!V$12*$AG318+WeightSDS!W$12,WeightSDS!P$14*$AG318^7+WeightSDS!Q$14*$AG318^6+WeightSDS!R$14*$AG318^5+WeightSDS!S$14*$AG318^4+WeightSDS!T$14*$AG318^3+WeightSDS!U$14*$AG318^2+WeightSDS!V$14*$AG318+WeightSDS!W$14),IF($AG318&lt;156,WeightSDS!O$17*$AG318^8+WeightSDS!P$17*$AG318^7+WeightSDS!Q$17*$AG318^6+WeightSDS!R$17*$AG318^5+WeightSDS!S$17*$AG318^4+WeightSDS!T$17*$AG318^3+WeightSDS!U$17*$AG318^2+WeightSDS!V$17*$AG318+WeightSDS!W$17,IF($AG318&lt;186,WeightSDS!$U$18+(WeightSDS!$V$18-WeightSDS!$U$18)/24*($AG318-186)+WeightSDS!$W$18*(-$AG318+186)^2-0.005,WeightSDS!$U$18+(WeightSDS!$V$18-WeightSDS!$U$18)/24*($AG318-186)-0.005)))</f>
        <v>0.14604529399999999</v>
      </c>
    </row>
    <row r="319" spans="1:37">
      <c r="A319" s="4"/>
      <c r="B319" s="21"/>
      <c r="C319" s="21"/>
      <c r="D319" s="21"/>
      <c r="E319" s="22"/>
      <c r="F319" s="22"/>
      <c r="G319" s="23"/>
      <c r="H319" s="23"/>
      <c r="I319" s="8" t="str">
        <f t="shared" si="66"/>
        <v/>
      </c>
      <c r="J319" s="2" t="str">
        <f t="shared" si="73"/>
        <v/>
      </c>
      <c r="K319" s="2" t="str">
        <f t="shared" si="67"/>
        <v/>
      </c>
      <c r="L319" s="2" t="str">
        <f t="shared" si="74"/>
        <v/>
      </c>
      <c r="M319" s="2" t="str">
        <f t="shared" si="79"/>
        <v/>
      </c>
      <c r="N319" s="2" t="str">
        <f t="shared" si="75"/>
        <v/>
      </c>
      <c r="O319" s="8" t="str">
        <f t="shared" si="76"/>
        <v/>
      </c>
      <c r="P319" s="8" t="str">
        <f t="shared" si="77"/>
        <v/>
      </c>
      <c r="Q319" s="40" t="str">
        <f t="shared" si="68"/>
        <v/>
      </c>
      <c r="R319" s="48" t="str">
        <f t="shared" si="78"/>
        <v/>
      </c>
      <c r="S319" s="8"/>
      <c r="U319" s="35">
        <f t="shared" si="69"/>
        <v>0</v>
      </c>
      <c r="V319" s="24">
        <f t="shared" si="70"/>
        <v>0</v>
      </c>
      <c r="W319" s="41">
        <f t="shared" si="81"/>
        <v>0</v>
      </c>
      <c r="X319" s="31"/>
      <c r="Y319" s="31"/>
      <c r="Z319" s="31"/>
      <c r="AA319" s="25">
        <f t="shared" si="71"/>
        <v>9.0359999999999996</v>
      </c>
      <c r="AB319" s="25">
        <f t="shared" si="72"/>
        <v>-184.49199999999999</v>
      </c>
      <c r="AD319" s="24">
        <f>IF(D319="M",IF(AG319&lt;78,BMILMS!$D$5*AG319^3+BMILMS!$E$5*AG319^2+BMILMS!$F$5*AG319+BMILMS!$G$5,IF(AG319&lt;150,BMILMS!$D$6*AG319^3+BMILMS!$E$6*AG319^2+BMILMS!$F$6*AG319+BMILMS!$G$6,BMILMS!$D$7*AG319^3+BMILMS!$E$7*AG319^2+BMILMS!$F$7*AG319+BMILMS!$G$7)),IF(AG319&lt;69,BMILMS!$D$9*AG319^3+BMILMS!$E$9*AG319^2+BMILMS!$F$9*AG319+BMILMS!$G$9,IF(AG319&lt;150,BMILMS!$D$10*AG319^3+BMILMS!$E$10*AG319^2+BMILMS!$F$10*AG319+BMILMS!$G$10,BMILMS!$D$11*AG319^3+BMILMS!$E$11*AG319^2+BMILMS!$F$11*AG319+BMILMS!$G$11)))</f>
        <v>0.79584630099999998</v>
      </c>
      <c r="AE319" s="24">
        <f>IF(D319="M",(IF(AG319&lt;2.5,BMILMS!$D$21*AG319^3+BMILMS!$E$21*AG319^2+BMILMS!$F$21*AG319+BMILMS!$G$21,IF(AG319&lt;9.5,BMILMS!$D$22*AG319^3+BMILMS!$E$22*AG319^2+BMILMS!$F$22*AG319+BMILMS!$G$22,IF(AG319&lt;26.75,BMILMS!$D$23*AG319^3+BMILMS!$E$23*AG319^2+BMILMS!$F$23*AG319+BMILMS!$G$23,IF(AG319&lt;90,BMILMS!$D$24*AG319^3+BMILMS!$E$24*AG319^2+BMILMS!$F$24*AG319+BMILMS!$G$24,BMILMS!$D$25*AG319^3+BMILMS!$E$25*AG319^2+BMILMS!$F$25*AG319+BMILMS!$G$25))))),(IF(AG319&lt;2.5,BMILMS!$D$27*AG319^3+BMILMS!$E$27*AG319^2+BMILMS!$F$27*AG319+BMILMS!$G$27,IF(AG319&lt;9.5,BMILMS!$D$28*AG319^3+BMILMS!$E$28*AG319^2+BMILMS!$F$28*AG319+BMILMS!$G$28,IF(AG319&lt;26.75,BMILMS!$D$29*AG319^3+BMILMS!$E$29*AG319^2+BMILMS!$F$29*AG319+BMILMS!$G$29,IF(AG319&lt;90,BMILMS!$D$30*AG319^3+BMILMS!$E$30*AG319^2+BMILMS!$F$30*AG319+BMILMS!$G$30,IF(AG319&lt;150,BMILMS!$D$31*AG319^3+BMILMS!$E$31*AG319^2+BMILMS!$F$31*AG319+BMILMS!$G$31,BMILMS!$D$32*AG319^3+BMILMS!$E$32*AG319^2+BMILMS!$F$32*AG319+BMILMS!$G$32)))))))</f>
        <v>12.568967990000001</v>
      </c>
      <c r="AF319" s="24">
        <f>IF(D319="M",(IF(AG319&lt;90,BMILMS!$D$14*AG319^3+BMILMS!$E$14*AG319^2+BMILMS!$F$14*AG319+BMILMS!$G$14,BMILMS!$D$15*AG319^3+BMILMS!$E$15*AG319^2+BMILMS!$F$15*AG319+BMILMS!$G$15)),(IF(AG319&lt;90,BMILMS!$D$17*AG319^3+BMILMS!$E$17*AG319^2+BMILMS!$F$17*AG319+BMILMS!$G$17,BMILMS!$D$18*AG319^3+BMILMS!$E$18*AG319^2+BMILMS!$F$18*AG319+BMILMS!$G$18)))</f>
        <v>8.8969350000000003E-2</v>
      </c>
      <c r="AG319" s="24">
        <f t="shared" si="80"/>
        <v>0</v>
      </c>
      <c r="AI319" s="38">
        <f>IF(D319="M",WeightSDS!P$5*$AG319^7+WeightSDS!Q$5*$AG319^6+WeightSDS!R$5*$AG319^5+WeightSDS!S$5*$AG319^4+WeightSDS!T$5*$AG319^3+WeightSDS!U$5*$AG319^2+WeightSDS!V$5*$AG319+WeightSDS!W$5,IF($AG319&lt;186,WeightSDS!P$8*$AG319^7+WeightSDS!Q$8*$AG319^6+WeightSDS!R$8*$AG319^5+WeightSDS!S$8*$AG319^4+WeightSDS!T$8*$AG319^3+WeightSDS!U$8*$AG319^2+WeightSDS!V$8*$AG319+WeightSDS!W$8,WeightSDS!$U$9-WeightSDS!$V$9*($AG319-WeightSDS!$W$9)))</f>
        <v>0.75407122999999998</v>
      </c>
      <c r="AJ319" s="24">
        <f>IF(D319="M",IF($AG319&lt;45,WeightSDS!M$23*$AG319^10+WeightSDS!N$23*$AG319^9+WeightSDS!O$23*$AG319^8+WeightSDS!P$23*$AG319^7+WeightSDS!Q$23*$AG319^6+WeightSDS!R$23*$AG319^5+WeightSDS!S$23*$AG319^4+WeightSDS!T$23*$AG319^3+WeightSDS!U$23*$AG319^2+WeightSDS!V$23*$AG319+WeightSDS!W$23,IF($AG319&lt;153,WeightSDS!M$25*$AG319^10+WeightSDS!N$25*$AG319^9+WeightSDS!O$25*$AG319^8+WeightSDS!P$25*$AG319^7+WeightSDS!Q$25*$AG319^6+WeightSDS!R$25*$AG319^5+WeightSDS!S$25*$AG319^4+WeightSDS!T$25*$AG319^3+WeightSDS!U$25*$AG319^2+WeightSDS!V$25*$AG319+WeightSDS!W$25,WeightSDS!M$27+WeightSDS!N$27/(1+EXP(WeightSDS!O$27+WeightSDS!P$27*$AG319)))),IF($AG319&lt;43.8,WeightSDS!M$29*$AG319^10+WeightSDS!N$29*$AG319^9+WeightSDS!O$29*$AG319^8+WeightSDS!P$29*$AG319^7+WeightSDS!Q$29*$AG319^6+WeightSDS!R$29*$AG319^5+WeightSDS!S$29*$AG319^4+WeightSDS!T$29*$AG319^3+WeightSDS!U$29*$AG319^2+WeightSDS!V$29*$AG319+WeightSDS!W$29-0.010431*(1-$AG319/210),IF($AG319&lt;123,WeightSDS!M$30*$AG319^10+WeightSDS!N$30*$AG319^9+WeightSDS!O$30*$AG319^8+WeightSDS!P$30*$AG319^7+WeightSDS!Q$30*$AG319^6+WeightSDS!R$30*$AG319^5+WeightSDS!S$30*$AG319^4+WeightSDS!T$30*$AG319^3+WeightSDS!U$30*$AG319^2+WeightSDS!V$30*$AG319+WeightSDS!W$30-0.010431*(1-1/$AG319),WeightSDS!M$32+WeightSDS!N$32/(1+EXP(WeightSDS!O$32+WeightSDS!P$32*$AG319))-0.010431*(1-$AG319/210))))</f>
        <v>2.9500001032655536</v>
      </c>
      <c r="AK319" s="24">
        <f>IF(D319="M",IF($AG319&lt;162,WeightSDS!P$12*$AG319^7+WeightSDS!Q$12*$AG319^6+WeightSDS!R$12*$AG319^5+WeightSDS!S$12*$AG319^4+WeightSDS!T$12*$AG319^3+WeightSDS!U$12*$AG319^2+WeightSDS!V$12*$AG319+WeightSDS!W$12,WeightSDS!P$14*$AG319^7+WeightSDS!Q$14*$AG319^6+WeightSDS!R$14*$AG319^5+WeightSDS!S$14*$AG319^4+WeightSDS!T$14*$AG319^3+WeightSDS!U$14*$AG319^2+WeightSDS!V$14*$AG319+WeightSDS!W$14),IF($AG319&lt;156,WeightSDS!O$17*$AG319^8+WeightSDS!P$17*$AG319^7+WeightSDS!Q$17*$AG319^6+WeightSDS!R$17*$AG319^5+WeightSDS!S$17*$AG319^4+WeightSDS!T$17*$AG319^3+WeightSDS!U$17*$AG319^2+WeightSDS!V$17*$AG319+WeightSDS!W$17,IF($AG319&lt;186,WeightSDS!$U$18+(WeightSDS!$V$18-WeightSDS!$U$18)/24*($AG319-186)+WeightSDS!$W$18*(-$AG319+186)^2-0.005,WeightSDS!$U$18+(WeightSDS!$V$18-WeightSDS!$U$18)/24*($AG319-186)-0.005)))</f>
        <v>0.14604529399999999</v>
      </c>
    </row>
    <row r="320" spans="1:37">
      <c r="A320" s="4"/>
      <c r="B320" s="21"/>
      <c r="C320" s="21"/>
      <c r="D320" s="21"/>
      <c r="E320" s="22"/>
      <c r="F320" s="22"/>
      <c r="G320" s="23"/>
      <c r="H320" s="23"/>
      <c r="I320" s="8" t="str">
        <f t="shared" si="66"/>
        <v/>
      </c>
      <c r="J320" s="2" t="str">
        <f t="shared" si="73"/>
        <v/>
      </c>
      <c r="K320" s="2" t="str">
        <f t="shared" si="67"/>
        <v/>
      </c>
      <c r="L320" s="2" t="str">
        <f t="shared" si="74"/>
        <v/>
      </c>
      <c r="M320" s="2" t="str">
        <f t="shared" si="79"/>
        <v/>
      </c>
      <c r="N320" s="2" t="str">
        <f t="shared" si="75"/>
        <v/>
      </c>
      <c r="O320" s="8" t="str">
        <f t="shared" si="76"/>
        <v/>
      </c>
      <c r="P320" s="8" t="str">
        <f t="shared" si="77"/>
        <v/>
      </c>
      <c r="Q320" s="40" t="str">
        <f t="shared" si="68"/>
        <v/>
      </c>
      <c r="R320" s="48" t="str">
        <f t="shared" si="78"/>
        <v/>
      </c>
      <c r="S320" s="8"/>
      <c r="U320" s="35">
        <f t="shared" si="69"/>
        <v>0</v>
      </c>
      <c r="V320" s="24">
        <f t="shared" si="70"/>
        <v>0</v>
      </c>
      <c r="W320" s="41">
        <f t="shared" si="81"/>
        <v>0</v>
      </c>
      <c r="X320" s="31"/>
      <c r="Y320" s="31"/>
      <c r="Z320" s="31"/>
      <c r="AA320" s="25">
        <f t="shared" si="71"/>
        <v>9.0359999999999996</v>
      </c>
      <c r="AB320" s="25">
        <f t="shared" si="72"/>
        <v>-184.49199999999999</v>
      </c>
      <c r="AD320" s="24">
        <f>IF(D320="M",IF(AG320&lt;78,BMILMS!$D$5*AG320^3+BMILMS!$E$5*AG320^2+BMILMS!$F$5*AG320+BMILMS!$G$5,IF(AG320&lt;150,BMILMS!$D$6*AG320^3+BMILMS!$E$6*AG320^2+BMILMS!$F$6*AG320+BMILMS!$G$6,BMILMS!$D$7*AG320^3+BMILMS!$E$7*AG320^2+BMILMS!$F$7*AG320+BMILMS!$G$7)),IF(AG320&lt;69,BMILMS!$D$9*AG320^3+BMILMS!$E$9*AG320^2+BMILMS!$F$9*AG320+BMILMS!$G$9,IF(AG320&lt;150,BMILMS!$D$10*AG320^3+BMILMS!$E$10*AG320^2+BMILMS!$F$10*AG320+BMILMS!$G$10,BMILMS!$D$11*AG320^3+BMILMS!$E$11*AG320^2+BMILMS!$F$11*AG320+BMILMS!$G$11)))</f>
        <v>0.79584630099999998</v>
      </c>
      <c r="AE320" s="24">
        <f>IF(D320="M",(IF(AG320&lt;2.5,BMILMS!$D$21*AG320^3+BMILMS!$E$21*AG320^2+BMILMS!$F$21*AG320+BMILMS!$G$21,IF(AG320&lt;9.5,BMILMS!$D$22*AG320^3+BMILMS!$E$22*AG320^2+BMILMS!$F$22*AG320+BMILMS!$G$22,IF(AG320&lt;26.75,BMILMS!$D$23*AG320^3+BMILMS!$E$23*AG320^2+BMILMS!$F$23*AG320+BMILMS!$G$23,IF(AG320&lt;90,BMILMS!$D$24*AG320^3+BMILMS!$E$24*AG320^2+BMILMS!$F$24*AG320+BMILMS!$G$24,BMILMS!$D$25*AG320^3+BMILMS!$E$25*AG320^2+BMILMS!$F$25*AG320+BMILMS!$G$25))))),(IF(AG320&lt;2.5,BMILMS!$D$27*AG320^3+BMILMS!$E$27*AG320^2+BMILMS!$F$27*AG320+BMILMS!$G$27,IF(AG320&lt;9.5,BMILMS!$D$28*AG320^3+BMILMS!$E$28*AG320^2+BMILMS!$F$28*AG320+BMILMS!$G$28,IF(AG320&lt;26.75,BMILMS!$D$29*AG320^3+BMILMS!$E$29*AG320^2+BMILMS!$F$29*AG320+BMILMS!$G$29,IF(AG320&lt;90,BMILMS!$D$30*AG320^3+BMILMS!$E$30*AG320^2+BMILMS!$F$30*AG320+BMILMS!$G$30,IF(AG320&lt;150,BMILMS!$D$31*AG320^3+BMILMS!$E$31*AG320^2+BMILMS!$F$31*AG320+BMILMS!$G$31,BMILMS!$D$32*AG320^3+BMILMS!$E$32*AG320^2+BMILMS!$F$32*AG320+BMILMS!$G$32)))))))</f>
        <v>12.568967990000001</v>
      </c>
      <c r="AF320" s="24">
        <f>IF(D320="M",(IF(AG320&lt;90,BMILMS!$D$14*AG320^3+BMILMS!$E$14*AG320^2+BMILMS!$F$14*AG320+BMILMS!$G$14,BMILMS!$D$15*AG320^3+BMILMS!$E$15*AG320^2+BMILMS!$F$15*AG320+BMILMS!$G$15)),(IF(AG320&lt;90,BMILMS!$D$17*AG320^3+BMILMS!$E$17*AG320^2+BMILMS!$F$17*AG320+BMILMS!$G$17,BMILMS!$D$18*AG320^3+BMILMS!$E$18*AG320^2+BMILMS!$F$18*AG320+BMILMS!$G$18)))</f>
        <v>8.8969350000000003E-2</v>
      </c>
      <c r="AG320" s="24">
        <f t="shared" si="80"/>
        <v>0</v>
      </c>
      <c r="AI320" s="38">
        <f>IF(D320="M",WeightSDS!P$5*$AG320^7+WeightSDS!Q$5*$AG320^6+WeightSDS!R$5*$AG320^5+WeightSDS!S$5*$AG320^4+WeightSDS!T$5*$AG320^3+WeightSDS!U$5*$AG320^2+WeightSDS!V$5*$AG320+WeightSDS!W$5,IF($AG320&lt;186,WeightSDS!P$8*$AG320^7+WeightSDS!Q$8*$AG320^6+WeightSDS!R$8*$AG320^5+WeightSDS!S$8*$AG320^4+WeightSDS!T$8*$AG320^3+WeightSDS!U$8*$AG320^2+WeightSDS!V$8*$AG320+WeightSDS!W$8,WeightSDS!$U$9-WeightSDS!$V$9*($AG320-WeightSDS!$W$9)))</f>
        <v>0.75407122999999998</v>
      </c>
      <c r="AJ320" s="24">
        <f>IF(D320="M",IF($AG320&lt;45,WeightSDS!M$23*$AG320^10+WeightSDS!N$23*$AG320^9+WeightSDS!O$23*$AG320^8+WeightSDS!P$23*$AG320^7+WeightSDS!Q$23*$AG320^6+WeightSDS!R$23*$AG320^5+WeightSDS!S$23*$AG320^4+WeightSDS!T$23*$AG320^3+WeightSDS!U$23*$AG320^2+WeightSDS!V$23*$AG320+WeightSDS!W$23,IF($AG320&lt;153,WeightSDS!M$25*$AG320^10+WeightSDS!N$25*$AG320^9+WeightSDS!O$25*$AG320^8+WeightSDS!P$25*$AG320^7+WeightSDS!Q$25*$AG320^6+WeightSDS!R$25*$AG320^5+WeightSDS!S$25*$AG320^4+WeightSDS!T$25*$AG320^3+WeightSDS!U$25*$AG320^2+WeightSDS!V$25*$AG320+WeightSDS!W$25,WeightSDS!M$27+WeightSDS!N$27/(1+EXP(WeightSDS!O$27+WeightSDS!P$27*$AG320)))),IF($AG320&lt;43.8,WeightSDS!M$29*$AG320^10+WeightSDS!N$29*$AG320^9+WeightSDS!O$29*$AG320^8+WeightSDS!P$29*$AG320^7+WeightSDS!Q$29*$AG320^6+WeightSDS!R$29*$AG320^5+WeightSDS!S$29*$AG320^4+WeightSDS!T$29*$AG320^3+WeightSDS!U$29*$AG320^2+WeightSDS!V$29*$AG320+WeightSDS!W$29-0.010431*(1-$AG320/210),IF($AG320&lt;123,WeightSDS!M$30*$AG320^10+WeightSDS!N$30*$AG320^9+WeightSDS!O$30*$AG320^8+WeightSDS!P$30*$AG320^7+WeightSDS!Q$30*$AG320^6+WeightSDS!R$30*$AG320^5+WeightSDS!S$30*$AG320^4+WeightSDS!T$30*$AG320^3+WeightSDS!U$30*$AG320^2+WeightSDS!V$30*$AG320+WeightSDS!W$30-0.010431*(1-1/$AG320),WeightSDS!M$32+WeightSDS!N$32/(1+EXP(WeightSDS!O$32+WeightSDS!P$32*$AG320))-0.010431*(1-$AG320/210))))</f>
        <v>2.9500001032655536</v>
      </c>
      <c r="AK320" s="24">
        <f>IF(D320="M",IF($AG320&lt;162,WeightSDS!P$12*$AG320^7+WeightSDS!Q$12*$AG320^6+WeightSDS!R$12*$AG320^5+WeightSDS!S$12*$AG320^4+WeightSDS!T$12*$AG320^3+WeightSDS!U$12*$AG320^2+WeightSDS!V$12*$AG320+WeightSDS!W$12,WeightSDS!P$14*$AG320^7+WeightSDS!Q$14*$AG320^6+WeightSDS!R$14*$AG320^5+WeightSDS!S$14*$AG320^4+WeightSDS!T$14*$AG320^3+WeightSDS!U$14*$AG320^2+WeightSDS!V$14*$AG320+WeightSDS!W$14),IF($AG320&lt;156,WeightSDS!O$17*$AG320^8+WeightSDS!P$17*$AG320^7+WeightSDS!Q$17*$AG320^6+WeightSDS!R$17*$AG320^5+WeightSDS!S$17*$AG320^4+WeightSDS!T$17*$AG320^3+WeightSDS!U$17*$AG320^2+WeightSDS!V$17*$AG320+WeightSDS!W$17,IF($AG320&lt;186,WeightSDS!$U$18+(WeightSDS!$V$18-WeightSDS!$U$18)/24*($AG320-186)+WeightSDS!$W$18*(-$AG320+186)^2-0.005,WeightSDS!$U$18+(WeightSDS!$V$18-WeightSDS!$U$18)/24*($AG320-186)-0.005)))</f>
        <v>0.14604529399999999</v>
      </c>
    </row>
    <row r="321" spans="1:37">
      <c r="A321" s="4"/>
      <c r="B321" s="21"/>
      <c r="C321" s="21"/>
      <c r="D321" s="21"/>
      <c r="E321" s="22"/>
      <c r="F321" s="22"/>
      <c r="G321" s="23"/>
      <c r="H321" s="23"/>
      <c r="I321" s="8" t="str">
        <f t="shared" si="66"/>
        <v/>
      </c>
      <c r="J321" s="2" t="str">
        <f t="shared" si="73"/>
        <v/>
      </c>
      <c r="K321" s="2" t="str">
        <f t="shared" si="67"/>
        <v/>
      </c>
      <c r="L321" s="2" t="str">
        <f t="shared" si="74"/>
        <v/>
      </c>
      <c r="M321" s="2" t="str">
        <f t="shared" si="79"/>
        <v/>
      </c>
      <c r="N321" s="2" t="str">
        <f t="shared" si="75"/>
        <v/>
      </c>
      <c r="O321" s="8" t="str">
        <f t="shared" si="76"/>
        <v/>
      </c>
      <c r="P321" s="8" t="str">
        <f t="shared" si="77"/>
        <v/>
      </c>
      <c r="Q321" s="40" t="str">
        <f t="shared" si="68"/>
        <v/>
      </c>
      <c r="R321" s="48" t="str">
        <f t="shared" si="78"/>
        <v/>
      </c>
      <c r="S321" s="8"/>
      <c r="U321" s="35">
        <f t="shared" si="69"/>
        <v>0</v>
      </c>
      <c r="V321" s="24">
        <f t="shared" si="70"/>
        <v>0</v>
      </c>
      <c r="W321" s="41">
        <f t="shared" si="81"/>
        <v>0</v>
      </c>
      <c r="X321" s="31"/>
      <c r="Y321" s="31"/>
      <c r="Z321" s="31"/>
      <c r="AA321" s="25">
        <f t="shared" si="71"/>
        <v>9.0359999999999996</v>
      </c>
      <c r="AB321" s="25">
        <f t="shared" si="72"/>
        <v>-184.49199999999999</v>
      </c>
      <c r="AD321" s="24">
        <f>IF(D321="M",IF(AG321&lt;78,BMILMS!$D$5*AG321^3+BMILMS!$E$5*AG321^2+BMILMS!$F$5*AG321+BMILMS!$G$5,IF(AG321&lt;150,BMILMS!$D$6*AG321^3+BMILMS!$E$6*AG321^2+BMILMS!$F$6*AG321+BMILMS!$G$6,BMILMS!$D$7*AG321^3+BMILMS!$E$7*AG321^2+BMILMS!$F$7*AG321+BMILMS!$G$7)),IF(AG321&lt;69,BMILMS!$D$9*AG321^3+BMILMS!$E$9*AG321^2+BMILMS!$F$9*AG321+BMILMS!$G$9,IF(AG321&lt;150,BMILMS!$D$10*AG321^3+BMILMS!$E$10*AG321^2+BMILMS!$F$10*AG321+BMILMS!$G$10,BMILMS!$D$11*AG321^3+BMILMS!$E$11*AG321^2+BMILMS!$F$11*AG321+BMILMS!$G$11)))</f>
        <v>0.79584630099999998</v>
      </c>
      <c r="AE321" s="24">
        <f>IF(D321="M",(IF(AG321&lt;2.5,BMILMS!$D$21*AG321^3+BMILMS!$E$21*AG321^2+BMILMS!$F$21*AG321+BMILMS!$G$21,IF(AG321&lt;9.5,BMILMS!$D$22*AG321^3+BMILMS!$E$22*AG321^2+BMILMS!$F$22*AG321+BMILMS!$G$22,IF(AG321&lt;26.75,BMILMS!$D$23*AG321^3+BMILMS!$E$23*AG321^2+BMILMS!$F$23*AG321+BMILMS!$G$23,IF(AG321&lt;90,BMILMS!$D$24*AG321^3+BMILMS!$E$24*AG321^2+BMILMS!$F$24*AG321+BMILMS!$G$24,BMILMS!$D$25*AG321^3+BMILMS!$E$25*AG321^2+BMILMS!$F$25*AG321+BMILMS!$G$25))))),(IF(AG321&lt;2.5,BMILMS!$D$27*AG321^3+BMILMS!$E$27*AG321^2+BMILMS!$F$27*AG321+BMILMS!$G$27,IF(AG321&lt;9.5,BMILMS!$D$28*AG321^3+BMILMS!$E$28*AG321^2+BMILMS!$F$28*AG321+BMILMS!$G$28,IF(AG321&lt;26.75,BMILMS!$D$29*AG321^3+BMILMS!$E$29*AG321^2+BMILMS!$F$29*AG321+BMILMS!$G$29,IF(AG321&lt;90,BMILMS!$D$30*AG321^3+BMILMS!$E$30*AG321^2+BMILMS!$F$30*AG321+BMILMS!$G$30,IF(AG321&lt;150,BMILMS!$D$31*AG321^3+BMILMS!$E$31*AG321^2+BMILMS!$F$31*AG321+BMILMS!$G$31,BMILMS!$D$32*AG321^3+BMILMS!$E$32*AG321^2+BMILMS!$F$32*AG321+BMILMS!$G$32)))))))</f>
        <v>12.568967990000001</v>
      </c>
      <c r="AF321" s="24">
        <f>IF(D321="M",(IF(AG321&lt;90,BMILMS!$D$14*AG321^3+BMILMS!$E$14*AG321^2+BMILMS!$F$14*AG321+BMILMS!$G$14,BMILMS!$D$15*AG321^3+BMILMS!$E$15*AG321^2+BMILMS!$F$15*AG321+BMILMS!$G$15)),(IF(AG321&lt;90,BMILMS!$D$17*AG321^3+BMILMS!$E$17*AG321^2+BMILMS!$F$17*AG321+BMILMS!$G$17,BMILMS!$D$18*AG321^3+BMILMS!$E$18*AG321^2+BMILMS!$F$18*AG321+BMILMS!$G$18)))</f>
        <v>8.8969350000000003E-2</v>
      </c>
      <c r="AG321" s="24">
        <f t="shared" si="80"/>
        <v>0</v>
      </c>
      <c r="AI321" s="38">
        <f>IF(D321="M",WeightSDS!P$5*$AG321^7+WeightSDS!Q$5*$AG321^6+WeightSDS!R$5*$AG321^5+WeightSDS!S$5*$AG321^4+WeightSDS!T$5*$AG321^3+WeightSDS!U$5*$AG321^2+WeightSDS!V$5*$AG321+WeightSDS!W$5,IF($AG321&lt;186,WeightSDS!P$8*$AG321^7+WeightSDS!Q$8*$AG321^6+WeightSDS!R$8*$AG321^5+WeightSDS!S$8*$AG321^4+WeightSDS!T$8*$AG321^3+WeightSDS!U$8*$AG321^2+WeightSDS!V$8*$AG321+WeightSDS!W$8,WeightSDS!$U$9-WeightSDS!$V$9*($AG321-WeightSDS!$W$9)))</f>
        <v>0.75407122999999998</v>
      </c>
      <c r="AJ321" s="24">
        <f>IF(D321="M",IF($AG321&lt;45,WeightSDS!M$23*$AG321^10+WeightSDS!N$23*$AG321^9+WeightSDS!O$23*$AG321^8+WeightSDS!P$23*$AG321^7+WeightSDS!Q$23*$AG321^6+WeightSDS!R$23*$AG321^5+WeightSDS!S$23*$AG321^4+WeightSDS!T$23*$AG321^3+WeightSDS!U$23*$AG321^2+WeightSDS!V$23*$AG321+WeightSDS!W$23,IF($AG321&lt;153,WeightSDS!M$25*$AG321^10+WeightSDS!N$25*$AG321^9+WeightSDS!O$25*$AG321^8+WeightSDS!P$25*$AG321^7+WeightSDS!Q$25*$AG321^6+WeightSDS!R$25*$AG321^5+WeightSDS!S$25*$AG321^4+WeightSDS!T$25*$AG321^3+WeightSDS!U$25*$AG321^2+WeightSDS!V$25*$AG321+WeightSDS!W$25,WeightSDS!M$27+WeightSDS!N$27/(1+EXP(WeightSDS!O$27+WeightSDS!P$27*$AG321)))),IF($AG321&lt;43.8,WeightSDS!M$29*$AG321^10+WeightSDS!N$29*$AG321^9+WeightSDS!O$29*$AG321^8+WeightSDS!P$29*$AG321^7+WeightSDS!Q$29*$AG321^6+WeightSDS!R$29*$AG321^5+WeightSDS!S$29*$AG321^4+WeightSDS!T$29*$AG321^3+WeightSDS!U$29*$AG321^2+WeightSDS!V$29*$AG321+WeightSDS!W$29-0.010431*(1-$AG321/210),IF($AG321&lt;123,WeightSDS!M$30*$AG321^10+WeightSDS!N$30*$AG321^9+WeightSDS!O$30*$AG321^8+WeightSDS!P$30*$AG321^7+WeightSDS!Q$30*$AG321^6+WeightSDS!R$30*$AG321^5+WeightSDS!S$30*$AG321^4+WeightSDS!T$30*$AG321^3+WeightSDS!U$30*$AG321^2+WeightSDS!V$30*$AG321+WeightSDS!W$30-0.010431*(1-1/$AG321),WeightSDS!M$32+WeightSDS!N$32/(1+EXP(WeightSDS!O$32+WeightSDS!P$32*$AG321))-0.010431*(1-$AG321/210))))</f>
        <v>2.9500001032655536</v>
      </c>
      <c r="AK321" s="24">
        <f>IF(D321="M",IF($AG321&lt;162,WeightSDS!P$12*$AG321^7+WeightSDS!Q$12*$AG321^6+WeightSDS!R$12*$AG321^5+WeightSDS!S$12*$AG321^4+WeightSDS!T$12*$AG321^3+WeightSDS!U$12*$AG321^2+WeightSDS!V$12*$AG321+WeightSDS!W$12,WeightSDS!P$14*$AG321^7+WeightSDS!Q$14*$AG321^6+WeightSDS!R$14*$AG321^5+WeightSDS!S$14*$AG321^4+WeightSDS!T$14*$AG321^3+WeightSDS!U$14*$AG321^2+WeightSDS!V$14*$AG321+WeightSDS!W$14),IF($AG321&lt;156,WeightSDS!O$17*$AG321^8+WeightSDS!P$17*$AG321^7+WeightSDS!Q$17*$AG321^6+WeightSDS!R$17*$AG321^5+WeightSDS!S$17*$AG321^4+WeightSDS!T$17*$AG321^3+WeightSDS!U$17*$AG321^2+WeightSDS!V$17*$AG321+WeightSDS!W$17,IF($AG321&lt;186,WeightSDS!$U$18+(WeightSDS!$V$18-WeightSDS!$U$18)/24*($AG321-186)+WeightSDS!$W$18*(-$AG321+186)^2-0.005,WeightSDS!$U$18+(WeightSDS!$V$18-WeightSDS!$U$18)/24*($AG321-186)-0.005)))</f>
        <v>0.14604529399999999</v>
      </c>
    </row>
    <row r="322" spans="1:37">
      <c r="A322" s="4"/>
      <c r="B322" s="21"/>
      <c r="C322" s="21"/>
      <c r="D322" s="21"/>
      <c r="E322" s="22"/>
      <c r="F322" s="22"/>
      <c r="G322" s="23"/>
      <c r="H322" s="23"/>
      <c r="I322" s="8" t="str">
        <f t="shared" si="66"/>
        <v/>
      </c>
      <c r="J322" s="2" t="str">
        <f t="shared" si="73"/>
        <v/>
      </c>
      <c r="K322" s="2" t="str">
        <f t="shared" si="67"/>
        <v/>
      </c>
      <c r="L322" s="2" t="str">
        <f t="shared" si="74"/>
        <v/>
      </c>
      <c r="M322" s="2" t="str">
        <f t="shared" si="79"/>
        <v/>
      </c>
      <c r="N322" s="2" t="str">
        <f t="shared" si="75"/>
        <v/>
      </c>
      <c r="O322" s="8" t="str">
        <f t="shared" si="76"/>
        <v/>
      </c>
      <c r="P322" s="8" t="str">
        <f t="shared" si="77"/>
        <v/>
      </c>
      <c r="Q322" s="40" t="str">
        <f t="shared" si="68"/>
        <v/>
      </c>
      <c r="R322" s="48" t="str">
        <f t="shared" si="78"/>
        <v/>
      </c>
      <c r="S322" s="8"/>
      <c r="U322" s="35">
        <f t="shared" si="69"/>
        <v>0</v>
      </c>
      <c r="V322" s="24">
        <f t="shared" si="70"/>
        <v>0</v>
      </c>
      <c r="W322" s="41">
        <f t="shared" si="81"/>
        <v>0</v>
      </c>
      <c r="X322" s="31"/>
      <c r="Y322" s="31"/>
      <c r="Z322" s="31"/>
      <c r="AA322" s="25">
        <f t="shared" si="71"/>
        <v>9.0359999999999996</v>
      </c>
      <c r="AB322" s="25">
        <f t="shared" si="72"/>
        <v>-184.49199999999999</v>
      </c>
      <c r="AD322" s="24">
        <f>IF(D322="M",IF(AG322&lt;78,BMILMS!$D$5*AG322^3+BMILMS!$E$5*AG322^2+BMILMS!$F$5*AG322+BMILMS!$G$5,IF(AG322&lt;150,BMILMS!$D$6*AG322^3+BMILMS!$E$6*AG322^2+BMILMS!$F$6*AG322+BMILMS!$G$6,BMILMS!$D$7*AG322^3+BMILMS!$E$7*AG322^2+BMILMS!$F$7*AG322+BMILMS!$G$7)),IF(AG322&lt;69,BMILMS!$D$9*AG322^3+BMILMS!$E$9*AG322^2+BMILMS!$F$9*AG322+BMILMS!$G$9,IF(AG322&lt;150,BMILMS!$D$10*AG322^3+BMILMS!$E$10*AG322^2+BMILMS!$F$10*AG322+BMILMS!$G$10,BMILMS!$D$11*AG322^3+BMILMS!$E$11*AG322^2+BMILMS!$F$11*AG322+BMILMS!$G$11)))</f>
        <v>0.79584630099999998</v>
      </c>
      <c r="AE322" s="24">
        <f>IF(D322="M",(IF(AG322&lt;2.5,BMILMS!$D$21*AG322^3+BMILMS!$E$21*AG322^2+BMILMS!$F$21*AG322+BMILMS!$G$21,IF(AG322&lt;9.5,BMILMS!$D$22*AG322^3+BMILMS!$E$22*AG322^2+BMILMS!$F$22*AG322+BMILMS!$G$22,IF(AG322&lt;26.75,BMILMS!$D$23*AG322^3+BMILMS!$E$23*AG322^2+BMILMS!$F$23*AG322+BMILMS!$G$23,IF(AG322&lt;90,BMILMS!$D$24*AG322^3+BMILMS!$E$24*AG322^2+BMILMS!$F$24*AG322+BMILMS!$G$24,BMILMS!$D$25*AG322^3+BMILMS!$E$25*AG322^2+BMILMS!$F$25*AG322+BMILMS!$G$25))))),(IF(AG322&lt;2.5,BMILMS!$D$27*AG322^3+BMILMS!$E$27*AG322^2+BMILMS!$F$27*AG322+BMILMS!$G$27,IF(AG322&lt;9.5,BMILMS!$D$28*AG322^3+BMILMS!$E$28*AG322^2+BMILMS!$F$28*AG322+BMILMS!$G$28,IF(AG322&lt;26.75,BMILMS!$D$29*AG322^3+BMILMS!$E$29*AG322^2+BMILMS!$F$29*AG322+BMILMS!$G$29,IF(AG322&lt;90,BMILMS!$D$30*AG322^3+BMILMS!$E$30*AG322^2+BMILMS!$F$30*AG322+BMILMS!$G$30,IF(AG322&lt;150,BMILMS!$D$31*AG322^3+BMILMS!$E$31*AG322^2+BMILMS!$F$31*AG322+BMILMS!$G$31,BMILMS!$D$32*AG322^3+BMILMS!$E$32*AG322^2+BMILMS!$F$32*AG322+BMILMS!$G$32)))))))</f>
        <v>12.568967990000001</v>
      </c>
      <c r="AF322" s="24">
        <f>IF(D322="M",(IF(AG322&lt;90,BMILMS!$D$14*AG322^3+BMILMS!$E$14*AG322^2+BMILMS!$F$14*AG322+BMILMS!$G$14,BMILMS!$D$15*AG322^3+BMILMS!$E$15*AG322^2+BMILMS!$F$15*AG322+BMILMS!$G$15)),(IF(AG322&lt;90,BMILMS!$D$17*AG322^3+BMILMS!$E$17*AG322^2+BMILMS!$F$17*AG322+BMILMS!$G$17,BMILMS!$D$18*AG322^3+BMILMS!$E$18*AG322^2+BMILMS!$F$18*AG322+BMILMS!$G$18)))</f>
        <v>8.8969350000000003E-2</v>
      </c>
      <c r="AG322" s="24">
        <f t="shared" si="80"/>
        <v>0</v>
      </c>
      <c r="AI322" s="38">
        <f>IF(D322="M",WeightSDS!P$5*$AG322^7+WeightSDS!Q$5*$AG322^6+WeightSDS!R$5*$AG322^5+WeightSDS!S$5*$AG322^4+WeightSDS!T$5*$AG322^3+WeightSDS!U$5*$AG322^2+WeightSDS!V$5*$AG322+WeightSDS!W$5,IF($AG322&lt;186,WeightSDS!P$8*$AG322^7+WeightSDS!Q$8*$AG322^6+WeightSDS!R$8*$AG322^5+WeightSDS!S$8*$AG322^4+WeightSDS!T$8*$AG322^3+WeightSDS!U$8*$AG322^2+WeightSDS!V$8*$AG322+WeightSDS!W$8,WeightSDS!$U$9-WeightSDS!$V$9*($AG322-WeightSDS!$W$9)))</f>
        <v>0.75407122999999998</v>
      </c>
      <c r="AJ322" s="24">
        <f>IF(D322="M",IF($AG322&lt;45,WeightSDS!M$23*$AG322^10+WeightSDS!N$23*$AG322^9+WeightSDS!O$23*$AG322^8+WeightSDS!P$23*$AG322^7+WeightSDS!Q$23*$AG322^6+WeightSDS!R$23*$AG322^5+WeightSDS!S$23*$AG322^4+WeightSDS!T$23*$AG322^3+WeightSDS!U$23*$AG322^2+WeightSDS!V$23*$AG322+WeightSDS!W$23,IF($AG322&lt;153,WeightSDS!M$25*$AG322^10+WeightSDS!N$25*$AG322^9+WeightSDS!O$25*$AG322^8+WeightSDS!P$25*$AG322^7+WeightSDS!Q$25*$AG322^6+WeightSDS!R$25*$AG322^5+WeightSDS!S$25*$AG322^4+WeightSDS!T$25*$AG322^3+WeightSDS!U$25*$AG322^2+WeightSDS!V$25*$AG322+WeightSDS!W$25,WeightSDS!M$27+WeightSDS!N$27/(1+EXP(WeightSDS!O$27+WeightSDS!P$27*$AG322)))),IF($AG322&lt;43.8,WeightSDS!M$29*$AG322^10+WeightSDS!N$29*$AG322^9+WeightSDS!O$29*$AG322^8+WeightSDS!P$29*$AG322^7+WeightSDS!Q$29*$AG322^6+WeightSDS!R$29*$AG322^5+WeightSDS!S$29*$AG322^4+WeightSDS!T$29*$AG322^3+WeightSDS!U$29*$AG322^2+WeightSDS!V$29*$AG322+WeightSDS!W$29-0.010431*(1-$AG322/210),IF($AG322&lt;123,WeightSDS!M$30*$AG322^10+WeightSDS!N$30*$AG322^9+WeightSDS!O$30*$AG322^8+WeightSDS!P$30*$AG322^7+WeightSDS!Q$30*$AG322^6+WeightSDS!R$30*$AG322^5+WeightSDS!S$30*$AG322^4+WeightSDS!T$30*$AG322^3+WeightSDS!U$30*$AG322^2+WeightSDS!V$30*$AG322+WeightSDS!W$30-0.010431*(1-1/$AG322),WeightSDS!M$32+WeightSDS!N$32/(1+EXP(WeightSDS!O$32+WeightSDS!P$32*$AG322))-0.010431*(1-$AG322/210))))</f>
        <v>2.9500001032655536</v>
      </c>
      <c r="AK322" s="24">
        <f>IF(D322="M",IF($AG322&lt;162,WeightSDS!P$12*$AG322^7+WeightSDS!Q$12*$AG322^6+WeightSDS!R$12*$AG322^5+WeightSDS!S$12*$AG322^4+WeightSDS!T$12*$AG322^3+WeightSDS!U$12*$AG322^2+WeightSDS!V$12*$AG322+WeightSDS!W$12,WeightSDS!P$14*$AG322^7+WeightSDS!Q$14*$AG322^6+WeightSDS!R$14*$AG322^5+WeightSDS!S$14*$AG322^4+WeightSDS!T$14*$AG322^3+WeightSDS!U$14*$AG322^2+WeightSDS!V$14*$AG322+WeightSDS!W$14),IF($AG322&lt;156,WeightSDS!O$17*$AG322^8+WeightSDS!P$17*$AG322^7+WeightSDS!Q$17*$AG322^6+WeightSDS!R$17*$AG322^5+WeightSDS!S$17*$AG322^4+WeightSDS!T$17*$AG322^3+WeightSDS!U$17*$AG322^2+WeightSDS!V$17*$AG322+WeightSDS!W$17,IF($AG322&lt;186,WeightSDS!$U$18+(WeightSDS!$V$18-WeightSDS!$U$18)/24*($AG322-186)+WeightSDS!$W$18*(-$AG322+186)^2-0.005,WeightSDS!$U$18+(WeightSDS!$V$18-WeightSDS!$U$18)/24*($AG322-186)-0.005)))</f>
        <v>0.14604529399999999</v>
      </c>
    </row>
    <row r="323" spans="1:37">
      <c r="A323" s="4"/>
      <c r="B323" s="21"/>
      <c r="C323" s="21"/>
      <c r="D323" s="21"/>
      <c r="E323" s="22"/>
      <c r="F323" s="22"/>
      <c r="G323" s="23"/>
      <c r="H323" s="23"/>
      <c r="I323" s="8" t="str">
        <f t="shared" ref="I323:I386" si="82">IF(COUNTA(D323,E323,F323,G323,H323)=5,IF(Q323&gt;17.583,"       *",(G323-(INDEX(IF(D323="F",Hfemalemean,Hmalemean),V323+1,U323+1)))/(INDEX(IF(D323="F",Hfemalesd,Hmalesd),V323+1,U323+1))),"")</f>
        <v/>
      </c>
      <c r="J323" s="2" t="str">
        <f t="shared" si="73"/>
        <v/>
      </c>
      <c r="K323" s="2" t="str">
        <f t="shared" ref="K323:K386" si="83">IF(COUNTA(D323,E323,F323,G323,H323)&lt;5,"",IF(Q323&lt;6,"       *",IF(Q323&gt;=17.583,"       *",(H323-G323*INDEX(IF(D323="F",muratafemale,muratamale),U323-4,1)-INDEX(IF(D323="F",muratafemale,muratamale),U323-4,2))/(G323*INDEX(IF(D323="F",muratafemale,muratamale),U323-4,1)+INDEX(IF(D323="F",muratafemale,muratamale),U323-4,2))*100)))</f>
        <v/>
      </c>
      <c r="L323" s="2" t="str">
        <f t="shared" si="74"/>
        <v/>
      </c>
      <c r="M323" s="2" t="str">
        <f t="shared" si="79"/>
        <v/>
      </c>
      <c r="N323" s="2" t="str">
        <f t="shared" si="75"/>
        <v/>
      </c>
      <c r="O323" s="8" t="str">
        <f t="shared" si="76"/>
        <v/>
      </c>
      <c r="P323" s="8" t="str">
        <f t="shared" si="77"/>
        <v/>
      </c>
      <c r="Q323" s="40" t="str">
        <f t="shared" ref="Q323:Q386" si="84">IF(COUNTA(D323,E323,F323,G323,H323)=5,W323,"")</f>
        <v/>
      </c>
      <c r="R323" s="48" t="str">
        <f t="shared" si="78"/>
        <v/>
      </c>
      <c r="S323" s="8"/>
      <c r="U323" s="35">
        <f t="shared" ref="U323:U386" si="85">DATEDIF(E323,F323,"Y")</f>
        <v>0</v>
      </c>
      <c r="V323" s="24">
        <f t="shared" ref="V323:V386" si="86">DATEDIF(E323,F323,"YM")</f>
        <v>0</v>
      </c>
      <c r="W323" s="41">
        <f t="shared" si="81"/>
        <v>0</v>
      </c>
      <c r="X323" s="31"/>
      <c r="Y323" s="31"/>
      <c r="Z323" s="31"/>
      <c r="AA323" s="25">
        <f t="shared" ref="AA323:AA386" si="87">IF(D323="M",2.06*10^-3*G323^2-0.1166*G323+6.5273,2.49*10^-3*G323^2-0.1858*G323+9.036)</f>
        <v>9.0359999999999996</v>
      </c>
      <c r="AB323" s="25">
        <f t="shared" ref="AB323:AB386" si="88">((G323/100)^3*INDEX(itoOI,IF(D323="M",0,3)+IF(G323&lt;140,1,IF(G323&lt;=149,2,3)),1)+(G323/100)^2*INDEX(itoOI,IF(D323="M",0,3)+IF(G323&lt;140,1,IF(G323&lt;=149,2,3)),2)+(G323/100)*INDEX(itoOI,IF(D323="M",0,3)+IF(G323&lt;140,1,IF(G323&lt;=149,2,3)),3)+INDEX(itoOI,IF(D323="M",0,3)+IF(G323&lt;140,1,IF(G323&lt;=149,2,3)),4))</f>
        <v>-184.49199999999999</v>
      </c>
      <c r="AD323" s="24">
        <f>IF(D323="M",IF(AG323&lt;78,BMILMS!$D$5*AG323^3+BMILMS!$E$5*AG323^2+BMILMS!$F$5*AG323+BMILMS!$G$5,IF(AG323&lt;150,BMILMS!$D$6*AG323^3+BMILMS!$E$6*AG323^2+BMILMS!$F$6*AG323+BMILMS!$G$6,BMILMS!$D$7*AG323^3+BMILMS!$E$7*AG323^2+BMILMS!$F$7*AG323+BMILMS!$G$7)),IF(AG323&lt;69,BMILMS!$D$9*AG323^3+BMILMS!$E$9*AG323^2+BMILMS!$F$9*AG323+BMILMS!$G$9,IF(AG323&lt;150,BMILMS!$D$10*AG323^3+BMILMS!$E$10*AG323^2+BMILMS!$F$10*AG323+BMILMS!$G$10,BMILMS!$D$11*AG323^3+BMILMS!$E$11*AG323^2+BMILMS!$F$11*AG323+BMILMS!$G$11)))</f>
        <v>0.79584630099999998</v>
      </c>
      <c r="AE323" s="24">
        <f>IF(D323="M",(IF(AG323&lt;2.5,BMILMS!$D$21*AG323^3+BMILMS!$E$21*AG323^2+BMILMS!$F$21*AG323+BMILMS!$G$21,IF(AG323&lt;9.5,BMILMS!$D$22*AG323^3+BMILMS!$E$22*AG323^2+BMILMS!$F$22*AG323+BMILMS!$G$22,IF(AG323&lt;26.75,BMILMS!$D$23*AG323^3+BMILMS!$E$23*AG323^2+BMILMS!$F$23*AG323+BMILMS!$G$23,IF(AG323&lt;90,BMILMS!$D$24*AG323^3+BMILMS!$E$24*AG323^2+BMILMS!$F$24*AG323+BMILMS!$G$24,BMILMS!$D$25*AG323^3+BMILMS!$E$25*AG323^2+BMILMS!$F$25*AG323+BMILMS!$G$25))))),(IF(AG323&lt;2.5,BMILMS!$D$27*AG323^3+BMILMS!$E$27*AG323^2+BMILMS!$F$27*AG323+BMILMS!$G$27,IF(AG323&lt;9.5,BMILMS!$D$28*AG323^3+BMILMS!$E$28*AG323^2+BMILMS!$F$28*AG323+BMILMS!$G$28,IF(AG323&lt;26.75,BMILMS!$D$29*AG323^3+BMILMS!$E$29*AG323^2+BMILMS!$F$29*AG323+BMILMS!$G$29,IF(AG323&lt;90,BMILMS!$D$30*AG323^3+BMILMS!$E$30*AG323^2+BMILMS!$F$30*AG323+BMILMS!$G$30,IF(AG323&lt;150,BMILMS!$D$31*AG323^3+BMILMS!$E$31*AG323^2+BMILMS!$F$31*AG323+BMILMS!$G$31,BMILMS!$D$32*AG323^3+BMILMS!$E$32*AG323^2+BMILMS!$F$32*AG323+BMILMS!$G$32)))))))</f>
        <v>12.568967990000001</v>
      </c>
      <c r="AF323" s="24">
        <f>IF(D323="M",(IF(AG323&lt;90,BMILMS!$D$14*AG323^3+BMILMS!$E$14*AG323^2+BMILMS!$F$14*AG323+BMILMS!$G$14,BMILMS!$D$15*AG323^3+BMILMS!$E$15*AG323^2+BMILMS!$F$15*AG323+BMILMS!$G$15)),(IF(AG323&lt;90,BMILMS!$D$17*AG323^3+BMILMS!$E$17*AG323^2+BMILMS!$F$17*AG323+BMILMS!$G$17,BMILMS!$D$18*AG323^3+BMILMS!$E$18*AG323^2+BMILMS!$F$18*AG323+BMILMS!$G$18)))</f>
        <v>8.8969350000000003E-2</v>
      </c>
      <c r="AG323" s="24">
        <f t="shared" si="80"/>
        <v>0</v>
      </c>
      <c r="AI323" s="38">
        <f>IF(D323="M",WeightSDS!P$5*$AG323^7+WeightSDS!Q$5*$AG323^6+WeightSDS!R$5*$AG323^5+WeightSDS!S$5*$AG323^4+WeightSDS!T$5*$AG323^3+WeightSDS!U$5*$AG323^2+WeightSDS!V$5*$AG323+WeightSDS!W$5,IF($AG323&lt;186,WeightSDS!P$8*$AG323^7+WeightSDS!Q$8*$AG323^6+WeightSDS!R$8*$AG323^5+WeightSDS!S$8*$AG323^4+WeightSDS!T$8*$AG323^3+WeightSDS!U$8*$AG323^2+WeightSDS!V$8*$AG323+WeightSDS!W$8,WeightSDS!$U$9-WeightSDS!$V$9*($AG323-WeightSDS!$W$9)))</f>
        <v>0.75407122999999998</v>
      </c>
      <c r="AJ323" s="24">
        <f>IF(D323="M",IF($AG323&lt;45,WeightSDS!M$23*$AG323^10+WeightSDS!N$23*$AG323^9+WeightSDS!O$23*$AG323^8+WeightSDS!P$23*$AG323^7+WeightSDS!Q$23*$AG323^6+WeightSDS!R$23*$AG323^5+WeightSDS!S$23*$AG323^4+WeightSDS!T$23*$AG323^3+WeightSDS!U$23*$AG323^2+WeightSDS!V$23*$AG323+WeightSDS!W$23,IF($AG323&lt;153,WeightSDS!M$25*$AG323^10+WeightSDS!N$25*$AG323^9+WeightSDS!O$25*$AG323^8+WeightSDS!P$25*$AG323^7+WeightSDS!Q$25*$AG323^6+WeightSDS!R$25*$AG323^5+WeightSDS!S$25*$AG323^4+WeightSDS!T$25*$AG323^3+WeightSDS!U$25*$AG323^2+WeightSDS!V$25*$AG323+WeightSDS!W$25,WeightSDS!M$27+WeightSDS!N$27/(1+EXP(WeightSDS!O$27+WeightSDS!P$27*$AG323)))),IF($AG323&lt;43.8,WeightSDS!M$29*$AG323^10+WeightSDS!N$29*$AG323^9+WeightSDS!O$29*$AG323^8+WeightSDS!P$29*$AG323^7+WeightSDS!Q$29*$AG323^6+WeightSDS!R$29*$AG323^5+WeightSDS!S$29*$AG323^4+WeightSDS!T$29*$AG323^3+WeightSDS!U$29*$AG323^2+WeightSDS!V$29*$AG323+WeightSDS!W$29-0.010431*(1-$AG323/210),IF($AG323&lt;123,WeightSDS!M$30*$AG323^10+WeightSDS!N$30*$AG323^9+WeightSDS!O$30*$AG323^8+WeightSDS!P$30*$AG323^7+WeightSDS!Q$30*$AG323^6+WeightSDS!R$30*$AG323^5+WeightSDS!S$30*$AG323^4+WeightSDS!T$30*$AG323^3+WeightSDS!U$30*$AG323^2+WeightSDS!V$30*$AG323+WeightSDS!W$30-0.010431*(1-1/$AG323),WeightSDS!M$32+WeightSDS!N$32/(1+EXP(WeightSDS!O$32+WeightSDS!P$32*$AG323))-0.010431*(1-$AG323/210))))</f>
        <v>2.9500001032655536</v>
      </c>
      <c r="AK323" s="24">
        <f>IF(D323="M",IF($AG323&lt;162,WeightSDS!P$12*$AG323^7+WeightSDS!Q$12*$AG323^6+WeightSDS!R$12*$AG323^5+WeightSDS!S$12*$AG323^4+WeightSDS!T$12*$AG323^3+WeightSDS!U$12*$AG323^2+WeightSDS!V$12*$AG323+WeightSDS!W$12,WeightSDS!P$14*$AG323^7+WeightSDS!Q$14*$AG323^6+WeightSDS!R$14*$AG323^5+WeightSDS!S$14*$AG323^4+WeightSDS!T$14*$AG323^3+WeightSDS!U$14*$AG323^2+WeightSDS!V$14*$AG323+WeightSDS!W$14),IF($AG323&lt;156,WeightSDS!O$17*$AG323^8+WeightSDS!P$17*$AG323^7+WeightSDS!Q$17*$AG323^6+WeightSDS!R$17*$AG323^5+WeightSDS!S$17*$AG323^4+WeightSDS!T$17*$AG323^3+WeightSDS!U$17*$AG323^2+WeightSDS!V$17*$AG323+WeightSDS!W$17,IF($AG323&lt;186,WeightSDS!$U$18+(WeightSDS!$V$18-WeightSDS!$U$18)/24*($AG323-186)+WeightSDS!$W$18*(-$AG323+186)^2-0.005,WeightSDS!$U$18+(WeightSDS!$V$18-WeightSDS!$U$18)/24*($AG323-186)-0.005)))</f>
        <v>0.14604529399999999</v>
      </c>
    </row>
    <row r="324" spans="1:37">
      <c r="A324" s="4"/>
      <c r="B324" s="21"/>
      <c r="C324" s="21"/>
      <c r="D324" s="21"/>
      <c r="E324" s="22"/>
      <c r="F324" s="22"/>
      <c r="G324" s="23"/>
      <c r="H324" s="23"/>
      <c r="I324" s="8" t="str">
        <f t="shared" si="82"/>
        <v/>
      </c>
      <c r="J324" s="2" t="str">
        <f t="shared" ref="J324:J387" si="89">IF(COUNTA(D324,E324,F324,G324,H324)=5,IF(Q324&lt;1,"       *",IF(Q324&gt;=6,"       *",IF(G324&gt;=120,"       *",IF(G324&lt;70,"       *",(H324-AA324)/AA324*100)))),"")</f>
        <v/>
      </c>
      <c r="K324" s="2" t="str">
        <f t="shared" si="83"/>
        <v/>
      </c>
      <c r="L324" s="2" t="str">
        <f t="shared" ref="L324:L387" si="90">IF(COUNTA(D324,E324,F324,G324,H324)=5,IF(G324&gt;=IF(D324="M",181,174),"*",IF(G324&lt;101,"       *",IF(Q324&lt;6,"       *",IF(Q324&gt;=17.583,"*",(H324-AB324)/AB324*100)))),"")</f>
        <v/>
      </c>
      <c r="M324" s="2" t="str">
        <f t="shared" si="79"/>
        <v/>
      </c>
      <c r="N324" s="2" t="str">
        <f t="shared" ref="N324:N387" si="91">IF(COUNTA(D324,E324,F324,G324,H324)=5,IF(Q324&gt;17.583,"   *",NORMSDIST(((M324/AE324)^(AD324)-1)/AD324/AF324)*100),"")</f>
        <v/>
      </c>
      <c r="O324" s="8" t="str">
        <f t="shared" ref="O324:O387" si="92">IF(COUNTA(D324,E324,F324,G324,H324)=5,IF(Q324&gt;17.583,"   *",((M324/AE324)^(AD324)-1)/AD324/AF324),"")</f>
        <v/>
      </c>
      <c r="P324" s="8" t="str">
        <f t="shared" ref="P324:P387" si="93">IF(COUNTA(D324,E324,F324,G324,H324)=5,IF(Q324&gt;17.583,"   *",((H324/AJ324)^(AI324)-1)/AI324/AK324),"")</f>
        <v/>
      </c>
      <c r="Q324" s="40" t="str">
        <f t="shared" si="84"/>
        <v/>
      </c>
      <c r="R324" s="48" t="str">
        <f t="shared" ref="R324:R387" si="94">IF(COUNTA(D324,E324,F324,G324,H324)=5,U324&amp;"歳"&amp;V324&amp;"か月","")</f>
        <v/>
      </c>
      <c r="S324" s="8"/>
      <c r="U324" s="35">
        <f t="shared" si="85"/>
        <v>0</v>
      </c>
      <c r="V324" s="24">
        <f t="shared" si="86"/>
        <v>0</v>
      </c>
      <c r="W324" s="41">
        <f t="shared" si="81"/>
        <v>0</v>
      </c>
      <c r="X324" s="31"/>
      <c r="Y324" s="31"/>
      <c r="Z324" s="31"/>
      <c r="AA324" s="25">
        <f t="shared" si="87"/>
        <v>9.0359999999999996</v>
      </c>
      <c r="AB324" s="25">
        <f t="shared" si="88"/>
        <v>-184.49199999999999</v>
      </c>
      <c r="AD324" s="24">
        <f>IF(D324="M",IF(AG324&lt;78,BMILMS!$D$5*AG324^3+BMILMS!$E$5*AG324^2+BMILMS!$F$5*AG324+BMILMS!$G$5,IF(AG324&lt;150,BMILMS!$D$6*AG324^3+BMILMS!$E$6*AG324^2+BMILMS!$F$6*AG324+BMILMS!$G$6,BMILMS!$D$7*AG324^3+BMILMS!$E$7*AG324^2+BMILMS!$F$7*AG324+BMILMS!$G$7)),IF(AG324&lt;69,BMILMS!$D$9*AG324^3+BMILMS!$E$9*AG324^2+BMILMS!$F$9*AG324+BMILMS!$G$9,IF(AG324&lt;150,BMILMS!$D$10*AG324^3+BMILMS!$E$10*AG324^2+BMILMS!$F$10*AG324+BMILMS!$G$10,BMILMS!$D$11*AG324^3+BMILMS!$E$11*AG324^2+BMILMS!$F$11*AG324+BMILMS!$G$11)))</f>
        <v>0.79584630099999998</v>
      </c>
      <c r="AE324" s="24">
        <f>IF(D324="M",(IF(AG324&lt;2.5,BMILMS!$D$21*AG324^3+BMILMS!$E$21*AG324^2+BMILMS!$F$21*AG324+BMILMS!$G$21,IF(AG324&lt;9.5,BMILMS!$D$22*AG324^3+BMILMS!$E$22*AG324^2+BMILMS!$F$22*AG324+BMILMS!$G$22,IF(AG324&lt;26.75,BMILMS!$D$23*AG324^3+BMILMS!$E$23*AG324^2+BMILMS!$F$23*AG324+BMILMS!$G$23,IF(AG324&lt;90,BMILMS!$D$24*AG324^3+BMILMS!$E$24*AG324^2+BMILMS!$F$24*AG324+BMILMS!$G$24,BMILMS!$D$25*AG324^3+BMILMS!$E$25*AG324^2+BMILMS!$F$25*AG324+BMILMS!$G$25))))),(IF(AG324&lt;2.5,BMILMS!$D$27*AG324^3+BMILMS!$E$27*AG324^2+BMILMS!$F$27*AG324+BMILMS!$G$27,IF(AG324&lt;9.5,BMILMS!$D$28*AG324^3+BMILMS!$E$28*AG324^2+BMILMS!$F$28*AG324+BMILMS!$G$28,IF(AG324&lt;26.75,BMILMS!$D$29*AG324^3+BMILMS!$E$29*AG324^2+BMILMS!$F$29*AG324+BMILMS!$G$29,IF(AG324&lt;90,BMILMS!$D$30*AG324^3+BMILMS!$E$30*AG324^2+BMILMS!$F$30*AG324+BMILMS!$G$30,IF(AG324&lt;150,BMILMS!$D$31*AG324^3+BMILMS!$E$31*AG324^2+BMILMS!$F$31*AG324+BMILMS!$G$31,BMILMS!$D$32*AG324^3+BMILMS!$E$32*AG324^2+BMILMS!$F$32*AG324+BMILMS!$G$32)))))))</f>
        <v>12.568967990000001</v>
      </c>
      <c r="AF324" s="24">
        <f>IF(D324="M",(IF(AG324&lt;90,BMILMS!$D$14*AG324^3+BMILMS!$E$14*AG324^2+BMILMS!$F$14*AG324+BMILMS!$G$14,BMILMS!$D$15*AG324^3+BMILMS!$E$15*AG324^2+BMILMS!$F$15*AG324+BMILMS!$G$15)),(IF(AG324&lt;90,BMILMS!$D$17*AG324^3+BMILMS!$E$17*AG324^2+BMILMS!$F$17*AG324+BMILMS!$G$17,BMILMS!$D$18*AG324^3+BMILMS!$E$18*AG324^2+BMILMS!$F$18*AG324+BMILMS!$G$18)))</f>
        <v>8.8969350000000003E-2</v>
      </c>
      <c r="AG324" s="24">
        <f t="shared" si="80"/>
        <v>0</v>
      </c>
      <c r="AI324" s="38">
        <f>IF(D324="M",WeightSDS!P$5*$AG324^7+WeightSDS!Q$5*$AG324^6+WeightSDS!R$5*$AG324^5+WeightSDS!S$5*$AG324^4+WeightSDS!T$5*$AG324^3+WeightSDS!U$5*$AG324^2+WeightSDS!V$5*$AG324+WeightSDS!W$5,IF($AG324&lt;186,WeightSDS!P$8*$AG324^7+WeightSDS!Q$8*$AG324^6+WeightSDS!R$8*$AG324^5+WeightSDS!S$8*$AG324^4+WeightSDS!T$8*$AG324^3+WeightSDS!U$8*$AG324^2+WeightSDS!V$8*$AG324+WeightSDS!W$8,WeightSDS!$U$9-WeightSDS!$V$9*($AG324-WeightSDS!$W$9)))</f>
        <v>0.75407122999999998</v>
      </c>
      <c r="AJ324" s="24">
        <f>IF(D324="M",IF($AG324&lt;45,WeightSDS!M$23*$AG324^10+WeightSDS!N$23*$AG324^9+WeightSDS!O$23*$AG324^8+WeightSDS!P$23*$AG324^7+WeightSDS!Q$23*$AG324^6+WeightSDS!R$23*$AG324^5+WeightSDS!S$23*$AG324^4+WeightSDS!T$23*$AG324^3+WeightSDS!U$23*$AG324^2+WeightSDS!V$23*$AG324+WeightSDS!W$23,IF($AG324&lt;153,WeightSDS!M$25*$AG324^10+WeightSDS!N$25*$AG324^9+WeightSDS!O$25*$AG324^8+WeightSDS!P$25*$AG324^7+WeightSDS!Q$25*$AG324^6+WeightSDS!R$25*$AG324^5+WeightSDS!S$25*$AG324^4+WeightSDS!T$25*$AG324^3+WeightSDS!U$25*$AG324^2+WeightSDS!V$25*$AG324+WeightSDS!W$25,WeightSDS!M$27+WeightSDS!N$27/(1+EXP(WeightSDS!O$27+WeightSDS!P$27*$AG324)))),IF($AG324&lt;43.8,WeightSDS!M$29*$AG324^10+WeightSDS!N$29*$AG324^9+WeightSDS!O$29*$AG324^8+WeightSDS!P$29*$AG324^7+WeightSDS!Q$29*$AG324^6+WeightSDS!R$29*$AG324^5+WeightSDS!S$29*$AG324^4+WeightSDS!T$29*$AG324^3+WeightSDS!U$29*$AG324^2+WeightSDS!V$29*$AG324+WeightSDS!W$29-0.010431*(1-$AG324/210),IF($AG324&lt;123,WeightSDS!M$30*$AG324^10+WeightSDS!N$30*$AG324^9+WeightSDS!O$30*$AG324^8+WeightSDS!P$30*$AG324^7+WeightSDS!Q$30*$AG324^6+WeightSDS!R$30*$AG324^5+WeightSDS!S$30*$AG324^4+WeightSDS!T$30*$AG324^3+WeightSDS!U$30*$AG324^2+WeightSDS!V$30*$AG324+WeightSDS!W$30-0.010431*(1-1/$AG324),WeightSDS!M$32+WeightSDS!N$32/(1+EXP(WeightSDS!O$32+WeightSDS!P$32*$AG324))-0.010431*(1-$AG324/210))))</f>
        <v>2.9500001032655536</v>
      </c>
      <c r="AK324" s="24">
        <f>IF(D324="M",IF($AG324&lt;162,WeightSDS!P$12*$AG324^7+WeightSDS!Q$12*$AG324^6+WeightSDS!R$12*$AG324^5+WeightSDS!S$12*$AG324^4+WeightSDS!T$12*$AG324^3+WeightSDS!U$12*$AG324^2+WeightSDS!V$12*$AG324+WeightSDS!W$12,WeightSDS!P$14*$AG324^7+WeightSDS!Q$14*$AG324^6+WeightSDS!R$14*$AG324^5+WeightSDS!S$14*$AG324^4+WeightSDS!T$14*$AG324^3+WeightSDS!U$14*$AG324^2+WeightSDS!V$14*$AG324+WeightSDS!W$14),IF($AG324&lt;156,WeightSDS!O$17*$AG324^8+WeightSDS!P$17*$AG324^7+WeightSDS!Q$17*$AG324^6+WeightSDS!R$17*$AG324^5+WeightSDS!S$17*$AG324^4+WeightSDS!T$17*$AG324^3+WeightSDS!U$17*$AG324^2+WeightSDS!V$17*$AG324+WeightSDS!W$17,IF($AG324&lt;186,WeightSDS!$U$18+(WeightSDS!$V$18-WeightSDS!$U$18)/24*($AG324-186)+WeightSDS!$W$18*(-$AG324+186)^2-0.005,WeightSDS!$U$18+(WeightSDS!$V$18-WeightSDS!$U$18)/24*($AG324-186)-0.005)))</f>
        <v>0.14604529399999999</v>
      </c>
    </row>
    <row r="325" spans="1:37">
      <c r="A325" s="4"/>
      <c r="B325" s="21"/>
      <c r="C325" s="21"/>
      <c r="D325" s="21"/>
      <c r="E325" s="22"/>
      <c r="F325" s="22"/>
      <c r="G325" s="23"/>
      <c r="H325" s="23"/>
      <c r="I325" s="8" t="str">
        <f t="shared" si="82"/>
        <v/>
      </c>
      <c r="J325" s="2" t="str">
        <f t="shared" si="89"/>
        <v/>
      </c>
      <c r="K325" s="2" t="str">
        <f t="shared" si="83"/>
        <v/>
      </c>
      <c r="L325" s="2" t="str">
        <f t="shared" si="90"/>
        <v/>
      </c>
      <c r="M325" s="2" t="str">
        <f t="shared" si="79"/>
        <v/>
      </c>
      <c r="N325" s="2" t="str">
        <f t="shared" si="91"/>
        <v/>
      </c>
      <c r="O325" s="8" t="str">
        <f t="shared" si="92"/>
        <v/>
      </c>
      <c r="P325" s="8" t="str">
        <f t="shared" si="93"/>
        <v/>
      </c>
      <c r="Q325" s="40" t="str">
        <f t="shared" si="84"/>
        <v/>
      </c>
      <c r="R325" s="48" t="str">
        <f t="shared" si="94"/>
        <v/>
      </c>
      <c r="S325" s="8"/>
      <c r="U325" s="35">
        <f t="shared" si="85"/>
        <v>0</v>
      </c>
      <c r="V325" s="24">
        <f t="shared" si="86"/>
        <v>0</v>
      </c>
      <c r="W325" s="41">
        <f t="shared" si="81"/>
        <v>0</v>
      </c>
      <c r="X325" s="31"/>
      <c r="Y325" s="31"/>
      <c r="Z325" s="31"/>
      <c r="AA325" s="25">
        <f t="shared" si="87"/>
        <v>9.0359999999999996</v>
      </c>
      <c r="AB325" s="25">
        <f t="shared" si="88"/>
        <v>-184.49199999999999</v>
      </c>
      <c r="AD325" s="24">
        <f>IF(D325="M",IF(AG325&lt;78,BMILMS!$D$5*AG325^3+BMILMS!$E$5*AG325^2+BMILMS!$F$5*AG325+BMILMS!$G$5,IF(AG325&lt;150,BMILMS!$D$6*AG325^3+BMILMS!$E$6*AG325^2+BMILMS!$F$6*AG325+BMILMS!$G$6,BMILMS!$D$7*AG325^3+BMILMS!$E$7*AG325^2+BMILMS!$F$7*AG325+BMILMS!$G$7)),IF(AG325&lt;69,BMILMS!$D$9*AG325^3+BMILMS!$E$9*AG325^2+BMILMS!$F$9*AG325+BMILMS!$G$9,IF(AG325&lt;150,BMILMS!$D$10*AG325^3+BMILMS!$E$10*AG325^2+BMILMS!$F$10*AG325+BMILMS!$G$10,BMILMS!$D$11*AG325^3+BMILMS!$E$11*AG325^2+BMILMS!$F$11*AG325+BMILMS!$G$11)))</f>
        <v>0.79584630099999998</v>
      </c>
      <c r="AE325" s="24">
        <f>IF(D325="M",(IF(AG325&lt;2.5,BMILMS!$D$21*AG325^3+BMILMS!$E$21*AG325^2+BMILMS!$F$21*AG325+BMILMS!$G$21,IF(AG325&lt;9.5,BMILMS!$D$22*AG325^3+BMILMS!$E$22*AG325^2+BMILMS!$F$22*AG325+BMILMS!$G$22,IF(AG325&lt;26.75,BMILMS!$D$23*AG325^3+BMILMS!$E$23*AG325^2+BMILMS!$F$23*AG325+BMILMS!$G$23,IF(AG325&lt;90,BMILMS!$D$24*AG325^3+BMILMS!$E$24*AG325^2+BMILMS!$F$24*AG325+BMILMS!$G$24,BMILMS!$D$25*AG325^3+BMILMS!$E$25*AG325^2+BMILMS!$F$25*AG325+BMILMS!$G$25))))),(IF(AG325&lt;2.5,BMILMS!$D$27*AG325^3+BMILMS!$E$27*AG325^2+BMILMS!$F$27*AG325+BMILMS!$G$27,IF(AG325&lt;9.5,BMILMS!$D$28*AG325^3+BMILMS!$E$28*AG325^2+BMILMS!$F$28*AG325+BMILMS!$G$28,IF(AG325&lt;26.75,BMILMS!$D$29*AG325^3+BMILMS!$E$29*AG325^2+BMILMS!$F$29*AG325+BMILMS!$G$29,IF(AG325&lt;90,BMILMS!$D$30*AG325^3+BMILMS!$E$30*AG325^2+BMILMS!$F$30*AG325+BMILMS!$G$30,IF(AG325&lt;150,BMILMS!$D$31*AG325^3+BMILMS!$E$31*AG325^2+BMILMS!$F$31*AG325+BMILMS!$G$31,BMILMS!$D$32*AG325^3+BMILMS!$E$32*AG325^2+BMILMS!$F$32*AG325+BMILMS!$G$32)))))))</f>
        <v>12.568967990000001</v>
      </c>
      <c r="AF325" s="24">
        <f>IF(D325="M",(IF(AG325&lt;90,BMILMS!$D$14*AG325^3+BMILMS!$E$14*AG325^2+BMILMS!$F$14*AG325+BMILMS!$G$14,BMILMS!$D$15*AG325^3+BMILMS!$E$15*AG325^2+BMILMS!$F$15*AG325+BMILMS!$G$15)),(IF(AG325&lt;90,BMILMS!$D$17*AG325^3+BMILMS!$E$17*AG325^2+BMILMS!$F$17*AG325+BMILMS!$G$17,BMILMS!$D$18*AG325^3+BMILMS!$E$18*AG325^2+BMILMS!$F$18*AG325+BMILMS!$G$18)))</f>
        <v>8.8969350000000003E-2</v>
      </c>
      <c r="AG325" s="24">
        <f t="shared" si="80"/>
        <v>0</v>
      </c>
      <c r="AI325" s="38">
        <f>IF(D325="M",WeightSDS!P$5*$AG325^7+WeightSDS!Q$5*$AG325^6+WeightSDS!R$5*$AG325^5+WeightSDS!S$5*$AG325^4+WeightSDS!T$5*$AG325^3+WeightSDS!U$5*$AG325^2+WeightSDS!V$5*$AG325+WeightSDS!W$5,IF($AG325&lt;186,WeightSDS!P$8*$AG325^7+WeightSDS!Q$8*$AG325^6+WeightSDS!R$8*$AG325^5+WeightSDS!S$8*$AG325^4+WeightSDS!T$8*$AG325^3+WeightSDS!U$8*$AG325^2+WeightSDS!V$8*$AG325+WeightSDS!W$8,WeightSDS!$U$9-WeightSDS!$V$9*($AG325-WeightSDS!$W$9)))</f>
        <v>0.75407122999999998</v>
      </c>
      <c r="AJ325" s="24">
        <f>IF(D325="M",IF($AG325&lt;45,WeightSDS!M$23*$AG325^10+WeightSDS!N$23*$AG325^9+WeightSDS!O$23*$AG325^8+WeightSDS!P$23*$AG325^7+WeightSDS!Q$23*$AG325^6+WeightSDS!R$23*$AG325^5+WeightSDS!S$23*$AG325^4+WeightSDS!T$23*$AG325^3+WeightSDS!U$23*$AG325^2+WeightSDS!V$23*$AG325+WeightSDS!W$23,IF($AG325&lt;153,WeightSDS!M$25*$AG325^10+WeightSDS!N$25*$AG325^9+WeightSDS!O$25*$AG325^8+WeightSDS!P$25*$AG325^7+WeightSDS!Q$25*$AG325^6+WeightSDS!R$25*$AG325^5+WeightSDS!S$25*$AG325^4+WeightSDS!T$25*$AG325^3+WeightSDS!U$25*$AG325^2+WeightSDS!V$25*$AG325+WeightSDS!W$25,WeightSDS!M$27+WeightSDS!N$27/(1+EXP(WeightSDS!O$27+WeightSDS!P$27*$AG325)))),IF($AG325&lt;43.8,WeightSDS!M$29*$AG325^10+WeightSDS!N$29*$AG325^9+WeightSDS!O$29*$AG325^8+WeightSDS!P$29*$AG325^7+WeightSDS!Q$29*$AG325^6+WeightSDS!R$29*$AG325^5+WeightSDS!S$29*$AG325^4+WeightSDS!T$29*$AG325^3+WeightSDS!U$29*$AG325^2+WeightSDS!V$29*$AG325+WeightSDS!W$29-0.010431*(1-$AG325/210),IF($AG325&lt;123,WeightSDS!M$30*$AG325^10+WeightSDS!N$30*$AG325^9+WeightSDS!O$30*$AG325^8+WeightSDS!P$30*$AG325^7+WeightSDS!Q$30*$AG325^6+WeightSDS!R$30*$AG325^5+WeightSDS!S$30*$AG325^4+WeightSDS!T$30*$AG325^3+WeightSDS!U$30*$AG325^2+WeightSDS!V$30*$AG325+WeightSDS!W$30-0.010431*(1-1/$AG325),WeightSDS!M$32+WeightSDS!N$32/(1+EXP(WeightSDS!O$32+WeightSDS!P$32*$AG325))-0.010431*(1-$AG325/210))))</f>
        <v>2.9500001032655536</v>
      </c>
      <c r="AK325" s="24">
        <f>IF(D325="M",IF($AG325&lt;162,WeightSDS!P$12*$AG325^7+WeightSDS!Q$12*$AG325^6+WeightSDS!R$12*$AG325^5+WeightSDS!S$12*$AG325^4+WeightSDS!T$12*$AG325^3+WeightSDS!U$12*$AG325^2+WeightSDS!V$12*$AG325+WeightSDS!W$12,WeightSDS!P$14*$AG325^7+WeightSDS!Q$14*$AG325^6+WeightSDS!R$14*$AG325^5+WeightSDS!S$14*$AG325^4+WeightSDS!T$14*$AG325^3+WeightSDS!U$14*$AG325^2+WeightSDS!V$14*$AG325+WeightSDS!W$14),IF($AG325&lt;156,WeightSDS!O$17*$AG325^8+WeightSDS!P$17*$AG325^7+WeightSDS!Q$17*$AG325^6+WeightSDS!R$17*$AG325^5+WeightSDS!S$17*$AG325^4+WeightSDS!T$17*$AG325^3+WeightSDS!U$17*$AG325^2+WeightSDS!V$17*$AG325+WeightSDS!W$17,IF($AG325&lt;186,WeightSDS!$U$18+(WeightSDS!$V$18-WeightSDS!$U$18)/24*($AG325-186)+WeightSDS!$W$18*(-$AG325+186)^2-0.005,WeightSDS!$U$18+(WeightSDS!$V$18-WeightSDS!$U$18)/24*($AG325-186)-0.005)))</f>
        <v>0.14604529399999999</v>
      </c>
    </row>
    <row r="326" spans="1:37">
      <c r="A326" s="4"/>
      <c r="B326" s="21"/>
      <c r="C326" s="21"/>
      <c r="D326" s="21"/>
      <c r="E326" s="22"/>
      <c r="F326" s="22"/>
      <c r="G326" s="23"/>
      <c r="H326" s="23"/>
      <c r="I326" s="8" t="str">
        <f t="shared" si="82"/>
        <v/>
      </c>
      <c r="J326" s="2" t="str">
        <f t="shared" si="89"/>
        <v/>
      </c>
      <c r="K326" s="2" t="str">
        <f t="shared" si="83"/>
        <v/>
      </c>
      <c r="L326" s="2" t="str">
        <f t="shared" si="90"/>
        <v/>
      </c>
      <c r="M326" s="2" t="str">
        <f t="shared" si="79"/>
        <v/>
      </c>
      <c r="N326" s="2" t="str">
        <f t="shared" si="91"/>
        <v/>
      </c>
      <c r="O326" s="8" t="str">
        <f t="shared" si="92"/>
        <v/>
      </c>
      <c r="P326" s="8" t="str">
        <f t="shared" si="93"/>
        <v/>
      </c>
      <c r="Q326" s="40" t="str">
        <f t="shared" si="84"/>
        <v/>
      </c>
      <c r="R326" s="48" t="str">
        <f t="shared" si="94"/>
        <v/>
      </c>
      <c r="S326" s="8"/>
      <c r="U326" s="35">
        <f t="shared" si="85"/>
        <v>0</v>
      </c>
      <c r="V326" s="24">
        <f t="shared" si="86"/>
        <v>0</v>
      </c>
      <c r="W326" s="41">
        <f t="shared" si="81"/>
        <v>0</v>
      </c>
      <c r="X326" s="31"/>
      <c r="Y326" s="31"/>
      <c r="Z326" s="31"/>
      <c r="AA326" s="25">
        <f t="shared" si="87"/>
        <v>9.0359999999999996</v>
      </c>
      <c r="AB326" s="25">
        <f t="shared" si="88"/>
        <v>-184.49199999999999</v>
      </c>
      <c r="AD326" s="24">
        <f>IF(D326="M",IF(AG326&lt;78,BMILMS!$D$5*AG326^3+BMILMS!$E$5*AG326^2+BMILMS!$F$5*AG326+BMILMS!$G$5,IF(AG326&lt;150,BMILMS!$D$6*AG326^3+BMILMS!$E$6*AG326^2+BMILMS!$F$6*AG326+BMILMS!$G$6,BMILMS!$D$7*AG326^3+BMILMS!$E$7*AG326^2+BMILMS!$F$7*AG326+BMILMS!$G$7)),IF(AG326&lt;69,BMILMS!$D$9*AG326^3+BMILMS!$E$9*AG326^2+BMILMS!$F$9*AG326+BMILMS!$G$9,IF(AG326&lt;150,BMILMS!$D$10*AG326^3+BMILMS!$E$10*AG326^2+BMILMS!$F$10*AG326+BMILMS!$G$10,BMILMS!$D$11*AG326^3+BMILMS!$E$11*AG326^2+BMILMS!$F$11*AG326+BMILMS!$G$11)))</f>
        <v>0.79584630099999998</v>
      </c>
      <c r="AE326" s="24">
        <f>IF(D326="M",(IF(AG326&lt;2.5,BMILMS!$D$21*AG326^3+BMILMS!$E$21*AG326^2+BMILMS!$F$21*AG326+BMILMS!$G$21,IF(AG326&lt;9.5,BMILMS!$D$22*AG326^3+BMILMS!$E$22*AG326^2+BMILMS!$F$22*AG326+BMILMS!$G$22,IF(AG326&lt;26.75,BMILMS!$D$23*AG326^3+BMILMS!$E$23*AG326^2+BMILMS!$F$23*AG326+BMILMS!$G$23,IF(AG326&lt;90,BMILMS!$D$24*AG326^3+BMILMS!$E$24*AG326^2+BMILMS!$F$24*AG326+BMILMS!$G$24,BMILMS!$D$25*AG326^3+BMILMS!$E$25*AG326^2+BMILMS!$F$25*AG326+BMILMS!$G$25))))),(IF(AG326&lt;2.5,BMILMS!$D$27*AG326^3+BMILMS!$E$27*AG326^2+BMILMS!$F$27*AG326+BMILMS!$G$27,IF(AG326&lt;9.5,BMILMS!$D$28*AG326^3+BMILMS!$E$28*AG326^2+BMILMS!$F$28*AG326+BMILMS!$G$28,IF(AG326&lt;26.75,BMILMS!$D$29*AG326^3+BMILMS!$E$29*AG326^2+BMILMS!$F$29*AG326+BMILMS!$G$29,IF(AG326&lt;90,BMILMS!$D$30*AG326^3+BMILMS!$E$30*AG326^2+BMILMS!$F$30*AG326+BMILMS!$G$30,IF(AG326&lt;150,BMILMS!$D$31*AG326^3+BMILMS!$E$31*AG326^2+BMILMS!$F$31*AG326+BMILMS!$G$31,BMILMS!$D$32*AG326^3+BMILMS!$E$32*AG326^2+BMILMS!$F$32*AG326+BMILMS!$G$32)))))))</f>
        <v>12.568967990000001</v>
      </c>
      <c r="AF326" s="24">
        <f>IF(D326="M",(IF(AG326&lt;90,BMILMS!$D$14*AG326^3+BMILMS!$E$14*AG326^2+BMILMS!$F$14*AG326+BMILMS!$G$14,BMILMS!$D$15*AG326^3+BMILMS!$E$15*AG326^2+BMILMS!$F$15*AG326+BMILMS!$G$15)),(IF(AG326&lt;90,BMILMS!$D$17*AG326^3+BMILMS!$E$17*AG326^2+BMILMS!$F$17*AG326+BMILMS!$G$17,BMILMS!$D$18*AG326^3+BMILMS!$E$18*AG326^2+BMILMS!$F$18*AG326+BMILMS!$G$18)))</f>
        <v>8.8969350000000003E-2</v>
      </c>
      <c r="AG326" s="24">
        <f t="shared" si="80"/>
        <v>0</v>
      </c>
      <c r="AI326" s="38">
        <f>IF(D326="M",WeightSDS!P$5*$AG326^7+WeightSDS!Q$5*$AG326^6+WeightSDS!R$5*$AG326^5+WeightSDS!S$5*$AG326^4+WeightSDS!T$5*$AG326^3+WeightSDS!U$5*$AG326^2+WeightSDS!V$5*$AG326+WeightSDS!W$5,IF($AG326&lt;186,WeightSDS!P$8*$AG326^7+WeightSDS!Q$8*$AG326^6+WeightSDS!R$8*$AG326^5+WeightSDS!S$8*$AG326^4+WeightSDS!T$8*$AG326^3+WeightSDS!U$8*$AG326^2+WeightSDS!V$8*$AG326+WeightSDS!W$8,WeightSDS!$U$9-WeightSDS!$V$9*($AG326-WeightSDS!$W$9)))</f>
        <v>0.75407122999999998</v>
      </c>
      <c r="AJ326" s="24">
        <f>IF(D326="M",IF($AG326&lt;45,WeightSDS!M$23*$AG326^10+WeightSDS!N$23*$AG326^9+WeightSDS!O$23*$AG326^8+WeightSDS!P$23*$AG326^7+WeightSDS!Q$23*$AG326^6+WeightSDS!R$23*$AG326^5+WeightSDS!S$23*$AG326^4+WeightSDS!T$23*$AG326^3+WeightSDS!U$23*$AG326^2+WeightSDS!V$23*$AG326+WeightSDS!W$23,IF($AG326&lt;153,WeightSDS!M$25*$AG326^10+WeightSDS!N$25*$AG326^9+WeightSDS!O$25*$AG326^8+WeightSDS!P$25*$AG326^7+WeightSDS!Q$25*$AG326^6+WeightSDS!R$25*$AG326^5+WeightSDS!S$25*$AG326^4+WeightSDS!T$25*$AG326^3+WeightSDS!U$25*$AG326^2+WeightSDS!V$25*$AG326+WeightSDS!W$25,WeightSDS!M$27+WeightSDS!N$27/(1+EXP(WeightSDS!O$27+WeightSDS!P$27*$AG326)))),IF($AG326&lt;43.8,WeightSDS!M$29*$AG326^10+WeightSDS!N$29*$AG326^9+WeightSDS!O$29*$AG326^8+WeightSDS!P$29*$AG326^7+WeightSDS!Q$29*$AG326^6+WeightSDS!R$29*$AG326^5+WeightSDS!S$29*$AG326^4+WeightSDS!T$29*$AG326^3+WeightSDS!U$29*$AG326^2+WeightSDS!V$29*$AG326+WeightSDS!W$29-0.010431*(1-$AG326/210),IF($AG326&lt;123,WeightSDS!M$30*$AG326^10+WeightSDS!N$30*$AG326^9+WeightSDS!O$30*$AG326^8+WeightSDS!P$30*$AG326^7+WeightSDS!Q$30*$AG326^6+WeightSDS!R$30*$AG326^5+WeightSDS!S$30*$AG326^4+WeightSDS!T$30*$AG326^3+WeightSDS!U$30*$AG326^2+WeightSDS!V$30*$AG326+WeightSDS!W$30-0.010431*(1-1/$AG326),WeightSDS!M$32+WeightSDS!N$32/(1+EXP(WeightSDS!O$32+WeightSDS!P$32*$AG326))-0.010431*(1-$AG326/210))))</f>
        <v>2.9500001032655536</v>
      </c>
      <c r="AK326" s="24">
        <f>IF(D326="M",IF($AG326&lt;162,WeightSDS!P$12*$AG326^7+WeightSDS!Q$12*$AG326^6+WeightSDS!R$12*$AG326^5+WeightSDS!S$12*$AG326^4+WeightSDS!T$12*$AG326^3+WeightSDS!U$12*$AG326^2+WeightSDS!V$12*$AG326+WeightSDS!W$12,WeightSDS!P$14*$AG326^7+WeightSDS!Q$14*$AG326^6+WeightSDS!R$14*$AG326^5+WeightSDS!S$14*$AG326^4+WeightSDS!T$14*$AG326^3+WeightSDS!U$14*$AG326^2+WeightSDS!V$14*$AG326+WeightSDS!W$14),IF($AG326&lt;156,WeightSDS!O$17*$AG326^8+WeightSDS!P$17*$AG326^7+WeightSDS!Q$17*$AG326^6+WeightSDS!R$17*$AG326^5+WeightSDS!S$17*$AG326^4+WeightSDS!T$17*$AG326^3+WeightSDS!U$17*$AG326^2+WeightSDS!V$17*$AG326+WeightSDS!W$17,IF($AG326&lt;186,WeightSDS!$U$18+(WeightSDS!$V$18-WeightSDS!$U$18)/24*($AG326-186)+WeightSDS!$W$18*(-$AG326+186)^2-0.005,WeightSDS!$U$18+(WeightSDS!$V$18-WeightSDS!$U$18)/24*($AG326-186)-0.005)))</f>
        <v>0.14604529399999999</v>
      </c>
    </row>
    <row r="327" spans="1:37">
      <c r="A327" s="4"/>
      <c r="B327" s="21"/>
      <c r="C327" s="21"/>
      <c r="D327" s="21"/>
      <c r="E327" s="22"/>
      <c r="F327" s="22"/>
      <c r="G327" s="23"/>
      <c r="H327" s="23"/>
      <c r="I327" s="8" t="str">
        <f t="shared" si="82"/>
        <v/>
      </c>
      <c r="J327" s="2" t="str">
        <f t="shared" si="89"/>
        <v/>
      </c>
      <c r="K327" s="2" t="str">
        <f t="shared" si="83"/>
        <v/>
      </c>
      <c r="L327" s="2" t="str">
        <f t="shared" si="90"/>
        <v/>
      </c>
      <c r="M327" s="2" t="str">
        <f t="shared" si="79"/>
        <v/>
      </c>
      <c r="N327" s="2" t="str">
        <f t="shared" si="91"/>
        <v/>
      </c>
      <c r="O327" s="8" t="str">
        <f t="shared" si="92"/>
        <v/>
      </c>
      <c r="P327" s="8" t="str">
        <f t="shared" si="93"/>
        <v/>
      </c>
      <c r="Q327" s="40" t="str">
        <f t="shared" si="84"/>
        <v/>
      </c>
      <c r="R327" s="48" t="str">
        <f t="shared" si="94"/>
        <v/>
      </c>
      <c r="S327" s="8"/>
      <c r="U327" s="35">
        <f t="shared" si="85"/>
        <v>0</v>
      </c>
      <c r="V327" s="24">
        <f t="shared" si="86"/>
        <v>0</v>
      </c>
      <c r="W327" s="41">
        <f t="shared" si="81"/>
        <v>0</v>
      </c>
      <c r="X327" s="31"/>
      <c r="Y327" s="31"/>
      <c r="Z327" s="31"/>
      <c r="AA327" s="25">
        <f t="shared" si="87"/>
        <v>9.0359999999999996</v>
      </c>
      <c r="AB327" s="25">
        <f t="shared" si="88"/>
        <v>-184.49199999999999</v>
      </c>
      <c r="AD327" s="24">
        <f>IF(D327="M",IF(AG327&lt;78,BMILMS!$D$5*AG327^3+BMILMS!$E$5*AG327^2+BMILMS!$F$5*AG327+BMILMS!$G$5,IF(AG327&lt;150,BMILMS!$D$6*AG327^3+BMILMS!$E$6*AG327^2+BMILMS!$F$6*AG327+BMILMS!$G$6,BMILMS!$D$7*AG327^3+BMILMS!$E$7*AG327^2+BMILMS!$F$7*AG327+BMILMS!$G$7)),IF(AG327&lt;69,BMILMS!$D$9*AG327^3+BMILMS!$E$9*AG327^2+BMILMS!$F$9*AG327+BMILMS!$G$9,IF(AG327&lt;150,BMILMS!$D$10*AG327^3+BMILMS!$E$10*AG327^2+BMILMS!$F$10*AG327+BMILMS!$G$10,BMILMS!$D$11*AG327^3+BMILMS!$E$11*AG327^2+BMILMS!$F$11*AG327+BMILMS!$G$11)))</f>
        <v>0.79584630099999998</v>
      </c>
      <c r="AE327" s="24">
        <f>IF(D327="M",(IF(AG327&lt;2.5,BMILMS!$D$21*AG327^3+BMILMS!$E$21*AG327^2+BMILMS!$F$21*AG327+BMILMS!$G$21,IF(AG327&lt;9.5,BMILMS!$D$22*AG327^3+BMILMS!$E$22*AG327^2+BMILMS!$F$22*AG327+BMILMS!$G$22,IF(AG327&lt;26.75,BMILMS!$D$23*AG327^3+BMILMS!$E$23*AG327^2+BMILMS!$F$23*AG327+BMILMS!$G$23,IF(AG327&lt;90,BMILMS!$D$24*AG327^3+BMILMS!$E$24*AG327^2+BMILMS!$F$24*AG327+BMILMS!$G$24,BMILMS!$D$25*AG327^3+BMILMS!$E$25*AG327^2+BMILMS!$F$25*AG327+BMILMS!$G$25))))),(IF(AG327&lt;2.5,BMILMS!$D$27*AG327^3+BMILMS!$E$27*AG327^2+BMILMS!$F$27*AG327+BMILMS!$G$27,IF(AG327&lt;9.5,BMILMS!$D$28*AG327^3+BMILMS!$E$28*AG327^2+BMILMS!$F$28*AG327+BMILMS!$G$28,IF(AG327&lt;26.75,BMILMS!$D$29*AG327^3+BMILMS!$E$29*AG327^2+BMILMS!$F$29*AG327+BMILMS!$G$29,IF(AG327&lt;90,BMILMS!$D$30*AG327^3+BMILMS!$E$30*AG327^2+BMILMS!$F$30*AG327+BMILMS!$G$30,IF(AG327&lt;150,BMILMS!$D$31*AG327^3+BMILMS!$E$31*AG327^2+BMILMS!$F$31*AG327+BMILMS!$G$31,BMILMS!$D$32*AG327^3+BMILMS!$E$32*AG327^2+BMILMS!$F$32*AG327+BMILMS!$G$32)))))))</f>
        <v>12.568967990000001</v>
      </c>
      <c r="AF327" s="24">
        <f>IF(D327="M",(IF(AG327&lt;90,BMILMS!$D$14*AG327^3+BMILMS!$E$14*AG327^2+BMILMS!$F$14*AG327+BMILMS!$G$14,BMILMS!$D$15*AG327^3+BMILMS!$E$15*AG327^2+BMILMS!$F$15*AG327+BMILMS!$G$15)),(IF(AG327&lt;90,BMILMS!$D$17*AG327^3+BMILMS!$E$17*AG327^2+BMILMS!$F$17*AG327+BMILMS!$G$17,BMILMS!$D$18*AG327^3+BMILMS!$E$18*AG327^2+BMILMS!$F$18*AG327+BMILMS!$G$18)))</f>
        <v>8.8969350000000003E-2</v>
      </c>
      <c r="AG327" s="24">
        <f t="shared" si="80"/>
        <v>0</v>
      </c>
      <c r="AI327" s="38">
        <f>IF(D327="M",WeightSDS!P$5*$AG327^7+WeightSDS!Q$5*$AG327^6+WeightSDS!R$5*$AG327^5+WeightSDS!S$5*$AG327^4+WeightSDS!T$5*$AG327^3+WeightSDS!U$5*$AG327^2+WeightSDS!V$5*$AG327+WeightSDS!W$5,IF($AG327&lt;186,WeightSDS!P$8*$AG327^7+WeightSDS!Q$8*$AG327^6+WeightSDS!R$8*$AG327^5+WeightSDS!S$8*$AG327^4+WeightSDS!T$8*$AG327^3+WeightSDS!U$8*$AG327^2+WeightSDS!V$8*$AG327+WeightSDS!W$8,WeightSDS!$U$9-WeightSDS!$V$9*($AG327-WeightSDS!$W$9)))</f>
        <v>0.75407122999999998</v>
      </c>
      <c r="AJ327" s="24">
        <f>IF(D327="M",IF($AG327&lt;45,WeightSDS!M$23*$AG327^10+WeightSDS!N$23*$AG327^9+WeightSDS!O$23*$AG327^8+WeightSDS!P$23*$AG327^7+WeightSDS!Q$23*$AG327^6+WeightSDS!R$23*$AG327^5+WeightSDS!S$23*$AG327^4+WeightSDS!T$23*$AG327^3+WeightSDS!U$23*$AG327^2+WeightSDS!V$23*$AG327+WeightSDS!W$23,IF($AG327&lt;153,WeightSDS!M$25*$AG327^10+WeightSDS!N$25*$AG327^9+WeightSDS!O$25*$AG327^8+WeightSDS!P$25*$AG327^7+WeightSDS!Q$25*$AG327^6+WeightSDS!R$25*$AG327^5+WeightSDS!S$25*$AG327^4+WeightSDS!T$25*$AG327^3+WeightSDS!U$25*$AG327^2+WeightSDS!V$25*$AG327+WeightSDS!W$25,WeightSDS!M$27+WeightSDS!N$27/(1+EXP(WeightSDS!O$27+WeightSDS!P$27*$AG327)))),IF($AG327&lt;43.8,WeightSDS!M$29*$AG327^10+WeightSDS!N$29*$AG327^9+WeightSDS!O$29*$AG327^8+WeightSDS!P$29*$AG327^7+WeightSDS!Q$29*$AG327^6+WeightSDS!R$29*$AG327^5+WeightSDS!S$29*$AG327^4+WeightSDS!T$29*$AG327^3+WeightSDS!U$29*$AG327^2+WeightSDS!V$29*$AG327+WeightSDS!W$29-0.010431*(1-$AG327/210),IF($AG327&lt;123,WeightSDS!M$30*$AG327^10+WeightSDS!N$30*$AG327^9+WeightSDS!O$30*$AG327^8+WeightSDS!P$30*$AG327^7+WeightSDS!Q$30*$AG327^6+WeightSDS!R$30*$AG327^5+WeightSDS!S$30*$AG327^4+WeightSDS!T$30*$AG327^3+WeightSDS!U$30*$AG327^2+WeightSDS!V$30*$AG327+WeightSDS!W$30-0.010431*(1-1/$AG327),WeightSDS!M$32+WeightSDS!N$32/(1+EXP(WeightSDS!O$32+WeightSDS!P$32*$AG327))-0.010431*(1-$AG327/210))))</f>
        <v>2.9500001032655536</v>
      </c>
      <c r="AK327" s="24">
        <f>IF(D327="M",IF($AG327&lt;162,WeightSDS!P$12*$AG327^7+WeightSDS!Q$12*$AG327^6+WeightSDS!R$12*$AG327^5+WeightSDS!S$12*$AG327^4+WeightSDS!T$12*$AG327^3+WeightSDS!U$12*$AG327^2+WeightSDS!V$12*$AG327+WeightSDS!W$12,WeightSDS!P$14*$AG327^7+WeightSDS!Q$14*$AG327^6+WeightSDS!R$14*$AG327^5+WeightSDS!S$14*$AG327^4+WeightSDS!T$14*$AG327^3+WeightSDS!U$14*$AG327^2+WeightSDS!V$14*$AG327+WeightSDS!W$14),IF($AG327&lt;156,WeightSDS!O$17*$AG327^8+WeightSDS!P$17*$AG327^7+WeightSDS!Q$17*$AG327^6+WeightSDS!R$17*$AG327^5+WeightSDS!S$17*$AG327^4+WeightSDS!T$17*$AG327^3+WeightSDS!U$17*$AG327^2+WeightSDS!V$17*$AG327+WeightSDS!W$17,IF($AG327&lt;186,WeightSDS!$U$18+(WeightSDS!$V$18-WeightSDS!$U$18)/24*($AG327-186)+WeightSDS!$W$18*(-$AG327+186)^2-0.005,WeightSDS!$U$18+(WeightSDS!$V$18-WeightSDS!$U$18)/24*($AG327-186)-0.005)))</f>
        <v>0.14604529399999999</v>
      </c>
    </row>
    <row r="328" spans="1:37">
      <c r="A328" s="4"/>
      <c r="B328" s="21"/>
      <c r="C328" s="21"/>
      <c r="D328" s="21"/>
      <c r="E328" s="22"/>
      <c r="F328" s="22"/>
      <c r="G328" s="23"/>
      <c r="H328" s="23"/>
      <c r="I328" s="8" t="str">
        <f t="shared" si="82"/>
        <v/>
      </c>
      <c r="J328" s="2" t="str">
        <f t="shared" si="89"/>
        <v/>
      </c>
      <c r="K328" s="2" t="str">
        <f t="shared" si="83"/>
        <v/>
      </c>
      <c r="L328" s="2" t="str">
        <f t="shared" si="90"/>
        <v/>
      </c>
      <c r="M328" s="2" t="str">
        <f t="shared" ref="M328:M391" si="95">IF(COUNTA(D328,E328,F328,G328,H328)=5,H328/G328^2*10000,"")</f>
        <v/>
      </c>
      <c r="N328" s="2" t="str">
        <f t="shared" si="91"/>
        <v/>
      </c>
      <c r="O328" s="8" t="str">
        <f t="shared" si="92"/>
        <v/>
      </c>
      <c r="P328" s="8" t="str">
        <f t="shared" si="93"/>
        <v/>
      </c>
      <c r="Q328" s="40" t="str">
        <f t="shared" si="84"/>
        <v/>
      </c>
      <c r="R328" s="48" t="str">
        <f t="shared" si="94"/>
        <v/>
      </c>
      <c r="S328" s="8"/>
      <c r="U328" s="35">
        <f t="shared" si="85"/>
        <v>0</v>
      </c>
      <c r="V328" s="24">
        <f t="shared" si="86"/>
        <v>0</v>
      </c>
      <c r="W328" s="41">
        <f t="shared" si="81"/>
        <v>0</v>
      </c>
      <c r="X328" s="31"/>
      <c r="Y328" s="31"/>
      <c r="Z328" s="31"/>
      <c r="AA328" s="25">
        <f t="shared" si="87"/>
        <v>9.0359999999999996</v>
      </c>
      <c r="AB328" s="25">
        <f t="shared" si="88"/>
        <v>-184.49199999999999</v>
      </c>
      <c r="AD328" s="24">
        <f>IF(D328="M",IF(AG328&lt;78,BMILMS!$D$5*AG328^3+BMILMS!$E$5*AG328^2+BMILMS!$F$5*AG328+BMILMS!$G$5,IF(AG328&lt;150,BMILMS!$D$6*AG328^3+BMILMS!$E$6*AG328^2+BMILMS!$F$6*AG328+BMILMS!$G$6,BMILMS!$D$7*AG328^3+BMILMS!$E$7*AG328^2+BMILMS!$F$7*AG328+BMILMS!$G$7)),IF(AG328&lt;69,BMILMS!$D$9*AG328^3+BMILMS!$E$9*AG328^2+BMILMS!$F$9*AG328+BMILMS!$G$9,IF(AG328&lt;150,BMILMS!$D$10*AG328^3+BMILMS!$E$10*AG328^2+BMILMS!$F$10*AG328+BMILMS!$G$10,BMILMS!$D$11*AG328^3+BMILMS!$E$11*AG328^2+BMILMS!$F$11*AG328+BMILMS!$G$11)))</f>
        <v>0.79584630099999998</v>
      </c>
      <c r="AE328" s="24">
        <f>IF(D328="M",(IF(AG328&lt;2.5,BMILMS!$D$21*AG328^3+BMILMS!$E$21*AG328^2+BMILMS!$F$21*AG328+BMILMS!$G$21,IF(AG328&lt;9.5,BMILMS!$D$22*AG328^3+BMILMS!$E$22*AG328^2+BMILMS!$F$22*AG328+BMILMS!$G$22,IF(AG328&lt;26.75,BMILMS!$D$23*AG328^3+BMILMS!$E$23*AG328^2+BMILMS!$F$23*AG328+BMILMS!$G$23,IF(AG328&lt;90,BMILMS!$D$24*AG328^3+BMILMS!$E$24*AG328^2+BMILMS!$F$24*AG328+BMILMS!$G$24,BMILMS!$D$25*AG328^3+BMILMS!$E$25*AG328^2+BMILMS!$F$25*AG328+BMILMS!$G$25))))),(IF(AG328&lt;2.5,BMILMS!$D$27*AG328^3+BMILMS!$E$27*AG328^2+BMILMS!$F$27*AG328+BMILMS!$G$27,IF(AG328&lt;9.5,BMILMS!$D$28*AG328^3+BMILMS!$E$28*AG328^2+BMILMS!$F$28*AG328+BMILMS!$G$28,IF(AG328&lt;26.75,BMILMS!$D$29*AG328^3+BMILMS!$E$29*AG328^2+BMILMS!$F$29*AG328+BMILMS!$G$29,IF(AG328&lt;90,BMILMS!$D$30*AG328^3+BMILMS!$E$30*AG328^2+BMILMS!$F$30*AG328+BMILMS!$G$30,IF(AG328&lt;150,BMILMS!$D$31*AG328^3+BMILMS!$E$31*AG328^2+BMILMS!$F$31*AG328+BMILMS!$G$31,BMILMS!$D$32*AG328^3+BMILMS!$E$32*AG328^2+BMILMS!$F$32*AG328+BMILMS!$G$32)))))))</f>
        <v>12.568967990000001</v>
      </c>
      <c r="AF328" s="24">
        <f>IF(D328="M",(IF(AG328&lt;90,BMILMS!$D$14*AG328^3+BMILMS!$E$14*AG328^2+BMILMS!$F$14*AG328+BMILMS!$G$14,BMILMS!$D$15*AG328^3+BMILMS!$E$15*AG328^2+BMILMS!$F$15*AG328+BMILMS!$G$15)),(IF(AG328&lt;90,BMILMS!$D$17*AG328^3+BMILMS!$E$17*AG328^2+BMILMS!$F$17*AG328+BMILMS!$G$17,BMILMS!$D$18*AG328^3+BMILMS!$E$18*AG328^2+BMILMS!$F$18*AG328+BMILMS!$G$18)))</f>
        <v>8.8969350000000003E-2</v>
      </c>
      <c r="AG328" s="24">
        <f t="shared" ref="AG328:AG391" si="96">U328*12+V328</f>
        <v>0</v>
      </c>
      <c r="AI328" s="38">
        <f>IF(D328="M",WeightSDS!P$5*$AG328^7+WeightSDS!Q$5*$AG328^6+WeightSDS!R$5*$AG328^5+WeightSDS!S$5*$AG328^4+WeightSDS!T$5*$AG328^3+WeightSDS!U$5*$AG328^2+WeightSDS!V$5*$AG328+WeightSDS!W$5,IF($AG328&lt;186,WeightSDS!P$8*$AG328^7+WeightSDS!Q$8*$AG328^6+WeightSDS!R$8*$AG328^5+WeightSDS!S$8*$AG328^4+WeightSDS!T$8*$AG328^3+WeightSDS!U$8*$AG328^2+WeightSDS!V$8*$AG328+WeightSDS!W$8,WeightSDS!$U$9-WeightSDS!$V$9*($AG328-WeightSDS!$W$9)))</f>
        <v>0.75407122999999998</v>
      </c>
      <c r="AJ328" s="24">
        <f>IF(D328="M",IF($AG328&lt;45,WeightSDS!M$23*$AG328^10+WeightSDS!N$23*$AG328^9+WeightSDS!O$23*$AG328^8+WeightSDS!P$23*$AG328^7+WeightSDS!Q$23*$AG328^6+WeightSDS!R$23*$AG328^5+WeightSDS!S$23*$AG328^4+WeightSDS!T$23*$AG328^3+WeightSDS!U$23*$AG328^2+WeightSDS!V$23*$AG328+WeightSDS!W$23,IF($AG328&lt;153,WeightSDS!M$25*$AG328^10+WeightSDS!N$25*$AG328^9+WeightSDS!O$25*$AG328^8+WeightSDS!P$25*$AG328^7+WeightSDS!Q$25*$AG328^6+WeightSDS!R$25*$AG328^5+WeightSDS!S$25*$AG328^4+WeightSDS!T$25*$AG328^3+WeightSDS!U$25*$AG328^2+WeightSDS!V$25*$AG328+WeightSDS!W$25,WeightSDS!M$27+WeightSDS!N$27/(1+EXP(WeightSDS!O$27+WeightSDS!P$27*$AG328)))),IF($AG328&lt;43.8,WeightSDS!M$29*$AG328^10+WeightSDS!N$29*$AG328^9+WeightSDS!O$29*$AG328^8+WeightSDS!P$29*$AG328^7+WeightSDS!Q$29*$AG328^6+WeightSDS!R$29*$AG328^5+WeightSDS!S$29*$AG328^4+WeightSDS!T$29*$AG328^3+WeightSDS!U$29*$AG328^2+WeightSDS!V$29*$AG328+WeightSDS!W$29-0.010431*(1-$AG328/210),IF($AG328&lt;123,WeightSDS!M$30*$AG328^10+WeightSDS!N$30*$AG328^9+WeightSDS!O$30*$AG328^8+WeightSDS!P$30*$AG328^7+WeightSDS!Q$30*$AG328^6+WeightSDS!R$30*$AG328^5+WeightSDS!S$30*$AG328^4+WeightSDS!T$30*$AG328^3+WeightSDS!U$30*$AG328^2+WeightSDS!V$30*$AG328+WeightSDS!W$30-0.010431*(1-1/$AG328),WeightSDS!M$32+WeightSDS!N$32/(1+EXP(WeightSDS!O$32+WeightSDS!P$32*$AG328))-0.010431*(1-$AG328/210))))</f>
        <v>2.9500001032655536</v>
      </c>
      <c r="AK328" s="24">
        <f>IF(D328="M",IF($AG328&lt;162,WeightSDS!P$12*$AG328^7+WeightSDS!Q$12*$AG328^6+WeightSDS!R$12*$AG328^5+WeightSDS!S$12*$AG328^4+WeightSDS!T$12*$AG328^3+WeightSDS!U$12*$AG328^2+WeightSDS!V$12*$AG328+WeightSDS!W$12,WeightSDS!P$14*$AG328^7+WeightSDS!Q$14*$AG328^6+WeightSDS!R$14*$AG328^5+WeightSDS!S$14*$AG328^4+WeightSDS!T$14*$AG328^3+WeightSDS!U$14*$AG328^2+WeightSDS!V$14*$AG328+WeightSDS!W$14),IF($AG328&lt;156,WeightSDS!O$17*$AG328^8+WeightSDS!P$17*$AG328^7+WeightSDS!Q$17*$AG328^6+WeightSDS!R$17*$AG328^5+WeightSDS!S$17*$AG328^4+WeightSDS!T$17*$AG328^3+WeightSDS!U$17*$AG328^2+WeightSDS!V$17*$AG328+WeightSDS!W$17,IF($AG328&lt;186,WeightSDS!$U$18+(WeightSDS!$V$18-WeightSDS!$U$18)/24*($AG328-186)+WeightSDS!$W$18*(-$AG328+186)^2-0.005,WeightSDS!$U$18+(WeightSDS!$V$18-WeightSDS!$U$18)/24*($AG328-186)-0.005)))</f>
        <v>0.14604529399999999</v>
      </c>
    </row>
    <row r="329" spans="1:37">
      <c r="A329" s="4"/>
      <c r="B329" s="21"/>
      <c r="C329" s="21"/>
      <c r="D329" s="21"/>
      <c r="E329" s="22"/>
      <c r="F329" s="22"/>
      <c r="G329" s="23"/>
      <c r="H329" s="23"/>
      <c r="I329" s="8" t="str">
        <f t="shared" si="82"/>
        <v/>
      </c>
      <c r="J329" s="2" t="str">
        <f t="shared" si="89"/>
        <v/>
      </c>
      <c r="K329" s="2" t="str">
        <f t="shared" si="83"/>
        <v/>
      </c>
      <c r="L329" s="2" t="str">
        <f t="shared" si="90"/>
        <v/>
      </c>
      <c r="M329" s="2" t="str">
        <f t="shared" si="95"/>
        <v/>
      </c>
      <c r="N329" s="2" t="str">
        <f t="shared" si="91"/>
        <v/>
      </c>
      <c r="O329" s="8" t="str">
        <f t="shared" si="92"/>
        <v/>
      </c>
      <c r="P329" s="8" t="str">
        <f t="shared" si="93"/>
        <v/>
      </c>
      <c r="Q329" s="40" t="str">
        <f t="shared" si="84"/>
        <v/>
      </c>
      <c r="R329" s="48" t="str">
        <f t="shared" si="94"/>
        <v/>
      </c>
      <c r="S329" s="8"/>
      <c r="U329" s="35">
        <f t="shared" si="85"/>
        <v>0</v>
      </c>
      <c r="V329" s="24">
        <f t="shared" si="86"/>
        <v>0</v>
      </c>
      <c r="W329" s="41">
        <f t="shared" si="81"/>
        <v>0</v>
      </c>
      <c r="X329" s="31"/>
      <c r="Y329" s="31"/>
      <c r="Z329" s="31"/>
      <c r="AA329" s="25">
        <f t="shared" si="87"/>
        <v>9.0359999999999996</v>
      </c>
      <c r="AB329" s="25">
        <f t="shared" si="88"/>
        <v>-184.49199999999999</v>
      </c>
      <c r="AD329" s="24">
        <f>IF(D329="M",IF(AG329&lt;78,BMILMS!$D$5*AG329^3+BMILMS!$E$5*AG329^2+BMILMS!$F$5*AG329+BMILMS!$G$5,IF(AG329&lt;150,BMILMS!$D$6*AG329^3+BMILMS!$E$6*AG329^2+BMILMS!$F$6*AG329+BMILMS!$G$6,BMILMS!$D$7*AG329^3+BMILMS!$E$7*AG329^2+BMILMS!$F$7*AG329+BMILMS!$G$7)),IF(AG329&lt;69,BMILMS!$D$9*AG329^3+BMILMS!$E$9*AG329^2+BMILMS!$F$9*AG329+BMILMS!$G$9,IF(AG329&lt;150,BMILMS!$D$10*AG329^3+BMILMS!$E$10*AG329^2+BMILMS!$F$10*AG329+BMILMS!$G$10,BMILMS!$D$11*AG329^3+BMILMS!$E$11*AG329^2+BMILMS!$F$11*AG329+BMILMS!$G$11)))</f>
        <v>0.79584630099999998</v>
      </c>
      <c r="AE329" s="24">
        <f>IF(D329="M",(IF(AG329&lt;2.5,BMILMS!$D$21*AG329^3+BMILMS!$E$21*AG329^2+BMILMS!$F$21*AG329+BMILMS!$G$21,IF(AG329&lt;9.5,BMILMS!$D$22*AG329^3+BMILMS!$E$22*AG329^2+BMILMS!$F$22*AG329+BMILMS!$G$22,IF(AG329&lt;26.75,BMILMS!$D$23*AG329^3+BMILMS!$E$23*AG329^2+BMILMS!$F$23*AG329+BMILMS!$G$23,IF(AG329&lt;90,BMILMS!$D$24*AG329^3+BMILMS!$E$24*AG329^2+BMILMS!$F$24*AG329+BMILMS!$G$24,BMILMS!$D$25*AG329^3+BMILMS!$E$25*AG329^2+BMILMS!$F$25*AG329+BMILMS!$G$25))))),(IF(AG329&lt;2.5,BMILMS!$D$27*AG329^3+BMILMS!$E$27*AG329^2+BMILMS!$F$27*AG329+BMILMS!$G$27,IF(AG329&lt;9.5,BMILMS!$D$28*AG329^3+BMILMS!$E$28*AG329^2+BMILMS!$F$28*AG329+BMILMS!$G$28,IF(AG329&lt;26.75,BMILMS!$D$29*AG329^3+BMILMS!$E$29*AG329^2+BMILMS!$F$29*AG329+BMILMS!$G$29,IF(AG329&lt;90,BMILMS!$D$30*AG329^3+BMILMS!$E$30*AG329^2+BMILMS!$F$30*AG329+BMILMS!$G$30,IF(AG329&lt;150,BMILMS!$D$31*AG329^3+BMILMS!$E$31*AG329^2+BMILMS!$F$31*AG329+BMILMS!$G$31,BMILMS!$D$32*AG329^3+BMILMS!$E$32*AG329^2+BMILMS!$F$32*AG329+BMILMS!$G$32)))))))</f>
        <v>12.568967990000001</v>
      </c>
      <c r="AF329" s="24">
        <f>IF(D329="M",(IF(AG329&lt;90,BMILMS!$D$14*AG329^3+BMILMS!$E$14*AG329^2+BMILMS!$F$14*AG329+BMILMS!$G$14,BMILMS!$D$15*AG329^3+BMILMS!$E$15*AG329^2+BMILMS!$F$15*AG329+BMILMS!$G$15)),(IF(AG329&lt;90,BMILMS!$D$17*AG329^3+BMILMS!$E$17*AG329^2+BMILMS!$F$17*AG329+BMILMS!$G$17,BMILMS!$D$18*AG329^3+BMILMS!$E$18*AG329^2+BMILMS!$F$18*AG329+BMILMS!$G$18)))</f>
        <v>8.8969350000000003E-2</v>
      </c>
      <c r="AG329" s="24">
        <f t="shared" si="96"/>
        <v>0</v>
      </c>
      <c r="AI329" s="38">
        <f>IF(D329="M",WeightSDS!P$5*$AG329^7+WeightSDS!Q$5*$AG329^6+WeightSDS!R$5*$AG329^5+WeightSDS!S$5*$AG329^4+WeightSDS!T$5*$AG329^3+WeightSDS!U$5*$AG329^2+WeightSDS!V$5*$AG329+WeightSDS!W$5,IF($AG329&lt;186,WeightSDS!P$8*$AG329^7+WeightSDS!Q$8*$AG329^6+WeightSDS!R$8*$AG329^5+WeightSDS!S$8*$AG329^4+WeightSDS!T$8*$AG329^3+WeightSDS!U$8*$AG329^2+WeightSDS!V$8*$AG329+WeightSDS!W$8,WeightSDS!$U$9-WeightSDS!$V$9*($AG329-WeightSDS!$W$9)))</f>
        <v>0.75407122999999998</v>
      </c>
      <c r="AJ329" s="24">
        <f>IF(D329="M",IF($AG329&lt;45,WeightSDS!M$23*$AG329^10+WeightSDS!N$23*$AG329^9+WeightSDS!O$23*$AG329^8+WeightSDS!P$23*$AG329^7+WeightSDS!Q$23*$AG329^6+WeightSDS!R$23*$AG329^5+WeightSDS!S$23*$AG329^4+WeightSDS!T$23*$AG329^3+WeightSDS!U$23*$AG329^2+WeightSDS!V$23*$AG329+WeightSDS!W$23,IF($AG329&lt;153,WeightSDS!M$25*$AG329^10+WeightSDS!N$25*$AG329^9+WeightSDS!O$25*$AG329^8+WeightSDS!P$25*$AG329^7+WeightSDS!Q$25*$AG329^6+WeightSDS!R$25*$AG329^5+WeightSDS!S$25*$AG329^4+WeightSDS!T$25*$AG329^3+WeightSDS!U$25*$AG329^2+WeightSDS!V$25*$AG329+WeightSDS!W$25,WeightSDS!M$27+WeightSDS!N$27/(1+EXP(WeightSDS!O$27+WeightSDS!P$27*$AG329)))),IF($AG329&lt;43.8,WeightSDS!M$29*$AG329^10+WeightSDS!N$29*$AG329^9+WeightSDS!O$29*$AG329^8+WeightSDS!P$29*$AG329^7+WeightSDS!Q$29*$AG329^6+WeightSDS!R$29*$AG329^5+WeightSDS!S$29*$AG329^4+WeightSDS!T$29*$AG329^3+WeightSDS!U$29*$AG329^2+WeightSDS!V$29*$AG329+WeightSDS!W$29-0.010431*(1-$AG329/210),IF($AG329&lt;123,WeightSDS!M$30*$AG329^10+WeightSDS!N$30*$AG329^9+WeightSDS!O$30*$AG329^8+WeightSDS!P$30*$AG329^7+WeightSDS!Q$30*$AG329^6+WeightSDS!R$30*$AG329^5+WeightSDS!S$30*$AG329^4+WeightSDS!T$30*$AG329^3+WeightSDS!U$30*$AG329^2+WeightSDS!V$30*$AG329+WeightSDS!W$30-0.010431*(1-1/$AG329),WeightSDS!M$32+WeightSDS!N$32/(1+EXP(WeightSDS!O$32+WeightSDS!P$32*$AG329))-0.010431*(1-$AG329/210))))</f>
        <v>2.9500001032655536</v>
      </c>
      <c r="AK329" s="24">
        <f>IF(D329="M",IF($AG329&lt;162,WeightSDS!P$12*$AG329^7+WeightSDS!Q$12*$AG329^6+WeightSDS!R$12*$AG329^5+WeightSDS!S$12*$AG329^4+WeightSDS!T$12*$AG329^3+WeightSDS!U$12*$AG329^2+WeightSDS!V$12*$AG329+WeightSDS!W$12,WeightSDS!P$14*$AG329^7+WeightSDS!Q$14*$AG329^6+WeightSDS!R$14*$AG329^5+WeightSDS!S$14*$AG329^4+WeightSDS!T$14*$AG329^3+WeightSDS!U$14*$AG329^2+WeightSDS!V$14*$AG329+WeightSDS!W$14),IF($AG329&lt;156,WeightSDS!O$17*$AG329^8+WeightSDS!P$17*$AG329^7+WeightSDS!Q$17*$AG329^6+WeightSDS!R$17*$AG329^5+WeightSDS!S$17*$AG329^4+WeightSDS!T$17*$AG329^3+WeightSDS!U$17*$AG329^2+WeightSDS!V$17*$AG329+WeightSDS!W$17,IF($AG329&lt;186,WeightSDS!$U$18+(WeightSDS!$V$18-WeightSDS!$U$18)/24*($AG329-186)+WeightSDS!$W$18*(-$AG329+186)^2-0.005,WeightSDS!$U$18+(WeightSDS!$V$18-WeightSDS!$U$18)/24*($AG329-186)-0.005)))</f>
        <v>0.14604529399999999</v>
      </c>
    </row>
    <row r="330" spans="1:37">
      <c r="A330" s="4"/>
      <c r="B330" s="21"/>
      <c r="C330" s="21"/>
      <c r="D330" s="21"/>
      <c r="E330" s="22"/>
      <c r="F330" s="22"/>
      <c r="G330" s="23"/>
      <c r="H330" s="23"/>
      <c r="I330" s="8" t="str">
        <f t="shared" si="82"/>
        <v/>
      </c>
      <c r="J330" s="2" t="str">
        <f t="shared" si="89"/>
        <v/>
      </c>
      <c r="K330" s="2" t="str">
        <f t="shared" si="83"/>
        <v/>
      </c>
      <c r="L330" s="2" t="str">
        <f t="shared" si="90"/>
        <v/>
      </c>
      <c r="M330" s="2" t="str">
        <f t="shared" si="95"/>
        <v/>
      </c>
      <c r="N330" s="2" t="str">
        <f t="shared" si="91"/>
        <v/>
      </c>
      <c r="O330" s="8" t="str">
        <f t="shared" si="92"/>
        <v/>
      </c>
      <c r="P330" s="8" t="str">
        <f t="shared" si="93"/>
        <v/>
      </c>
      <c r="Q330" s="40" t="str">
        <f t="shared" si="84"/>
        <v/>
      </c>
      <c r="R330" s="48" t="str">
        <f t="shared" si="94"/>
        <v/>
      </c>
      <c r="S330" s="8"/>
      <c r="U330" s="35">
        <f t="shared" si="85"/>
        <v>0</v>
      </c>
      <c r="V330" s="24">
        <f t="shared" si="86"/>
        <v>0</v>
      </c>
      <c r="W330" s="41">
        <f t="shared" si="81"/>
        <v>0</v>
      </c>
      <c r="X330" s="31"/>
      <c r="Y330" s="31"/>
      <c r="Z330" s="31"/>
      <c r="AA330" s="25">
        <f t="shared" si="87"/>
        <v>9.0359999999999996</v>
      </c>
      <c r="AB330" s="25">
        <f t="shared" si="88"/>
        <v>-184.49199999999999</v>
      </c>
      <c r="AD330" s="24">
        <f>IF(D330="M",IF(AG330&lt;78,BMILMS!$D$5*AG330^3+BMILMS!$E$5*AG330^2+BMILMS!$F$5*AG330+BMILMS!$G$5,IF(AG330&lt;150,BMILMS!$D$6*AG330^3+BMILMS!$E$6*AG330^2+BMILMS!$F$6*AG330+BMILMS!$G$6,BMILMS!$D$7*AG330^3+BMILMS!$E$7*AG330^2+BMILMS!$F$7*AG330+BMILMS!$G$7)),IF(AG330&lt;69,BMILMS!$D$9*AG330^3+BMILMS!$E$9*AG330^2+BMILMS!$F$9*AG330+BMILMS!$G$9,IF(AG330&lt;150,BMILMS!$D$10*AG330^3+BMILMS!$E$10*AG330^2+BMILMS!$F$10*AG330+BMILMS!$G$10,BMILMS!$D$11*AG330^3+BMILMS!$E$11*AG330^2+BMILMS!$F$11*AG330+BMILMS!$G$11)))</f>
        <v>0.79584630099999998</v>
      </c>
      <c r="AE330" s="24">
        <f>IF(D330="M",(IF(AG330&lt;2.5,BMILMS!$D$21*AG330^3+BMILMS!$E$21*AG330^2+BMILMS!$F$21*AG330+BMILMS!$G$21,IF(AG330&lt;9.5,BMILMS!$D$22*AG330^3+BMILMS!$E$22*AG330^2+BMILMS!$F$22*AG330+BMILMS!$G$22,IF(AG330&lt;26.75,BMILMS!$D$23*AG330^3+BMILMS!$E$23*AG330^2+BMILMS!$F$23*AG330+BMILMS!$G$23,IF(AG330&lt;90,BMILMS!$D$24*AG330^3+BMILMS!$E$24*AG330^2+BMILMS!$F$24*AG330+BMILMS!$G$24,BMILMS!$D$25*AG330^3+BMILMS!$E$25*AG330^2+BMILMS!$F$25*AG330+BMILMS!$G$25))))),(IF(AG330&lt;2.5,BMILMS!$D$27*AG330^3+BMILMS!$E$27*AG330^2+BMILMS!$F$27*AG330+BMILMS!$G$27,IF(AG330&lt;9.5,BMILMS!$D$28*AG330^3+BMILMS!$E$28*AG330^2+BMILMS!$F$28*AG330+BMILMS!$G$28,IF(AG330&lt;26.75,BMILMS!$D$29*AG330^3+BMILMS!$E$29*AG330^2+BMILMS!$F$29*AG330+BMILMS!$G$29,IF(AG330&lt;90,BMILMS!$D$30*AG330^3+BMILMS!$E$30*AG330^2+BMILMS!$F$30*AG330+BMILMS!$G$30,IF(AG330&lt;150,BMILMS!$D$31*AG330^3+BMILMS!$E$31*AG330^2+BMILMS!$F$31*AG330+BMILMS!$G$31,BMILMS!$D$32*AG330^3+BMILMS!$E$32*AG330^2+BMILMS!$F$32*AG330+BMILMS!$G$32)))))))</f>
        <v>12.568967990000001</v>
      </c>
      <c r="AF330" s="24">
        <f>IF(D330="M",(IF(AG330&lt;90,BMILMS!$D$14*AG330^3+BMILMS!$E$14*AG330^2+BMILMS!$F$14*AG330+BMILMS!$G$14,BMILMS!$D$15*AG330^3+BMILMS!$E$15*AG330^2+BMILMS!$F$15*AG330+BMILMS!$G$15)),(IF(AG330&lt;90,BMILMS!$D$17*AG330^3+BMILMS!$E$17*AG330^2+BMILMS!$F$17*AG330+BMILMS!$G$17,BMILMS!$D$18*AG330^3+BMILMS!$E$18*AG330^2+BMILMS!$F$18*AG330+BMILMS!$G$18)))</f>
        <v>8.8969350000000003E-2</v>
      </c>
      <c r="AG330" s="24">
        <f t="shared" si="96"/>
        <v>0</v>
      </c>
      <c r="AI330" s="38">
        <f>IF(D330="M",WeightSDS!P$5*$AG330^7+WeightSDS!Q$5*$AG330^6+WeightSDS!R$5*$AG330^5+WeightSDS!S$5*$AG330^4+WeightSDS!T$5*$AG330^3+WeightSDS!U$5*$AG330^2+WeightSDS!V$5*$AG330+WeightSDS!W$5,IF($AG330&lt;186,WeightSDS!P$8*$AG330^7+WeightSDS!Q$8*$AG330^6+WeightSDS!R$8*$AG330^5+WeightSDS!S$8*$AG330^4+WeightSDS!T$8*$AG330^3+WeightSDS!U$8*$AG330^2+WeightSDS!V$8*$AG330+WeightSDS!W$8,WeightSDS!$U$9-WeightSDS!$V$9*($AG330-WeightSDS!$W$9)))</f>
        <v>0.75407122999999998</v>
      </c>
      <c r="AJ330" s="24">
        <f>IF(D330="M",IF($AG330&lt;45,WeightSDS!M$23*$AG330^10+WeightSDS!N$23*$AG330^9+WeightSDS!O$23*$AG330^8+WeightSDS!P$23*$AG330^7+WeightSDS!Q$23*$AG330^6+WeightSDS!R$23*$AG330^5+WeightSDS!S$23*$AG330^4+WeightSDS!T$23*$AG330^3+WeightSDS!U$23*$AG330^2+WeightSDS!V$23*$AG330+WeightSDS!W$23,IF($AG330&lt;153,WeightSDS!M$25*$AG330^10+WeightSDS!N$25*$AG330^9+WeightSDS!O$25*$AG330^8+WeightSDS!P$25*$AG330^7+WeightSDS!Q$25*$AG330^6+WeightSDS!R$25*$AG330^5+WeightSDS!S$25*$AG330^4+WeightSDS!T$25*$AG330^3+WeightSDS!U$25*$AG330^2+WeightSDS!V$25*$AG330+WeightSDS!W$25,WeightSDS!M$27+WeightSDS!N$27/(1+EXP(WeightSDS!O$27+WeightSDS!P$27*$AG330)))),IF($AG330&lt;43.8,WeightSDS!M$29*$AG330^10+WeightSDS!N$29*$AG330^9+WeightSDS!O$29*$AG330^8+WeightSDS!P$29*$AG330^7+WeightSDS!Q$29*$AG330^6+WeightSDS!R$29*$AG330^5+WeightSDS!S$29*$AG330^4+WeightSDS!T$29*$AG330^3+WeightSDS!U$29*$AG330^2+WeightSDS!V$29*$AG330+WeightSDS!W$29-0.010431*(1-$AG330/210),IF($AG330&lt;123,WeightSDS!M$30*$AG330^10+WeightSDS!N$30*$AG330^9+WeightSDS!O$30*$AG330^8+WeightSDS!P$30*$AG330^7+WeightSDS!Q$30*$AG330^6+WeightSDS!R$30*$AG330^5+WeightSDS!S$30*$AG330^4+WeightSDS!T$30*$AG330^3+WeightSDS!U$30*$AG330^2+WeightSDS!V$30*$AG330+WeightSDS!W$30-0.010431*(1-1/$AG330),WeightSDS!M$32+WeightSDS!N$32/(1+EXP(WeightSDS!O$32+WeightSDS!P$32*$AG330))-0.010431*(1-$AG330/210))))</f>
        <v>2.9500001032655536</v>
      </c>
      <c r="AK330" s="24">
        <f>IF(D330="M",IF($AG330&lt;162,WeightSDS!P$12*$AG330^7+WeightSDS!Q$12*$AG330^6+WeightSDS!R$12*$AG330^5+WeightSDS!S$12*$AG330^4+WeightSDS!T$12*$AG330^3+WeightSDS!U$12*$AG330^2+WeightSDS!V$12*$AG330+WeightSDS!W$12,WeightSDS!P$14*$AG330^7+WeightSDS!Q$14*$AG330^6+WeightSDS!R$14*$AG330^5+WeightSDS!S$14*$AG330^4+WeightSDS!T$14*$AG330^3+WeightSDS!U$14*$AG330^2+WeightSDS!V$14*$AG330+WeightSDS!W$14),IF($AG330&lt;156,WeightSDS!O$17*$AG330^8+WeightSDS!P$17*$AG330^7+WeightSDS!Q$17*$AG330^6+WeightSDS!R$17*$AG330^5+WeightSDS!S$17*$AG330^4+WeightSDS!T$17*$AG330^3+WeightSDS!U$17*$AG330^2+WeightSDS!V$17*$AG330+WeightSDS!W$17,IF($AG330&lt;186,WeightSDS!$U$18+(WeightSDS!$V$18-WeightSDS!$U$18)/24*($AG330-186)+WeightSDS!$W$18*(-$AG330+186)^2-0.005,WeightSDS!$U$18+(WeightSDS!$V$18-WeightSDS!$U$18)/24*($AG330-186)-0.005)))</f>
        <v>0.14604529399999999</v>
      </c>
    </row>
    <row r="331" spans="1:37">
      <c r="A331" s="4"/>
      <c r="B331" s="21"/>
      <c r="C331" s="21"/>
      <c r="D331" s="21"/>
      <c r="E331" s="22"/>
      <c r="F331" s="22"/>
      <c r="G331" s="23"/>
      <c r="H331" s="23"/>
      <c r="I331" s="8" t="str">
        <f t="shared" si="82"/>
        <v/>
      </c>
      <c r="J331" s="2" t="str">
        <f t="shared" si="89"/>
        <v/>
      </c>
      <c r="K331" s="2" t="str">
        <f t="shared" si="83"/>
        <v/>
      </c>
      <c r="L331" s="2" t="str">
        <f t="shared" si="90"/>
        <v/>
      </c>
      <c r="M331" s="2" t="str">
        <f t="shared" si="95"/>
        <v/>
      </c>
      <c r="N331" s="2" t="str">
        <f t="shared" si="91"/>
        <v/>
      </c>
      <c r="O331" s="8" t="str">
        <f t="shared" si="92"/>
        <v/>
      </c>
      <c r="P331" s="8" t="str">
        <f t="shared" si="93"/>
        <v/>
      </c>
      <c r="Q331" s="40" t="str">
        <f t="shared" si="84"/>
        <v/>
      </c>
      <c r="R331" s="48" t="str">
        <f t="shared" si="94"/>
        <v/>
      </c>
      <c r="S331" s="8"/>
      <c r="U331" s="35">
        <f t="shared" si="85"/>
        <v>0</v>
      </c>
      <c r="V331" s="24">
        <f t="shared" si="86"/>
        <v>0</v>
      </c>
      <c r="W331" s="41">
        <f t="shared" si="81"/>
        <v>0</v>
      </c>
      <c r="X331" s="31"/>
      <c r="Y331" s="31"/>
      <c r="Z331" s="31"/>
      <c r="AA331" s="25">
        <f t="shared" si="87"/>
        <v>9.0359999999999996</v>
      </c>
      <c r="AB331" s="25">
        <f t="shared" si="88"/>
        <v>-184.49199999999999</v>
      </c>
      <c r="AD331" s="24">
        <f>IF(D331="M",IF(AG331&lt;78,BMILMS!$D$5*AG331^3+BMILMS!$E$5*AG331^2+BMILMS!$F$5*AG331+BMILMS!$G$5,IF(AG331&lt;150,BMILMS!$D$6*AG331^3+BMILMS!$E$6*AG331^2+BMILMS!$F$6*AG331+BMILMS!$G$6,BMILMS!$D$7*AG331^3+BMILMS!$E$7*AG331^2+BMILMS!$F$7*AG331+BMILMS!$G$7)),IF(AG331&lt;69,BMILMS!$D$9*AG331^3+BMILMS!$E$9*AG331^2+BMILMS!$F$9*AG331+BMILMS!$G$9,IF(AG331&lt;150,BMILMS!$D$10*AG331^3+BMILMS!$E$10*AG331^2+BMILMS!$F$10*AG331+BMILMS!$G$10,BMILMS!$D$11*AG331^3+BMILMS!$E$11*AG331^2+BMILMS!$F$11*AG331+BMILMS!$G$11)))</f>
        <v>0.79584630099999998</v>
      </c>
      <c r="AE331" s="24">
        <f>IF(D331="M",(IF(AG331&lt;2.5,BMILMS!$D$21*AG331^3+BMILMS!$E$21*AG331^2+BMILMS!$F$21*AG331+BMILMS!$G$21,IF(AG331&lt;9.5,BMILMS!$D$22*AG331^3+BMILMS!$E$22*AG331^2+BMILMS!$F$22*AG331+BMILMS!$G$22,IF(AG331&lt;26.75,BMILMS!$D$23*AG331^3+BMILMS!$E$23*AG331^2+BMILMS!$F$23*AG331+BMILMS!$G$23,IF(AG331&lt;90,BMILMS!$D$24*AG331^3+BMILMS!$E$24*AG331^2+BMILMS!$F$24*AG331+BMILMS!$G$24,BMILMS!$D$25*AG331^3+BMILMS!$E$25*AG331^2+BMILMS!$F$25*AG331+BMILMS!$G$25))))),(IF(AG331&lt;2.5,BMILMS!$D$27*AG331^3+BMILMS!$E$27*AG331^2+BMILMS!$F$27*AG331+BMILMS!$G$27,IF(AG331&lt;9.5,BMILMS!$D$28*AG331^3+BMILMS!$E$28*AG331^2+BMILMS!$F$28*AG331+BMILMS!$G$28,IF(AG331&lt;26.75,BMILMS!$D$29*AG331^3+BMILMS!$E$29*AG331^2+BMILMS!$F$29*AG331+BMILMS!$G$29,IF(AG331&lt;90,BMILMS!$D$30*AG331^3+BMILMS!$E$30*AG331^2+BMILMS!$F$30*AG331+BMILMS!$G$30,IF(AG331&lt;150,BMILMS!$D$31*AG331^3+BMILMS!$E$31*AG331^2+BMILMS!$F$31*AG331+BMILMS!$G$31,BMILMS!$D$32*AG331^3+BMILMS!$E$32*AG331^2+BMILMS!$F$32*AG331+BMILMS!$G$32)))))))</f>
        <v>12.568967990000001</v>
      </c>
      <c r="AF331" s="24">
        <f>IF(D331="M",(IF(AG331&lt;90,BMILMS!$D$14*AG331^3+BMILMS!$E$14*AG331^2+BMILMS!$F$14*AG331+BMILMS!$G$14,BMILMS!$D$15*AG331^3+BMILMS!$E$15*AG331^2+BMILMS!$F$15*AG331+BMILMS!$G$15)),(IF(AG331&lt;90,BMILMS!$D$17*AG331^3+BMILMS!$E$17*AG331^2+BMILMS!$F$17*AG331+BMILMS!$G$17,BMILMS!$D$18*AG331^3+BMILMS!$E$18*AG331^2+BMILMS!$F$18*AG331+BMILMS!$G$18)))</f>
        <v>8.8969350000000003E-2</v>
      </c>
      <c r="AG331" s="24">
        <f t="shared" si="96"/>
        <v>0</v>
      </c>
      <c r="AI331" s="38">
        <f>IF(D331="M",WeightSDS!P$5*$AG331^7+WeightSDS!Q$5*$AG331^6+WeightSDS!R$5*$AG331^5+WeightSDS!S$5*$AG331^4+WeightSDS!T$5*$AG331^3+WeightSDS!U$5*$AG331^2+WeightSDS!V$5*$AG331+WeightSDS!W$5,IF($AG331&lt;186,WeightSDS!P$8*$AG331^7+WeightSDS!Q$8*$AG331^6+WeightSDS!R$8*$AG331^5+WeightSDS!S$8*$AG331^4+WeightSDS!T$8*$AG331^3+WeightSDS!U$8*$AG331^2+WeightSDS!V$8*$AG331+WeightSDS!W$8,WeightSDS!$U$9-WeightSDS!$V$9*($AG331-WeightSDS!$W$9)))</f>
        <v>0.75407122999999998</v>
      </c>
      <c r="AJ331" s="24">
        <f>IF(D331="M",IF($AG331&lt;45,WeightSDS!M$23*$AG331^10+WeightSDS!N$23*$AG331^9+WeightSDS!O$23*$AG331^8+WeightSDS!P$23*$AG331^7+WeightSDS!Q$23*$AG331^6+WeightSDS!R$23*$AG331^5+WeightSDS!S$23*$AG331^4+WeightSDS!T$23*$AG331^3+WeightSDS!U$23*$AG331^2+WeightSDS!V$23*$AG331+WeightSDS!W$23,IF($AG331&lt;153,WeightSDS!M$25*$AG331^10+WeightSDS!N$25*$AG331^9+WeightSDS!O$25*$AG331^8+WeightSDS!P$25*$AG331^7+WeightSDS!Q$25*$AG331^6+WeightSDS!R$25*$AG331^5+WeightSDS!S$25*$AG331^4+WeightSDS!T$25*$AG331^3+WeightSDS!U$25*$AG331^2+WeightSDS!V$25*$AG331+WeightSDS!W$25,WeightSDS!M$27+WeightSDS!N$27/(1+EXP(WeightSDS!O$27+WeightSDS!P$27*$AG331)))),IF($AG331&lt;43.8,WeightSDS!M$29*$AG331^10+WeightSDS!N$29*$AG331^9+WeightSDS!O$29*$AG331^8+WeightSDS!P$29*$AG331^7+WeightSDS!Q$29*$AG331^6+WeightSDS!R$29*$AG331^5+WeightSDS!S$29*$AG331^4+WeightSDS!T$29*$AG331^3+WeightSDS!U$29*$AG331^2+WeightSDS!V$29*$AG331+WeightSDS!W$29-0.010431*(1-$AG331/210),IF($AG331&lt;123,WeightSDS!M$30*$AG331^10+WeightSDS!N$30*$AG331^9+WeightSDS!O$30*$AG331^8+WeightSDS!P$30*$AG331^7+WeightSDS!Q$30*$AG331^6+WeightSDS!R$30*$AG331^5+WeightSDS!S$30*$AG331^4+WeightSDS!T$30*$AG331^3+WeightSDS!U$30*$AG331^2+WeightSDS!V$30*$AG331+WeightSDS!W$30-0.010431*(1-1/$AG331),WeightSDS!M$32+WeightSDS!N$32/(1+EXP(WeightSDS!O$32+WeightSDS!P$32*$AG331))-0.010431*(1-$AG331/210))))</f>
        <v>2.9500001032655536</v>
      </c>
      <c r="AK331" s="24">
        <f>IF(D331="M",IF($AG331&lt;162,WeightSDS!P$12*$AG331^7+WeightSDS!Q$12*$AG331^6+WeightSDS!R$12*$AG331^5+WeightSDS!S$12*$AG331^4+WeightSDS!T$12*$AG331^3+WeightSDS!U$12*$AG331^2+WeightSDS!V$12*$AG331+WeightSDS!W$12,WeightSDS!P$14*$AG331^7+WeightSDS!Q$14*$AG331^6+WeightSDS!R$14*$AG331^5+WeightSDS!S$14*$AG331^4+WeightSDS!T$14*$AG331^3+WeightSDS!U$14*$AG331^2+WeightSDS!V$14*$AG331+WeightSDS!W$14),IF($AG331&lt;156,WeightSDS!O$17*$AG331^8+WeightSDS!P$17*$AG331^7+WeightSDS!Q$17*$AG331^6+WeightSDS!R$17*$AG331^5+WeightSDS!S$17*$AG331^4+WeightSDS!T$17*$AG331^3+WeightSDS!U$17*$AG331^2+WeightSDS!V$17*$AG331+WeightSDS!W$17,IF($AG331&lt;186,WeightSDS!$U$18+(WeightSDS!$V$18-WeightSDS!$U$18)/24*($AG331-186)+WeightSDS!$W$18*(-$AG331+186)^2-0.005,WeightSDS!$U$18+(WeightSDS!$V$18-WeightSDS!$U$18)/24*($AG331-186)-0.005)))</f>
        <v>0.14604529399999999</v>
      </c>
    </row>
    <row r="332" spans="1:37">
      <c r="A332" s="4"/>
      <c r="B332" s="21"/>
      <c r="C332" s="21"/>
      <c r="D332" s="21"/>
      <c r="E332" s="22"/>
      <c r="F332" s="22"/>
      <c r="G332" s="23"/>
      <c r="H332" s="23"/>
      <c r="I332" s="8" t="str">
        <f t="shared" si="82"/>
        <v/>
      </c>
      <c r="J332" s="2" t="str">
        <f t="shared" si="89"/>
        <v/>
      </c>
      <c r="K332" s="2" t="str">
        <f t="shared" si="83"/>
        <v/>
      </c>
      <c r="L332" s="2" t="str">
        <f t="shared" si="90"/>
        <v/>
      </c>
      <c r="M332" s="2" t="str">
        <f t="shared" si="95"/>
        <v/>
      </c>
      <c r="N332" s="2" t="str">
        <f t="shared" si="91"/>
        <v/>
      </c>
      <c r="O332" s="8" t="str">
        <f t="shared" si="92"/>
        <v/>
      </c>
      <c r="P332" s="8" t="str">
        <f t="shared" si="93"/>
        <v/>
      </c>
      <c r="Q332" s="40" t="str">
        <f t="shared" si="84"/>
        <v/>
      </c>
      <c r="R332" s="48" t="str">
        <f t="shared" si="94"/>
        <v/>
      </c>
      <c r="S332" s="8"/>
      <c r="U332" s="35">
        <f t="shared" si="85"/>
        <v>0</v>
      </c>
      <c r="V332" s="24">
        <f t="shared" si="86"/>
        <v>0</v>
      </c>
      <c r="W332" s="41">
        <f t="shared" si="81"/>
        <v>0</v>
      </c>
      <c r="X332" s="31"/>
      <c r="Y332" s="31"/>
      <c r="Z332" s="31"/>
      <c r="AA332" s="25">
        <f t="shared" si="87"/>
        <v>9.0359999999999996</v>
      </c>
      <c r="AB332" s="25">
        <f t="shared" si="88"/>
        <v>-184.49199999999999</v>
      </c>
      <c r="AD332" s="24">
        <f>IF(D332="M",IF(AG332&lt;78,BMILMS!$D$5*AG332^3+BMILMS!$E$5*AG332^2+BMILMS!$F$5*AG332+BMILMS!$G$5,IF(AG332&lt;150,BMILMS!$D$6*AG332^3+BMILMS!$E$6*AG332^2+BMILMS!$F$6*AG332+BMILMS!$G$6,BMILMS!$D$7*AG332^3+BMILMS!$E$7*AG332^2+BMILMS!$F$7*AG332+BMILMS!$G$7)),IF(AG332&lt;69,BMILMS!$D$9*AG332^3+BMILMS!$E$9*AG332^2+BMILMS!$F$9*AG332+BMILMS!$G$9,IF(AG332&lt;150,BMILMS!$D$10*AG332^3+BMILMS!$E$10*AG332^2+BMILMS!$F$10*AG332+BMILMS!$G$10,BMILMS!$D$11*AG332^3+BMILMS!$E$11*AG332^2+BMILMS!$F$11*AG332+BMILMS!$G$11)))</f>
        <v>0.79584630099999998</v>
      </c>
      <c r="AE332" s="24">
        <f>IF(D332="M",(IF(AG332&lt;2.5,BMILMS!$D$21*AG332^3+BMILMS!$E$21*AG332^2+BMILMS!$F$21*AG332+BMILMS!$G$21,IF(AG332&lt;9.5,BMILMS!$D$22*AG332^3+BMILMS!$E$22*AG332^2+BMILMS!$F$22*AG332+BMILMS!$G$22,IF(AG332&lt;26.75,BMILMS!$D$23*AG332^3+BMILMS!$E$23*AG332^2+BMILMS!$F$23*AG332+BMILMS!$G$23,IF(AG332&lt;90,BMILMS!$D$24*AG332^3+BMILMS!$E$24*AG332^2+BMILMS!$F$24*AG332+BMILMS!$G$24,BMILMS!$D$25*AG332^3+BMILMS!$E$25*AG332^2+BMILMS!$F$25*AG332+BMILMS!$G$25))))),(IF(AG332&lt;2.5,BMILMS!$D$27*AG332^3+BMILMS!$E$27*AG332^2+BMILMS!$F$27*AG332+BMILMS!$G$27,IF(AG332&lt;9.5,BMILMS!$D$28*AG332^3+BMILMS!$E$28*AG332^2+BMILMS!$F$28*AG332+BMILMS!$G$28,IF(AG332&lt;26.75,BMILMS!$D$29*AG332^3+BMILMS!$E$29*AG332^2+BMILMS!$F$29*AG332+BMILMS!$G$29,IF(AG332&lt;90,BMILMS!$D$30*AG332^3+BMILMS!$E$30*AG332^2+BMILMS!$F$30*AG332+BMILMS!$G$30,IF(AG332&lt;150,BMILMS!$D$31*AG332^3+BMILMS!$E$31*AG332^2+BMILMS!$F$31*AG332+BMILMS!$G$31,BMILMS!$D$32*AG332^3+BMILMS!$E$32*AG332^2+BMILMS!$F$32*AG332+BMILMS!$G$32)))))))</f>
        <v>12.568967990000001</v>
      </c>
      <c r="AF332" s="24">
        <f>IF(D332="M",(IF(AG332&lt;90,BMILMS!$D$14*AG332^3+BMILMS!$E$14*AG332^2+BMILMS!$F$14*AG332+BMILMS!$G$14,BMILMS!$D$15*AG332^3+BMILMS!$E$15*AG332^2+BMILMS!$F$15*AG332+BMILMS!$G$15)),(IF(AG332&lt;90,BMILMS!$D$17*AG332^3+BMILMS!$E$17*AG332^2+BMILMS!$F$17*AG332+BMILMS!$G$17,BMILMS!$D$18*AG332^3+BMILMS!$E$18*AG332^2+BMILMS!$F$18*AG332+BMILMS!$G$18)))</f>
        <v>8.8969350000000003E-2</v>
      </c>
      <c r="AG332" s="24">
        <f t="shared" si="96"/>
        <v>0</v>
      </c>
      <c r="AI332" s="38">
        <f>IF(D332="M",WeightSDS!P$5*$AG332^7+WeightSDS!Q$5*$AG332^6+WeightSDS!R$5*$AG332^5+WeightSDS!S$5*$AG332^4+WeightSDS!T$5*$AG332^3+WeightSDS!U$5*$AG332^2+WeightSDS!V$5*$AG332+WeightSDS!W$5,IF($AG332&lt;186,WeightSDS!P$8*$AG332^7+WeightSDS!Q$8*$AG332^6+WeightSDS!R$8*$AG332^5+WeightSDS!S$8*$AG332^4+WeightSDS!T$8*$AG332^3+WeightSDS!U$8*$AG332^2+WeightSDS!V$8*$AG332+WeightSDS!W$8,WeightSDS!$U$9-WeightSDS!$V$9*($AG332-WeightSDS!$W$9)))</f>
        <v>0.75407122999999998</v>
      </c>
      <c r="AJ332" s="24">
        <f>IF(D332="M",IF($AG332&lt;45,WeightSDS!M$23*$AG332^10+WeightSDS!N$23*$AG332^9+WeightSDS!O$23*$AG332^8+WeightSDS!P$23*$AG332^7+WeightSDS!Q$23*$AG332^6+WeightSDS!R$23*$AG332^5+WeightSDS!S$23*$AG332^4+WeightSDS!T$23*$AG332^3+WeightSDS!U$23*$AG332^2+WeightSDS!V$23*$AG332+WeightSDS!W$23,IF($AG332&lt;153,WeightSDS!M$25*$AG332^10+WeightSDS!N$25*$AG332^9+WeightSDS!O$25*$AG332^8+WeightSDS!P$25*$AG332^7+WeightSDS!Q$25*$AG332^6+WeightSDS!R$25*$AG332^5+WeightSDS!S$25*$AG332^4+WeightSDS!T$25*$AG332^3+WeightSDS!U$25*$AG332^2+WeightSDS!V$25*$AG332+WeightSDS!W$25,WeightSDS!M$27+WeightSDS!N$27/(1+EXP(WeightSDS!O$27+WeightSDS!P$27*$AG332)))),IF($AG332&lt;43.8,WeightSDS!M$29*$AG332^10+WeightSDS!N$29*$AG332^9+WeightSDS!O$29*$AG332^8+WeightSDS!P$29*$AG332^7+WeightSDS!Q$29*$AG332^6+WeightSDS!R$29*$AG332^5+WeightSDS!S$29*$AG332^4+WeightSDS!T$29*$AG332^3+WeightSDS!U$29*$AG332^2+WeightSDS!V$29*$AG332+WeightSDS!W$29-0.010431*(1-$AG332/210),IF($AG332&lt;123,WeightSDS!M$30*$AG332^10+WeightSDS!N$30*$AG332^9+WeightSDS!O$30*$AG332^8+WeightSDS!P$30*$AG332^7+WeightSDS!Q$30*$AG332^6+WeightSDS!R$30*$AG332^5+WeightSDS!S$30*$AG332^4+WeightSDS!T$30*$AG332^3+WeightSDS!U$30*$AG332^2+WeightSDS!V$30*$AG332+WeightSDS!W$30-0.010431*(1-1/$AG332),WeightSDS!M$32+WeightSDS!N$32/(1+EXP(WeightSDS!O$32+WeightSDS!P$32*$AG332))-0.010431*(1-$AG332/210))))</f>
        <v>2.9500001032655536</v>
      </c>
      <c r="AK332" s="24">
        <f>IF(D332="M",IF($AG332&lt;162,WeightSDS!P$12*$AG332^7+WeightSDS!Q$12*$AG332^6+WeightSDS!R$12*$AG332^5+WeightSDS!S$12*$AG332^4+WeightSDS!T$12*$AG332^3+WeightSDS!U$12*$AG332^2+WeightSDS!V$12*$AG332+WeightSDS!W$12,WeightSDS!P$14*$AG332^7+WeightSDS!Q$14*$AG332^6+WeightSDS!R$14*$AG332^5+WeightSDS!S$14*$AG332^4+WeightSDS!T$14*$AG332^3+WeightSDS!U$14*$AG332^2+WeightSDS!V$14*$AG332+WeightSDS!W$14),IF($AG332&lt;156,WeightSDS!O$17*$AG332^8+WeightSDS!P$17*$AG332^7+WeightSDS!Q$17*$AG332^6+WeightSDS!R$17*$AG332^5+WeightSDS!S$17*$AG332^4+WeightSDS!T$17*$AG332^3+WeightSDS!U$17*$AG332^2+WeightSDS!V$17*$AG332+WeightSDS!W$17,IF($AG332&lt;186,WeightSDS!$U$18+(WeightSDS!$V$18-WeightSDS!$U$18)/24*($AG332-186)+WeightSDS!$W$18*(-$AG332+186)^2-0.005,WeightSDS!$U$18+(WeightSDS!$V$18-WeightSDS!$U$18)/24*($AG332-186)-0.005)))</f>
        <v>0.14604529399999999</v>
      </c>
    </row>
    <row r="333" spans="1:37">
      <c r="A333" s="4"/>
      <c r="B333" s="21"/>
      <c r="C333" s="21"/>
      <c r="D333" s="21"/>
      <c r="E333" s="22"/>
      <c r="F333" s="22"/>
      <c r="G333" s="23"/>
      <c r="H333" s="23"/>
      <c r="I333" s="8" t="str">
        <f t="shared" si="82"/>
        <v/>
      </c>
      <c r="J333" s="2" t="str">
        <f t="shared" si="89"/>
        <v/>
      </c>
      <c r="K333" s="2" t="str">
        <f t="shared" si="83"/>
        <v/>
      </c>
      <c r="L333" s="2" t="str">
        <f t="shared" si="90"/>
        <v/>
      </c>
      <c r="M333" s="2" t="str">
        <f t="shared" si="95"/>
        <v/>
      </c>
      <c r="N333" s="2" t="str">
        <f t="shared" si="91"/>
        <v/>
      </c>
      <c r="O333" s="8" t="str">
        <f t="shared" si="92"/>
        <v/>
      </c>
      <c r="P333" s="8" t="str">
        <f t="shared" si="93"/>
        <v/>
      </c>
      <c r="Q333" s="40" t="str">
        <f t="shared" si="84"/>
        <v/>
      </c>
      <c r="R333" s="48" t="str">
        <f t="shared" si="94"/>
        <v/>
      </c>
      <c r="S333" s="8"/>
      <c r="U333" s="35">
        <f t="shared" si="85"/>
        <v>0</v>
      </c>
      <c r="V333" s="24">
        <f t="shared" si="86"/>
        <v>0</v>
      </c>
      <c r="W333" s="41">
        <f t="shared" si="81"/>
        <v>0</v>
      </c>
      <c r="X333" s="31"/>
      <c r="Y333" s="31"/>
      <c r="Z333" s="31"/>
      <c r="AA333" s="25">
        <f t="shared" si="87"/>
        <v>9.0359999999999996</v>
      </c>
      <c r="AB333" s="25">
        <f t="shared" si="88"/>
        <v>-184.49199999999999</v>
      </c>
      <c r="AD333" s="24">
        <f>IF(D333="M",IF(AG333&lt;78,BMILMS!$D$5*AG333^3+BMILMS!$E$5*AG333^2+BMILMS!$F$5*AG333+BMILMS!$G$5,IF(AG333&lt;150,BMILMS!$D$6*AG333^3+BMILMS!$E$6*AG333^2+BMILMS!$F$6*AG333+BMILMS!$G$6,BMILMS!$D$7*AG333^3+BMILMS!$E$7*AG333^2+BMILMS!$F$7*AG333+BMILMS!$G$7)),IF(AG333&lt;69,BMILMS!$D$9*AG333^3+BMILMS!$E$9*AG333^2+BMILMS!$F$9*AG333+BMILMS!$G$9,IF(AG333&lt;150,BMILMS!$D$10*AG333^3+BMILMS!$E$10*AG333^2+BMILMS!$F$10*AG333+BMILMS!$G$10,BMILMS!$D$11*AG333^3+BMILMS!$E$11*AG333^2+BMILMS!$F$11*AG333+BMILMS!$G$11)))</f>
        <v>0.79584630099999998</v>
      </c>
      <c r="AE333" s="24">
        <f>IF(D333="M",(IF(AG333&lt;2.5,BMILMS!$D$21*AG333^3+BMILMS!$E$21*AG333^2+BMILMS!$F$21*AG333+BMILMS!$G$21,IF(AG333&lt;9.5,BMILMS!$D$22*AG333^3+BMILMS!$E$22*AG333^2+BMILMS!$F$22*AG333+BMILMS!$G$22,IF(AG333&lt;26.75,BMILMS!$D$23*AG333^3+BMILMS!$E$23*AG333^2+BMILMS!$F$23*AG333+BMILMS!$G$23,IF(AG333&lt;90,BMILMS!$D$24*AG333^3+BMILMS!$E$24*AG333^2+BMILMS!$F$24*AG333+BMILMS!$G$24,BMILMS!$D$25*AG333^3+BMILMS!$E$25*AG333^2+BMILMS!$F$25*AG333+BMILMS!$G$25))))),(IF(AG333&lt;2.5,BMILMS!$D$27*AG333^3+BMILMS!$E$27*AG333^2+BMILMS!$F$27*AG333+BMILMS!$G$27,IF(AG333&lt;9.5,BMILMS!$D$28*AG333^3+BMILMS!$E$28*AG333^2+BMILMS!$F$28*AG333+BMILMS!$G$28,IF(AG333&lt;26.75,BMILMS!$D$29*AG333^3+BMILMS!$E$29*AG333^2+BMILMS!$F$29*AG333+BMILMS!$G$29,IF(AG333&lt;90,BMILMS!$D$30*AG333^3+BMILMS!$E$30*AG333^2+BMILMS!$F$30*AG333+BMILMS!$G$30,IF(AG333&lt;150,BMILMS!$D$31*AG333^3+BMILMS!$E$31*AG333^2+BMILMS!$F$31*AG333+BMILMS!$G$31,BMILMS!$D$32*AG333^3+BMILMS!$E$32*AG333^2+BMILMS!$F$32*AG333+BMILMS!$G$32)))))))</f>
        <v>12.568967990000001</v>
      </c>
      <c r="AF333" s="24">
        <f>IF(D333="M",(IF(AG333&lt;90,BMILMS!$D$14*AG333^3+BMILMS!$E$14*AG333^2+BMILMS!$F$14*AG333+BMILMS!$G$14,BMILMS!$D$15*AG333^3+BMILMS!$E$15*AG333^2+BMILMS!$F$15*AG333+BMILMS!$G$15)),(IF(AG333&lt;90,BMILMS!$D$17*AG333^3+BMILMS!$E$17*AG333^2+BMILMS!$F$17*AG333+BMILMS!$G$17,BMILMS!$D$18*AG333^3+BMILMS!$E$18*AG333^2+BMILMS!$F$18*AG333+BMILMS!$G$18)))</f>
        <v>8.8969350000000003E-2</v>
      </c>
      <c r="AG333" s="24">
        <f t="shared" si="96"/>
        <v>0</v>
      </c>
      <c r="AI333" s="38">
        <f>IF(D333="M",WeightSDS!P$5*$AG333^7+WeightSDS!Q$5*$AG333^6+WeightSDS!R$5*$AG333^5+WeightSDS!S$5*$AG333^4+WeightSDS!T$5*$AG333^3+WeightSDS!U$5*$AG333^2+WeightSDS!V$5*$AG333+WeightSDS!W$5,IF($AG333&lt;186,WeightSDS!P$8*$AG333^7+WeightSDS!Q$8*$AG333^6+WeightSDS!R$8*$AG333^5+WeightSDS!S$8*$AG333^4+WeightSDS!T$8*$AG333^3+WeightSDS!U$8*$AG333^2+WeightSDS!V$8*$AG333+WeightSDS!W$8,WeightSDS!$U$9-WeightSDS!$V$9*($AG333-WeightSDS!$W$9)))</f>
        <v>0.75407122999999998</v>
      </c>
      <c r="AJ333" s="24">
        <f>IF(D333="M",IF($AG333&lt;45,WeightSDS!M$23*$AG333^10+WeightSDS!N$23*$AG333^9+WeightSDS!O$23*$AG333^8+WeightSDS!P$23*$AG333^7+WeightSDS!Q$23*$AG333^6+WeightSDS!R$23*$AG333^5+WeightSDS!S$23*$AG333^4+WeightSDS!T$23*$AG333^3+WeightSDS!U$23*$AG333^2+WeightSDS!V$23*$AG333+WeightSDS!W$23,IF($AG333&lt;153,WeightSDS!M$25*$AG333^10+WeightSDS!N$25*$AG333^9+WeightSDS!O$25*$AG333^8+WeightSDS!P$25*$AG333^7+WeightSDS!Q$25*$AG333^6+WeightSDS!R$25*$AG333^5+WeightSDS!S$25*$AG333^4+WeightSDS!T$25*$AG333^3+WeightSDS!U$25*$AG333^2+WeightSDS!V$25*$AG333+WeightSDS!W$25,WeightSDS!M$27+WeightSDS!N$27/(1+EXP(WeightSDS!O$27+WeightSDS!P$27*$AG333)))),IF($AG333&lt;43.8,WeightSDS!M$29*$AG333^10+WeightSDS!N$29*$AG333^9+WeightSDS!O$29*$AG333^8+WeightSDS!P$29*$AG333^7+WeightSDS!Q$29*$AG333^6+WeightSDS!R$29*$AG333^5+WeightSDS!S$29*$AG333^4+WeightSDS!T$29*$AG333^3+WeightSDS!U$29*$AG333^2+WeightSDS!V$29*$AG333+WeightSDS!W$29-0.010431*(1-$AG333/210),IF($AG333&lt;123,WeightSDS!M$30*$AG333^10+WeightSDS!N$30*$AG333^9+WeightSDS!O$30*$AG333^8+WeightSDS!P$30*$AG333^7+WeightSDS!Q$30*$AG333^6+WeightSDS!R$30*$AG333^5+WeightSDS!S$30*$AG333^4+WeightSDS!T$30*$AG333^3+WeightSDS!U$30*$AG333^2+WeightSDS!V$30*$AG333+WeightSDS!W$30-0.010431*(1-1/$AG333),WeightSDS!M$32+WeightSDS!N$32/(1+EXP(WeightSDS!O$32+WeightSDS!P$32*$AG333))-0.010431*(1-$AG333/210))))</f>
        <v>2.9500001032655536</v>
      </c>
      <c r="AK333" s="24">
        <f>IF(D333="M",IF($AG333&lt;162,WeightSDS!P$12*$AG333^7+WeightSDS!Q$12*$AG333^6+WeightSDS!R$12*$AG333^5+WeightSDS!S$12*$AG333^4+WeightSDS!T$12*$AG333^3+WeightSDS!U$12*$AG333^2+WeightSDS!V$12*$AG333+WeightSDS!W$12,WeightSDS!P$14*$AG333^7+WeightSDS!Q$14*$AG333^6+WeightSDS!R$14*$AG333^5+WeightSDS!S$14*$AG333^4+WeightSDS!T$14*$AG333^3+WeightSDS!U$14*$AG333^2+WeightSDS!V$14*$AG333+WeightSDS!W$14),IF($AG333&lt;156,WeightSDS!O$17*$AG333^8+WeightSDS!P$17*$AG333^7+WeightSDS!Q$17*$AG333^6+WeightSDS!R$17*$AG333^5+WeightSDS!S$17*$AG333^4+WeightSDS!T$17*$AG333^3+WeightSDS!U$17*$AG333^2+WeightSDS!V$17*$AG333+WeightSDS!W$17,IF($AG333&lt;186,WeightSDS!$U$18+(WeightSDS!$V$18-WeightSDS!$U$18)/24*($AG333-186)+WeightSDS!$W$18*(-$AG333+186)^2-0.005,WeightSDS!$U$18+(WeightSDS!$V$18-WeightSDS!$U$18)/24*($AG333-186)-0.005)))</f>
        <v>0.14604529399999999</v>
      </c>
    </row>
    <row r="334" spans="1:37">
      <c r="A334" s="4"/>
      <c r="B334" s="21"/>
      <c r="C334" s="21"/>
      <c r="D334" s="21"/>
      <c r="E334" s="22"/>
      <c r="F334" s="22"/>
      <c r="G334" s="23"/>
      <c r="H334" s="23"/>
      <c r="I334" s="8" t="str">
        <f t="shared" si="82"/>
        <v/>
      </c>
      <c r="J334" s="2" t="str">
        <f t="shared" si="89"/>
        <v/>
      </c>
      <c r="K334" s="2" t="str">
        <f t="shared" si="83"/>
        <v/>
      </c>
      <c r="L334" s="2" t="str">
        <f t="shared" si="90"/>
        <v/>
      </c>
      <c r="M334" s="2" t="str">
        <f t="shared" si="95"/>
        <v/>
      </c>
      <c r="N334" s="2" t="str">
        <f t="shared" si="91"/>
        <v/>
      </c>
      <c r="O334" s="8" t="str">
        <f t="shared" si="92"/>
        <v/>
      </c>
      <c r="P334" s="8" t="str">
        <f t="shared" si="93"/>
        <v/>
      </c>
      <c r="Q334" s="40" t="str">
        <f t="shared" si="84"/>
        <v/>
      </c>
      <c r="R334" s="48" t="str">
        <f t="shared" si="94"/>
        <v/>
      </c>
      <c r="S334" s="8"/>
      <c r="U334" s="35">
        <f t="shared" si="85"/>
        <v>0</v>
      </c>
      <c r="V334" s="24">
        <f t="shared" si="86"/>
        <v>0</v>
      </c>
      <c r="W334" s="41">
        <f t="shared" si="81"/>
        <v>0</v>
      </c>
      <c r="X334" s="31"/>
      <c r="Y334" s="31"/>
      <c r="Z334" s="31"/>
      <c r="AA334" s="25">
        <f t="shared" si="87"/>
        <v>9.0359999999999996</v>
      </c>
      <c r="AB334" s="25">
        <f t="shared" si="88"/>
        <v>-184.49199999999999</v>
      </c>
      <c r="AD334" s="24">
        <f>IF(D334="M",IF(AG334&lt;78,BMILMS!$D$5*AG334^3+BMILMS!$E$5*AG334^2+BMILMS!$F$5*AG334+BMILMS!$G$5,IF(AG334&lt;150,BMILMS!$D$6*AG334^3+BMILMS!$E$6*AG334^2+BMILMS!$F$6*AG334+BMILMS!$G$6,BMILMS!$D$7*AG334^3+BMILMS!$E$7*AG334^2+BMILMS!$F$7*AG334+BMILMS!$G$7)),IF(AG334&lt;69,BMILMS!$D$9*AG334^3+BMILMS!$E$9*AG334^2+BMILMS!$F$9*AG334+BMILMS!$G$9,IF(AG334&lt;150,BMILMS!$D$10*AG334^3+BMILMS!$E$10*AG334^2+BMILMS!$F$10*AG334+BMILMS!$G$10,BMILMS!$D$11*AG334^3+BMILMS!$E$11*AG334^2+BMILMS!$F$11*AG334+BMILMS!$G$11)))</f>
        <v>0.79584630099999998</v>
      </c>
      <c r="AE334" s="24">
        <f>IF(D334="M",(IF(AG334&lt;2.5,BMILMS!$D$21*AG334^3+BMILMS!$E$21*AG334^2+BMILMS!$F$21*AG334+BMILMS!$G$21,IF(AG334&lt;9.5,BMILMS!$D$22*AG334^3+BMILMS!$E$22*AG334^2+BMILMS!$F$22*AG334+BMILMS!$G$22,IF(AG334&lt;26.75,BMILMS!$D$23*AG334^3+BMILMS!$E$23*AG334^2+BMILMS!$F$23*AG334+BMILMS!$G$23,IF(AG334&lt;90,BMILMS!$D$24*AG334^3+BMILMS!$E$24*AG334^2+BMILMS!$F$24*AG334+BMILMS!$G$24,BMILMS!$D$25*AG334^3+BMILMS!$E$25*AG334^2+BMILMS!$F$25*AG334+BMILMS!$G$25))))),(IF(AG334&lt;2.5,BMILMS!$D$27*AG334^3+BMILMS!$E$27*AG334^2+BMILMS!$F$27*AG334+BMILMS!$G$27,IF(AG334&lt;9.5,BMILMS!$D$28*AG334^3+BMILMS!$E$28*AG334^2+BMILMS!$F$28*AG334+BMILMS!$G$28,IF(AG334&lt;26.75,BMILMS!$D$29*AG334^3+BMILMS!$E$29*AG334^2+BMILMS!$F$29*AG334+BMILMS!$G$29,IF(AG334&lt;90,BMILMS!$D$30*AG334^3+BMILMS!$E$30*AG334^2+BMILMS!$F$30*AG334+BMILMS!$G$30,IF(AG334&lt;150,BMILMS!$D$31*AG334^3+BMILMS!$E$31*AG334^2+BMILMS!$F$31*AG334+BMILMS!$G$31,BMILMS!$D$32*AG334^3+BMILMS!$E$32*AG334^2+BMILMS!$F$32*AG334+BMILMS!$G$32)))))))</f>
        <v>12.568967990000001</v>
      </c>
      <c r="AF334" s="24">
        <f>IF(D334="M",(IF(AG334&lt;90,BMILMS!$D$14*AG334^3+BMILMS!$E$14*AG334^2+BMILMS!$F$14*AG334+BMILMS!$G$14,BMILMS!$D$15*AG334^3+BMILMS!$E$15*AG334^2+BMILMS!$F$15*AG334+BMILMS!$G$15)),(IF(AG334&lt;90,BMILMS!$D$17*AG334^3+BMILMS!$E$17*AG334^2+BMILMS!$F$17*AG334+BMILMS!$G$17,BMILMS!$D$18*AG334^3+BMILMS!$E$18*AG334^2+BMILMS!$F$18*AG334+BMILMS!$G$18)))</f>
        <v>8.8969350000000003E-2</v>
      </c>
      <c r="AG334" s="24">
        <f t="shared" si="96"/>
        <v>0</v>
      </c>
      <c r="AI334" s="38">
        <f>IF(D334="M",WeightSDS!P$5*$AG334^7+WeightSDS!Q$5*$AG334^6+WeightSDS!R$5*$AG334^5+WeightSDS!S$5*$AG334^4+WeightSDS!T$5*$AG334^3+WeightSDS!U$5*$AG334^2+WeightSDS!V$5*$AG334+WeightSDS!W$5,IF($AG334&lt;186,WeightSDS!P$8*$AG334^7+WeightSDS!Q$8*$AG334^6+WeightSDS!R$8*$AG334^5+WeightSDS!S$8*$AG334^4+WeightSDS!T$8*$AG334^3+WeightSDS!U$8*$AG334^2+WeightSDS!V$8*$AG334+WeightSDS!W$8,WeightSDS!$U$9-WeightSDS!$V$9*($AG334-WeightSDS!$W$9)))</f>
        <v>0.75407122999999998</v>
      </c>
      <c r="AJ334" s="24">
        <f>IF(D334="M",IF($AG334&lt;45,WeightSDS!M$23*$AG334^10+WeightSDS!N$23*$AG334^9+WeightSDS!O$23*$AG334^8+WeightSDS!P$23*$AG334^7+WeightSDS!Q$23*$AG334^6+WeightSDS!R$23*$AG334^5+WeightSDS!S$23*$AG334^4+WeightSDS!T$23*$AG334^3+WeightSDS!U$23*$AG334^2+WeightSDS!V$23*$AG334+WeightSDS!W$23,IF($AG334&lt;153,WeightSDS!M$25*$AG334^10+WeightSDS!N$25*$AG334^9+WeightSDS!O$25*$AG334^8+WeightSDS!P$25*$AG334^7+WeightSDS!Q$25*$AG334^6+WeightSDS!R$25*$AG334^5+WeightSDS!S$25*$AG334^4+WeightSDS!T$25*$AG334^3+WeightSDS!U$25*$AG334^2+WeightSDS!V$25*$AG334+WeightSDS!W$25,WeightSDS!M$27+WeightSDS!N$27/(1+EXP(WeightSDS!O$27+WeightSDS!P$27*$AG334)))),IF($AG334&lt;43.8,WeightSDS!M$29*$AG334^10+WeightSDS!N$29*$AG334^9+WeightSDS!O$29*$AG334^8+WeightSDS!P$29*$AG334^7+WeightSDS!Q$29*$AG334^6+WeightSDS!R$29*$AG334^5+WeightSDS!S$29*$AG334^4+WeightSDS!T$29*$AG334^3+WeightSDS!U$29*$AG334^2+WeightSDS!V$29*$AG334+WeightSDS!W$29-0.010431*(1-$AG334/210),IF($AG334&lt;123,WeightSDS!M$30*$AG334^10+WeightSDS!N$30*$AG334^9+WeightSDS!O$30*$AG334^8+WeightSDS!P$30*$AG334^7+WeightSDS!Q$30*$AG334^6+WeightSDS!R$30*$AG334^5+WeightSDS!S$30*$AG334^4+WeightSDS!T$30*$AG334^3+WeightSDS!U$30*$AG334^2+WeightSDS!V$30*$AG334+WeightSDS!W$30-0.010431*(1-1/$AG334),WeightSDS!M$32+WeightSDS!N$32/(1+EXP(WeightSDS!O$32+WeightSDS!P$32*$AG334))-0.010431*(1-$AG334/210))))</f>
        <v>2.9500001032655536</v>
      </c>
      <c r="AK334" s="24">
        <f>IF(D334="M",IF($AG334&lt;162,WeightSDS!P$12*$AG334^7+WeightSDS!Q$12*$AG334^6+WeightSDS!R$12*$AG334^5+WeightSDS!S$12*$AG334^4+WeightSDS!T$12*$AG334^3+WeightSDS!U$12*$AG334^2+WeightSDS!V$12*$AG334+WeightSDS!W$12,WeightSDS!P$14*$AG334^7+WeightSDS!Q$14*$AG334^6+WeightSDS!R$14*$AG334^5+WeightSDS!S$14*$AG334^4+WeightSDS!T$14*$AG334^3+WeightSDS!U$14*$AG334^2+WeightSDS!V$14*$AG334+WeightSDS!W$14),IF($AG334&lt;156,WeightSDS!O$17*$AG334^8+WeightSDS!P$17*$AG334^7+WeightSDS!Q$17*$AG334^6+WeightSDS!R$17*$AG334^5+WeightSDS!S$17*$AG334^4+WeightSDS!T$17*$AG334^3+WeightSDS!U$17*$AG334^2+WeightSDS!V$17*$AG334+WeightSDS!W$17,IF($AG334&lt;186,WeightSDS!$U$18+(WeightSDS!$V$18-WeightSDS!$U$18)/24*($AG334-186)+WeightSDS!$W$18*(-$AG334+186)^2-0.005,WeightSDS!$U$18+(WeightSDS!$V$18-WeightSDS!$U$18)/24*($AG334-186)-0.005)))</f>
        <v>0.14604529399999999</v>
      </c>
    </row>
    <row r="335" spans="1:37">
      <c r="A335" s="4"/>
      <c r="B335" s="21"/>
      <c r="C335" s="21"/>
      <c r="D335" s="21"/>
      <c r="E335" s="22"/>
      <c r="F335" s="22"/>
      <c r="G335" s="23"/>
      <c r="H335" s="23"/>
      <c r="I335" s="8" t="str">
        <f t="shared" si="82"/>
        <v/>
      </c>
      <c r="J335" s="2" t="str">
        <f t="shared" si="89"/>
        <v/>
      </c>
      <c r="K335" s="2" t="str">
        <f t="shared" si="83"/>
        <v/>
      </c>
      <c r="L335" s="2" t="str">
        <f t="shared" si="90"/>
        <v/>
      </c>
      <c r="M335" s="2" t="str">
        <f t="shared" si="95"/>
        <v/>
      </c>
      <c r="N335" s="2" t="str">
        <f t="shared" si="91"/>
        <v/>
      </c>
      <c r="O335" s="8" t="str">
        <f t="shared" si="92"/>
        <v/>
      </c>
      <c r="P335" s="8" t="str">
        <f t="shared" si="93"/>
        <v/>
      </c>
      <c r="Q335" s="40" t="str">
        <f t="shared" si="84"/>
        <v/>
      </c>
      <c r="R335" s="48" t="str">
        <f t="shared" si="94"/>
        <v/>
      </c>
      <c r="S335" s="8"/>
      <c r="U335" s="35">
        <f t="shared" si="85"/>
        <v>0</v>
      </c>
      <c r="V335" s="24">
        <f t="shared" si="86"/>
        <v>0</v>
      </c>
      <c r="W335" s="41">
        <f t="shared" si="81"/>
        <v>0</v>
      </c>
      <c r="X335" s="31"/>
      <c r="Y335" s="31"/>
      <c r="Z335" s="31"/>
      <c r="AA335" s="25">
        <f t="shared" si="87"/>
        <v>9.0359999999999996</v>
      </c>
      <c r="AB335" s="25">
        <f t="shared" si="88"/>
        <v>-184.49199999999999</v>
      </c>
      <c r="AD335" s="24">
        <f>IF(D335="M",IF(AG335&lt;78,BMILMS!$D$5*AG335^3+BMILMS!$E$5*AG335^2+BMILMS!$F$5*AG335+BMILMS!$G$5,IF(AG335&lt;150,BMILMS!$D$6*AG335^3+BMILMS!$E$6*AG335^2+BMILMS!$F$6*AG335+BMILMS!$G$6,BMILMS!$D$7*AG335^3+BMILMS!$E$7*AG335^2+BMILMS!$F$7*AG335+BMILMS!$G$7)),IF(AG335&lt;69,BMILMS!$D$9*AG335^3+BMILMS!$E$9*AG335^2+BMILMS!$F$9*AG335+BMILMS!$G$9,IF(AG335&lt;150,BMILMS!$D$10*AG335^3+BMILMS!$E$10*AG335^2+BMILMS!$F$10*AG335+BMILMS!$G$10,BMILMS!$D$11*AG335^3+BMILMS!$E$11*AG335^2+BMILMS!$F$11*AG335+BMILMS!$G$11)))</f>
        <v>0.79584630099999998</v>
      </c>
      <c r="AE335" s="24">
        <f>IF(D335="M",(IF(AG335&lt;2.5,BMILMS!$D$21*AG335^3+BMILMS!$E$21*AG335^2+BMILMS!$F$21*AG335+BMILMS!$G$21,IF(AG335&lt;9.5,BMILMS!$D$22*AG335^3+BMILMS!$E$22*AG335^2+BMILMS!$F$22*AG335+BMILMS!$G$22,IF(AG335&lt;26.75,BMILMS!$D$23*AG335^3+BMILMS!$E$23*AG335^2+BMILMS!$F$23*AG335+BMILMS!$G$23,IF(AG335&lt;90,BMILMS!$D$24*AG335^3+BMILMS!$E$24*AG335^2+BMILMS!$F$24*AG335+BMILMS!$G$24,BMILMS!$D$25*AG335^3+BMILMS!$E$25*AG335^2+BMILMS!$F$25*AG335+BMILMS!$G$25))))),(IF(AG335&lt;2.5,BMILMS!$D$27*AG335^3+BMILMS!$E$27*AG335^2+BMILMS!$F$27*AG335+BMILMS!$G$27,IF(AG335&lt;9.5,BMILMS!$D$28*AG335^3+BMILMS!$E$28*AG335^2+BMILMS!$F$28*AG335+BMILMS!$G$28,IF(AG335&lt;26.75,BMILMS!$D$29*AG335^3+BMILMS!$E$29*AG335^2+BMILMS!$F$29*AG335+BMILMS!$G$29,IF(AG335&lt;90,BMILMS!$D$30*AG335^3+BMILMS!$E$30*AG335^2+BMILMS!$F$30*AG335+BMILMS!$G$30,IF(AG335&lt;150,BMILMS!$D$31*AG335^3+BMILMS!$E$31*AG335^2+BMILMS!$F$31*AG335+BMILMS!$G$31,BMILMS!$D$32*AG335^3+BMILMS!$E$32*AG335^2+BMILMS!$F$32*AG335+BMILMS!$G$32)))))))</f>
        <v>12.568967990000001</v>
      </c>
      <c r="AF335" s="24">
        <f>IF(D335="M",(IF(AG335&lt;90,BMILMS!$D$14*AG335^3+BMILMS!$E$14*AG335^2+BMILMS!$F$14*AG335+BMILMS!$G$14,BMILMS!$D$15*AG335^3+BMILMS!$E$15*AG335^2+BMILMS!$F$15*AG335+BMILMS!$G$15)),(IF(AG335&lt;90,BMILMS!$D$17*AG335^3+BMILMS!$E$17*AG335^2+BMILMS!$F$17*AG335+BMILMS!$G$17,BMILMS!$D$18*AG335^3+BMILMS!$E$18*AG335^2+BMILMS!$F$18*AG335+BMILMS!$G$18)))</f>
        <v>8.8969350000000003E-2</v>
      </c>
      <c r="AG335" s="24">
        <f t="shared" si="96"/>
        <v>0</v>
      </c>
      <c r="AI335" s="38">
        <f>IF(D335="M",WeightSDS!P$5*$AG335^7+WeightSDS!Q$5*$AG335^6+WeightSDS!R$5*$AG335^5+WeightSDS!S$5*$AG335^4+WeightSDS!T$5*$AG335^3+WeightSDS!U$5*$AG335^2+WeightSDS!V$5*$AG335+WeightSDS!W$5,IF($AG335&lt;186,WeightSDS!P$8*$AG335^7+WeightSDS!Q$8*$AG335^6+WeightSDS!R$8*$AG335^5+WeightSDS!S$8*$AG335^4+WeightSDS!T$8*$AG335^3+WeightSDS!U$8*$AG335^2+WeightSDS!V$8*$AG335+WeightSDS!W$8,WeightSDS!$U$9-WeightSDS!$V$9*($AG335-WeightSDS!$W$9)))</f>
        <v>0.75407122999999998</v>
      </c>
      <c r="AJ335" s="24">
        <f>IF(D335="M",IF($AG335&lt;45,WeightSDS!M$23*$AG335^10+WeightSDS!N$23*$AG335^9+WeightSDS!O$23*$AG335^8+WeightSDS!P$23*$AG335^7+WeightSDS!Q$23*$AG335^6+WeightSDS!R$23*$AG335^5+WeightSDS!S$23*$AG335^4+WeightSDS!T$23*$AG335^3+WeightSDS!U$23*$AG335^2+WeightSDS!V$23*$AG335+WeightSDS!W$23,IF($AG335&lt;153,WeightSDS!M$25*$AG335^10+WeightSDS!N$25*$AG335^9+WeightSDS!O$25*$AG335^8+WeightSDS!P$25*$AG335^7+WeightSDS!Q$25*$AG335^6+WeightSDS!R$25*$AG335^5+WeightSDS!S$25*$AG335^4+WeightSDS!T$25*$AG335^3+WeightSDS!U$25*$AG335^2+WeightSDS!V$25*$AG335+WeightSDS!W$25,WeightSDS!M$27+WeightSDS!N$27/(1+EXP(WeightSDS!O$27+WeightSDS!P$27*$AG335)))),IF($AG335&lt;43.8,WeightSDS!M$29*$AG335^10+WeightSDS!N$29*$AG335^9+WeightSDS!O$29*$AG335^8+WeightSDS!P$29*$AG335^7+WeightSDS!Q$29*$AG335^6+WeightSDS!R$29*$AG335^5+WeightSDS!S$29*$AG335^4+WeightSDS!T$29*$AG335^3+WeightSDS!U$29*$AG335^2+WeightSDS!V$29*$AG335+WeightSDS!W$29-0.010431*(1-$AG335/210),IF($AG335&lt;123,WeightSDS!M$30*$AG335^10+WeightSDS!N$30*$AG335^9+WeightSDS!O$30*$AG335^8+WeightSDS!P$30*$AG335^7+WeightSDS!Q$30*$AG335^6+WeightSDS!R$30*$AG335^5+WeightSDS!S$30*$AG335^4+WeightSDS!T$30*$AG335^3+WeightSDS!U$30*$AG335^2+WeightSDS!V$30*$AG335+WeightSDS!W$30-0.010431*(1-1/$AG335),WeightSDS!M$32+WeightSDS!N$32/(1+EXP(WeightSDS!O$32+WeightSDS!P$32*$AG335))-0.010431*(1-$AG335/210))))</f>
        <v>2.9500001032655536</v>
      </c>
      <c r="AK335" s="24">
        <f>IF(D335="M",IF($AG335&lt;162,WeightSDS!P$12*$AG335^7+WeightSDS!Q$12*$AG335^6+WeightSDS!R$12*$AG335^5+WeightSDS!S$12*$AG335^4+WeightSDS!T$12*$AG335^3+WeightSDS!U$12*$AG335^2+WeightSDS!V$12*$AG335+WeightSDS!W$12,WeightSDS!P$14*$AG335^7+WeightSDS!Q$14*$AG335^6+WeightSDS!R$14*$AG335^5+WeightSDS!S$14*$AG335^4+WeightSDS!T$14*$AG335^3+WeightSDS!U$14*$AG335^2+WeightSDS!V$14*$AG335+WeightSDS!W$14),IF($AG335&lt;156,WeightSDS!O$17*$AG335^8+WeightSDS!P$17*$AG335^7+WeightSDS!Q$17*$AG335^6+WeightSDS!R$17*$AG335^5+WeightSDS!S$17*$AG335^4+WeightSDS!T$17*$AG335^3+WeightSDS!U$17*$AG335^2+WeightSDS!V$17*$AG335+WeightSDS!W$17,IF($AG335&lt;186,WeightSDS!$U$18+(WeightSDS!$V$18-WeightSDS!$U$18)/24*($AG335-186)+WeightSDS!$W$18*(-$AG335+186)^2-0.005,WeightSDS!$U$18+(WeightSDS!$V$18-WeightSDS!$U$18)/24*($AG335-186)-0.005)))</f>
        <v>0.14604529399999999</v>
      </c>
    </row>
    <row r="336" spans="1:37">
      <c r="A336" s="4"/>
      <c r="B336" s="21"/>
      <c r="C336" s="21"/>
      <c r="D336" s="21"/>
      <c r="E336" s="22"/>
      <c r="F336" s="22"/>
      <c r="G336" s="23"/>
      <c r="H336" s="23"/>
      <c r="I336" s="8" t="str">
        <f t="shared" si="82"/>
        <v/>
      </c>
      <c r="J336" s="2" t="str">
        <f t="shared" si="89"/>
        <v/>
      </c>
      <c r="K336" s="2" t="str">
        <f t="shared" si="83"/>
        <v/>
      </c>
      <c r="L336" s="2" t="str">
        <f t="shared" si="90"/>
        <v/>
      </c>
      <c r="M336" s="2" t="str">
        <f t="shared" si="95"/>
        <v/>
      </c>
      <c r="N336" s="2" t="str">
        <f t="shared" si="91"/>
        <v/>
      </c>
      <c r="O336" s="8" t="str">
        <f t="shared" si="92"/>
        <v/>
      </c>
      <c r="P336" s="8" t="str">
        <f t="shared" si="93"/>
        <v/>
      </c>
      <c r="Q336" s="40" t="str">
        <f t="shared" si="84"/>
        <v/>
      </c>
      <c r="R336" s="48" t="str">
        <f t="shared" si="94"/>
        <v/>
      </c>
      <c r="S336" s="8"/>
      <c r="U336" s="35">
        <f t="shared" si="85"/>
        <v>0</v>
      </c>
      <c r="V336" s="24">
        <f t="shared" si="86"/>
        <v>0</v>
      </c>
      <c r="W336" s="41">
        <f t="shared" si="81"/>
        <v>0</v>
      </c>
      <c r="X336" s="31"/>
      <c r="Y336" s="31"/>
      <c r="Z336" s="31"/>
      <c r="AA336" s="25">
        <f t="shared" si="87"/>
        <v>9.0359999999999996</v>
      </c>
      <c r="AB336" s="25">
        <f t="shared" si="88"/>
        <v>-184.49199999999999</v>
      </c>
      <c r="AD336" s="24">
        <f>IF(D336="M",IF(AG336&lt;78,BMILMS!$D$5*AG336^3+BMILMS!$E$5*AG336^2+BMILMS!$F$5*AG336+BMILMS!$G$5,IF(AG336&lt;150,BMILMS!$D$6*AG336^3+BMILMS!$E$6*AG336^2+BMILMS!$F$6*AG336+BMILMS!$G$6,BMILMS!$D$7*AG336^3+BMILMS!$E$7*AG336^2+BMILMS!$F$7*AG336+BMILMS!$G$7)),IF(AG336&lt;69,BMILMS!$D$9*AG336^3+BMILMS!$E$9*AG336^2+BMILMS!$F$9*AG336+BMILMS!$G$9,IF(AG336&lt;150,BMILMS!$D$10*AG336^3+BMILMS!$E$10*AG336^2+BMILMS!$F$10*AG336+BMILMS!$G$10,BMILMS!$D$11*AG336^3+BMILMS!$E$11*AG336^2+BMILMS!$F$11*AG336+BMILMS!$G$11)))</f>
        <v>0.79584630099999998</v>
      </c>
      <c r="AE336" s="24">
        <f>IF(D336="M",(IF(AG336&lt;2.5,BMILMS!$D$21*AG336^3+BMILMS!$E$21*AG336^2+BMILMS!$F$21*AG336+BMILMS!$G$21,IF(AG336&lt;9.5,BMILMS!$D$22*AG336^3+BMILMS!$E$22*AG336^2+BMILMS!$F$22*AG336+BMILMS!$G$22,IF(AG336&lt;26.75,BMILMS!$D$23*AG336^3+BMILMS!$E$23*AG336^2+BMILMS!$F$23*AG336+BMILMS!$G$23,IF(AG336&lt;90,BMILMS!$D$24*AG336^3+BMILMS!$E$24*AG336^2+BMILMS!$F$24*AG336+BMILMS!$G$24,BMILMS!$D$25*AG336^3+BMILMS!$E$25*AG336^2+BMILMS!$F$25*AG336+BMILMS!$G$25))))),(IF(AG336&lt;2.5,BMILMS!$D$27*AG336^3+BMILMS!$E$27*AG336^2+BMILMS!$F$27*AG336+BMILMS!$G$27,IF(AG336&lt;9.5,BMILMS!$D$28*AG336^3+BMILMS!$E$28*AG336^2+BMILMS!$F$28*AG336+BMILMS!$G$28,IF(AG336&lt;26.75,BMILMS!$D$29*AG336^3+BMILMS!$E$29*AG336^2+BMILMS!$F$29*AG336+BMILMS!$G$29,IF(AG336&lt;90,BMILMS!$D$30*AG336^3+BMILMS!$E$30*AG336^2+BMILMS!$F$30*AG336+BMILMS!$G$30,IF(AG336&lt;150,BMILMS!$D$31*AG336^3+BMILMS!$E$31*AG336^2+BMILMS!$F$31*AG336+BMILMS!$G$31,BMILMS!$D$32*AG336^3+BMILMS!$E$32*AG336^2+BMILMS!$F$32*AG336+BMILMS!$G$32)))))))</f>
        <v>12.568967990000001</v>
      </c>
      <c r="AF336" s="24">
        <f>IF(D336="M",(IF(AG336&lt;90,BMILMS!$D$14*AG336^3+BMILMS!$E$14*AG336^2+BMILMS!$F$14*AG336+BMILMS!$G$14,BMILMS!$D$15*AG336^3+BMILMS!$E$15*AG336^2+BMILMS!$F$15*AG336+BMILMS!$G$15)),(IF(AG336&lt;90,BMILMS!$D$17*AG336^3+BMILMS!$E$17*AG336^2+BMILMS!$F$17*AG336+BMILMS!$G$17,BMILMS!$D$18*AG336^3+BMILMS!$E$18*AG336^2+BMILMS!$F$18*AG336+BMILMS!$G$18)))</f>
        <v>8.8969350000000003E-2</v>
      </c>
      <c r="AG336" s="24">
        <f t="shared" si="96"/>
        <v>0</v>
      </c>
      <c r="AI336" s="38">
        <f>IF(D336="M",WeightSDS!P$5*$AG336^7+WeightSDS!Q$5*$AG336^6+WeightSDS!R$5*$AG336^5+WeightSDS!S$5*$AG336^4+WeightSDS!T$5*$AG336^3+WeightSDS!U$5*$AG336^2+WeightSDS!V$5*$AG336+WeightSDS!W$5,IF($AG336&lt;186,WeightSDS!P$8*$AG336^7+WeightSDS!Q$8*$AG336^6+WeightSDS!R$8*$AG336^5+WeightSDS!S$8*$AG336^4+WeightSDS!T$8*$AG336^3+WeightSDS!U$8*$AG336^2+WeightSDS!V$8*$AG336+WeightSDS!W$8,WeightSDS!$U$9-WeightSDS!$V$9*($AG336-WeightSDS!$W$9)))</f>
        <v>0.75407122999999998</v>
      </c>
      <c r="AJ336" s="24">
        <f>IF(D336="M",IF($AG336&lt;45,WeightSDS!M$23*$AG336^10+WeightSDS!N$23*$AG336^9+WeightSDS!O$23*$AG336^8+WeightSDS!P$23*$AG336^7+WeightSDS!Q$23*$AG336^6+WeightSDS!R$23*$AG336^5+WeightSDS!S$23*$AG336^4+WeightSDS!T$23*$AG336^3+WeightSDS!U$23*$AG336^2+WeightSDS!V$23*$AG336+WeightSDS!W$23,IF($AG336&lt;153,WeightSDS!M$25*$AG336^10+WeightSDS!N$25*$AG336^9+WeightSDS!O$25*$AG336^8+WeightSDS!P$25*$AG336^7+WeightSDS!Q$25*$AG336^6+WeightSDS!R$25*$AG336^5+WeightSDS!S$25*$AG336^4+WeightSDS!T$25*$AG336^3+WeightSDS!U$25*$AG336^2+WeightSDS!V$25*$AG336+WeightSDS!W$25,WeightSDS!M$27+WeightSDS!N$27/(1+EXP(WeightSDS!O$27+WeightSDS!P$27*$AG336)))),IF($AG336&lt;43.8,WeightSDS!M$29*$AG336^10+WeightSDS!N$29*$AG336^9+WeightSDS!O$29*$AG336^8+WeightSDS!P$29*$AG336^7+WeightSDS!Q$29*$AG336^6+WeightSDS!R$29*$AG336^5+WeightSDS!S$29*$AG336^4+WeightSDS!T$29*$AG336^3+WeightSDS!U$29*$AG336^2+WeightSDS!V$29*$AG336+WeightSDS!W$29-0.010431*(1-$AG336/210),IF($AG336&lt;123,WeightSDS!M$30*$AG336^10+WeightSDS!N$30*$AG336^9+WeightSDS!O$30*$AG336^8+WeightSDS!P$30*$AG336^7+WeightSDS!Q$30*$AG336^6+WeightSDS!R$30*$AG336^5+WeightSDS!S$30*$AG336^4+WeightSDS!T$30*$AG336^3+WeightSDS!U$30*$AG336^2+WeightSDS!V$30*$AG336+WeightSDS!W$30-0.010431*(1-1/$AG336),WeightSDS!M$32+WeightSDS!N$32/(1+EXP(WeightSDS!O$32+WeightSDS!P$32*$AG336))-0.010431*(1-$AG336/210))))</f>
        <v>2.9500001032655536</v>
      </c>
      <c r="AK336" s="24">
        <f>IF(D336="M",IF($AG336&lt;162,WeightSDS!P$12*$AG336^7+WeightSDS!Q$12*$AG336^6+WeightSDS!R$12*$AG336^5+WeightSDS!S$12*$AG336^4+WeightSDS!T$12*$AG336^3+WeightSDS!U$12*$AG336^2+WeightSDS!V$12*$AG336+WeightSDS!W$12,WeightSDS!P$14*$AG336^7+WeightSDS!Q$14*$AG336^6+WeightSDS!R$14*$AG336^5+WeightSDS!S$14*$AG336^4+WeightSDS!T$14*$AG336^3+WeightSDS!U$14*$AG336^2+WeightSDS!V$14*$AG336+WeightSDS!W$14),IF($AG336&lt;156,WeightSDS!O$17*$AG336^8+WeightSDS!P$17*$AG336^7+WeightSDS!Q$17*$AG336^6+WeightSDS!R$17*$AG336^5+WeightSDS!S$17*$AG336^4+WeightSDS!T$17*$AG336^3+WeightSDS!U$17*$AG336^2+WeightSDS!V$17*$AG336+WeightSDS!W$17,IF($AG336&lt;186,WeightSDS!$U$18+(WeightSDS!$V$18-WeightSDS!$U$18)/24*($AG336-186)+WeightSDS!$W$18*(-$AG336+186)^2-0.005,WeightSDS!$U$18+(WeightSDS!$V$18-WeightSDS!$U$18)/24*($AG336-186)-0.005)))</f>
        <v>0.14604529399999999</v>
      </c>
    </row>
    <row r="337" spans="1:37">
      <c r="A337" s="4"/>
      <c r="B337" s="21"/>
      <c r="C337" s="21"/>
      <c r="D337" s="21"/>
      <c r="E337" s="22"/>
      <c r="F337" s="22"/>
      <c r="G337" s="23"/>
      <c r="H337" s="23"/>
      <c r="I337" s="8" t="str">
        <f t="shared" si="82"/>
        <v/>
      </c>
      <c r="J337" s="2" t="str">
        <f t="shared" si="89"/>
        <v/>
      </c>
      <c r="K337" s="2" t="str">
        <f t="shared" si="83"/>
        <v/>
      </c>
      <c r="L337" s="2" t="str">
        <f t="shared" si="90"/>
        <v/>
      </c>
      <c r="M337" s="2" t="str">
        <f t="shared" si="95"/>
        <v/>
      </c>
      <c r="N337" s="2" t="str">
        <f t="shared" si="91"/>
        <v/>
      </c>
      <c r="O337" s="8" t="str">
        <f t="shared" si="92"/>
        <v/>
      </c>
      <c r="P337" s="8" t="str">
        <f t="shared" si="93"/>
        <v/>
      </c>
      <c r="Q337" s="40" t="str">
        <f t="shared" si="84"/>
        <v/>
      </c>
      <c r="R337" s="48" t="str">
        <f t="shared" si="94"/>
        <v/>
      </c>
      <c r="S337" s="8"/>
      <c r="U337" s="35">
        <f t="shared" si="85"/>
        <v>0</v>
      </c>
      <c r="V337" s="24">
        <f t="shared" si="86"/>
        <v>0</v>
      </c>
      <c r="W337" s="41">
        <f t="shared" si="81"/>
        <v>0</v>
      </c>
      <c r="X337" s="31"/>
      <c r="Y337" s="31"/>
      <c r="Z337" s="31"/>
      <c r="AA337" s="25">
        <f t="shared" si="87"/>
        <v>9.0359999999999996</v>
      </c>
      <c r="AB337" s="25">
        <f t="shared" si="88"/>
        <v>-184.49199999999999</v>
      </c>
      <c r="AD337" s="24">
        <f>IF(D337="M",IF(AG337&lt;78,BMILMS!$D$5*AG337^3+BMILMS!$E$5*AG337^2+BMILMS!$F$5*AG337+BMILMS!$G$5,IF(AG337&lt;150,BMILMS!$D$6*AG337^3+BMILMS!$E$6*AG337^2+BMILMS!$F$6*AG337+BMILMS!$G$6,BMILMS!$D$7*AG337^3+BMILMS!$E$7*AG337^2+BMILMS!$F$7*AG337+BMILMS!$G$7)),IF(AG337&lt;69,BMILMS!$D$9*AG337^3+BMILMS!$E$9*AG337^2+BMILMS!$F$9*AG337+BMILMS!$G$9,IF(AG337&lt;150,BMILMS!$D$10*AG337^3+BMILMS!$E$10*AG337^2+BMILMS!$F$10*AG337+BMILMS!$G$10,BMILMS!$D$11*AG337^3+BMILMS!$E$11*AG337^2+BMILMS!$F$11*AG337+BMILMS!$G$11)))</f>
        <v>0.79584630099999998</v>
      </c>
      <c r="AE337" s="24">
        <f>IF(D337="M",(IF(AG337&lt;2.5,BMILMS!$D$21*AG337^3+BMILMS!$E$21*AG337^2+BMILMS!$F$21*AG337+BMILMS!$G$21,IF(AG337&lt;9.5,BMILMS!$D$22*AG337^3+BMILMS!$E$22*AG337^2+BMILMS!$F$22*AG337+BMILMS!$G$22,IF(AG337&lt;26.75,BMILMS!$D$23*AG337^3+BMILMS!$E$23*AG337^2+BMILMS!$F$23*AG337+BMILMS!$G$23,IF(AG337&lt;90,BMILMS!$D$24*AG337^3+BMILMS!$E$24*AG337^2+BMILMS!$F$24*AG337+BMILMS!$G$24,BMILMS!$D$25*AG337^3+BMILMS!$E$25*AG337^2+BMILMS!$F$25*AG337+BMILMS!$G$25))))),(IF(AG337&lt;2.5,BMILMS!$D$27*AG337^3+BMILMS!$E$27*AG337^2+BMILMS!$F$27*AG337+BMILMS!$G$27,IF(AG337&lt;9.5,BMILMS!$D$28*AG337^3+BMILMS!$E$28*AG337^2+BMILMS!$F$28*AG337+BMILMS!$G$28,IF(AG337&lt;26.75,BMILMS!$D$29*AG337^3+BMILMS!$E$29*AG337^2+BMILMS!$F$29*AG337+BMILMS!$G$29,IF(AG337&lt;90,BMILMS!$D$30*AG337^3+BMILMS!$E$30*AG337^2+BMILMS!$F$30*AG337+BMILMS!$G$30,IF(AG337&lt;150,BMILMS!$D$31*AG337^3+BMILMS!$E$31*AG337^2+BMILMS!$F$31*AG337+BMILMS!$G$31,BMILMS!$D$32*AG337^3+BMILMS!$E$32*AG337^2+BMILMS!$F$32*AG337+BMILMS!$G$32)))))))</f>
        <v>12.568967990000001</v>
      </c>
      <c r="AF337" s="24">
        <f>IF(D337="M",(IF(AG337&lt;90,BMILMS!$D$14*AG337^3+BMILMS!$E$14*AG337^2+BMILMS!$F$14*AG337+BMILMS!$G$14,BMILMS!$D$15*AG337^3+BMILMS!$E$15*AG337^2+BMILMS!$F$15*AG337+BMILMS!$G$15)),(IF(AG337&lt;90,BMILMS!$D$17*AG337^3+BMILMS!$E$17*AG337^2+BMILMS!$F$17*AG337+BMILMS!$G$17,BMILMS!$D$18*AG337^3+BMILMS!$E$18*AG337^2+BMILMS!$F$18*AG337+BMILMS!$G$18)))</f>
        <v>8.8969350000000003E-2</v>
      </c>
      <c r="AG337" s="24">
        <f t="shared" si="96"/>
        <v>0</v>
      </c>
      <c r="AI337" s="38">
        <f>IF(D337="M",WeightSDS!P$5*$AG337^7+WeightSDS!Q$5*$AG337^6+WeightSDS!R$5*$AG337^5+WeightSDS!S$5*$AG337^4+WeightSDS!T$5*$AG337^3+WeightSDS!U$5*$AG337^2+WeightSDS!V$5*$AG337+WeightSDS!W$5,IF($AG337&lt;186,WeightSDS!P$8*$AG337^7+WeightSDS!Q$8*$AG337^6+WeightSDS!R$8*$AG337^5+WeightSDS!S$8*$AG337^4+WeightSDS!T$8*$AG337^3+WeightSDS!U$8*$AG337^2+WeightSDS!V$8*$AG337+WeightSDS!W$8,WeightSDS!$U$9-WeightSDS!$V$9*($AG337-WeightSDS!$W$9)))</f>
        <v>0.75407122999999998</v>
      </c>
      <c r="AJ337" s="24">
        <f>IF(D337="M",IF($AG337&lt;45,WeightSDS!M$23*$AG337^10+WeightSDS!N$23*$AG337^9+WeightSDS!O$23*$AG337^8+WeightSDS!P$23*$AG337^7+WeightSDS!Q$23*$AG337^6+WeightSDS!R$23*$AG337^5+WeightSDS!S$23*$AG337^4+WeightSDS!T$23*$AG337^3+WeightSDS!U$23*$AG337^2+WeightSDS!V$23*$AG337+WeightSDS!W$23,IF($AG337&lt;153,WeightSDS!M$25*$AG337^10+WeightSDS!N$25*$AG337^9+WeightSDS!O$25*$AG337^8+WeightSDS!P$25*$AG337^7+WeightSDS!Q$25*$AG337^6+WeightSDS!R$25*$AG337^5+WeightSDS!S$25*$AG337^4+WeightSDS!T$25*$AG337^3+WeightSDS!U$25*$AG337^2+WeightSDS!V$25*$AG337+WeightSDS!W$25,WeightSDS!M$27+WeightSDS!N$27/(1+EXP(WeightSDS!O$27+WeightSDS!P$27*$AG337)))),IF($AG337&lt;43.8,WeightSDS!M$29*$AG337^10+WeightSDS!N$29*$AG337^9+WeightSDS!O$29*$AG337^8+WeightSDS!P$29*$AG337^7+WeightSDS!Q$29*$AG337^6+WeightSDS!R$29*$AG337^5+WeightSDS!S$29*$AG337^4+WeightSDS!T$29*$AG337^3+WeightSDS!U$29*$AG337^2+WeightSDS!V$29*$AG337+WeightSDS!W$29-0.010431*(1-$AG337/210),IF($AG337&lt;123,WeightSDS!M$30*$AG337^10+WeightSDS!N$30*$AG337^9+WeightSDS!O$30*$AG337^8+WeightSDS!P$30*$AG337^7+WeightSDS!Q$30*$AG337^6+WeightSDS!R$30*$AG337^5+WeightSDS!S$30*$AG337^4+WeightSDS!T$30*$AG337^3+WeightSDS!U$30*$AG337^2+WeightSDS!V$30*$AG337+WeightSDS!W$30-0.010431*(1-1/$AG337),WeightSDS!M$32+WeightSDS!N$32/(1+EXP(WeightSDS!O$32+WeightSDS!P$32*$AG337))-0.010431*(1-$AG337/210))))</f>
        <v>2.9500001032655536</v>
      </c>
      <c r="AK337" s="24">
        <f>IF(D337="M",IF($AG337&lt;162,WeightSDS!P$12*$AG337^7+WeightSDS!Q$12*$AG337^6+WeightSDS!R$12*$AG337^5+WeightSDS!S$12*$AG337^4+WeightSDS!T$12*$AG337^3+WeightSDS!U$12*$AG337^2+WeightSDS!V$12*$AG337+WeightSDS!W$12,WeightSDS!P$14*$AG337^7+WeightSDS!Q$14*$AG337^6+WeightSDS!R$14*$AG337^5+WeightSDS!S$14*$AG337^4+WeightSDS!T$14*$AG337^3+WeightSDS!U$14*$AG337^2+WeightSDS!V$14*$AG337+WeightSDS!W$14),IF($AG337&lt;156,WeightSDS!O$17*$AG337^8+WeightSDS!P$17*$AG337^7+WeightSDS!Q$17*$AG337^6+WeightSDS!R$17*$AG337^5+WeightSDS!S$17*$AG337^4+WeightSDS!T$17*$AG337^3+WeightSDS!U$17*$AG337^2+WeightSDS!V$17*$AG337+WeightSDS!W$17,IF($AG337&lt;186,WeightSDS!$U$18+(WeightSDS!$V$18-WeightSDS!$U$18)/24*($AG337-186)+WeightSDS!$W$18*(-$AG337+186)^2-0.005,WeightSDS!$U$18+(WeightSDS!$V$18-WeightSDS!$U$18)/24*($AG337-186)-0.005)))</f>
        <v>0.14604529399999999</v>
      </c>
    </row>
    <row r="338" spans="1:37">
      <c r="A338" s="4"/>
      <c r="B338" s="21"/>
      <c r="C338" s="21"/>
      <c r="D338" s="21"/>
      <c r="E338" s="22"/>
      <c r="F338" s="22"/>
      <c r="G338" s="23"/>
      <c r="H338" s="23"/>
      <c r="I338" s="8" t="str">
        <f t="shared" si="82"/>
        <v/>
      </c>
      <c r="J338" s="2" t="str">
        <f t="shared" si="89"/>
        <v/>
      </c>
      <c r="K338" s="2" t="str">
        <f t="shared" si="83"/>
        <v/>
      </c>
      <c r="L338" s="2" t="str">
        <f t="shared" si="90"/>
        <v/>
      </c>
      <c r="M338" s="2" t="str">
        <f t="shared" si="95"/>
        <v/>
      </c>
      <c r="N338" s="2" t="str">
        <f t="shared" si="91"/>
        <v/>
      </c>
      <c r="O338" s="8" t="str">
        <f t="shared" si="92"/>
        <v/>
      </c>
      <c r="P338" s="8" t="str">
        <f t="shared" si="93"/>
        <v/>
      </c>
      <c r="Q338" s="40" t="str">
        <f t="shared" si="84"/>
        <v/>
      </c>
      <c r="R338" s="48" t="str">
        <f t="shared" si="94"/>
        <v/>
      </c>
      <c r="S338" s="8"/>
      <c r="U338" s="35">
        <f t="shared" si="85"/>
        <v>0</v>
      </c>
      <c r="V338" s="24">
        <f t="shared" si="86"/>
        <v>0</v>
      </c>
      <c r="W338" s="41">
        <f t="shared" si="81"/>
        <v>0</v>
      </c>
      <c r="X338" s="31"/>
      <c r="Y338" s="31"/>
      <c r="Z338" s="31"/>
      <c r="AA338" s="25">
        <f t="shared" si="87"/>
        <v>9.0359999999999996</v>
      </c>
      <c r="AB338" s="25">
        <f t="shared" si="88"/>
        <v>-184.49199999999999</v>
      </c>
      <c r="AD338" s="24">
        <f>IF(D338="M",IF(AG338&lt;78,BMILMS!$D$5*AG338^3+BMILMS!$E$5*AG338^2+BMILMS!$F$5*AG338+BMILMS!$G$5,IF(AG338&lt;150,BMILMS!$D$6*AG338^3+BMILMS!$E$6*AG338^2+BMILMS!$F$6*AG338+BMILMS!$G$6,BMILMS!$D$7*AG338^3+BMILMS!$E$7*AG338^2+BMILMS!$F$7*AG338+BMILMS!$G$7)),IF(AG338&lt;69,BMILMS!$D$9*AG338^3+BMILMS!$E$9*AG338^2+BMILMS!$F$9*AG338+BMILMS!$G$9,IF(AG338&lt;150,BMILMS!$D$10*AG338^3+BMILMS!$E$10*AG338^2+BMILMS!$F$10*AG338+BMILMS!$G$10,BMILMS!$D$11*AG338^3+BMILMS!$E$11*AG338^2+BMILMS!$F$11*AG338+BMILMS!$G$11)))</f>
        <v>0.79584630099999998</v>
      </c>
      <c r="AE338" s="24">
        <f>IF(D338="M",(IF(AG338&lt;2.5,BMILMS!$D$21*AG338^3+BMILMS!$E$21*AG338^2+BMILMS!$F$21*AG338+BMILMS!$G$21,IF(AG338&lt;9.5,BMILMS!$D$22*AG338^3+BMILMS!$E$22*AG338^2+BMILMS!$F$22*AG338+BMILMS!$G$22,IF(AG338&lt;26.75,BMILMS!$D$23*AG338^3+BMILMS!$E$23*AG338^2+BMILMS!$F$23*AG338+BMILMS!$G$23,IF(AG338&lt;90,BMILMS!$D$24*AG338^3+BMILMS!$E$24*AG338^2+BMILMS!$F$24*AG338+BMILMS!$G$24,BMILMS!$D$25*AG338^3+BMILMS!$E$25*AG338^2+BMILMS!$F$25*AG338+BMILMS!$G$25))))),(IF(AG338&lt;2.5,BMILMS!$D$27*AG338^3+BMILMS!$E$27*AG338^2+BMILMS!$F$27*AG338+BMILMS!$G$27,IF(AG338&lt;9.5,BMILMS!$D$28*AG338^3+BMILMS!$E$28*AG338^2+BMILMS!$F$28*AG338+BMILMS!$G$28,IF(AG338&lt;26.75,BMILMS!$D$29*AG338^3+BMILMS!$E$29*AG338^2+BMILMS!$F$29*AG338+BMILMS!$G$29,IF(AG338&lt;90,BMILMS!$D$30*AG338^3+BMILMS!$E$30*AG338^2+BMILMS!$F$30*AG338+BMILMS!$G$30,IF(AG338&lt;150,BMILMS!$D$31*AG338^3+BMILMS!$E$31*AG338^2+BMILMS!$F$31*AG338+BMILMS!$G$31,BMILMS!$D$32*AG338^3+BMILMS!$E$32*AG338^2+BMILMS!$F$32*AG338+BMILMS!$G$32)))))))</f>
        <v>12.568967990000001</v>
      </c>
      <c r="AF338" s="24">
        <f>IF(D338="M",(IF(AG338&lt;90,BMILMS!$D$14*AG338^3+BMILMS!$E$14*AG338^2+BMILMS!$F$14*AG338+BMILMS!$G$14,BMILMS!$D$15*AG338^3+BMILMS!$E$15*AG338^2+BMILMS!$F$15*AG338+BMILMS!$G$15)),(IF(AG338&lt;90,BMILMS!$D$17*AG338^3+BMILMS!$E$17*AG338^2+BMILMS!$F$17*AG338+BMILMS!$G$17,BMILMS!$D$18*AG338^3+BMILMS!$E$18*AG338^2+BMILMS!$F$18*AG338+BMILMS!$G$18)))</f>
        <v>8.8969350000000003E-2</v>
      </c>
      <c r="AG338" s="24">
        <f t="shared" si="96"/>
        <v>0</v>
      </c>
      <c r="AI338" s="38">
        <f>IF(D338="M",WeightSDS!P$5*$AG338^7+WeightSDS!Q$5*$AG338^6+WeightSDS!R$5*$AG338^5+WeightSDS!S$5*$AG338^4+WeightSDS!T$5*$AG338^3+WeightSDS!U$5*$AG338^2+WeightSDS!V$5*$AG338+WeightSDS!W$5,IF($AG338&lt;186,WeightSDS!P$8*$AG338^7+WeightSDS!Q$8*$AG338^6+WeightSDS!R$8*$AG338^5+WeightSDS!S$8*$AG338^4+WeightSDS!T$8*$AG338^3+WeightSDS!U$8*$AG338^2+WeightSDS!V$8*$AG338+WeightSDS!W$8,WeightSDS!$U$9-WeightSDS!$V$9*($AG338-WeightSDS!$W$9)))</f>
        <v>0.75407122999999998</v>
      </c>
      <c r="AJ338" s="24">
        <f>IF(D338="M",IF($AG338&lt;45,WeightSDS!M$23*$AG338^10+WeightSDS!N$23*$AG338^9+WeightSDS!O$23*$AG338^8+WeightSDS!P$23*$AG338^7+WeightSDS!Q$23*$AG338^6+WeightSDS!R$23*$AG338^5+WeightSDS!S$23*$AG338^4+WeightSDS!T$23*$AG338^3+WeightSDS!U$23*$AG338^2+WeightSDS!V$23*$AG338+WeightSDS!W$23,IF($AG338&lt;153,WeightSDS!M$25*$AG338^10+WeightSDS!N$25*$AG338^9+WeightSDS!O$25*$AG338^8+WeightSDS!P$25*$AG338^7+WeightSDS!Q$25*$AG338^6+WeightSDS!R$25*$AG338^5+WeightSDS!S$25*$AG338^4+WeightSDS!T$25*$AG338^3+WeightSDS!U$25*$AG338^2+WeightSDS!V$25*$AG338+WeightSDS!W$25,WeightSDS!M$27+WeightSDS!N$27/(1+EXP(WeightSDS!O$27+WeightSDS!P$27*$AG338)))),IF($AG338&lt;43.8,WeightSDS!M$29*$AG338^10+WeightSDS!N$29*$AG338^9+WeightSDS!O$29*$AG338^8+WeightSDS!P$29*$AG338^7+WeightSDS!Q$29*$AG338^6+WeightSDS!R$29*$AG338^5+WeightSDS!S$29*$AG338^4+WeightSDS!T$29*$AG338^3+WeightSDS!U$29*$AG338^2+WeightSDS!V$29*$AG338+WeightSDS!W$29-0.010431*(1-$AG338/210),IF($AG338&lt;123,WeightSDS!M$30*$AG338^10+WeightSDS!N$30*$AG338^9+WeightSDS!O$30*$AG338^8+WeightSDS!P$30*$AG338^7+WeightSDS!Q$30*$AG338^6+WeightSDS!R$30*$AG338^5+WeightSDS!S$30*$AG338^4+WeightSDS!T$30*$AG338^3+WeightSDS!U$30*$AG338^2+WeightSDS!V$30*$AG338+WeightSDS!W$30-0.010431*(1-1/$AG338),WeightSDS!M$32+WeightSDS!N$32/(1+EXP(WeightSDS!O$32+WeightSDS!P$32*$AG338))-0.010431*(1-$AG338/210))))</f>
        <v>2.9500001032655536</v>
      </c>
      <c r="AK338" s="24">
        <f>IF(D338="M",IF($AG338&lt;162,WeightSDS!P$12*$AG338^7+WeightSDS!Q$12*$AG338^6+WeightSDS!R$12*$AG338^5+WeightSDS!S$12*$AG338^4+WeightSDS!T$12*$AG338^3+WeightSDS!U$12*$AG338^2+WeightSDS!V$12*$AG338+WeightSDS!W$12,WeightSDS!P$14*$AG338^7+WeightSDS!Q$14*$AG338^6+WeightSDS!R$14*$AG338^5+WeightSDS!S$14*$AG338^4+WeightSDS!T$14*$AG338^3+WeightSDS!U$14*$AG338^2+WeightSDS!V$14*$AG338+WeightSDS!W$14),IF($AG338&lt;156,WeightSDS!O$17*$AG338^8+WeightSDS!P$17*$AG338^7+WeightSDS!Q$17*$AG338^6+WeightSDS!R$17*$AG338^5+WeightSDS!S$17*$AG338^4+WeightSDS!T$17*$AG338^3+WeightSDS!U$17*$AG338^2+WeightSDS!V$17*$AG338+WeightSDS!W$17,IF($AG338&lt;186,WeightSDS!$U$18+(WeightSDS!$V$18-WeightSDS!$U$18)/24*($AG338-186)+WeightSDS!$W$18*(-$AG338+186)^2-0.005,WeightSDS!$U$18+(WeightSDS!$V$18-WeightSDS!$U$18)/24*($AG338-186)-0.005)))</f>
        <v>0.14604529399999999</v>
      </c>
    </row>
    <row r="339" spans="1:37">
      <c r="A339" s="4"/>
      <c r="B339" s="21"/>
      <c r="C339" s="21"/>
      <c r="D339" s="21"/>
      <c r="E339" s="22"/>
      <c r="F339" s="22"/>
      <c r="G339" s="23"/>
      <c r="H339" s="23"/>
      <c r="I339" s="8" t="str">
        <f t="shared" si="82"/>
        <v/>
      </c>
      <c r="J339" s="2" t="str">
        <f t="shared" si="89"/>
        <v/>
      </c>
      <c r="K339" s="2" t="str">
        <f t="shared" si="83"/>
        <v/>
      </c>
      <c r="L339" s="2" t="str">
        <f t="shared" si="90"/>
        <v/>
      </c>
      <c r="M339" s="2" t="str">
        <f t="shared" si="95"/>
        <v/>
      </c>
      <c r="N339" s="2" t="str">
        <f t="shared" si="91"/>
        <v/>
      </c>
      <c r="O339" s="8" t="str">
        <f t="shared" si="92"/>
        <v/>
      </c>
      <c r="P339" s="8" t="str">
        <f t="shared" si="93"/>
        <v/>
      </c>
      <c r="Q339" s="40" t="str">
        <f t="shared" si="84"/>
        <v/>
      </c>
      <c r="R339" s="48" t="str">
        <f t="shared" si="94"/>
        <v/>
      </c>
      <c r="S339" s="8"/>
      <c r="U339" s="35">
        <f t="shared" si="85"/>
        <v>0</v>
      </c>
      <c r="V339" s="24">
        <f t="shared" si="86"/>
        <v>0</v>
      </c>
      <c r="W339" s="41">
        <f t="shared" si="81"/>
        <v>0</v>
      </c>
      <c r="X339" s="31"/>
      <c r="Y339" s="31"/>
      <c r="Z339" s="31"/>
      <c r="AA339" s="25">
        <f t="shared" si="87"/>
        <v>9.0359999999999996</v>
      </c>
      <c r="AB339" s="25">
        <f t="shared" si="88"/>
        <v>-184.49199999999999</v>
      </c>
      <c r="AD339" s="24">
        <f>IF(D339="M",IF(AG339&lt;78,BMILMS!$D$5*AG339^3+BMILMS!$E$5*AG339^2+BMILMS!$F$5*AG339+BMILMS!$G$5,IF(AG339&lt;150,BMILMS!$D$6*AG339^3+BMILMS!$E$6*AG339^2+BMILMS!$F$6*AG339+BMILMS!$G$6,BMILMS!$D$7*AG339^3+BMILMS!$E$7*AG339^2+BMILMS!$F$7*AG339+BMILMS!$G$7)),IF(AG339&lt;69,BMILMS!$D$9*AG339^3+BMILMS!$E$9*AG339^2+BMILMS!$F$9*AG339+BMILMS!$G$9,IF(AG339&lt;150,BMILMS!$D$10*AG339^3+BMILMS!$E$10*AG339^2+BMILMS!$F$10*AG339+BMILMS!$G$10,BMILMS!$D$11*AG339^3+BMILMS!$E$11*AG339^2+BMILMS!$F$11*AG339+BMILMS!$G$11)))</f>
        <v>0.79584630099999998</v>
      </c>
      <c r="AE339" s="24">
        <f>IF(D339="M",(IF(AG339&lt;2.5,BMILMS!$D$21*AG339^3+BMILMS!$E$21*AG339^2+BMILMS!$F$21*AG339+BMILMS!$G$21,IF(AG339&lt;9.5,BMILMS!$D$22*AG339^3+BMILMS!$E$22*AG339^2+BMILMS!$F$22*AG339+BMILMS!$G$22,IF(AG339&lt;26.75,BMILMS!$D$23*AG339^3+BMILMS!$E$23*AG339^2+BMILMS!$F$23*AG339+BMILMS!$G$23,IF(AG339&lt;90,BMILMS!$D$24*AG339^3+BMILMS!$E$24*AG339^2+BMILMS!$F$24*AG339+BMILMS!$G$24,BMILMS!$D$25*AG339^3+BMILMS!$E$25*AG339^2+BMILMS!$F$25*AG339+BMILMS!$G$25))))),(IF(AG339&lt;2.5,BMILMS!$D$27*AG339^3+BMILMS!$E$27*AG339^2+BMILMS!$F$27*AG339+BMILMS!$G$27,IF(AG339&lt;9.5,BMILMS!$D$28*AG339^3+BMILMS!$E$28*AG339^2+BMILMS!$F$28*AG339+BMILMS!$G$28,IF(AG339&lt;26.75,BMILMS!$D$29*AG339^3+BMILMS!$E$29*AG339^2+BMILMS!$F$29*AG339+BMILMS!$G$29,IF(AG339&lt;90,BMILMS!$D$30*AG339^3+BMILMS!$E$30*AG339^2+BMILMS!$F$30*AG339+BMILMS!$G$30,IF(AG339&lt;150,BMILMS!$D$31*AG339^3+BMILMS!$E$31*AG339^2+BMILMS!$F$31*AG339+BMILMS!$G$31,BMILMS!$D$32*AG339^3+BMILMS!$E$32*AG339^2+BMILMS!$F$32*AG339+BMILMS!$G$32)))))))</f>
        <v>12.568967990000001</v>
      </c>
      <c r="AF339" s="24">
        <f>IF(D339="M",(IF(AG339&lt;90,BMILMS!$D$14*AG339^3+BMILMS!$E$14*AG339^2+BMILMS!$F$14*AG339+BMILMS!$G$14,BMILMS!$D$15*AG339^3+BMILMS!$E$15*AG339^2+BMILMS!$F$15*AG339+BMILMS!$G$15)),(IF(AG339&lt;90,BMILMS!$D$17*AG339^3+BMILMS!$E$17*AG339^2+BMILMS!$F$17*AG339+BMILMS!$G$17,BMILMS!$D$18*AG339^3+BMILMS!$E$18*AG339^2+BMILMS!$F$18*AG339+BMILMS!$G$18)))</f>
        <v>8.8969350000000003E-2</v>
      </c>
      <c r="AG339" s="24">
        <f t="shared" si="96"/>
        <v>0</v>
      </c>
      <c r="AI339" s="38">
        <f>IF(D339="M",WeightSDS!P$5*$AG339^7+WeightSDS!Q$5*$AG339^6+WeightSDS!R$5*$AG339^5+WeightSDS!S$5*$AG339^4+WeightSDS!T$5*$AG339^3+WeightSDS!U$5*$AG339^2+WeightSDS!V$5*$AG339+WeightSDS!W$5,IF($AG339&lt;186,WeightSDS!P$8*$AG339^7+WeightSDS!Q$8*$AG339^6+WeightSDS!R$8*$AG339^5+WeightSDS!S$8*$AG339^4+WeightSDS!T$8*$AG339^3+WeightSDS!U$8*$AG339^2+WeightSDS!V$8*$AG339+WeightSDS!W$8,WeightSDS!$U$9-WeightSDS!$V$9*($AG339-WeightSDS!$W$9)))</f>
        <v>0.75407122999999998</v>
      </c>
      <c r="AJ339" s="24">
        <f>IF(D339="M",IF($AG339&lt;45,WeightSDS!M$23*$AG339^10+WeightSDS!N$23*$AG339^9+WeightSDS!O$23*$AG339^8+WeightSDS!P$23*$AG339^7+WeightSDS!Q$23*$AG339^6+WeightSDS!R$23*$AG339^5+WeightSDS!S$23*$AG339^4+WeightSDS!T$23*$AG339^3+WeightSDS!U$23*$AG339^2+WeightSDS!V$23*$AG339+WeightSDS!W$23,IF($AG339&lt;153,WeightSDS!M$25*$AG339^10+WeightSDS!N$25*$AG339^9+WeightSDS!O$25*$AG339^8+WeightSDS!P$25*$AG339^7+WeightSDS!Q$25*$AG339^6+WeightSDS!R$25*$AG339^5+WeightSDS!S$25*$AG339^4+WeightSDS!T$25*$AG339^3+WeightSDS!U$25*$AG339^2+WeightSDS!V$25*$AG339+WeightSDS!W$25,WeightSDS!M$27+WeightSDS!N$27/(1+EXP(WeightSDS!O$27+WeightSDS!P$27*$AG339)))),IF($AG339&lt;43.8,WeightSDS!M$29*$AG339^10+WeightSDS!N$29*$AG339^9+WeightSDS!O$29*$AG339^8+WeightSDS!P$29*$AG339^7+WeightSDS!Q$29*$AG339^6+WeightSDS!R$29*$AG339^5+WeightSDS!S$29*$AG339^4+WeightSDS!T$29*$AG339^3+WeightSDS!U$29*$AG339^2+WeightSDS!V$29*$AG339+WeightSDS!W$29-0.010431*(1-$AG339/210),IF($AG339&lt;123,WeightSDS!M$30*$AG339^10+WeightSDS!N$30*$AG339^9+WeightSDS!O$30*$AG339^8+WeightSDS!P$30*$AG339^7+WeightSDS!Q$30*$AG339^6+WeightSDS!R$30*$AG339^5+WeightSDS!S$30*$AG339^4+WeightSDS!T$30*$AG339^3+WeightSDS!U$30*$AG339^2+WeightSDS!V$30*$AG339+WeightSDS!W$30-0.010431*(1-1/$AG339),WeightSDS!M$32+WeightSDS!N$32/(1+EXP(WeightSDS!O$32+WeightSDS!P$32*$AG339))-0.010431*(1-$AG339/210))))</f>
        <v>2.9500001032655536</v>
      </c>
      <c r="AK339" s="24">
        <f>IF(D339="M",IF($AG339&lt;162,WeightSDS!P$12*$AG339^7+WeightSDS!Q$12*$AG339^6+WeightSDS!R$12*$AG339^5+WeightSDS!S$12*$AG339^4+WeightSDS!T$12*$AG339^3+WeightSDS!U$12*$AG339^2+WeightSDS!V$12*$AG339+WeightSDS!W$12,WeightSDS!P$14*$AG339^7+WeightSDS!Q$14*$AG339^6+WeightSDS!R$14*$AG339^5+WeightSDS!S$14*$AG339^4+WeightSDS!T$14*$AG339^3+WeightSDS!U$14*$AG339^2+WeightSDS!V$14*$AG339+WeightSDS!W$14),IF($AG339&lt;156,WeightSDS!O$17*$AG339^8+WeightSDS!P$17*$AG339^7+WeightSDS!Q$17*$AG339^6+WeightSDS!R$17*$AG339^5+WeightSDS!S$17*$AG339^4+WeightSDS!T$17*$AG339^3+WeightSDS!U$17*$AG339^2+WeightSDS!V$17*$AG339+WeightSDS!W$17,IF($AG339&lt;186,WeightSDS!$U$18+(WeightSDS!$V$18-WeightSDS!$U$18)/24*($AG339-186)+WeightSDS!$W$18*(-$AG339+186)^2-0.005,WeightSDS!$U$18+(WeightSDS!$V$18-WeightSDS!$U$18)/24*($AG339-186)-0.005)))</f>
        <v>0.14604529399999999</v>
      </c>
    </row>
    <row r="340" spans="1:37">
      <c r="A340" s="4"/>
      <c r="B340" s="21"/>
      <c r="C340" s="21"/>
      <c r="D340" s="21"/>
      <c r="E340" s="22"/>
      <c r="F340" s="22"/>
      <c r="G340" s="23"/>
      <c r="H340" s="23"/>
      <c r="I340" s="8" t="str">
        <f t="shared" si="82"/>
        <v/>
      </c>
      <c r="J340" s="2" t="str">
        <f t="shared" si="89"/>
        <v/>
      </c>
      <c r="K340" s="2" t="str">
        <f t="shared" si="83"/>
        <v/>
      </c>
      <c r="L340" s="2" t="str">
        <f t="shared" si="90"/>
        <v/>
      </c>
      <c r="M340" s="2" t="str">
        <f t="shared" si="95"/>
        <v/>
      </c>
      <c r="N340" s="2" t="str">
        <f t="shared" si="91"/>
        <v/>
      </c>
      <c r="O340" s="8" t="str">
        <f t="shared" si="92"/>
        <v/>
      </c>
      <c r="P340" s="8" t="str">
        <f t="shared" si="93"/>
        <v/>
      </c>
      <c r="Q340" s="40" t="str">
        <f t="shared" si="84"/>
        <v/>
      </c>
      <c r="R340" s="48" t="str">
        <f t="shared" si="94"/>
        <v/>
      </c>
      <c r="S340" s="8"/>
      <c r="U340" s="35">
        <f t="shared" si="85"/>
        <v>0</v>
      </c>
      <c r="V340" s="24">
        <f t="shared" si="86"/>
        <v>0</v>
      </c>
      <c r="W340" s="41">
        <f t="shared" si="81"/>
        <v>0</v>
      </c>
      <c r="X340" s="31"/>
      <c r="Y340" s="31"/>
      <c r="Z340" s="31"/>
      <c r="AA340" s="25">
        <f t="shared" si="87"/>
        <v>9.0359999999999996</v>
      </c>
      <c r="AB340" s="25">
        <f t="shared" si="88"/>
        <v>-184.49199999999999</v>
      </c>
      <c r="AD340" s="24">
        <f>IF(D340="M",IF(AG340&lt;78,BMILMS!$D$5*AG340^3+BMILMS!$E$5*AG340^2+BMILMS!$F$5*AG340+BMILMS!$G$5,IF(AG340&lt;150,BMILMS!$D$6*AG340^3+BMILMS!$E$6*AG340^2+BMILMS!$F$6*AG340+BMILMS!$G$6,BMILMS!$D$7*AG340^3+BMILMS!$E$7*AG340^2+BMILMS!$F$7*AG340+BMILMS!$G$7)),IF(AG340&lt;69,BMILMS!$D$9*AG340^3+BMILMS!$E$9*AG340^2+BMILMS!$F$9*AG340+BMILMS!$G$9,IF(AG340&lt;150,BMILMS!$D$10*AG340^3+BMILMS!$E$10*AG340^2+BMILMS!$F$10*AG340+BMILMS!$G$10,BMILMS!$D$11*AG340^3+BMILMS!$E$11*AG340^2+BMILMS!$F$11*AG340+BMILMS!$G$11)))</f>
        <v>0.79584630099999998</v>
      </c>
      <c r="AE340" s="24">
        <f>IF(D340="M",(IF(AG340&lt;2.5,BMILMS!$D$21*AG340^3+BMILMS!$E$21*AG340^2+BMILMS!$F$21*AG340+BMILMS!$G$21,IF(AG340&lt;9.5,BMILMS!$D$22*AG340^3+BMILMS!$E$22*AG340^2+BMILMS!$F$22*AG340+BMILMS!$G$22,IF(AG340&lt;26.75,BMILMS!$D$23*AG340^3+BMILMS!$E$23*AG340^2+BMILMS!$F$23*AG340+BMILMS!$G$23,IF(AG340&lt;90,BMILMS!$D$24*AG340^3+BMILMS!$E$24*AG340^2+BMILMS!$F$24*AG340+BMILMS!$G$24,BMILMS!$D$25*AG340^3+BMILMS!$E$25*AG340^2+BMILMS!$F$25*AG340+BMILMS!$G$25))))),(IF(AG340&lt;2.5,BMILMS!$D$27*AG340^3+BMILMS!$E$27*AG340^2+BMILMS!$F$27*AG340+BMILMS!$G$27,IF(AG340&lt;9.5,BMILMS!$D$28*AG340^3+BMILMS!$E$28*AG340^2+BMILMS!$F$28*AG340+BMILMS!$G$28,IF(AG340&lt;26.75,BMILMS!$D$29*AG340^3+BMILMS!$E$29*AG340^2+BMILMS!$F$29*AG340+BMILMS!$G$29,IF(AG340&lt;90,BMILMS!$D$30*AG340^3+BMILMS!$E$30*AG340^2+BMILMS!$F$30*AG340+BMILMS!$G$30,IF(AG340&lt;150,BMILMS!$D$31*AG340^3+BMILMS!$E$31*AG340^2+BMILMS!$F$31*AG340+BMILMS!$G$31,BMILMS!$D$32*AG340^3+BMILMS!$E$32*AG340^2+BMILMS!$F$32*AG340+BMILMS!$G$32)))))))</f>
        <v>12.568967990000001</v>
      </c>
      <c r="AF340" s="24">
        <f>IF(D340="M",(IF(AG340&lt;90,BMILMS!$D$14*AG340^3+BMILMS!$E$14*AG340^2+BMILMS!$F$14*AG340+BMILMS!$G$14,BMILMS!$D$15*AG340^3+BMILMS!$E$15*AG340^2+BMILMS!$F$15*AG340+BMILMS!$G$15)),(IF(AG340&lt;90,BMILMS!$D$17*AG340^3+BMILMS!$E$17*AG340^2+BMILMS!$F$17*AG340+BMILMS!$G$17,BMILMS!$D$18*AG340^3+BMILMS!$E$18*AG340^2+BMILMS!$F$18*AG340+BMILMS!$G$18)))</f>
        <v>8.8969350000000003E-2</v>
      </c>
      <c r="AG340" s="24">
        <f t="shared" si="96"/>
        <v>0</v>
      </c>
      <c r="AI340" s="38">
        <f>IF(D340="M",WeightSDS!P$5*$AG340^7+WeightSDS!Q$5*$AG340^6+WeightSDS!R$5*$AG340^5+WeightSDS!S$5*$AG340^4+WeightSDS!T$5*$AG340^3+WeightSDS!U$5*$AG340^2+WeightSDS!V$5*$AG340+WeightSDS!W$5,IF($AG340&lt;186,WeightSDS!P$8*$AG340^7+WeightSDS!Q$8*$AG340^6+WeightSDS!R$8*$AG340^5+WeightSDS!S$8*$AG340^4+WeightSDS!T$8*$AG340^3+WeightSDS!U$8*$AG340^2+WeightSDS!V$8*$AG340+WeightSDS!W$8,WeightSDS!$U$9-WeightSDS!$V$9*($AG340-WeightSDS!$W$9)))</f>
        <v>0.75407122999999998</v>
      </c>
      <c r="AJ340" s="24">
        <f>IF(D340="M",IF($AG340&lt;45,WeightSDS!M$23*$AG340^10+WeightSDS!N$23*$AG340^9+WeightSDS!O$23*$AG340^8+WeightSDS!P$23*$AG340^7+WeightSDS!Q$23*$AG340^6+WeightSDS!R$23*$AG340^5+WeightSDS!S$23*$AG340^4+WeightSDS!T$23*$AG340^3+WeightSDS!U$23*$AG340^2+WeightSDS!V$23*$AG340+WeightSDS!W$23,IF($AG340&lt;153,WeightSDS!M$25*$AG340^10+WeightSDS!N$25*$AG340^9+WeightSDS!O$25*$AG340^8+WeightSDS!P$25*$AG340^7+WeightSDS!Q$25*$AG340^6+WeightSDS!R$25*$AG340^5+WeightSDS!S$25*$AG340^4+WeightSDS!T$25*$AG340^3+WeightSDS!U$25*$AG340^2+WeightSDS!V$25*$AG340+WeightSDS!W$25,WeightSDS!M$27+WeightSDS!N$27/(1+EXP(WeightSDS!O$27+WeightSDS!P$27*$AG340)))),IF($AG340&lt;43.8,WeightSDS!M$29*$AG340^10+WeightSDS!N$29*$AG340^9+WeightSDS!O$29*$AG340^8+WeightSDS!P$29*$AG340^7+WeightSDS!Q$29*$AG340^6+WeightSDS!R$29*$AG340^5+WeightSDS!S$29*$AG340^4+WeightSDS!T$29*$AG340^3+WeightSDS!U$29*$AG340^2+WeightSDS!V$29*$AG340+WeightSDS!W$29-0.010431*(1-$AG340/210),IF($AG340&lt;123,WeightSDS!M$30*$AG340^10+WeightSDS!N$30*$AG340^9+WeightSDS!O$30*$AG340^8+WeightSDS!P$30*$AG340^7+WeightSDS!Q$30*$AG340^6+WeightSDS!R$30*$AG340^5+WeightSDS!S$30*$AG340^4+WeightSDS!T$30*$AG340^3+WeightSDS!U$30*$AG340^2+WeightSDS!V$30*$AG340+WeightSDS!W$30-0.010431*(1-1/$AG340),WeightSDS!M$32+WeightSDS!N$32/(1+EXP(WeightSDS!O$32+WeightSDS!P$32*$AG340))-0.010431*(1-$AG340/210))))</f>
        <v>2.9500001032655536</v>
      </c>
      <c r="AK340" s="24">
        <f>IF(D340="M",IF($AG340&lt;162,WeightSDS!P$12*$AG340^7+WeightSDS!Q$12*$AG340^6+WeightSDS!R$12*$AG340^5+WeightSDS!S$12*$AG340^4+WeightSDS!T$12*$AG340^3+WeightSDS!U$12*$AG340^2+WeightSDS!V$12*$AG340+WeightSDS!W$12,WeightSDS!P$14*$AG340^7+WeightSDS!Q$14*$AG340^6+WeightSDS!R$14*$AG340^5+WeightSDS!S$14*$AG340^4+WeightSDS!T$14*$AG340^3+WeightSDS!U$14*$AG340^2+WeightSDS!V$14*$AG340+WeightSDS!W$14),IF($AG340&lt;156,WeightSDS!O$17*$AG340^8+WeightSDS!P$17*$AG340^7+WeightSDS!Q$17*$AG340^6+WeightSDS!R$17*$AG340^5+WeightSDS!S$17*$AG340^4+WeightSDS!T$17*$AG340^3+WeightSDS!U$17*$AG340^2+WeightSDS!V$17*$AG340+WeightSDS!W$17,IF($AG340&lt;186,WeightSDS!$U$18+(WeightSDS!$V$18-WeightSDS!$U$18)/24*($AG340-186)+WeightSDS!$W$18*(-$AG340+186)^2-0.005,WeightSDS!$U$18+(WeightSDS!$V$18-WeightSDS!$U$18)/24*($AG340-186)-0.005)))</f>
        <v>0.14604529399999999</v>
      </c>
    </row>
    <row r="341" spans="1:37">
      <c r="A341" s="4"/>
      <c r="B341" s="21"/>
      <c r="C341" s="21"/>
      <c r="D341" s="21"/>
      <c r="E341" s="22"/>
      <c r="F341" s="22"/>
      <c r="G341" s="23"/>
      <c r="H341" s="23"/>
      <c r="I341" s="8" t="str">
        <f t="shared" si="82"/>
        <v/>
      </c>
      <c r="J341" s="2" t="str">
        <f t="shared" si="89"/>
        <v/>
      </c>
      <c r="K341" s="2" t="str">
        <f t="shared" si="83"/>
        <v/>
      </c>
      <c r="L341" s="2" t="str">
        <f t="shared" si="90"/>
        <v/>
      </c>
      <c r="M341" s="2" t="str">
        <f t="shared" si="95"/>
        <v/>
      </c>
      <c r="N341" s="2" t="str">
        <f t="shared" si="91"/>
        <v/>
      </c>
      <c r="O341" s="8" t="str">
        <f t="shared" si="92"/>
        <v/>
      </c>
      <c r="P341" s="8" t="str">
        <f t="shared" si="93"/>
        <v/>
      </c>
      <c r="Q341" s="40" t="str">
        <f t="shared" si="84"/>
        <v/>
      </c>
      <c r="R341" s="48" t="str">
        <f t="shared" si="94"/>
        <v/>
      </c>
      <c r="S341" s="8"/>
      <c r="U341" s="35">
        <f t="shared" si="85"/>
        <v>0</v>
      </c>
      <c r="V341" s="24">
        <f t="shared" si="86"/>
        <v>0</v>
      </c>
      <c r="W341" s="41">
        <f t="shared" si="81"/>
        <v>0</v>
      </c>
      <c r="X341" s="31"/>
      <c r="Y341" s="31"/>
      <c r="Z341" s="31"/>
      <c r="AA341" s="25">
        <f t="shared" si="87"/>
        <v>9.0359999999999996</v>
      </c>
      <c r="AB341" s="25">
        <f t="shared" si="88"/>
        <v>-184.49199999999999</v>
      </c>
      <c r="AD341" s="24">
        <f>IF(D341="M",IF(AG341&lt;78,BMILMS!$D$5*AG341^3+BMILMS!$E$5*AG341^2+BMILMS!$F$5*AG341+BMILMS!$G$5,IF(AG341&lt;150,BMILMS!$D$6*AG341^3+BMILMS!$E$6*AG341^2+BMILMS!$F$6*AG341+BMILMS!$G$6,BMILMS!$D$7*AG341^3+BMILMS!$E$7*AG341^2+BMILMS!$F$7*AG341+BMILMS!$G$7)),IF(AG341&lt;69,BMILMS!$D$9*AG341^3+BMILMS!$E$9*AG341^2+BMILMS!$F$9*AG341+BMILMS!$G$9,IF(AG341&lt;150,BMILMS!$D$10*AG341^3+BMILMS!$E$10*AG341^2+BMILMS!$F$10*AG341+BMILMS!$G$10,BMILMS!$D$11*AG341^3+BMILMS!$E$11*AG341^2+BMILMS!$F$11*AG341+BMILMS!$G$11)))</f>
        <v>0.79584630099999998</v>
      </c>
      <c r="AE341" s="24">
        <f>IF(D341="M",(IF(AG341&lt;2.5,BMILMS!$D$21*AG341^3+BMILMS!$E$21*AG341^2+BMILMS!$F$21*AG341+BMILMS!$G$21,IF(AG341&lt;9.5,BMILMS!$D$22*AG341^3+BMILMS!$E$22*AG341^2+BMILMS!$F$22*AG341+BMILMS!$G$22,IF(AG341&lt;26.75,BMILMS!$D$23*AG341^3+BMILMS!$E$23*AG341^2+BMILMS!$F$23*AG341+BMILMS!$G$23,IF(AG341&lt;90,BMILMS!$D$24*AG341^3+BMILMS!$E$24*AG341^2+BMILMS!$F$24*AG341+BMILMS!$G$24,BMILMS!$D$25*AG341^3+BMILMS!$E$25*AG341^2+BMILMS!$F$25*AG341+BMILMS!$G$25))))),(IF(AG341&lt;2.5,BMILMS!$D$27*AG341^3+BMILMS!$E$27*AG341^2+BMILMS!$F$27*AG341+BMILMS!$G$27,IF(AG341&lt;9.5,BMILMS!$D$28*AG341^3+BMILMS!$E$28*AG341^2+BMILMS!$F$28*AG341+BMILMS!$G$28,IF(AG341&lt;26.75,BMILMS!$D$29*AG341^3+BMILMS!$E$29*AG341^2+BMILMS!$F$29*AG341+BMILMS!$G$29,IF(AG341&lt;90,BMILMS!$D$30*AG341^3+BMILMS!$E$30*AG341^2+BMILMS!$F$30*AG341+BMILMS!$G$30,IF(AG341&lt;150,BMILMS!$D$31*AG341^3+BMILMS!$E$31*AG341^2+BMILMS!$F$31*AG341+BMILMS!$G$31,BMILMS!$D$32*AG341^3+BMILMS!$E$32*AG341^2+BMILMS!$F$32*AG341+BMILMS!$G$32)))))))</f>
        <v>12.568967990000001</v>
      </c>
      <c r="AF341" s="24">
        <f>IF(D341="M",(IF(AG341&lt;90,BMILMS!$D$14*AG341^3+BMILMS!$E$14*AG341^2+BMILMS!$F$14*AG341+BMILMS!$G$14,BMILMS!$D$15*AG341^3+BMILMS!$E$15*AG341^2+BMILMS!$F$15*AG341+BMILMS!$G$15)),(IF(AG341&lt;90,BMILMS!$D$17*AG341^3+BMILMS!$E$17*AG341^2+BMILMS!$F$17*AG341+BMILMS!$G$17,BMILMS!$D$18*AG341^3+BMILMS!$E$18*AG341^2+BMILMS!$F$18*AG341+BMILMS!$G$18)))</f>
        <v>8.8969350000000003E-2</v>
      </c>
      <c r="AG341" s="24">
        <f t="shared" si="96"/>
        <v>0</v>
      </c>
      <c r="AI341" s="38">
        <f>IF(D341="M",WeightSDS!P$5*$AG341^7+WeightSDS!Q$5*$AG341^6+WeightSDS!R$5*$AG341^5+WeightSDS!S$5*$AG341^4+WeightSDS!T$5*$AG341^3+WeightSDS!U$5*$AG341^2+WeightSDS!V$5*$AG341+WeightSDS!W$5,IF($AG341&lt;186,WeightSDS!P$8*$AG341^7+WeightSDS!Q$8*$AG341^6+WeightSDS!R$8*$AG341^5+WeightSDS!S$8*$AG341^4+WeightSDS!T$8*$AG341^3+WeightSDS!U$8*$AG341^2+WeightSDS!V$8*$AG341+WeightSDS!W$8,WeightSDS!$U$9-WeightSDS!$V$9*($AG341-WeightSDS!$W$9)))</f>
        <v>0.75407122999999998</v>
      </c>
      <c r="AJ341" s="24">
        <f>IF(D341="M",IF($AG341&lt;45,WeightSDS!M$23*$AG341^10+WeightSDS!N$23*$AG341^9+WeightSDS!O$23*$AG341^8+WeightSDS!P$23*$AG341^7+WeightSDS!Q$23*$AG341^6+WeightSDS!R$23*$AG341^5+WeightSDS!S$23*$AG341^4+WeightSDS!T$23*$AG341^3+WeightSDS!U$23*$AG341^2+WeightSDS!V$23*$AG341+WeightSDS!W$23,IF($AG341&lt;153,WeightSDS!M$25*$AG341^10+WeightSDS!N$25*$AG341^9+WeightSDS!O$25*$AG341^8+WeightSDS!P$25*$AG341^7+WeightSDS!Q$25*$AG341^6+WeightSDS!R$25*$AG341^5+WeightSDS!S$25*$AG341^4+WeightSDS!T$25*$AG341^3+WeightSDS!U$25*$AG341^2+WeightSDS!V$25*$AG341+WeightSDS!W$25,WeightSDS!M$27+WeightSDS!N$27/(1+EXP(WeightSDS!O$27+WeightSDS!P$27*$AG341)))),IF($AG341&lt;43.8,WeightSDS!M$29*$AG341^10+WeightSDS!N$29*$AG341^9+WeightSDS!O$29*$AG341^8+WeightSDS!P$29*$AG341^7+WeightSDS!Q$29*$AG341^6+WeightSDS!R$29*$AG341^5+WeightSDS!S$29*$AG341^4+WeightSDS!T$29*$AG341^3+WeightSDS!U$29*$AG341^2+WeightSDS!V$29*$AG341+WeightSDS!W$29-0.010431*(1-$AG341/210),IF($AG341&lt;123,WeightSDS!M$30*$AG341^10+WeightSDS!N$30*$AG341^9+WeightSDS!O$30*$AG341^8+WeightSDS!P$30*$AG341^7+WeightSDS!Q$30*$AG341^6+WeightSDS!R$30*$AG341^5+WeightSDS!S$30*$AG341^4+WeightSDS!T$30*$AG341^3+WeightSDS!U$30*$AG341^2+WeightSDS!V$30*$AG341+WeightSDS!W$30-0.010431*(1-1/$AG341),WeightSDS!M$32+WeightSDS!N$32/(1+EXP(WeightSDS!O$32+WeightSDS!P$32*$AG341))-0.010431*(1-$AG341/210))))</f>
        <v>2.9500001032655536</v>
      </c>
      <c r="AK341" s="24">
        <f>IF(D341="M",IF($AG341&lt;162,WeightSDS!P$12*$AG341^7+WeightSDS!Q$12*$AG341^6+WeightSDS!R$12*$AG341^5+WeightSDS!S$12*$AG341^4+WeightSDS!T$12*$AG341^3+WeightSDS!U$12*$AG341^2+WeightSDS!V$12*$AG341+WeightSDS!W$12,WeightSDS!P$14*$AG341^7+WeightSDS!Q$14*$AG341^6+WeightSDS!R$14*$AG341^5+WeightSDS!S$14*$AG341^4+WeightSDS!T$14*$AG341^3+WeightSDS!U$14*$AG341^2+WeightSDS!V$14*$AG341+WeightSDS!W$14),IF($AG341&lt;156,WeightSDS!O$17*$AG341^8+WeightSDS!P$17*$AG341^7+WeightSDS!Q$17*$AG341^6+WeightSDS!R$17*$AG341^5+WeightSDS!S$17*$AG341^4+WeightSDS!T$17*$AG341^3+WeightSDS!U$17*$AG341^2+WeightSDS!V$17*$AG341+WeightSDS!W$17,IF($AG341&lt;186,WeightSDS!$U$18+(WeightSDS!$V$18-WeightSDS!$U$18)/24*($AG341-186)+WeightSDS!$W$18*(-$AG341+186)^2-0.005,WeightSDS!$U$18+(WeightSDS!$V$18-WeightSDS!$U$18)/24*($AG341-186)-0.005)))</f>
        <v>0.14604529399999999</v>
      </c>
    </row>
    <row r="342" spans="1:37">
      <c r="A342" s="4"/>
      <c r="B342" s="21"/>
      <c r="C342" s="21"/>
      <c r="D342" s="21"/>
      <c r="E342" s="22"/>
      <c r="F342" s="22"/>
      <c r="G342" s="23"/>
      <c r="H342" s="23"/>
      <c r="I342" s="8" t="str">
        <f t="shared" si="82"/>
        <v/>
      </c>
      <c r="J342" s="2" t="str">
        <f t="shared" si="89"/>
        <v/>
      </c>
      <c r="K342" s="2" t="str">
        <f t="shared" si="83"/>
        <v/>
      </c>
      <c r="L342" s="2" t="str">
        <f t="shared" si="90"/>
        <v/>
      </c>
      <c r="M342" s="2" t="str">
        <f t="shared" si="95"/>
        <v/>
      </c>
      <c r="N342" s="2" t="str">
        <f t="shared" si="91"/>
        <v/>
      </c>
      <c r="O342" s="8" t="str">
        <f t="shared" si="92"/>
        <v/>
      </c>
      <c r="P342" s="8" t="str">
        <f t="shared" si="93"/>
        <v/>
      </c>
      <c r="Q342" s="40" t="str">
        <f t="shared" si="84"/>
        <v/>
      </c>
      <c r="R342" s="48" t="str">
        <f t="shared" si="94"/>
        <v/>
      </c>
      <c r="S342" s="8"/>
      <c r="U342" s="35">
        <f t="shared" si="85"/>
        <v>0</v>
      </c>
      <c r="V342" s="24">
        <f t="shared" si="86"/>
        <v>0</v>
      </c>
      <c r="W342" s="41">
        <f t="shared" si="81"/>
        <v>0</v>
      </c>
      <c r="X342" s="31"/>
      <c r="Y342" s="31"/>
      <c r="Z342" s="31"/>
      <c r="AA342" s="25">
        <f t="shared" si="87"/>
        <v>9.0359999999999996</v>
      </c>
      <c r="AB342" s="25">
        <f t="shared" si="88"/>
        <v>-184.49199999999999</v>
      </c>
      <c r="AD342" s="24">
        <f>IF(D342="M",IF(AG342&lt;78,BMILMS!$D$5*AG342^3+BMILMS!$E$5*AG342^2+BMILMS!$F$5*AG342+BMILMS!$G$5,IF(AG342&lt;150,BMILMS!$D$6*AG342^3+BMILMS!$E$6*AG342^2+BMILMS!$F$6*AG342+BMILMS!$G$6,BMILMS!$D$7*AG342^3+BMILMS!$E$7*AG342^2+BMILMS!$F$7*AG342+BMILMS!$G$7)),IF(AG342&lt;69,BMILMS!$D$9*AG342^3+BMILMS!$E$9*AG342^2+BMILMS!$F$9*AG342+BMILMS!$G$9,IF(AG342&lt;150,BMILMS!$D$10*AG342^3+BMILMS!$E$10*AG342^2+BMILMS!$F$10*AG342+BMILMS!$G$10,BMILMS!$D$11*AG342^3+BMILMS!$E$11*AG342^2+BMILMS!$F$11*AG342+BMILMS!$G$11)))</f>
        <v>0.79584630099999998</v>
      </c>
      <c r="AE342" s="24">
        <f>IF(D342="M",(IF(AG342&lt;2.5,BMILMS!$D$21*AG342^3+BMILMS!$E$21*AG342^2+BMILMS!$F$21*AG342+BMILMS!$G$21,IF(AG342&lt;9.5,BMILMS!$D$22*AG342^3+BMILMS!$E$22*AG342^2+BMILMS!$F$22*AG342+BMILMS!$G$22,IF(AG342&lt;26.75,BMILMS!$D$23*AG342^3+BMILMS!$E$23*AG342^2+BMILMS!$F$23*AG342+BMILMS!$G$23,IF(AG342&lt;90,BMILMS!$D$24*AG342^3+BMILMS!$E$24*AG342^2+BMILMS!$F$24*AG342+BMILMS!$G$24,BMILMS!$D$25*AG342^3+BMILMS!$E$25*AG342^2+BMILMS!$F$25*AG342+BMILMS!$G$25))))),(IF(AG342&lt;2.5,BMILMS!$D$27*AG342^3+BMILMS!$E$27*AG342^2+BMILMS!$F$27*AG342+BMILMS!$G$27,IF(AG342&lt;9.5,BMILMS!$D$28*AG342^3+BMILMS!$E$28*AG342^2+BMILMS!$F$28*AG342+BMILMS!$G$28,IF(AG342&lt;26.75,BMILMS!$D$29*AG342^3+BMILMS!$E$29*AG342^2+BMILMS!$F$29*AG342+BMILMS!$G$29,IF(AG342&lt;90,BMILMS!$D$30*AG342^3+BMILMS!$E$30*AG342^2+BMILMS!$F$30*AG342+BMILMS!$G$30,IF(AG342&lt;150,BMILMS!$D$31*AG342^3+BMILMS!$E$31*AG342^2+BMILMS!$F$31*AG342+BMILMS!$G$31,BMILMS!$D$32*AG342^3+BMILMS!$E$32*AG342^2+BMILMS!$F$32*AG342+BMILMS!$G$32)))))))</f>
        <v>12.568967990000001</v>
      </c>
      <c r="AF342" s="24">
        <f>IF(D342="M",(IF(AG342&lt;90,BMILMS!$D$14*AG342^3+BMILMS!$E$14*AG342^2+BMILMS!$F$14*AG342+BMILMS!$G$14,BMILMS!$D$15*AG342^3+BMILMS!$E$15*AG342^2+BMILMS!$F$15*AG342+BMILMS!$G$15)),(IF(AG342&lt;90,BMILMS!$D$17*AG342^3+BMILMS!$E$17*AG342^2+BMILMS!$F$17*AG342+BMILMS!$G$17,BMILMS!$D$18*AG342^3+BMILMS!$E$18*AG342^2+BMILMS!$F$18*AG342+BMILMS!$G$18)))</f>
        <v>8.8969350000000003E-2</v>
      </c>
      <c r="AG342" s="24">
        <f t="shared" si="96"/>
        <v>0</v>
      </c>
      <c r="AI342" s="38">
        <f>IF(D342="M",WeightSDS!P$5*$AG342^7+WeightSDS!Q$5*$AG342^6+WeightSDS!R$5*$AG342^5+WeightSDS!S$5*$AG342^4+WeightSDS!T$5*$AG342^3+WeightSDS!U$5*$AG342^2+WeightSDS!V$5*$AG342+WeightSDS!W$5,IF($AG342&lt;186,WeightSDS!P$8*$AG342^7+WeightSDS!Q$8*$AG342^6+WeightSDS!R$8*$AG342^5+WeightSDS!S$8*$AG342^4+WeightSDS!T$8*$AG342^3+WeightSDS!U$8*$AG342^2+WeightSDS!V$8*$AG342+WeightSDS!W$8,WeightSDS!$U$9-WeightSDS!$V$9*($AG342-WeightSDS!$W$9)))</f>
        <v>0.75407122999999998</v>
      </c>
      <c r="AJ342" s="24">
        <f>IF(D342="M",IF($AG342&lt;45,WeightSDS!M$23*$AG342^10+WeightSDS!N$23*$AG342^9+WeightSDS!O$23*$AG342^8+WeightSDS!P$23*$AG342^7+WeightSDS!Q$23*$AG342^6+WeightSDS!R$23*$AG342^5+WeightSDS!S$23*$AG342^4+WeightSDS!T$23*$AG342^3+WeightSDS!U$23*$AG342^2+WeightSDS!V$23*$AG342+WeightSDS!W$23,IF($AG342&lt;153,WeightSDS!M$25*$AG342^10+WeightSDS!N$25*$AG342^9+WeightSDS!O$25*$AG342^8+WeightSDS!P$25*$AG342^7+WeightSDS!Q$25*$AG342^6+WeightSDS!R$25*$AG342^5+WeightSDS!S$25*$AG342^4+WeightSDS!T$25*$AG342^3+WeightSDS!U$25*$AG342^2+WeightSDS!V$25*$AG342+WeightSDS!W$25,WeightSDS!M$27+WeightSDS!N$27/(1+EXP(WeightSDS!O$27+WeightSDS!P$27*$AG342)))),IF($AG342&lt;43.8,WeightSDS!M$29*$AG342^10+WeightSDS!N$29*$AG342^9+WeightSDS!O$29*$AG342^8+WeightSDS!P$29*$AG342^7+WeightSDS!Q$29*$AG342^6+WeightSDS!R$29*$AG342^5+WeightSDS!S$29*$AG342^4+WeightSDS!T$29*$AG342^3+WeightSDS!U$29*$AG342^2+WeightSDS!V$29*$AG342+WeightSDS!W$29-0.010431*(1-$AG342/210),IF($AG342&lt;123,WeightSDS!M$30*$AG342^10+WeightSDS!N$30*$AG342^9+WeightSDS!O$30*$AG342^8+WeightSDS!P$30*$AG342^7+WeightSDS!Q$30*$AG342^6+WeightSDS!R$30*$AG342^5+WeightSDS!S$30*$AG342^4+WeightSDS!T$30*$AG342^3+WeightSDS!U$30*$AG342^2+WeightSDS!V$30*$AG342+WeightSDS!W$30-0.010431*(1-1/$AG342),WeightSDS!M$32+WeightSDS!N$32/(1+EXP(WeightSDS!O$32+WeightSDS!P$32*$AG342))-0.010431*(1-$AG342/210))))</f>
        <v>2.9500001032655536</v>
      </c>
      <c r="AK342" s="24">
        <f>IF(D342="M",IF($AG342&lt;162,WeightSDS!P$12*$AG342^7+WeightSDS!Q$12*$AG342^6+WeightSDS!R$12*$AG342^5+WeightSDS!S$12*$AG342^4+WeightSDS!T$12*$AG342^3+WeightSDS!U$12*$AG342^2+WeightSDS!V$12*$AG342+WeightSDS!W$12,WeightSDS!P$14*$AG342^7+WeightSDS!Q$14*$AG342^6+WeightSDS!R$14*$AG342^5+WeightSDS!S$14*$AG342^4+WeightSDS!T$14*$AG342^3+WeightSDS!U$14*$AG342^2+WeightSDS!V$14*$AG342+WeightSDS!W$14),IF($AG342&lt;156,WeightSDS!O$17*$AG342^8+WeightSDS!P$17*$AG342^7+WeightSDS!Q$17*$AG342^6+WeightSDS!R$17*$AG342^5+WeightSDS!S$17*$AG342^4+WeightSDS!T$17*$AG342^3+WeightSDS!U$17*$AG342^2+WeightSDS!V$17*$AG342+WeightSDS!W$17,IF($AG342&lt;186,WeightSDS!$U$18+(WeightSDS!$V$18-WeightSDS!$U$18)/24*($AG342-186)+WeightSDS!$W$18*(-$AG342+186)^2-0.005,WeightSDS!$U$18+(WeightSDS!$V$18-WeightSDS!$U$18)/24*($AG342-186)-0.005)))</f>
        <v>0.14604529399999999</v>
      </c>
    </row>
    <row r="343" spans="1:37">
      <c r="A343" s="4"/>
      <c r="B343" s="21"/>
      <c r="C343" s="21"/>
      <c r="D343" s="21"/>
      <c r="E343" s="22"/>
      <c r="F343" s="22"/>
      <c r="G343" s="23"/>
      <c r="H343" s="23"/>
      <c r="I343" s="8" t="str">
        <f t="shared" si="82"/>
        <v/>
      </c>
      <c r="J343" s="2" t="str">
        <f t="shared" si="89"/>
        <v/>
      </c>
      <c r="K343" s="2" t="str">
        <f t="shared" si="83"/>
        <v/>
      </c>
      <c r="L343" s="2" t="str">
        <f t="shared" si="90"/>
        <v/>
      </c>
      <c r="M343" s="2" t="str">
        <f t="shared" si="95"/>
        <v/>
      </c>
      <c r="N343" s="2" t="str">
        <f t="shared" si="91"/>
        <v/>
      </c>
      <c r="O343" s="8" t="str">
        <f t="shared" si="92"/>
        <v/>
      </c>
      <c r="P343" s="8" t="str">
        <f t="shared" si="93"/>
        <v/>
      </c>
      <c r="Q343" s="40" t="str">
        <f t="shared" si="84"/>
        <v/>
      </c>
      <c r="R343" s="48" t="str">
        <f t="shared" si="94"/>
        <v/>
      </c>
      <c r="S343" s="8"/>
      <c r="U343" s="35">
        <f t="shared" si="85"/>
        <v>0</v>
      </c>
      <c r="V343" s="24">
        <f t="shared" si="86"/>
        <v>0</v>
      </c>
      <c r="W343" s="41">
        <f t="shared" si="81"/>
        <v>0</v>
      </c>
      <c r="X343" s="31"/>
      <c r="Y343" s="31"/>
      <c r="Z343" s="31"/>
      <c r="AA343" s="25">
        <f t="shared" si="87"/>
        <v>9.0359999999999996</v>
      </c>
      <c r="AB343" s="25">
        <f t="shared" si="88"/>
        <v>-184.49199999999999</v>
      </c>
      <c r="AD343" s="24">
        <f>IF(D343="M",IF(AG343&lt;78,BMILMS!$D$5*AG343^3+BMILMS!$E$5*AG343^2+BMILMS!$F$5*AG343+BMILMS!$G$5,IF(AG343&lt;150,BMILMS!$D$6*AG343^3+BMILMS!$E$6*AG343^2+BMILMS!$F$6*AG343+BMILMS!$G$6,BMILMS!$D$7*AG343^3+BMILMS!$E$7*AG343^2+BMILMS!$F$7*AG343+BMILMS!$G$7)),IF(AG343&lt;69,BMILMS!$D$9*AG343^3+BMILMS!$E$9*AG343^2+BMILMS!$F$9*AG343+BMILMS!$G$9,IF(AG343&lt;150,BMILMS!$D$10*AG343^3+BMILMS!$E$10*AG343^2+BMILMS!$F$10*AG343+BMILMS!$G$10,BMILMS!$D$11*AG343^3+BMILMS!$E$11*AG343^2+BMILMS!$F$11*AG343+BMILMS!$G$11)))</f>
        <v>0.79584630099999998</v>
      </c>
      <c r="AE343" s="24">
        <f>IF(D343="M",(IF(AG343&lt;2.5,BMILMS!$D$21*AG343^3+BMILMS!$E$21*AG343^2+BMILMS!$F$21*AG343+BMILMS!$G$21,IF(AG343&lt;9.5,BMILMS!$D$22*AG343^3+BMILMS!$E$22*AG343^2+BMILMS!$F$22*AG343+BMILMS!$G$22,IF(AG343&lt;26.75,BMILMS!$D$23*AG343^3+BMILMS!$E$23*AG343^2+BMILMS!$F$23*AG343+BMILMS!$G$23,IF(AG343&lt;90,BMILMS!$D$24*AG343^3+BMILMS!$E$24*AG343^2+BMILMS!$F$24*AG343+BMILMS!$G$24,BMILMS!$D$25*AG343^3+BMILMS!$E$25*AG343^2+BMILMS!$F$25*AG343+BMILMS!$G$25))))),(IF(AG343&lt;2.5,BMILMS!$D$27*AG343^3+BMILMS!$E$27*AG343^2+BMILMS!$F$27*AG343+BMILMS!$G$27,IF(AG343&lt;9.5,BMILMS!$D$28*AG343^3+BMILMS!$E$28*AG343^2+BMILMS!$F$28*AG343+BMILMS!$G$28,IF(AG343&lt;26.75,BMILMS!$D$29*AG343^3+BMILMS!$E$29*AG343^2+BMILMS!$F$29*AG343+BMILMS!$G$29,IF(AG343&lt;90,BMILMS!$D$30*AG343^3+BMILMS!$E$30*AG343^2+BMILMS!$F$30*AG343+BMILMS!$G$30,IF(AG343&lt;150,BMILMS!$D$31*AG343^3+BMILMS!$E$31*AG343^2+BMILMS!$F$31*AG343+BMILMS!$G$31,BMILMS!$D$32*AG343^3+BMILMS!$E$32*AG343^2+BMILMS!$F$32*AG343+BMILMS!$G$32)))))))</f>
        <v>12.568967990000001</v>
      </c>
      <c r="AF343" s="24">
        <f>IF(D343="M",(IF(AG343&lt;90,BMILMS!$D$14*AG343^3+BMILMS!$E$14*AG343^2+BMILMS!$F$14*AG343+BMILMS!$G$14,BMILMS!$D$15*AG343^3+BMILMS!$E$15*AG343^2+BMILMS!$F$15*AG343+BMILMS!$G$15)),(IF(AG343&lt;90,BMILMS!$D$17*AG343^3+BMILMS!$E$17*AG343^2+BMILMS!$F$17*AG343+BMILMS!$G$17,BMILMS!$D$18*AG343^3+BMILMS!$E$18*AG343^2+BMILMS!$F$18*AG343+BMILMS!$G$18)))</f>
        <v>8.8969350000000003E-2</v>
      </c>
      <c r="AG343" s="24">
        <f t="shared" si="96"/>
        <v>0</v>
      </c>
      <c r="AI343" s="38">
        <f>IF(D343="M",WeightSDS!P$5*$AG343^7+WeightSDS!Q$5*$AG343^6+WeightSDS!R$5*$AG343^5+WeightSDS!S$5*$AG343^4+WeightSDS!T$5*$AG343^3+WeightSDS!U$5*$AG343^2+WeightSDS!V$5*$AG343+WeightSDS!W$5,IF($AG343&lt;186,WeightSDS!P$8*$AG343^7+WeightSDS!Q$8*$AG343^6+WeightSDS!R$8*$AG343^5+WeightSDS!S$8*$AG343^4+WeightSDS!T$8*$AG343^3+WeightSDS!U$8*$AG343^2+WeightSDS!V$8*$AG343+WeightSDS!W$8,WeightSDS!$U$9-WeightSDS!$V$9*($AG343-WeightSDS!$W$9)))</f>
        <v>0.75407122999999998</v>
      </c>
      <c r="AJ343" s="24">
        <f>IF(D343="M",IF($AG343&lt;45,WeightSDS!M$23*$AG343^10+WeightSDS!N$23*$AG343^9+WeightSDS!O$23*$AG343^8+WeightSDS!P$23*$AG343^7+WeightSDS!Q$23*$AG343^6+WeightSDS!R$23*$AG343^5+WeightSDS!S$23*$AG343^4+WeightSDS!T$23*$AG343^3+WeightSDS!U$23*$AG343^2+WeightSDS!V$23*$AG343+WeightSDS!W$23,IF($AG343&lt;153,WeightSDS!M$25*$AG343^10+WeightSDS!N$25*$AG343^9+WeightSDS!O$25*$AG343^8+WeightSDS!P$25*$AG343^7+WeightSDS!Q$25*$AG343^6+WeightSDS!R$25*$AG343^5+WeightSDS!S$25*$AG343^4+WeightSDS!T$25*$AG343^3+WeightSDS!U$25*$AG343^2+WeightSDS!V$25*$AG343+WeightSDS!W$25,WeightSDS!M$27+WeightSDS!N$27/(1+EXP(WeightSDS!O$27+WeightSDS!P$27*$AG343)))),IF($AG343&lt;43.8,WeightSDS!M$29*$AG343^10+WeightSDS!N$29*$AG343^9+WeightSDS!O$29*$AG343^8+WeightSDS!P$29*$AG343^7+WeightSDS!Q$29*$AG343^6+WeightSDS!R$29*$AG343^5+WeightSDS!S$29*$AG343^4+WeightSDS!T$29*$AG343^3+WeightSDS!U$29*$AG343^2+WeightSDS!V$29*$AG343+WeightSDS!W$29-0.010431*(1-$AG343/210),IF($AG343&lt;123,WeightSDS!M$30*$AG343^10+WeightSDS!N$30*$AG343^9+WeightSDS!O$30*$AG343^8+WeightSDS!P$30*$AG343^7+WeightSDS!Q$30*$AG343^6+WeightSDS!R$30*$AG343^5+WeightSDS!S$30*$AG343^4+WeightSDS!T$30*$AG343^3+WeightSDS!U$30*$AG343^2+WeightSDS!V$30*$AG343+WeightSDS!W$30-0.010431*(1-1/$AG343),WeightSDS!M$32+WeightSDS!N$32/(1+EXP(WeightSDS!O$32+WeightSDS!P$32*$AG343))-0.010431*(1-$AG343/210))))</f>
        <v>2.9500001032655536</v>
      </c>
      <c r="AK343" s="24">
        <f>IF(D343="M",IF($AG343&lt;162,WeightSDS!P$12*$AG343^7+WeightSDS!Q$12*$AG343^6+WeightSDS!R$12*$AG343^5+WeightSDS!S$12*$AG343^4+WeightSDS!T$12*$AG343^3+WeightSDS!U$12*$AG343^2+WeightSDS!V$12*$AG343+WeightSDS!W$12,WeightSDS!P$14*$AG343^7+WeightSDS!Q$14*$AG343^6+WeightSDS!R$14*$AG343^5+WeightSDS!S$14*$AG343^4+WeightSDS!T$14*$AG343^3+WeightSDS!U$14*$AG343^2+WeightSDS!V$14*$AG343+WeightSDS!W$14),IF($AG343&lt;156,WeightSDS!O$17*$AG343^8+WeightSDS!P$17*$AG343^7+WeightSDS!Q$17*$AG343^6+WeightSDS!R$17*$AG343^5+WeightSDS!S$17*$AG343^4+WeightSDS!T$17*$AG343^3+WeightSDS!U$17*$AG343^2+WeightSDS!V$17*$AG343+WeightSDS!W$17,IF($AG343&lt;186,WeightSDS!$U$18+(WeightSDS!$V$18-WeightSDS!$U$18)/24*($AG343-186)+WeightSDS!$W$18*(-$AG343+186)^2-0.005,WeightSDS!$U$18+(WeightSDS!$V$18-WeightSDS!$U$18)/24*($AG343-186)-0.005)))</f>
        <v>0.14604529399999999</v>
      </c>
    </row>
    <row r="344" spans="1:37">
      <c r="A344" s="4"/>
      <c r="B344" s="21"/>
      <c r="C344" s="21"/>
      <c r="D344" s="21"/>
      <c r="E344" s="22"/>
      <c r="F344" s="22"/>
      <c r="G344" s="23"/>
      <c r="H344" s="23"/>
      <c r="I344" s="8" t="str">
        <f t="shared" si="82"/>
        <v/>
      </c>
      <c r="J344" s="2" t="str">
        <f t="shared" si="89"/>
        <v/>
      </c>
      <c r="K344" s="2" t="str">
        <f t="shared" si="83"/>
        <v/>
      </c>
      <c r="L344" s="2" t="str">
        <f t="shared" si="90"/>
        <v/>
      </c>
      <c r="M344" s="2" t="str">
        <f t="shared" si="95"/>
        <v/>
      </c>
      <c r="N344" s="2" t="str">
        <f t="shared" si="91"/>
        <v/>
      </c>
      <c r="O344" s="8" t="str">
        <f t="shared" si="92"/>
        <v/>
      </c>
      <c r="P344" s="8" t="str">
        <f t="shared" si="93"/>
        <v/>
      </c>
      <c r="Q344" s="40" t="str">
        <f t="shared" si="84"/>
        <v/>
      </c>
      <c r="R344" s="48" t="str">
        <f t="shared" si="94"/>
        <v/>
      </c>
      <c r="S344" s="8"/>
      <c r="U344" s="35">
        <f t="shared" si="85"/>
        <v>0</v>
      </c>
      <c r="V344" s="24">
        <f t="shared" si="86"/>
        <v>0</v>
      </c>
      <c r="W344" s="41">
        <f t="shared" si="81"/>
        <v>0</v>
      </c>
      <c r="X344" s="31"/>
      <c r="Y344" s="31"/>
      <c r="Z344" s="31"/>
      <c r="AA344" s="25">
        <f t="shared" si="87"/>
        <v>9.0359999999999996</v>
      </c>
      <c r="AB344" s="25">
        <f t="shared" si="88"/>
        <v>-184.49199999999999</v>
      </c>
      <c r="AD344" s="24">
        <f>IF(D344="M",IF(AG344&lt;78,BMILMS!$D$5*AG344^3+BMILMS!$E$5*AG344^2+BMILMS!$F$5*AG344+BMILMS!$G$5,IF(AG344&lt;150,BMILMS!$D$6*AG344^3+BMILMS!$E$6*AG344^2+BMILMS!$F$6*AG344+BMILMS!$G$6,BMILMS!$D$7*AG344^3+BMILMS!$E$7*AG344^2+BMILMS!$F$7*AG344+BMILMS!$G$7)),IF(AG344&lt;69,BMILMS!$D$9*AG344^3+BMILMS!$E$9*AG344^2+BMILMS!$F$9*AG344+BMILMS!$G$9,IF(AG344&lt;150,BMILMS!$D$10*AG344^3+BMILMS!$E$10*AG344^2+BMILMS!$F$10*AG344+BMILMS!$G$10,BMILMS!$D$11*AG344^3+BMILMS!$E$11*AG344^2+BMILMS!$F$11*AG344+BMILMS!$G$11)))</f>
        <v>0.79584630099999998</v>
      </c>
      <c r="AE344" s="24">
        <f>IF(D344="M",(IF(AG344&lt;2.5,BMILMS!$D$21*AG344^3+BMILMS!$E$21*AG344^2+BMILMS!$F$21*AG344+BMILMS!$G$21,IF(AG344&lt;9.5,BMILMS!$D$22*AG344^3+BMILMS!$E$22*AG344^2+BMILMS!$F$22*AG344+BMILMS!$G$22,IF(AG344&lt;26.75,BMILMS!$D$23*AG344^3+BMILMS!$E$23*AG344^2+BMILMS!$F$23*AG344+BMILMS!$G$23,IF(AG344&lt;90,BMILMS!$D$24*AG344^3+BMILMS!$E$24*AG344^2+BMILMS!$F$24*AG344+BMILMS!$G$24,BMILMS!$D$25*AG344^3+BMILMS!$E$25*AG344^2+BMILMS!$F$25*AG344+BMILMS!$G$25))))),(IF(AG344&lt;2.5,BMILMS!$D$27*AG344^3+BMILMS!$E$27*AG344^2+BMILMS!$F$27*AG344+BMILMS!$G$27,IF(AG344&lt;9.5,BMILMS!$D$28*AG344^3+BMILMS!$E$28*AG344^2+BMILMS!$F$28*AG344+BMILMS!$G$28,IF(AG344&lt;26.75,BMILMS!$D$29*AG344^3+BMILMS!$E$29*AG344^2+BMILMS!$F$29*AG344+BMILMS!$G$29,IF(AG344&lt;90,BMILMS!$D$30*AG344^3+BMILMS!$E$30*AG344^2+BMILMS!$F$30*AG344+BMILMS!$G$30,IF(AG344&lt;150,BMILMS!$D$31*AG344^3+BMILMS!$E$31*AG344^2+BMILMS!$F$31*AG344+BMILMS!$G$31,BMILMS!$D$32*AG344^3+BMILMS!$E$32*AG344^2+BMILMS!$F$32*AG344+BMILMS!$G$32)))))))</f>
        <v>12.568967990000001</v>
      </c>
      <c r="AF344" s="24">
        <f>IF(D344="M",(IF(AG344&lt;90,BMILMS!$D$14*AG344^3+BMILMS!$E$14*AG344^2+BMILMS!$F$14*AG344+BMILMS!$G$14,BMILMS!$D$15*AG344^3+BMILMS!$E$15*AG344^2+BMILMS!$F$15*AG344+BMILMS!$G$15)),(IF(AG344&lt;90,BMILMS!$D$17*AG344^3+BMILMS!$E$17*AG344^2+BMILMS!$F$17*AG344+BMILMS!$G$17,BMILMS!$D$18*AG344^3+BMILMS!$E$18*AG344^2+BMILMS!$F$18*AG344+BMILMS!$G$18)))</f>
        <v>8.8969350000000003E-2</v>
      </c>
      <c r="AG344" s="24">
        <f t="shared" si="96"/>
        <v>0</v>
      </c>
      <c r="AI344" s="38">
        <f>IF(D344="M",WeightSDS!P$5*$AG344^7+WeightSDS!Q$5*$AG344^6+WeightSDS!R$5*$AG344^5+WeightSDS!S$5*$AG344^4+WeightSDS!T$5*$AG344^3+WeightSDS!U$5*$AG344^2+WeightSDS!V$5*$AG344+WeightSDS!W$5,IF($AG344&lt;186,WeightSDS!P$8*$AG344^7+WeightSDS!Q$8*$AG344^6+WeightSDS!R$8*$AG344^5+WeightSDS!S$8*$AG344^4+WeightSDS!T$8*$AG344^3+WeightSDS!U$8*$AG344^2+WeightSDS!V$8*$AG344+WeightSDS!W$8,WeightSDS!$U$9-WeightSDS!$V$9*($AG344-WeightSDS!$W$9)))</f>
        <v>0.75407122999999998</v>
      </c>
      <c r="AJ344" s="24">
        <f>IF(D344="M",IF($AG344&lt;45,WeightSDS!M$23*$AG344^10+WeightSDS!N$23*$AG344^9+WeightSDS!O$23*$AG344^8+WeightSDS!P$23*$AG344^7+WeightSDS!Q$23*$AG344^6+WeightSDS!R$23*$AG344^5+WeightSDS!S$23*$AG344^4+WeightSDS!T$23*$AG344^3+WeightSDS!U$23*$AG344^2+WeightSDS!V$23*$AG344+WeightSDS!W$23,IF($AG344&lt;153,WeightSDS!M$25*$AG344^10+WeightSDS!N$25*$AG344^9+WeightSDS!O$25*$AG344^8+WeightSDS!P$25*$AG344^7+WeightSDS!Q$25*$AG344^6+WeightSDS!R$25*$AG344^5+WeightSDS!S$25*$AG344^4+WeightSDS!T$25*$AG344^3+WeightSDS!U$25*$AG344^2+WeightSDS!V$25*$AG344+WeightSDS!W$25,WeightSDS!M$27+WeightSDS!N$27/(1+EXP(WeightSDS!O$27+WeightSDS!P$27*$AG344)))),IF($AG344&lt;43.8,WeightSDS!M$29*$AG344^10+WeightSDS!N$29*$AG344^9+WeightSDS!O$29*$AG344^8+WeightSDS!P$29*$AG344^7+WeightSDS!Q$29*$AG344^6+WeightSDS!R$29*$AG344^5+WeightSDS!S$29*$AG344^4+WeightSDS!T$29*$AG344^3+WeightSDS!U$29*$AG344^2+WeightSDS!V$29*$AG344+WeightSDS!W$29-0.010431*(1-$AG344/210),IF($AG344&lt;123,WeightSDS!M$30*$AG344^10+WeightSDS!N$30*$AG344^9+WeightSDS!O$30*$AG344^8+WeightSDS!P$30*$AG344^7+WeightSDS!Q$30*$AG344^6+WeightSDS!R$30*$AG344^5+WeightSDS!S$30*$AG344^4+WeightSDS!T$30*$AG344^3+WeightSDS!U$30*$AG344^2+WeightSDS!V$30*$AG344+WeightSDS!W$30-0.010431*(1-1/$AG344),WeightSDS!M$32+WeightSDS!N$32/(1+EXP(WeightSDS!O$32+WeightSDS!P$32*$AG344))-0.010431*(1-$AG344/210))))</f>
        <v>2.9500001032655536</v>
      </c>
      <c r="AK344" s="24">
        <f>IF(D344="M",IF($AG344&lt;162,WeightSDS!P$12*$AG344^7+WeightSDS!Q$12*$AG344^6+WeightSDS!R$12*$AG344^5+WeightSDS!S$12*$AG344^4+WeightSDS!T$12*$AG344^3+WeightSDS!U$12*$AG344^2+WeightSDS!V$12*$AG344+WeightSDS!W$12,WeightSDS!P$14*$AG344^7+WeightSDS!Q$14*$AG344^6+WeightSDS!R$14*$AG344^5+WeightSDS!S$14*$AG344^4+WeightSDS!T$14*$AG344^3+WeightSDS!U$14*$AG344^2+WeightSDS!V$14*$AG344+WeightSDS!W$14),IF($AG344&lt;156,WeightSDS!O$17*$AG344^8+WeightSDS!P$17*$AG344^7+WeightSDS!Q$17*$AG344^6+WeightSDS!R$17*$AG344^5+WeightSDS!S$17*$AG344^4+WeightSDS!T$17*$AG344^3+WeightSDS!U$17*$AG344^2+WeightSDS!V$17*$AG344+WeightSDS!W$17,IF($AG344&lt;186,WeightSDS!$U$18+(WeightSDS!$V$18-WeightSDS!$U$18)/24*($AG344-186)+WeightSDS!$W$18*(-$AG344+186)^2-0.005,WeightSDS!$U$18+(WeightSDS!$V$18-WeightSDS!$U$18)/24*($AG344-186)-0.005)))</f>
        <v>0.14604529399999999</v>
      </c>
    </row>
    <row r="345" spans="1:37">
      <c r="A345" s="4"/>
      <c r="B345" s="21"/>
      <c r="C345" s="21"/>
      <c r="D345" s="21"/>
      <c r="E345" s="22"/>
      <c r="F345" s="22"/>
      <c r="G345" s="23"/>
      <c r="H345" s="23"/>
      <c r="I345" s="8" t="str">
        <f t="shared" si="82"/>
        <v/>
      </c>
      <c r="J345" s="2" t="str">
        <f t="shared" si="89"/>
        <v/>
      </c>
      <c r="K345" s="2" t="str">
        <f t="shared" si="83"/>
        <v/>
      </c>
      <c r="L345" s="2" t="str">
        <f t="shared" si="90"/>
        <v/>
      </c>
      <c r="M345" s="2" t="str">
        <f t="shared" si="95"/>
        <v/>
      </c>
      <c r="N345" s="2" t="str">
        <f t="shared" si="91"/>
        <v/>
      </c>
      <c r="O345" s="8" t="str">
        <f t="shared" si="92"/>
        <v/>
      </c>
      <c r="P345" s="8" t="str">
        <f t="shared" si="93"/>
        <v/>
      </c>
      <c r="Q345" s="40" t="str">
        <f t="shared" si="84"/>
        <v/>
      </c>
      <c r="R345" s="48" t="str">
        <f t="shared" si="94"/>
        <v/>
      </c>
      <c r="S345" s="8"/>
      <c r="U345" s="35">
        <f t="shared" si="85"/>
        <v>0</v>
      </c>
      <c r="V345" s="24">
        <f t="shared" si="86"/>
        <v>0</v>
      </c>
      <c r="W345" s="41">
        <f t="shared" si="81"/>
        <v>0</v>
      </c>
      <c r="X345" s="31"/>
      <c r="Y345" s="31"/>
      <c r="Z345" s="31"/>
      <c r="AA345" s="25">
        <f t="shared" si="87"/>
        <v>9.0359999999999996</v>
      </c>
      <c r="AB345" s="25">
        <f t="shared" si="88"/>
        <v>-184.49199999999999</v>
      </c>
      <c r="AD345" s="24">
        <f>IF(D345="M",IF(AG345&lt;78,BMILMS!$D$5*AG345^3+BMILMS!$E$5*AG345^2+BMILMS!$F$5*AG345+BMILMS!$G$5,IF(AG345&lt;150,BMILMS!$D$6*AG345^3+BMILMS!$E$6*AG345^2+BMILMS!$F$6*AG345+BMILMS!$G$6,BMILMS!$D$7*AG345^3+BMILMS!$E$7*AG345^2+BMILMS!$F$7*AG345+BMILMS!$G$7)),IF(AG345&lt;69,BMILMS!$D$9*AG345^3+BMILMS!$E$9*AG345^2+BMILMS!$F$9*AG345+BMILMS!$G$9,IF(AG345&lt;150,BMILMS!$D$10*AG345^3+BMILMS!$E$10*AG345^2+BMILMS!$F$10*AG345+BMILMS!$G$10,BMILMS!$D$11*AG345^3+BMILMS!$E$11*AG345^2+BMILMS!$F$11*AG345+BMILMS!$G$11)))</f>
        <v>0.79584630099999998</v>
      </c>
      <c r="AE345" s="24">
        <f>IF(D345="M",(IF(AG345&lt;2.5,BMILMS!$D$21*AG345^3+BMILMS!$E$21*AG345^2+BMILMS!$F$21*AG345+BMILMS!$G$21,IF(AG345&lt;9.5,BMILMS!$D$22*AG345^3+BMILMS!$E$22*AG345^2+BMILMS!$F$22*AG345+BMILMS!$G$22,IF(AG345&lt;26.75,BMILMS!$D$23*AG345^3+BMILMS!$E$23*AG345^2+BMILMS!$F$23*AG345+BMILMS!$G$23,IF(AG345&lt;90,BMILMS!$D$24*AG345^3+BMILMS!$E$24*AG345^2+BMILMS!$F$24*AG345+BMILMS!$G$24,BMILMS!$D$25*AG345^3+BMILMS!$E$25*AG345^2+BMILMS!$F$25*AG345+BMILMS!$G$25))))),(IF(AG345&lt;2.5,BMILMS!$D$27*AG345^3+BMILMS!$E$27*AG345^2+BMILMS!$F$27*AG345+BMILMS!$G$27,IF(AG345&lt;9.5,BMILMS!$D$28*AG345^3+BMILMS!$E$28*AG345^2+BMILMS!$F$28*AG345+BMILMS!$G$28,IF(AG345&lt;26.75,BMILMS!$D$29*AG345^3+BMILMS!$E$29*AG345^2+BMILMS!$F$29*AG345+BMILMS!$G$29,IF(AG345&lt;90,BMILMS!$D$30*AG345^3+BMILMS!$E$30*AG345^2+BMILMS!$F$30*AG345+BMILMS!$G$30,IF(AG345&lt;150,BMILMS!$D$31*AG345^3+BMILMS!$E$31*AG345^2+BMILMS!$F$31*AG345+BMILMS!$G$31,BMILMS!$D$32*AG345^3+BMILMS!$E$32*AG345^2+BMILMS!$F$32*AG345+BMILMS!$G$32)))))))</f>
        <v>12.568967990000001</v>
      </c>
      <c r="AF345" s="24">
        <f>IF(D345="M",(IF(AG345&lt;90,BMILMS!$D$14*AG345^3+BMILMS!$E$14*AG345^2+BMILMS!$F$14*AG345+BMILMS!$G$14,BMILMS!$D$15*AG345^3+BMILMS!$E$15*AG345^2+BMILMS!$F$15*AG345+BMILMS!$G$15)),(IF(AG345&lt;90,BMILMS!$D$17*AG345^3+BMILMS!$E$17*AG345^2+BMILMS!$F$17*AG345+BMILMS!$G$17,BMILMS!$D$18*AG345^3+BMILMS!$E$18*AG345^2+BMILMS!$F$18*AG345+BMILMS!$G$18)))</f>
        <v>8.8969350000000003E-2</v>
      </c>
      <c r="AG345" s="24">
        <f t="shared" si="96"/>
        <v>0</v>
      </c>
      <c r="AI345" s="38">
        <f>IF(D345="M",WeightSDS!P$5*$AG345^7+WeightSDS!Q$5*$AG345^6+WeightSDS!R$5*$AG345^5+WeightSDS!S$5*$AG345^4+WeightSDS!T$5*$AG345^3+WeightSDS!U$5*$AG345^2+WeightSDS!V$5*$AG345+WeightSDS!W$5,IF($AG345&lt;186,WeightSDS!P$8*$AG345^7+WeightSDS!Q$8*$AG345^6+WeightSDS!R$8*$AG345^5+WeightSDS!S$8*$AG345^4+WeightSDS!T$8*$AG345^3+WeightSDS!U$8*$AG345^2+WeightSDS!V$8*$AG345+WeightSDS!W$8,WeightSDS!$U$9-WeightSDS!$V$9*($AG345-WeightSDS!$W$9)))</f>
        <v>0.75407122999999998</v>
      </c>
      <c r="AJ345" s="24">
        <f>IF(D345="M",IF($AG345&lt;45,WeightSDS!M$23*$AG345^10+WeightSDS!N$23*$AG345^9+WeightSDS!O$23*$AG345^8+WeightSDS!P$23*$AG345^7+WeightSDS!Q$23*$AG345^6+WeightSDS!R$23*$AG345^5+WeightSDS!S$23*$AG345^4+WeightSDS!T$23*$AG345^3+WeightSDS!U$23*$AG345^2+WeightSDS!V$23*$AG345+WeightSDS!W$23,IF($AG345&lt;153,WeightSDS!M$25*$AG345^10+WeightSDS!N$25*$AG345^9+WeightSDS!O$25*$AG345^8+WeightSDS!P$25*$AG345^7+WeightSDS!Q$25*$AG345^6+WeightSDS!R$25*$AG345^5+WeightSDS!S$25*$AG345^4+WeightSDS!T$25*$AG345^3+WeightSDS!U$25*$AG345^2+WeightSDS!V$25*$AG345+WeightSDS!W$25,WeightSDS!M$27+WeightSDS!N$27/(1+EXP(WeightSDS!O$27+WeightSDS!P$27*$AG345)))),IF($AG345&lt;43.8,WeightSDS!M$29*$AG345^10+WeightSDS!N$29*$AG345^9+WeightSDS!O$29*$AG345^8+WeightSDS!P$29*$AG345^7+WeightSDS!Q$29*$AG345^6+WeightSDS!R$29*$AG345^5+WeightSDS!S$29*$AG345^4+WeightSDS!T$29*$AG345^3+WeightSDS!U$29*$AG345^2+WeightSDS!V$29*$AG345+WeightSDS!W$29-0.010431*(1-$AG345/210),IF($AG345&lt;123,WeightSDS!M$30*$AG345^10+WeightSDS!N$30*$AG345^9+WeightSDS!O$30*$AG345^8+WeightSDS!P$30*$AG345^7+WeightSDS!Q$30*$AG345^6+WeightSDS!R$30*$AG345^5+WeightSDS!S$30*$AG345^4+WeightSDS!T$30*$AG345^3+WeightSDS!U$30*$AG345^2+WeightSDS!V$30*$AG345+WeightSDS!W$30-0.010431*(1-1/$AG345),WeightSDS!M$32+WeightSDS!N$32/(1+EXP(WeightSDS!O$32+WeightSDS!P$32*$AG345))-0.010431*(1-$AG345/210))))</f>
        <v>2.9500001032655536</v>
      </c>
      <c r="AK345" s="24">
        <f>IF(D345="M",IF($AG345&lt;162,WeightSDS!P$12*$AG345^7+WeightSDS!Q$12*$AG345^6+WeightSDS!R$12*$AG345^5+WeightSDS!S$12*$AG345^4+WeightSDS!T$12*$AG345^3+WeightSDS!U$12*$AG345^2+WeightSDS!V$12*$AG345+WeightSDS!W$12,WeightSDS!P$14*$AG345^7+WeightSDS!Q$14*$AG345^6+WeightSDS!R$14*$AG345^5+WeightSDS!S$14*$AG345^4+WeightSDS!T$14*$AG345^3+WeightSDS!U$14*$AG345^2+WeightSDS!V$14*$AG345+WeightSDS!W$14),IF($AG345&lt;156,WeightSDS!O$17*$AG345^8+WeightSDS!P$17*$AG345^7+WeightSDS!Q$17*$AG345^6+WeightSDS!R$17*$AG345^5+WeightSDS!S$17*$AG345^4+WeightSDS!T$17*$AG345^3+WeightSDS!U$17*$AG345^2+WeightSDS!V$17*$AG345+WeightSDS!W$17,IF($AG345&lt;186,WeightSDS!$U$18+(WeightSDS!$V$18-WeightSDS!$U$18)/24*($AG345-186)+WeightSDS!$W$18*(-$AG345+186)^2-0.005,WeightSDS!$U$18+(WeightSDS!$V$18-WeightSDS!$U$18)/24*($AG345-186)-0.005)))</f>
        <v>0.14604529399999999</v>
      </c>
    </row>
    <row r="346" spans="1:37">
      <c r="A346" s="4"/>
      <c r="B346" s="21"/>
      <c r="C346" s="21"/>
      <c r="D346" s="21"/>
      <c r="E346" s="22"/>
      <c r="F346" s="22"/>
      <c r="G346" s="23"/>
      <c r="H346" s="23"/>
      <c r="I346" s="8" t="str">
        <f t="shared" si="82"/>
        <v/>
      </c>
      <c r="J346" s="2" t="str">
        <f t="shared" si="89"/>
        <v/>
      </c>
      <c r="K346" s="2" t="str">
        <f t="shared" si="83"/>
        <v/>
      </c>
      <c r="L346" s="2" t="str">
        <f t="shared" si="90"/>
        <v/>
      </c>
      <c r="M346" s="2" t="str">
        <f t="shared" si="95"/>
        <v/>
      </c>
      <c r="N346" s="2" t="str">
        <f t="shared" si="91"/>
        <v/>
      </c>
      <c r="O346" s="8" t="str">
        <f t="shared" si="92"/>
        <v/>
      </c>
      <c r="P346" s="8" t="str">
        <f t="shared" si="93"/>
        <v/>
      </c>
      <c r="Q346" s="40" t="str">
        <f t="shared" si="84"/>
        <v/>
      </c>
      <c r="R346" s="48" t="str">
        <f t="shared" si="94"/>
        <v/>
      </c>
      <c r="S346" s="8"/>
      <c r="U346" s="35">
        <f t="shared" si="85"/>
        <v>0</v>
      </c>
      <c r="V346" s="24">
        <f t="shared" si="86"/>
        <v>0</v>
      </c>
      <c r="W346" s="41">
        <f t="shared" si="81"/>
        <v>0</v>
      </c>
      <c r="X346" s="31"/>
      <c r="Y346" s="31"/>
      <c r="Z346" s="31"/>
      <c r="AA346" s="25">
        <f t="shared" si="87"/>
        <v>9.0359999999999996</v>
      </c>
      <c r="AB346" s="25">
        <f t="shared" si="88"/>
        <v>-184.49199999999999</v>
      </c>
      <c r="AD346" s="24">
        <f>IF(D346="M",IF(AG346&lt;78,BMILMS!$D$5*AG346^3+BMILMS!$E$5*AG346^2+BMILMS!$F$5*AG346+BMILMS!$G$5,IF(AG346&lt;150,BMILMS!$D$6*AG346^3+BMILMS!$E$6*AG346^2+BMILMS!$F$6*AG346+BMILMS!$G$6,BMILMS!$D$7*AG346^3+BMILMS!$E$7*AG346^2+BMILMS!$F$7*AG346+BMILMS!$G$7)),IF(AG346&lt;69,BMILMS!$D$9*AG346^3+BMILMS!$E$9*AG346^2+BMILMS!$F$9*AG346+BMILMS!$G$9,IF(AG346&lt;150,BMILMS!$D$10*AG346^3+BMILMS!$E$10*AG346^2+BMILMS!$F$10*AG346+BMILMS!$G$10,BMILMS!$D$11*AG346^3+BMILMS!$E$11*AG346^2+BMILMS!$F$11*AG346+BMILMS!$G$11)))</f>
        <v>0.79584630099999998</v>
      </c>
      <c r="AE346" s="24">
        <f>IF(D346="M",(IF(AG346&lt;2.5,BMILMS!$D$21*AG346^3+BMILMS!$E$21*AG346^2+BMILMS!$F$21*AG346+BMILMS!$G$21,IF(AG346&lt;9.5,BMILMS!$D$22*AG346^3+BMILMS!$E$22*AG346^2+BMILMS!$F$22*AG346+BMILMS!$G$22,IF(AG346&lt;26.75,BMILMS!$D$23*AG346^3+BMILMS!$E$23*AG346^2+BMILMS!$F$23*AG346+BMILMS!$G$23,IF(AG346&lt;90,BMILMS!$D$24*AG346^3+BMILMS!$E$24*AG346^2+BMILMS!$F$24*AG346+BMILMS!$G$24,BMILMS!$D$25*AG346^3+BMILMS!$E$25*AG346^2+BMILMS!$F$25*AG346+BMILMS!$G$25))))),(IF(AG346&lt;2.5,BMILMS!$D$27*AG346^3+BMILMS!$E$27*AG346^2+BMILMS!$F$27*AG346+BMILMS!$G$27,IF(AG346&lt;9.5,BMILMS!$D$28*AG346^3+BMILMS!$E$28*AG346^2+BMILMS!$F$28*AG346+BMILMS!$G$28,IF(AG346&lt;26.75,BMILMS!$D$29*AG346^3+BMILMS!$E$29*AG346^2+BMILMS!$F$29*AG346+BMILMS!$G$29,IF(AG346&lt;90,BMILMS!$D$30*AG346^3+BMILMS!$E$30*AG346^2+BMILMS!$F$30*AG346+BMILMS!$G$30,IF(AG346&lt;150,BMILMS!$D$31*AG346^3+BMILMS!$E$31*AG346^2+BMILMS!$F$31*AG346+BMILMS!$G$31,BMILMS!$D$32*AG346^3+BMILMS!$E$32*AG346^2+BMILMS!$F$32*AG346+BMILMS!$G$32)))))))</f>
        <v>12.568967990000001</v>
      </c>
      <c r="AF346" s="24">
        <f>IF(D346="M",(IF(AG346&lt;90,BMILMS!$D$14*AG346^3+BMILMS!$E$14*AG346^2+BMILMS!$F$14*AG346+BMILMS!$G$14,BMILMS!$D$15*AG346^3+BMILMS!$E$15*AG346^2+BMILMS!$F$15*AG346+BMILMS!$G$15)),(IF(AG346&lt;90,BMILMS!$D$17*AG346^3+BMILMS!$E$17*AG346^2+BMILMS!$F$17*AG346+BMILMS!$G$17,BMILMS!$D$18*AG346^3+BMILMS!$E$18*AG346^2+BMILMS!$F$18*AG346+BMILMS!$G$18)))</f>
        <v>8.8969350000000003E-2</v>
      </c>
      <c r="AG346" s="24">
        <f t="shared" si="96"/>
        <v>0</v>
      </c>
      <c r="AI346" s="38">
        <f>IF(D346="M",WeightSDS!P$5*$AG346^7+WeightSDS!Q$5*$AG346^6+WeightSDS!R$5*$AG346^5+WeightSDS!S$5*$AG346^4+WeightSDS!T$5*$AG346^3+WeightSDS!U$5*$AG346^2+WeightSDS!V$5*$AG346+WeightSDS!W$5,IF($AG346&lt;186,WeightSDS!P$8*$AG346^7+WeightSDS!Q$8*$AG346^6+WeightSDS!R$8*$AG346^5+WeightSDS!S$8*$AG346^4+WeightSDS!T$8*$AG346^3+WeightSDS!U$8*$AG346^2+WeightSDS!V$8*$AG346+WeightSDS!W$8,WeightSDS!$U$9-WeightSDS!$V$9*($AG346-WeightSDS!$W$9)))</f>
        <v>0.75407122999999998</v>
      </c>
      <c r="AJ346" s="24">
        <f>IF(D346="M",IF($AG346&lt;45,WeightSDS!M$23*$AG346^10+WeightSDS!N$23*$AG346^9+WeightSDS!O$23*$AG346^8+WeightSDS!P$23*$AG346^7+WeightSDS!Q$23*$AG346^6+WeightSDS!R$23*$AG346^5+WeightSDS!S$23*$AG346^4+WeightSDS!T$23*$AG346^3+WeightSDS!U$23*$AG346^2+WeightSDS!V$23*$AG346+WeightSDS!W$23,IF($AG346&lt;153,WeightSDS!M$25*$AG346^10+WeightSDS!N$25*$AG346^9+WeightSDS!O$25*$AG346^8+WeightSDS!P$25*$AG346^7+WeightSDS!Q$25*$AG346^6+WeightSDS!R$25*$AG346^5+WeightSDS!S$25*$AG346^4+WeightSDS!T$25*$AG346^3+WeightSDS!U$25*$AG346^2+WeightSDS!V$25*$AG346+WeightSDS!W$25,WeightSDS!M$27+WeightSDS!N$27/(1+EXP(WeightSDS!O$27+WeightSDS!P$27*$AG346)))),IF($AG346&lt;43.8,WeightSDS!M$29*$AG346^10+WeightSDS!N$29*$AG346^9+WeightSDS!O$29*$AG346^8+WeightSDS!P$29*$AG346^7+WeightSDS!Q$29*$AG346^6+WeightSDS!R$29*$AG346^5+WeightSDS!S$29*$AG346^4+WeightSDS!T$29*$AG346^3+WeightSDS!U$29*$AG346^2+WeightSDS!V$29*$AG346+WeightSDS!W$29-0.010431*(1-$AG346/210),IF($AG346&lt;123,WeightSDS!M$30*$AG346^10+WeightSDS!N$30*$AG346^9+WeightSDS!O$30*$AG346^8+WeightSDS!P$30*$AG346^7+WeightSDS!Q$30*$AG346^6+WeightSDS!R$30*$AG346^5+WeightSDS!S$30*$AG346^4+WeightSDS!T$30*$AG346^3+WeightSDS!U$30*$AG346^2+WeightSDS!V$30*$AG346+WeightSDS!W$30-0.010431*(1-1/$AG346),WeightSDS!M$32+WeightSDS!N$32/(1+EXP(WeightSDS!O$32+WeightSDS!P$32*$AG346))-0.010431*(1-$AG346/210))))</f>
        <v>2.9500001032655536</v>
      </c>
      <c r="AK346" s="24">
        <f>IF(D346="M",IF($AG346&lt;162,WeightSDS!P$12*$AG346^7+WeightSDS!Q$12*$AG346^6+WeightSDS!R$12*$AG346^5+WeightSDS!S$12*$AG346^4+WeightSDS!T$12*$AG346^3+WeightSDS!U$12*$AG346^2+WeightSDS!V$12*$AG346+WeightSDS!W$12,WeightSDS!P$14*$AG346^7+WeightSDS!Q$14*$AG346^6+WeightSDS!R$14*$AG346^5+WeightSDS!S$14*$AG346^4+WeightSDS!T$14*$AG346^3+WeightSDS!U$14*$AG346^2+WeightSDS!V$14*$AG346+WeightSDS!W$14),IF($AG346&lt;156,WeightSDS!O$17*$AG346^8+WeightSDS!P$17*$AG346^7+WeightSDS!Q$17*$AG346^6+WeightSDS!R$17*$AG346^5+WeightSDS!S$17*$AG346^4+WeightSDS!T$17*$AG346^3+WeightSDS!U$17*$AG346^2+WeightSDS!V$17*$AG346+WeightSDS!W$17,IF($AG346&lt;186,WeightSDS!$U$18+(WeightSDS!$V$18-WeightSDS!$U$18)/24*($AG346-186)+WeightSDS!$W$18*(-$AG346+186)^2-0.005,WeightSDS!$U$18+(WeightSDS!$V$18-WeightSDS!$U$18)/24*($AG346-186)-0.005)))</f>
        <v>0.14604529399999999</v>
      </c>
    </row>
    <row r="347" spans="1:37">
      <c r="A347" s="4"/>
      <c r="B347" s="21"/>
      <c r="C347" s="21"/>
      <c r="D347" s="21"/>
      <c r="E347" s="22"/>
      <c r="F347" s="22"/>
      <c r="G347" s="23"/>
      <c r="H347" s="23"/>
      <c r="I347" s="8" t="str">
        <f t="shared" si="82"/>
        <v/>
      </c>
      <c r="J347" s="2" t="str">
        <f t="shared" si="89"/>
        <v/>
      </c>
      <c r="K347" s="2" t="str">
        <f t="shared" si="83"/>
        <v/>
      </c>
      <c r="L347" s="2" t="str">
        <f t="shared" si="90"/>
        <v/>
      </c>
      <c r="M347" s="2" t="str">
        <f t="shared" si="95"/>
        <v/>
      </c>
      <c r="N347" s="2" t="str">
        <f t="shared" si="91"/>
        <v/>
      </c>
      <c r="O347" s="8" t="str">
        <f t="shared" si="92"/>
        <v/>
      </c>
      <c r="P347" s="8" t="str">
        <f t="shared" si="93"/>
        <v/>
      </c>
      <c r="Q347" s="40" t="str">
        <f t="shared" si="84"/>
        <v/>
      </c>
      <c r="R347" s="48" t="str">
        <f t="shared" si="94"/>
        <v/>
      </c>
      <c r="S347" s="8"/>
      <c r="U347" s="35">
        <f t="shared" si="85"/>
        <v>0</v>
      </c>
      <c r="V347" s="24">
        <f t="shared" si="86"/>
        <v>0</v>
      </c>
      <c r="W347" s="41">
        <f t="shared" si="81"/>
        <v>0</v>
      </c>
      <c r="X347" s="31"/>
      <c r="Y347" s="31"/>
      <c r="Z347" s="31"/>
      <c r="AA347" s="25">
        <f t="shared" si="87"/>
        <v>9.0359999999999996</v>
      </c>
      <c r="AB347" s="25">
        <f t="shared" si="88"/>
        <v>-184.49199999999999</v>
      </c>
      <c r="AD347" s="24">
        <f>IF(D347="M",IF(AG347&lt;78,BMILMS!$D$5*AG347^3+BMILMS!$E$5*AG347^2+BMILMS!$F$5*AG347+BMILMS!$G$5,IF(AG347&lt;150,BMILMS!$D$6*AG347^3+BMILMS!$E$6*AG347^2+BMILMS!$F$6*AG347+BMILMS!$G$6,BMILMS!$D$7*AG347^3+BMILMS!$E$7*AG347^2+BMILMS!$F$7*AG347+BMILMS!$G$7)),IF(AG347&lt;69,BMILMS!$D$9*AG347^3+BMILMS!$E$9*AG347^2+BMILMS!$F$9*AG347+BMILMS!$G$9,IF(AG347&lt;150,BMILMS!$D$10*AG347^3+BMILMS!$E$10*AG347^2+BMILMS!$F$10*AG347+BMILMS!$G$10,BMILMS!$D$11*AG347^3+BMILMS!$E$11*AG347^2+BMILMS!$F$11*AG347+BMILMS!$G$11)))</f>
        <v>0.79584630099999998</v>
      </c>
      <c r="AE347" s="24">
        <f>IF(D347="M",(IF(AG347&lt;2.5,BMILMS!$D$21*AG347^3+BMILMS!$E$21*AG347^2+BMILMS!$F$21*AG347+BMILMS!$G$21,IF(AG347&lt;9.5,BMILMS!$D$22*AG347^3+BMILMS!$E$22*AG347^2+BMILMS!$F$22*AG347+BMILMS!$G$22,IF(AG347&lt;26.75,BMILMS!$D$23*AG347^3+BMILMS!$E$23*AG347^2+BMILMS!$F$23*AG347+BMILMS!$G$23,IF(AG347&lt;90,BMILMS!$D$24*AG347^3+BMILMS!$E$24*AG347^2+BMILMS!$F$24*AG347+BMILMS!$G$24,BMILMS!$D$25*AG347^3+BMILMS!$E$25*AG347^2+BMILMS!$F$25*AG347+BMILMS!$G$25))))),(IF(AG347&lt;2.5,BMILMS!$D$27*AG347^3+BMILMS!$E$27*AG347^2+BMILMS!$F$27*AG347+BMILMS!$G$27,IF(AG347&lt;9.5,BMILMS!$D$28*AG347^3+BMILMS!$E$28*AG347^2+BMILMS!$F$28*AG347+BMILMS!$G$28,IF(AG347&lt;26.75,BMILMS!$D$29*AG347^3+BMILMS!$E$29*AG347^2+BMILMS!$F$29*AG347+BMILMS!$G$29,IF(AG347&lt;90,BMILMS!$D$30*AG347^3+BMILMS!$E$30*AG347^2+BMILMS!$F$30*AG347+BMILMS!$G$30,IF(AG347&lt;150,BMILMS!$D$31*AG347^3+BMILMS!$E$31*AG347^2+BMILMS!$F$31*AG347+BMILMS!$G$31,BMILMS!$D$32*AG347^3+BMILMS!$E$32*AG347^2+BMILMS!$F$32*AG347+BMILMS!$G$32)))))))</f>
        <v>12.568967990000001</v>
      </c>
      <c r="AF347" s="24">
        <f>IF(D347="M",(IF(AG347&lt;90,BMILMS!$D$14*AG347^3+BMILMS!$E$14*AG347^2+BMILMS!$F$14*AG347+BMILMS!$G$14,BMILMS!$D$15*AG347^3+BMILMS!$E$15*AG347^2+BMILMS!$F$15*AG347+BMILMS!$G$15)),(IF(AG347&lt;90,BMILMS!$D$17*AG347^3+BMILMS!$E$17*AG347^2+BMILMS!$F$17*AG347+BMILMS!$G$17,BMILMS!$D$18*AG347^3+BMILMS!$E$18*AG347^2+BMILMS!$F$18*AG347+BMILMS!$G$18)))</f>
        <v>8.8969350000000003E-2</v>
      </c>
      <c r="AG347" s="24">
        <f t="shared" si="96"/>
        <v>0</v>
      </c>
      <c r="AI347" s="38">
        <f>IF(D347="M",WeightSDS!P$5*$AG347^7+WeightSDS!Q$5*$AG347^6+WeightSDS!R$5*$AG347^5+WeightSDS!S$5*$AG347^4+WeightSDS!T$5*$AG347^3+WeightSDS!U$5*$AG347^2+WeightSDS!V$5*$AG347+WeightSDS!W$5,IF($AG347&lt;186,WeightSDS!P$8*$AG347^7+WeightSDS!Q$8*$AG347^6+WeightSDS!R$8*$AG347^5+WeightSDS!S$8*$AG347^4+WeightSDS!T$8*$AG347^3+WeightSDS!U$8*$AG347^2+WeightSDS!V$8*$AG347+WeightSDS!W$8,WeightSDS!$U$9-WeightSDS!$V$9*($AG347-WeightSDS!$W$9)))</f>
        <v>0.75407122999999998</v>
      </c>
      <c r="AJ347" s="24">
        <f>IF(D347="M",IF($AG347&lt;45,WeightSDS!M$23*$AG347^10+WeightSDS!N$23*$AG347^9+WeightSDS!O$23*$AG347^8+WeightSDS!P$23*$AG347^7+WeightSDS!Q$23*$AG347^6+WeightSDS!R$23*$AG347^5+WeightSDS!S$23*$AG347^4+WeightSDS!T$23*$AG347^3+WeightSDS!U$23*$AG347^2+WeightSDS!V$23*$AG347+WeightSDS!W$23,IF($AG347&lt;153,WeightSDS!M$25*$AG347^10+WeightSDS!N$25*$AG347^9+WeightSDS!O$25*$AG347^8+WeightSDS!P$25*$AG347^7+WeightSDS!Q$25*$AG347^6+WeightSDS!R$25*$AG347^5+WeightSDS!S$25*$AG347^4+WeightSDS!T$25*$AG347^3+WeightSDS!U$25*$AG347^2+WeightSDS!V$25*$AG347+WeightSDS!W$25,WeightSDS!M$27+WeightSDS!N$27/(1+EXP(WeightSDS!O$27+WeightSDS!P$27*$AG347)))),IF($AG347&lt;43.8,WeightSDS!M$29*$AG347^10+WeightSDS!N$29*$AG347^9+WeightSDS!O$29*$AG347^8+WeightSDS!P$29*$AG347^7+WeightSDS!Q$29*$AG347^6+WeightSDS!R$29*$AG347^5+WeightSDS!S$29*$AG347^4+WeightSDS!T$29*$AG347^3+WeightSDS!U$29*$AG347^2+WeightSDS!V$29*$AG347+WeightSDS!W$29-0.010431*(1-$AG347/210),IF($AG347&lt;123,WeightSDS!M$30*$AG347^10+WeightSDS!N$30*$AG347^9+WeightSDS!O$30*$AG347^8+WeightSDS!P$30*$AG347^7+WeightSDS!Q$30*$AG347^6+WeightSDS!R$30*$AG347^5+WeightSDS!S$30*$AG347^4+WeightSDS!T$30*$AG347^3+WeightSDS!U$30*$AG347^2+WeightSDS!V$30*$AG347+WeightSDS!W$30-0.010431*(1-1/$AG347),WeightSDS!M$32+WeightSDS!N$32/(1+EXP(WeightSDS!O$32+WeightSDS!P$32*$AG347))-0.010431*(1-$AG347/210))))</f>
        <v>2.9500001032655536</v>
      </c>
      <c r="AK347" s="24">
        <f>IF(D347="M",IF($AG347&lt;162,WeightSDS!P$12*$AG347^7+WeightSDS!Q$12*$AG347^6+WeightSDS!R$12*$AG347^5+WeightSDS!S$12*$AG347^4+WeightSDS!T$12*$AG347^3+WeightSDS!U$12*$AG347^2+WeightSDS!V$12*$AG347+WeightSDS!W$12,WeightSDS!P$14*$AG347^7+WeightSDS!Q$14*$AG347^6+WeightSDS!R$14*$AG347^5+WeightSDS!S$14*$AG347^4+WeightSDS!T$14*$AG347^3+WeightSDS!U$14*$AG347^2+WeightSDS!V$14*$AG347+WeightSDS!W$14),IF($AG347&lt;156,WeightSDS!O$17*$AG347^8+WeightSDS!P$17*$AG347^7+WeightSDS!Q$17*$AG347^6+WeightSDS!R$17*$AG347^5+WeightSDS!S$17*$AG347^4+WeightSDS!T$17*$AG347^3+WeightSDS!U$17*$AG347^2+WeightSDS!V$17*$AG347+WeightSDS!W$17,IF($AG347&lt;186,WeightSDS!$U$18+(WeightSDS!$V$18-WeightSDS!$U$18)/24*($AG347-186)+WeightSDS!$W$18*(-$AG347+186)^2-0.005,WeightSDS!$U$18+(WeightSDS!$V$18-WeightSDS!$U$18)/24*($AG347-186)-0.005)))</f>
        <v>0.14604529399999999</v>
      </c>
    </row>
    <row r="348" spans="1:37">
      <c r="A348" s="4"/>
      <c r="B348" s="21"/>
      <c r="C348" s="21"/>
      <c r="D348" s="21"/>
      <c r="E348" s="22"/>
      <c r="F348" s="22"/>
      <c r="G348" s="23"/>
      <c r="H348" s="23"/>
      <c r="I348" s="8" t="str">
        <f t="shared" si="82"/>
        <v/>
      </c>
      <c r="J348" s="2" t="str">
        <f t="shared" si="89"/>
        <v/>
      </c>
      <c r="K348" s="2" t="str">
        <f t="shared" si="83"/>
        <v/>
      </c>
      <c r="L348" s="2" t="str">
        <f t="shared" si="90"/>
        <v/>
      </c>
      <c r="M348" s="2" t="str">
        <f t="shared" si="95"/>
        <v/>
      </c>
      <c r="N348" s="2" t="str">
        <f t="shared" si="91"/>
        <v/>
      </c>
      <c r="O348" s="8" t="str">
        <f t="shared" si="92"/>
        <v/>
      </c>
      <c r="P348" s="8" t="str">
        <f t="shared" si="93"/>
        <v/>
      </c>
      <c r="Q348" s="40" t="str">
        <f t="shared" si="84"/>
        <v/>
      </c>
      <c r="R348" s="48" t="str">
        <f t="shared" si="94"/>
        <v/>
      </c>
      <c r="S348" s="8"/>
      <c r="U348" s="35">
        <f t="shared" si="85"/>
        <v>0</v>
      </c>
      <c r="V348" s="24">
        <f t="shared" si="86"/>
        <v>0</v>
      </c>
      <c r="W348" s="41">
        <f t="shared" si="81"/>
        <v>0</v>
      </c>
      <c r="X348" s="31"/>
      <c r="Y348" s="31"/>
      <c r="Z348" s="31"/>
      <c r="AA348" s="25">
        <f t="shared" si="87"/>
        <v>9.0359999999999996</v>
      </c>
      <c r="AB348" s="25">
        <f t="shared" si="88"/>
        <v>-184.49199999999999</v>
      </c>
      <c r="AD348" s="24">
        <f>IF(D348="M",IF(AG348&lt;78,BMILMS!$D$5*AG348^3+BMILMS!$E$5*AG348^2+BMILMS!$F$5*AG348+BMILMS!$G$5,IF(AG348&lt;150,BMILMS!$D$6*AG348^3+BMILMS!$E$6*AG348^2+BMILMS!$F$6*AG348+BMILMS!$G$6,BMILMS!$D$7*AG348^3+BMILMS!$E$7*AG348^2+BMILMS!$F$7*AG348+BMILMS!$G$7)),IF(AG348&lt;69,BMILMS!$D$9*AG348^3+BMILMS!$E$9*AG348^2+BMILMS!$F$9*AG348+BMILMS!$G$9,IF(AG348&lt;150,BMILMS!$D$10*AG348^3+BMILMS!$E$10*AG348^2+BMILMS!$F$10*AG348+BMILMS!$G$10,BMILMS!$D$11*AG348^3+BMILMS!$E$11*AG348^2+BMILMS!$F$11*AG348+BMILMS!$G$11)))</f>
        <v>0.79584630099999998</v>
      </c>
      <c r="AE348" s="24">
        <f>IF(D348="M",(IF(AG348&lt;2.5,BMILMS!$D$21*AG348^3+BMILMS!$E$21*AG348^2+BMILMS!$F$21*AG348+BMILMS!$G$21,IF(AG348&lt;9.5,BMILMS!$D$22*AG348^3+BMILMS!$E$22*AG348^2+BMILMS!$F$22*AG348+BMILMS!$G$22,IF(AG348&lt;26.75,BMILMS!$D$23*AG348^3+BMILMS!$E$23*AG348^2+BMILMS!$F$23*AG348+BMILMS!$G$23,IF(AG348&lt;90,BMILMS!$D$24*AG348^3+BMILMS!$E$24*AG348^2+BMILMS!$F$24*AG348+BMILMS!$G$24,BMILMS!$D$25*AG348^3+BMILMS!$E$25*AG348^2+BMILMS!$F$25*AG348+BMILMS!$G$25))))),(IF(AG348&lt;2.5,BMILMS!$D$27*AG348^3+BMILMS!$E$27*AG348^2+BMILMS!$F$27*AG348+BMILMS!$G$27,IF(AG348&lt;9.5,BMILMS!$D$28*AG348^3+BMILMS!$E$28*AG348^2+BMILMS!$F$28*AG348+BMILMS!$G$28,IF(AG348&lt;26.75,BMILMS!$D$29*AG348^3+BMILMS!$E$29*AG348^2+BMILMS!$F$29*AG348+BMILMS!$G$29,IF(AG348&lt;90,BMILMS!$D$30*AG348^3+BMILMS!$E$30*AG348^2+BMILMS!$F$30*AG348+BMILMS!$G$30,IF(AG348&lt;150,BMILMS!$D$31*AG348^3+BMILMS!$E$31*AG348^2+BMILMS!$F$31*AG348+BMILMS!$G$31,BMILMS!$D$32*AG348^3+BMILMS!$E$32*AG348^2+BMILMS!$F$32*AG348+BMILMS!$G$32)))))))</f>
        <v>12.568967990000001</v>
      </c>
      <c r="AF348" s="24">
        <f>IF(D348="M",(IF(AG348&lt;90,BMILMS!$D$14*AG348^3+BMILMS!$E$14*AG348^2+BMILMS!$F$14*AG348+BMILMS!$G$14,BMILMS!$D$15*AG348^3+BMILMS!$E$15*AG348^2+BMILMS!$F$15*AG348+BMILMS!$G$15)),(IF(AG348&lt;90,BMILMS!$D$17*AG348^3+BMILMS!$E$17*AG348^2+BMILMS!$F$17*AG348+BMILMS!$G$17,BMILMS!$D$18*AG348^3+BMILMS!$E$18*AG348^2+BMILMS!$F$18*AG348+BMILMS!$G$18)))</f>
        <v>8.8969350000000003E-2</v>
      </c>
      <c r="AG348" s="24">
        <f t="shared" si="96"/>
        <v>0</v>
      </c>
      <c r="AI348" s="38">
        <f>IF(D348="M",WeightSDS!P$5*$AG348^7+WeightSDS!Q$5*$AG348^6+WeightSDS!R$5*$AG348^5+WeightSDS!S$5*$AG348^4+WeightSDS!T$5*$AG348^3+WeightSDS!U$5*$AG348^2+WeightSDS!V$5*$AG348+WeightSDS!W$5,IF($AG348&lt;186,WeightSDS!P$8*$AG348^7+WeightSDS!Q$8*$AG348^6+WeightSDS!R$8*$AG348^5+WeightSDS!S$8*$AG348^4+WeightSDS!T$8*$AG348^3+WeightSDS!U$8*$AG348^2+WeightSDS!V$8*$AG348+WeightSDS!W$8,WeightSDS!$U$9-WeightSDS!$V$9*($AG348-WeightSDS!$W$9)))</f>
        <v>0.75407122999999998</v>
      </c>
      <c r="AJ348" s="24">
        <f>IF(D348="M",IF($AG348&lt;45,WeightSDS!M$23*$AG348^10+WeightSDS!N$23*$AG348^9+WeightSDS!O$23*$AG348^8+WeightSDS!P$23*$AG348^7+WeightSDS!Q$23*$AG348^6+WeightSDS!R$23*$AG348^5+WeightSDS!S$23*$AG348^4+WeightSDS!T$23*$AG348^3+WeightSDS!U$23*$AG348^2+WeightSDS!V$23*$AG348+WeightSDS!W$23,IF($AG348&lt;153,WeightSDS!M$25*$AG348^10+WeightSDS!N$25*$AG348^9+WeightSDS!O$25*$AG348^8+WeightSDS!P$25*$AG348^7+WeightSDS!Q$25*$AG348^6+WeightSDS!R$25*$AG348^5+WeightSDS!S$25*$AG348^4+WeightSDS!T$25*$AG348^3+WeightSDS!U$25*$AG348^2+WeightSDS!V$25*$AG348+WeightSDS!W$25,WeightSDS!M$27+WeightSDS!N$27/(1+EXP(WeightSDS!O$27+WeightSDS!P$27*$AG348)))),IF($AG348&lt;43.8,WeightSDS!M$29*$AG348^10+WeightSDS!N$29*$AG348^9+WeightSDS!O$29*$AG348^8+WeightSDS!P$29*$AG348^7+WeightSDS!Q$29*$AG348^6+WeightSDS!R$29*$AG348^5+WeightSDS!S$29*$AG348^4+WeightSDS!T$29*$AG348^3+WeightSDS!U$29*$AG348^2+WeightSDS!V$29*$AG348+WeightSDS!W$29-0.010431*(1-$AG348/210),IF($AG348&lt;123,WeightSDS!M$30*$AG348^10+WeightSDS!N$30*$AG348^9+WeightSDS!O$30*$AG348^8+WeightSDS!P$30*$AG348^7+WeightSDS!Q$30*$AG348^6+WeightSDS!R$30*$AG348^5+WeightSDS!S$30*$AG348^4+WeightSDS!T$30*$AG348^3+WeightSDS!U$30*$AG348^2+WeightSDS!V$30*$AG348+WeightSDS!W$30-0.010431*(1-1/$AG348),WeightSDS!M$32+WeightSDS!N$32/(1+EXP(WeightSDS!O$32+WeightSDS!P$32*$AG348))-0.010431*(1-$AG348/210))))</f>
        <v>2.9500001032655536</v>
      </c>
      <c r="AK348" s="24">
        <f>IF(D348="M",IF($AG348&lt;162,WeightSDS!P$12*$AG348^7+WeightSDS!Q$12*$AG348^6+WeightSDS!R$12*$AG348^5+WeightSDS!S$12*$AG348^4+WeightSDS!T$12*$AG348^3+WeightSDS!U$12*$AG348^2+WeightSDS!V$12*$AG348+WeightSDS!W$12,WeightSDS!P$14*$AG348^7+WeightSDS!Q$14*$AG348^6+WeightSDS!R$14*$AG348^5+WeightSDS!S$14*$AG348^4+WeightSDS!T$14*$AG348^3+WeightSDS!U$14*$AG348^2+WeightSDS!V$14*$AG348+WeightSDS!W$14),IF($AG348&lt;156,WeightSDS!O$17*$AG348^8+WeightSDS!P$17*$AG348^7+WeightSDS!Q$17*$AG348^6+WeightSDS!R$17*$AG348^5+WeightSDS!S$17*$AG348^4+WeightSDS!T$17*$AG348^3+WeightSDS!U$17*$AG348^2+WeightSDS!V$17*$AG348+WeightSDS!W$17,IF($AG348&lt;186,WeightSDS!$U$18+(WeightSDS!$V$18-WeightSDS!$U$18)/24*($AG348-186)+WeightSDS!$W$18*(-$AG348+186)^2-0.005,WeightSDS!$U$18+(WeightSDS!$V$18-WeightSDS!$U$18)/24*($AG348-186)-0.005)))</f>
        <v>0.14604529399999999</v>
      </c>
    </row>
    <row r="349" spans="1:37">
      <c r="A349" s="4"/>
      <c r="B349" s="21"/>
      <c r="C349" s="21"/>
      <c r="D349" s="21"/>
      <c r="E349" s="22"/>
      <c r="F349" s="22"/>
      <c r="G349" s="23"/>
      <c r="H349" s="23"/>
      <c r="I349" s="8" t="str">
        <f t="shared" si="82"/>
        <v/>
      </c>
      <c r="J349" s="2" t="str">
        <f t="shared" si="89"/>
        <v/>
      </c>
      <c r="K349" s="2" t="str">
        <f t="shared" si="83"/>
        <v/>
      </c>
      <c r="L349" s="2" t="str">
        <f t="shared" si="90"/>
        <v/>
      </c>
      <c r="M349" s="2" t="str">
        <f t="shared" si="95"/>
        <v/>
      </c>
      <c r="N349" s="2" t="str">
        <f t="shared" si="91"/>
        <v/>
      </c>
      <c r="O349" s="8" t="str">
        <f t="shared" si="92"/>
        <v/>
      </c>
      <c r="P349" s="8" t="str">
        <f t="shared" si="93"/>
        <v/>
      </c>
      <c r="Q349" s="40" t="str">
        <f t="shared" si="84"/>
        <v/>
      </c>
      <c r="R349" s="48" t="str">
        <f t="shared" si="94"/>
        <v/>
      </c>
      <c r="S349" s="8"/>
      <c r="U349" s="35">
        <f t="shared" si="85"/>
        <v>0</v>
      </c>
      <c r="V349" s="24">
        <f t="shared" si="86"/>
        <v>0</v>
      </c>
      <c r="W349" s="41">
        <f t="shared" si="81"/>
        <v>0</v>
      </c>
      <c r="X349" s="31"/>
      <c r="Y349" s="31"/>
      <c r="Z349" s="31"/>
      <c r="AA349" s="25">
        <f t="shared" si="87"/>
        <v>9.0359999999999996</v>
      </c>
      <c r="AB349" s="25">
        <f t="shared" si="88"/>
        <v>-184.49199999999999</v>
      </c>
      <c r="AD349" s="24">
        <f>IF(D349="M",IF(AG349&lt;78,BMILMS!$D$5*AG349^3+BMILMS!$E$5*AG349^2+BMILMS!$F$5*AG349+BMILMS!$G$5,IF(AG349&lt;150,BMILMS!$D$6*AG349^3+BMILMS!$E$6*AG349^2+BMILMS!$F$6*AG349+BMILMS!$G$6,BMILMS!$D$7*AG349^3+BMILMS!$E$7*AG349^2+BMILMS!$F$7*AG349+BMILMS!$G$7)),IF(AG349&lt;69,BMILMS!$D$9*AG349^3+BMILMS!$E$9*AG349^2+BMILMS!$F$9*AG349+BMILMS!$G$9,IF(AG349&lt;150,BMILMS!$D$10*AG349^3+BMILMS!$E$10*AG349^2+BMILMS!$F$10*AG349+BMILMS!$G$10,BMILMS!$D$11*AG349^3+BMILMS!$E$11*AG349^2+BMILMS!$F$11*AG349+BMILMS!$G$11)))</f>
        <v>0.79584630099999998</v>
      </c>
      <c r="AE349" s="24">
        <f>IF(D349="M",(IF(AG349&lt;2.5,BMILMS!$D$21*AG349^3+BMILMS!$E$21*AG349^2+BMILMS!$F$21*AG349+BMILMS!$G$21,IF(AG349&lt;9.5,BMILMS!$D$22*AG349^3+BMILMS!$E$22*AG349^2+BMILMS!$F$22*AG349+BMILMS!$G$22,IF(AG349&lt;26.75,BMILMS!$D$23*AG349^3+BMILMS!$E$23*AG349^2+BMILMS!$F$23*AG349+BMILMS!$G$23,IF(AG349&lt;90,BMILMS!$D$24*AG349^3+BMILMS!$E$24*AG349^2+BMILMS!$F$24*AG349+BMILMS!$G$24,BMILMS!$D$25*AG349^3+BMILMS!$E$25*AG349^2+BMILMS!$F$25*AG349+BMILMS!$G$25))))),(IF(AG349&lt;2.5,BMILMS!$D$27*AG349^3+BMILMS!$E$27*AG349^2+BMILMS!$F$27*AG349+BMILMS!$G$27,IF(AG349&lt;9.5,BMILMS!$D$28*AG349^3+BMILMS!$E$28*AG349^2+BMILMS!$F$28*AG349+BMILMS!$G$28,IF(AG349&lt;26.75,BMILMS!$D$29*AG349^3+BMILMS!$E$29*AG349^2+BMILMS!$F$29*AG349+BMILMS!$G$29,IF(AG349&lt;90,BMILMS!$D$30*AG349^3+BMILMS!$E$30*AG349^2+BMILMS!$F$30*AG349+BMILMS!$G$30,IF(AG349&lt;150,BMILMS!$D$31*AG349^3+BMILMS!$E$31*AG349^2+BMILMS!$F$31*AG349+BMILMS!$G$31,BMILMS!$D$32*AG349^3+BMILMS!$E$32*AG349^2+BMILMS!$F$32*AG349+BMILMS!$G$32)))))))</f>
        <v>12.568967990000001</v>
      </c>
      <c r="AF349" s="24">
        <f>IF(D349="M",(IF(AG349&lt;90,BMILMS!$D$14*AG349^3+BMILMS!$E$14*AG349^2+BMILMS!$F$14*AG349+BMILMS!$G$14,BMILMS!$D$15*AG349^3+BMILMS!$E$15*AG349^2+BMILMS!$F$15*AG349+BMILMS!$G$15)),(IF(AG349&lt;90,BMILMS!$D$17*AG349^3+BMILMS!$E$17*AG349^2+BMILMS!$F$17*AG349+BMILMS!$G$17,BMILMS!$D$18*AG349^3+BMILMS!$E$18*AG349^2+BMILMS!$F$18*AG349+BMILMS!$G$18)))</f>
        <v>8.8969350000000003E-2</v>
      </c>
      <c r="AG349" s="24">
        <f t="shared" si="96"/>
        <v>0</v>
      </c>
      <c r="AI349" s="38">
        <f>IF(D349="M",WeightSDS!P$5*$AG349^7+WeightSDS!Q$5*$AG349^6+WeightSDS!R$5*$AG349^5+WeightSDS!S$5*$AG349^4+WeightSDS!T$5*$AG349^3+WeightSDS!U$5*$AG349^2+WeightSDS!V$5*$AG349+WeightSDS!W$5,IF($AG349&lt;186,WeightSDS!P$8*$AG349^7+WeightSDS!Q$8*$AG349^6+WeightSDS!R$8*$AG349^5+WeightSDS!S$8*$AG349^4+WeightSDS!T$8*$AG349^3+WeightSDS!U$8*$AG349^2+WeightSDS!V$8*$AG349+WeightSDS!W$8,WeightSDS!$U$9-WeightSDS!$V$9*($AG349-WeightSDS!$W$9)))</f>
        <v>0.75407122999999998</v>
      </c>
      <c r="AJ349" s="24">
        <f>IF(D349="M",IF($AG349&lt;45,WeightSDS!M$23*$AG349^10+WeightSDS!N$23*$AG349^9+WeightSDS!O$23*$AG349^8+WeightSDS!P$23*$AG349^7+WeightSDS!Q$23*$AG349^6+WeightSDS!R$23*$AG349^5+WeightSDS!S$23*$AG349^4+WeightSDS!T$23*$AG349^3+WeightSDS!U$23*$AG349^2+WeightSDS!V$23*$AG349+WeightSDS!W$23,IF($AG349&lt;153,WeightSDS!M$25*$AG349^10+WeightSDS!N$25*$AG349^9+WeightSDS!O$25*$AG349^8+WeightSDS!P$25*$AG349^7+WeightSDS!Q$25*$AG349^6+WeightSDS!R$25*$AG349^5+WeightSDS!S$25*$AG349^4+WeightSDS!T$25*$AG349^3+WeightSDS!U$25*$AG349^2+WeightSDS!V$25*$AG349+WeightSDS!W$25,WeightSDS!M$27+WeightSDS!N$27/(1+EXP(WeightSDS!O$27+WeightSDS!P$27*$AG349)))),IF($AG349&lt;43.8,WeightSDS!M$29*$AG349^10+WeightSDS!N$29*$AG349^9+WeightSDS!O$29*$AG349^8+WeightSDS!P$29*$AG349^7+WeightSDS!Q$29*$AG349^6+WeightSDS!R$29*$AG349^5+WeightSDS!S$29*$AG349^4+WeightSDS!T$29*$AG349^3+WeightSDS!U$29*$AG349^2+WeightSDS!V$29*$AG349+WeightSDS!W$29-0.010431*(1-$AG349/210),IF($AG349&lt;123,WeightSDS!M$30*$AG349^10+WeightSDS!N$30*$AG349^9+WeightSDS!O$30*$AG349^8+WeightSDS!P$30*$AG349^7+WeightSDS!Q$30*$AG349^6+WeightSDS!R$30*$AG349^5+WeightSDS!S$30*$AG349^4+WeightSDS!T$30*$AG349^3+WeightSDS!U$30*$AG349^2+WeightSDS!V$30*$AG349+WeightSDS!W$30-0.010431*(1-1/$AG349),WeightSDS!M$32+WeightSDS!N$32/(1+EXP(WeightSDS!O$32+WeightSDS!P$32*$AG349))-0.010431*(1-$AG349/210))))</f>
        <v>2.9500001032655536</v>
      </c>
      <c r="AK349" s="24">
        <f>IF(D349="M",IF($AG349&lt;162,WeightSDS!P$12*$AG349^7+WeightSDS!Q$12*$AG349^6+WeightSDS!R$12*$AG349^5+WeightSDS!S$12*$AG349^4+WeightSDS!T$12*$AG349^3+WeightSDS!U$12*$AG349^2+WeightSDS!V$12*$AG349+WeightSDS!W$12,WeightSDS!P$14*$AG349^7+WeightSDS!Q$14*$AG349^6+WeightSDS!R$14*$AG349^5+WeightSDS!S$14*$AG349^4+WeightSDS!T$14*$AG349^3+WeightSDS!U$14*$AG349^2+WeightSDS!V$14*$AG349+WeightSDS!W$14),IF($AG349&lt;156,WeightSDS!O$17*$AG349^8+WeightSDS!P$17*$AG349^7+WeightSDS!Q$17*$AG349^6+WeightSDS!R$17*$AG349^5+WeightSDS!S$17*$AG349^4+WeightSDS!T$17*$AG349^3+WeightSDS!U$17*$AG349^2+WeightSDS!V$17*$AG349+WeightSDS!W$17,IF($AG349&lt;186,WeightSDS!$U$18+(WeightSDS!$V$18-WeightSDS!$U$18)/24*($AG349-186)+WeightSDS!$W$18*(-$AG349+186)^2-0.005,WeightSDS!$U$18+(WeightSDS!$V$18-WeightSDS!$U$18)/24*($AG349-186)-0.005)))</f>
        <v>0.14604529399999999</v>
      </c>
    </row>
    <row r="350" spans="1:37">
      <c r="A350" s="4"/>
      <c r="B350" s="21"/>
      <c r="C350" s="21"/>
      <c r="D350" s="21"/>
      <c r="E350" s="22"/>
      <c r="F350" s="22"/>
      <c r="G350" s="23"/>
      <c r="H350" s="23"/>
      <c r="I350" s="8" t="str">
        <f t="shared" si="82"/>
        <v/>
      </c>
      <c r="J350" s="2" t="str">
        <f t="shared" si="89"/>
        <v/>
      </c>
      <c r="K350" s="2" t="str">
        <f t="shared" si="83"/>
        <v/>
      </c>
      <c r="L350" s="2" t="str">
        <f t="shared" si="90"/>
        <v/>
      </c>
      <c r="M350" s="2" t="str">
        <f t="shared" si="95"/>
        <v/>
      </c>
      <c r="N350" s="2" t="str">
        <f t="shared" si="91"/>
        <v/>
      </c>
      <c r="O350" s="8" t="str">
        <f t="shared" si="92"/>
        <v/>
      </c>
      <c r="P350" s="8" t="str">
        <f t="shared" si="93"/>
        <v/>
      </c>
      <c r="Q350" s="40" t="str">
        <f t="shared" si="84"/>
        <v/>
      </c>
      <c r="R350" s="48" t="str">
        <f t="shared" si="94"/>
        <v/>
      </c>
      <c r="S350" s="8"/>
      <c r="U350" s="35">
        <f t="shared" si="85"/>
        <v>0</v>
      </c>
      <c r="V350" s="24">
        <f t="shared" si="86"/>
        <v>0</v>
      </c>
      <c r="W350" s="41">
        <f t="shared" ref="W350:W413" si="97">DATEDIF(E350,F350,"Y")+(F350-(DATE(YEAR(E350)+DATEDIF(E350,F350,"Y"),MONTH(E350),DAY(E350))))/(365+IF(MOD(YEAR((DATE(YEAR(F350)-1,MONTH(E350),DAY(E350)))),4)=0,IF((DATE(YEAR(F350)-1,MONTH(E350),DAY(E350)))&gt;DATE(YEAR((DATE(YEAR(F350)-1,MONTH(E350),DAY(E350)))),2,29),0,1),0)+IF(MOD(YEAR(F350),4)=0,IF(F350&gt;DATE(YEAR(F350),2,29),1,0),0))</f>
        <v>0</v>
      </c>
      <c r="X350" s="31"/>
      <c r="Y350" s="31"/>
      <c r="Z350" s="31"/>
      <c r="AA350" s="25">
        <f t="shared" si="87"/>
        <v>9.0359999999999996</v>
      </c>
      <c r="AB350" s="25">
        <f t="shared" si="88"/>
        <v>-184.49199999999999</v>
      </c>
      <c r="AD350" s="24">
        <f>IF(D350="M",IF(AG350&lt;78,BMILMS!$D$5*AG350^3+BMILMS!$E$5*AG350^2+BMILMS!$F$5*AG350+BMILMS!$G$5,IF(AG350&lt;150,BMILMS!$D$6*AG350^3+BMILMS!$E$6*AG350^2+BMILMS!$F$6*AG350+BMILMS!$G$6,BMILMS!$D$7*AG350^3+BMILMS!$E$7*AG350^2+BMILMS!$F$7*AG350+BMILMS!$G$7)),IF(AG350&lt;69,BMILMS!$D$9*AG350^3+BMILMS!$E$9*AG350^2+BMILMS!$F$9*AG350+BMILMS!$G$9,IF(AG350&lt;150,BMILMS!$D$10*AG350^3+BMILMS!$E$10*AG350^2+BMILMS!$F$10*AG350+BMILMS!$G$10,BMILMS!$D$11*AG350^3+BMILMS!$E$11*AG350^2+BMILMS!$F$11*AG350+BMILMS!$G$11)))</f>
        <v>0.79584630099999998</v>
      </c>
      <c r="AE350" s="24">
        <f>IF(D350="M",(IF(AG350&lt;2.5,BMILMS!$D$21*AG350^3+BMILMS!$E$21*AG350^2+BMILMS!$F$21*AG350+BMILMS!$G$21,IF(AG350&lt;9.5,BMILMS!$D$22*AG350^3+BMILMS!$E$22*AG350^2+BMILMS!$F$22*AG350+BMILMS!$G$22,IF(AG350&lt;26.75,BMILMS!$D$23*AG350^3+BMILMS!$E$23*AG350^2+BMILMS!$F$23*AG350+BMILMS!$G$23,IF(AG350&lt;90,BMILMS!$D$24*AG350^3+BMILMS!$E$24*AG350^2+BMILMS!$F$24*AG350+BMILMS!$G$24,BMILMS!$D$25*AG350^3+BMILMS!$E$25*AG350^2+BMILMS!$F$25*AG350+BMILMS!$G$25))))),(IF(AG350&lt;2.5,BMILMS!$D$27*AG350^3+BMILMS!$E$27*AG350^2+BMILMS!$F$27*AG350+BMILMS!$G$27,IF(AG350&lt;9.5,BMILMS!$D$28*AG350^3+BMILMS!$E$28*AG350^2+BMILMS!$F$28*AG350+BMILMS!$G$28,IF(AG350&lt;26.75,BMILMS!$D$29*AG350^3+BMILMS!$E$29*AG350^2+BMILMS!$F$29*AG350+BMILMS!$G$29,IF(AG350&lt;90,BMILMS!$D$30*AG350^3+BMILMS!$E$30*AG350^2+BMILMS!$F$30*AG350+BMILMS!$G$30,IF(AG350&lt;150,BMILMS!$D$31*AG350^3+BMILMS!$E$31*AG350^2+BMILMS!$F$31*AG350+BMILMS!$G$31,BMILMS!$D$32*AG350^3+BMILMS!$E$32*AG350^2+BMILMS!$F$32*AG350+BMILMS!$G$32)))))))</f>
        <v>12.568967990000001</v>
      </c>
      <c r="AF350" s="24">
        <f>IF(D350="M",(IF(AG350&lt;90,BMILMS!$D$14*AG350^3+BMILMS!$E$14*AG350^2+BMILMS!$F$14*AG350+BMILMS!$G$14,BMILMS!$D$15*AG350^3+BMILMS!$E$15*AG350^2+BMILMS!$F$15*AG350+BMILMS!$G$15)),(IF(AG350&lt;90,BMILMS!$D$17*AG350^3+BMILMS!$E$17*AG350^2+BMILMS!$F$17*AG350+BMILMS!$G$17,BMILMS!$D$18*AG350^3+BMILMS!$E$18*AG350^2+BMILMS!$F$18*AG350+BMILMS!$G$18)))</f>
        <v>8.8969350000000003E-2</v>
      </c>
      <c r="AG350" s="24">
        <f t="shared" si="96"/>
        <v>0</v>
      </c>
      <c r="AI350" s="38">
        <f>IF(D350="M",WeightSDS!P$5*$AG350^7+WeightSDS!Q$5*$AG350^6+WeightSDS!R$5*$AG350^5+WeightSDS!S$5*$AG350^4+WeightSDS!T$5*$AG350^3+WeightSDS!U$5*$AG350^2+WeightSDS!V$5*$AG350+WeightSDS!W$5,IF($AG350&lt;186,WeightSDS!P$8*$AG350^7+WeightSDS!Q$8*$AG350^6+WeightSDS!R$8*$AG350^5+WeightSDS!S$8*$AG350^4+WeightSDS!T$8*$AG350^3+WeightSDS!U$8*$AG350^2+WeightSDS!V$8*$AG350+WeightSDS!W$8,WeightSDS!$U$9-WeightSDS!$V$9*($AG350-WeightSDS!$W$9)))</f>
        <v>0.75407122999999998</v>
      </c>
      <c r="AJ350" s="24">
        <f>IF(D350="M",IF($AG350&lt;45,WeightSDS!M$23*$AG350^10+WeightSDS!N$23*$AG350^9+WeightSDS!O$23*$AG350^8+WeightSDS!P$23*$AG350^7+WeightSDS!Q$23*$AG350^6+WeightSDS!R$23*$AG350^5+WeightSDS!S$23*$AG350^4+WeightSDS!T$23*$AG350^3+WeightSDS!U$23*$AG350^2+WeightSDS!V$23*$AG350+WeightSDS!W$23,IF($AG350&lt;153,WeightSDS!M$25*$AG350^10+WeightSDS!N$25*$AG350^9+WeightSDS!O$25*$AG350^8+WeightSDS!P$25*$AG350^7+WeightSDS!Q$25*$AG350^6+WeightSDS!R$25*$AG350^5+WeightSDS!S$25*$AG350^4+WeightSDS!T$25*$AG350^3+WeightSDS!U$25*$AG350^2+WeightSDS!V$25*$AG350+WeightSDS!W$25,WeightSDS!M$27+WeightSDS!N$27/(1+EXP(WeightSDS!O$27+WeightSDS!P$27*$AG350)))),IF($AG350&lt;43.8,WeightSDS!M$29*$AG350^10+WeightSDS!N$29*$AG350^9+WeightSDS!O$29*$AG350^8+WeightSDS!P$29*$AG350^7+WeightSDS!Q$29*$AG350^6+WeightSDS!R$29*$AG350^5+WeightSDS!S$29*$AG350^4+WeightSDS!T$29*$AG350^3+WeightSDS!U$29*$AG350^2+WeightSDS!V$29*$AG350+WeightSDS!W$29-0.010431*(1-$AG350/210),IF($AG350&lt;123,WeightSDS!M$30*$AG350^10+WeightSDS!N$30*$AG350^9+WeightSDS!O$30*$AG350^8+WeightSDS!P$30*$AG350^7+WeightSDS!Q$30*$AG350^6+WeightSDS!R$30*$AG350^5+WeightSDS!S$30*$AG350^4+WeightSDS!T$30*$AG350^3+WeightSDS!U$30*$AG350^2+WeightSDS!V$30*$AG350+WeightSDS!W$30-0.010431*(1-1/$AG350),WeightSDS!M$32+WeightSDS!N$32/(1+EXP(WeightSDS!O$32+WeightSDS!P$32*$AG350))-0.010431*(1-$AG350/210))))</f>
        <v>2.9500001032655536</v>
      </c>
      <c r="AK350" s="24">
        <f>IF(D350="M",IF($AG350&lt;162,WeightSDS!P$12*$AG350^7+WeightSDS!Q$12*$AG350^6+WeightSDS!R$12*$AG350^5+WeightSDS!S$12*$AG350^4+WeightSDS!T$12*$AG350^3+WeightSDS!U$12*$AG350^2+WeightSDS!V$12*$AG350+WeightSDS!W$12,WeightSDS!P$14*$AG350^7+WeightSDS!Q$14*$AG350^6+WeightSDS!R$14*$AG350^5+WeightSDS!S$14*$AG350^4+WeightSDS!T$14*$AG350^3+WeightSDS!U$14*$AG350^2+WeightSDS!V$14*$AG350+WeightSDS!W$14),IF($AG350&lt;156,WeightSDS!O$17*$AG350^8+WeightSDS!P$17*$AG350^7+WeightSDS!Q$17*$AG350^6+WeightSDS!R$17*$AG350^5+WeightSDS!S$17*$AG350^4+WeightSDS!T$17*$AG350^3+WeightSDS!U$17*$AG350^2+WeightSDS!V$17*$AG350+WeightSDS!W$17,IF($AG350&lt;186,WeightSDS!$U$18+(WeightSDS!$V$18-WeightSDS!$U$18)/24*($AG350-186)+WeightSDS!$W$18*(-$AG350+186)^2-0.005,WeightSDS!$U$18+(WeightSDS!$V$18-WeightSDS!$U$18)/24*($AG350-186)-0.005)))</f>
        <v>0.14604529399999999</v>
      </c>
    </row>
    <row r="351" spans="1:37">
      <c r="A351" s="4"/>
      <c r="B351" s="21"/>
      <c r="C351" s="21"/>
      <c r="D351" s="21"/>
      <c r="E351" s="22"/>
      <c r="F351" s="22"/>
      <c r="G351" s="23"/>
      <c r="H351" s="23"/>
      <c r="I351" s="8" t="str">
        <f t="shared" si="82"/>
        <v/>
      </c>
      <c r="J351" s="2" t="str">
        <f t="shared" si="89"/>
        <v/>
      </c>
      <c r="K351" s="2" t="str">
        <f t="shared" si="83"/>
        <v/>
      </c>
      <c r="L351" s="2" t="str">
        <f t="shared" si="90"/>
        <v/>
      </c>
      <c r="M351" s="2" t="str">
        <f t="shared" si="95"/>
        <v/>
      </c>
      <c r="N351" s="2" t="str">
        <f t="shared" si="91"/>
        <v/>
      </c>
      <c r="O351" s="8" t="str">
        <f t="shared" si="92"/>
        <v/>
      </c>
      <c r="P351" s="8" t="str">
        <f t="shared" si="93"/>
        <v/>
      </c>
      <c r="Q351" s="40" t="str">
        <f t="shared" si="84"/>
        <v/>
      </c>
      <c r="R351" s="48" t="str">
        <f t="shared" si="94"/>
        <v/>
      </c>
      <c r="S351" s="8"/>
      <c r="U351" s="35">
        <f t="shared" si="85"/>
        <v>0</v>
      </c>
      <c r="V351" s="24">
        <f t="shared" si="86"/>
        <v>0</v>
      </c>
      <c r="W351" s="41">
        <f t="shared" si="97"/>
        <v>0</v>
      </c>
      <c r="X351" s="31"/>
      <c r="Y351" s="31"/>
      <c r="Z351" s="31"/>
      <c r="AA351" s="25">
        <f t="shared" si="87"/>
        <v>9.0359999999999996</v>
      </c>
      <c r="AB351" s="25">
        <f t="shared" si="88"/>
        <v>-184.49199999999999</v>
      </c>
      <c r="AD351" s="24">
        <f>IF(D351="M",IF(AG351&lt;78,BMILMS!$D$5*AG351^3+BMILMS!$E$5*AG351^2+BMILMS!$F$5*AG351+BMILMS!$G$5,IF(AG351&lt;150,BMILMS!$D$6*AG351^3+BMILMS!$E$6*AG351^2+BMILMS!$F$6*AG351+BMILMS!$G$6,BMILMS!$D$7*AG351^3+BMILMS!$E$7*AG351^2+BMILMS!$F$7*AG351+BMILMS!$G$7)),IF(AG351&lt;69,BMILMS!$D$9*AG351^3+BMILMS!$E$9*AG351^2+BMILMS!$F$9*AG351+BMILMS!$G$9,IF(AG351&lt;150,BMILMS!$D$10*AG351^3+BMILMS!$E$10*AG351^2+BMILMS!$F$10*AG351+BMILMS!$G$10,BMILMS!$D$11*AG351^3+BMILMS!$E$11*AG351^2+BMILMS!$F$11*AG351+BMILMS!$G$11)))</f>
        <v>0.79584630099999998</v>
      </c>
      <c r="AE351" s="24">
        <f>IF(D351="M",(IF(AG351&lt;2.5,BMILMS!$D$21*AG351^3+BMILMS!$E$21*AG351^2+BMILMS!$F$21*AG351+BMILMS!$G$21,IF(AG351&lt;9.5,BMILMS!$D$22*AG351^3+BMILMS!$E$22*AG351^2+BMILMS!$F$22*AG351+BMILMS!$G$22,IF(AG351&lt;26.75,BMILMS!$D$23*AG351^3+BMILMS!$E$23*AG351^2+BMILMS!$F$23*AG351+BMILMS!$G$23,IF(AG351&lt;90,BMILMS!$D$24*AG351^3+BMILMS!$E$24*AG351^2+BMILMS!$F$24*AG351+BMILMS!$G$24,BMILMS!$D$25*AG351^3+BMILMS!$E$25*AG351^2+BMILMS!$F$25*AG351+BMILMS!$G$25))))),(IF(AG351&lt;2.5,BMILMS!$D$27*AG351^3+BMILMS!$E$27*AG351^2+BMILMS!$F$27*AG351+BMILMS!$G$27,IF(AG351&lt;9.5,BMILMS!$D$28*AG351^3+BMILMS!$E$28*AG351^2+BMILMS!$F$28*AG351+BMILMS!$G$28,IF(AG351&lt;26.75,BMILMS!$D$29*AG351^3+BMILMS!$E$29*AG351^2+BMILMS!$F$29*AG351+BMILMS!$G$29,IF(AG351&lt;90,BMILMS!$D$30*AG351^3+BMILMS!$E$30*AG351^2+BMILMS!$F$30*AG351+BMILMS!$G$30,IF(AG351&lt;150,BMILMS!$D$31*AG351^3+BMILMS!$E$31*AG351^2+BMILMS!$F$31*AG351+BMILMS!$G$31,BMILMS!$D$32*AG351^3+BMILMS!$E$32*AG351^2+BMILMS!$F$32*AG351+BMILMS!$G$32)))))))</f>
        <v>12.568967990000001</v>
      </c>
      <c r="AF351" s="24">
        <f>IF(D351="M",(IF(AG351&lt;90,BMILMS!$D$14*AG351^3+BMILMS!$E$14*AG351^2+BMILMS!$F$14*AG351+BMILMS!$G$14,BMILMS!$D$15*AG351^3+BMILMS!$E$15*AG351^2+BMILMS!$F$15*AG351+BMILMS!$G$15)),(IF(AG351&lt;90,BMILMS!$D$17*AG351^3+BMILMS!$E$17*AG351^2+BMILMS!$F$17*AG351+BMILMS!$G$17,BMILMS!$D$18*AG351^3+BMILMS!$E$18*AG351^2+BMILMS!$F$18*AG351+BMILMS!$G$18)))</f>
        <v>8.8969350000000003E-2</v>
      </c>
      <c r="AG351" s="24">
        <f t="shared" si="96"/>
        <v>0</v>
      </c>
      <c r="AI351" s="38">
        <f>IF(D351="M",WeightSDS!P$5*$AG351^7+WeightSDS!Q$5*$AG351^6+WeightSDS!R$5*$AG351^5+WeightSDS!S$5*$AG351^4+WeightSDS!T$5*$AG351^3+WeightSDS!U$5*$AG351^2+WeightSDS!V$5*$AG351+WeightSDS!W$5,IF($AG351&lt;186,WeightSDS!P$8*$AG351^7+WeightSDS!Q$8*$AG351^6+WeightSDS!R$8*$AG351^5+WeightSDS!S$8*$AG351^4+WeightSDS!T$8*$AG351^3+WeightSDS!U$8*$AG351^2+WeightSDS!V$8*$AG351+WeightSDS!W$8,WeightSDS!$U$9-WeightSDS!$V$9*($AG351-WeightSDS!$W$9)))</f>
        <v>0.75407122999999998</v>
      </c>
      <c r="AJ351" s="24">
        <f>IF(D351="M",IF($AG351&lt;45,WeightSDS!M$23*$AG351^10+WeightSDS!N$23*$AG351^9+WeightSDS!O$23*$AG351^8+WeightSDS!P$23*$AG351^7+WeightSDS!Q$23*$AG351^6+WeightSDS!R$23*$AG351^5+WeightSDS!S$23*$AG351^4+WeightSDS!T$23*$AG351^3+WeightSDS!U$23*$AG351^2+WeightSDS!V$23*$AG351+WeightSDS!W$23,IF($AG351&lt;153,WeightSDS!M$25*$AG351^10+WeightSDS!N$25*$AG351^9+WeightSDS!O$25*$AG351^8+WeightSDS!P$25*$AG351^7+WeightSDS!Q$25*$AG351^6+WeightSDS!R$25*$AG351^5+WeightSDS!S$25*$AG351^4+WeightSDS!T$25*$AG351^3+WeightSDS!U$25*$AG351^2+WeightSDS!V$25*$AG351+WeightSDS!W$25,WeightSDS!M$27+WeightSDS!N$27/(1+EXP(WeightSDS!O$27+WeightSDS!P$27*$AG351)))),IF($AG351&lt;43.8,WeightSDS!M$29*$AG351^10+WeightSDS!N$29*$AG351^9+WeightSDS!O$29*$AG351^8+WeightSDS!P$29*$AG351^7+WeightSDS!Q$29*$AG351^6+WeightSDS!R$29*$AG351^5+WeightSDS!S$29*$AG351^4+WeightSDS!T$29*$AG351^3+WeightSDS!U$29*$AG351^2+WeightSDS!V$29*$AG351+WeightSDS!W$29-0.010431*(1-$AG351/210),IF($AG351&lt;123,WeightSDS!M$30*$AG351^10+WeightSDS!N$30*$AG351^9+WeightSDS!O$30*$AG351^8+WeightSDS!P$30*$AG351^7+WeightSDS!Q$30*$AG351^6+WeightSDS!R$30*$AG351^5+WeightSDS!S$30*$AG351^4+WeightSDS!T$30*$AG351^3+WeightSDS!U$30*$AG351^2+WeightSDS!V$30*$AG351+WeightSDS!W$30-0.010431*(1-1/$AG351),WeightSDS!M$32+WeightSDS!N$32/(1+EXP(WeightSDS!O$32+WeightSDS!P$32*$AG351))-0.010431*(1-$AG351/210))))</f>
        <v>2.9500001032655536</v>
      </c>
      <c r="AK351" s="24">
        <f>IF(D351="M",IF($AG351&lt;162,WeightSDS!P$12*$AG351^7+WeightSDS!Q$12*$AG351^6+WeightSDS!R$12*$AG351^5+WeightSDS!S$12*$AG351^4+WeightSDS!T$12*$AG351^3+WeightSDS!U$12*$AG351^2+WeightSDS!V$12*$AG351+WeightSDS!W$12,WeightSDS!P$14*$AG351^7+WeightSDS!Q$14*$AG351^6+WeightSDS!R$14*$AG351^5+WeightSDS!S$14*$AG351^4+WeightSDS!T$14*$AG351^3+WeightSDS!U$14*$AG351^2+WeightSDS!V$14*$AG351+WeightSDS!W$14),IF($AG351&lt;156,WeightSDS!O$17*$AG351^8+WeightSDS!P$17*$AG351^7+WeightSDS!Q$17*$AG351^6+WeightSDS!R$17*$AG351^5+WeightSDS!S$17*$AG351^4+WeightSDS!T$17*$AG351^3+WeightSDS!U$17*$AG351^2+WeightSDS!V$17*$AG351+WeightSDS!W$17,IF($AG351&lt;186,WeightSDS!$U$18+(WeightSDS!$V$18-WeightSDS!$U$18)/24*($AG351-186)+WeightSDS!$W$18*(-$AG351+186)^2-0.005,WeightSDS!$U$18+(WeightSDS!$V$18-WeightSDS!$U$18)/24*($AG351-186)-0.005)))</f>
        <v>0.14604529399999999</v>
      </c>
    </row>
    <row r="352" spans="1:37">
      <c r="A352" s="4"/>
      <c r="B352" s="21"/>
      <c r="C352" s="21"/>
      <c r="D352" s="21"/>
      <c r="E352" s="22"/>
      <c r="F352" s="22"/>
      <c r="G352" s="23"/>
      <c r="H352" s="23"/>
      <c r="I352" s="8" t="str">
        <f t="shared" si="82"/>
        <v/>
      </c>
      <c r="J352" s="2" t="str">
        <f t="shared" si="89"/>
        <v/>
      </c>
      <c r="K352" s="2" t="str">
        <f t="shared" si="83"/>
        <v/>
      </c>
      <c r="L352" s="2" t="str">
        <f t="shared" si="90"/>
        <v/>
      </c>
      <c r="M352" s="2" t="str">
        <f t="shared" si="95"/>
        <v/>
      </c>
      <c r="N352" s="2" t="str">
        <f t="shared" si="91"/>
        <v/>
      </c>
      <c r="O352" s="8" t="str">
        <f t="shared" si="92"/>
        <v/>
      </c>
      <c r="P352" s="8" t="str">
        <f t="shared" si="93"/>
        <v/>
      </c>
      <c r="Q352" s="40" t="str">
        <f t="shared" si="84"/>
        <v/>
      </c>
      <c r="R352" s="48" t="str">
        <f t="shared" si="94"/>
        <v/>
      </c>
      <c r="S352" s="8"/>
      <c r="U352" s="35">
        <f t="shared" si="85"/>
        <v>0</v>
      </c>
      <c r="V352" s="24">
        <f t="shared" si="86"/>
        <v>0</v>
      </c>
      <c r="W352" s="41">
        <f t="shared" si="97"/>
        <v>0</v>
      </c>
      <c r="X352" s="31"/>
      <c r="Y352" s="31"/>
      <c r="Z352" s="31"/>
      <c r="AA352" s="25">
        <f t="shared" si="87"/>
        <v>9.0359999999999996</v>
      </c>
      <c r="AB352" s="25">
        <f t="shared" si="88"/>
        <v>-184.49199999999999</v>
      </c>
      <c r="AD352" s="24">
        <f>IF(D352="M",IF(AG352&lt;78,BMILMS!$D$5*AG352^3+BMILMS!$E$5*AG352^2+BMILMS!$F$5*AG352+BMILMS!$G$5,IF(AG352&lt;150,BMILMS!$D$6*AG352^3+BMILMS!$E$6*AG352^2+BMILMS!$F$6*AG352+BMILMS!$G$6,BMILMS!$D$7*AG352^3+BMILMS!$E$7*AG352^2+BMILMS!$F$7*AG352+BMILMS!$G$7)),IF(AG352&lt;69,BMILMS!$D$9*AG352^3+BMILMS!$E$9*AG352^2+BMILMS!$F$9*AG352+BMILMS!$G$9,IF(AG352&lt;150,BMILMS!$D$10*AG352^3+BMILMS!$E$10*AG352^2+BMILMS!$F$10*AG352+BMILMS!$G$10,BMILMS!$D$11*AG352^3+BMILMS!$E$11*AG352^2+BMILMS!$F$11*AG352+BMILMS!$G$11)))</f>
        <v>0.79584630099999998</v>
      </c>
      <c r="AE352" s="24">
        <f>IF(D352="M",(IF(AG352&lt;2.5,BMILMS!$D$21*AG352^3+BMILMS!$E$21*AG352^2+BMILMS!$F$21*AG352+BMILMS!$G$21,IF(AG352&lt;9.5,BMILMS!$D$22*AG352^3+BMILMS!$E$22*AG352^2+BMILMS!$F$22*AG352+BMILMS!$G$22,IF(AG352&lt;26.75,BMILMS!$D$23*AG352^3+BMILMS!$E$23*AG352^2+BMILMS!$F$23*AG352+BMILMS!$G$23,IF(AG352&lt;90,BMILMS!$D$24*AG352^3+BMILMS!$E$24*AG352^2+BMILMS!$F$24*AG352+BMILMS!$G$24,BMILMS!$D$25*AG352^3+BMILMS!$E$25*AG352^2+BMILMS!$F$25*AG352+BMILMS!$G$25))))),(IF(AG352&lt;2.5,BMILMS!$D$27*AG352^3+BMILMS!$E$27*AG352^2+BMILMS!$F$27*AG352+BMILMS!$G$27,IF(AG352&lt;9.5,BMILMS!$D$28*AG352^3+BMILMS!$E$28*AG352^2+BMILMS!$F$28*AG352+BMILMS!$G$28,IF(AG352&lt;26.75,BMILMS!$D$29*AG352^3+BMILMS!$E$29*AG352^2+BMILMS!$F$29*AG352+BMILMS!$G$29,IF(AG352&lt;90,BMILMS!$D$30*AG352^3+BMILMS!$E$30*AG352^2+BMILMS!$F$30*AG352+BMILMS!$G$30,IF(AG352&lt;150,BMILMS!$D$31*AG352^3+BMILMS!$E$31*AG352^2+BMILMS!$F$31*AG352+BMILMS!$G$31,BMILMS!$D$32*AG352^3+BMILMS!$E$32*AG352^2+BMILMS!$F$32*AG352+BMILMS!$G$32)))))))</f>
        <v>12.568967990000001</v>
      </c>
      <c r="AF352" s="24">
        <f>IF(D352="M",(IF(AG352&lt;90,BMILMS!$D$14*AG352^3+BMILMS!$E$14*AG352^2+BMILMS!$F$14*AG352+BMILMS!$G$14,BMILMS!$D$15*AG352^3+BMILMS!$E$15*AG352^2+BMILMS!$F$15*AG352+BMILMS!$G$15)),(IF(AG352&lt;90,BMILMS!$D$17*AG352^3+BMILMS!$E$17*AG352^2+BMILMS!$F$17*AG352+BMILMS!$G$17,BMILMS!$D$18*AG352^3+BMILMS!$E$18*AG352^2+BMILMS!$F$18*AG352+BMILMS!$G$18)))</f>
        <v>8.8969350000000003E-2</v>
      </c>
      <c r="AG352" s="24">
        <f t="shared" si="96"/>
        <v>0</v>
      </c>
      <c r="AI352" s="38">
        <f>IF(D352="M",WeightSDS!P$5*$AG352^7+WeightSDS!Q$5*$AG352^6+WeightSDS!R$5*$AG352^5+WeightSDS!S$5*$AG352^4+WeightSDS!T$5*$AG352^3+WeightSDS!U$5*$AG352^2+WeightSDS!V$5*$AG352+WeightSDS!W$5,IF($AG352&lt;186,WeightSDS!P$8*$AG352^7+WeightSDS!Q$8*$AG352^6+WeightSDS!R$8*$AG352^5+WeightSDS!S$8*$AG352^4+WeightSDS!T$8*$AG352^3+WeightSDS!U$8*$AG352^2+WeightSDS!V$8*$AG352+WeightSDS!W$8,WeightSDS!$U$9-WeightSDS!$V$9*($AG352-WeightSDS!$W$9)))</f>
        <v>0.75407122999999998</v>
      </c>
      <c r="AJ352" s="24">
        <f>IF(D352="M",IF($AG352&lt;45,WeightSDS!M$23*$AG352^10+WeightSDS!N$23*$AG352^9+WeightSDS!O$23*$AG352^8+WeightSDS!P$23*$AG352^7+WeightSDS!Q$23*$AG352^6+WeightSDS!R$23*$AG352^5+WeightSDS!S$23*$AG352^4+WeightSDS!T$23*$AG352^3+WeightSDS!U$23*$AG352^2+WeightSDS!V$23*$AG352+WeightSDS!W$23,IF($AG352&lt;153,WeightSDS!M$25*$AG352^10+WeightSDS!N$25*$AG352^9+WeightSDS!O$25*$AG352^8+WeightSDS!P$25*$AG352^7+WeightSDS!Q$25*$AG352^6+WeightSDS!R$25*$AG352^5+WeightSDS!S$25*$AG352^4+WeightSDS!T$25*$AG352^3+WeightSDS!U$25*$AG352^2+WeightSDS!V$25*$AG352+WeightSDS!W$25,WeightSDS!M$27+WeightSDS!N$27/(1+EXP(WeightSDS!O$27+WeightSDS!P$27*$AG352)))),IF($AG352&lt;43.8,WeightSDS!M$29*$AG352^10+WeightSDS!N$29*$AG352^9+WeightSDS!O$29*$AG352^8+WeightSDS!P$29*$AG352^7+WeightSDS!Q$29*$AG352^6+WeightSDS!R$29*$AG352^5+WeightSDS!S$29*$AG352^4+WeightSDS!T$29*$AG352^3+WeightSDS!U$29*$AG352^2+WeightSDS!V$29*$AG352+WeightSDS!W$29-0.010431*(1-$AG352/210),IF($AG352&lt;123,WeightSDS!M$30*$AG352^10+WeightSDS!N$30*$AG352^9+WeightSDS!O$30*$AG352^8+WeightSDS!P$30*$AG352^7+WeightSDS!Q$30*$AG352^6+WeightSDS!R$30*$AG352^5+WeightSDS!S$30*$AG352^4+WeightSDS!T$30*$AG352^3+WeightSDS!U$30*$AG352^2+WeightSDS!V$30*$AG352+WeightSDS!W$30-0.010431*(1-1/$AG352),WeightSDS!M$32+WeightSDS!N$32/(1+EXP(WeightSDS!O$32+WeightSDS!P$32*$AG352))-0.010431*(1-$AG352/210))))</f>
        <v>2.9500001032655536</v>
      </c>
      <c r="AK352" s="24">
        <f>IF(D352="M",IF($AG352&lt;162,WeightSDS!P$12*$AG352^7+WeightSDS!Q$12*$AG352^6+WeightSDS!R$12*$AG352^5+WeightSDS!S$12*$AG352^4+WeightSDS!T$12*$AG352^3+WeightSDS!U$12*$AG352^2+WeightSDS!V$12*$AG352+WeightSDS!W$12,WeightSDS!P$14*$AG352^7+WeightSDS!Q$14*$AG352^6+WeightSDS!R$14*$AG352^5+WeightSDS!S$14*$AG352^4+WeightSDS!T$14*$AG352^3+WeightSDS!U$14*$AG352^2+WeightSDS!V$14*$AG352+WeightSDS!W$14),IF($AG352&lt;156,WeightSDS!O$17*$AG352^8+WeightSDS!P$17*$AG352^7+WeightSDS!Q$17*$AG352^6+WeightSDS!R$17*$AG352^5+WeightSDS!S$17*$AG352^4+WeightSDS!T$17*$AG352^3+WeightSDS!U$17*$AG352^2+WeightSDS!V$17*$AG352+WeightSDS!W$17,IF($AG352&lt;186,WeightSDS!$U$18+(WeightSDS!$V$18-WeightSDS!$U$18)/24*($AG352-186)+WeightSDS!$W$18*(-$AG352+186)^2-0.005,WeightSDS!$U$18+(WeightSDS!$V$18-WeightSDS!$U$18)/24*($AG352-186)-0.005)))</f>
        <v>0.14604529399999999</v>
      </c>
    </row>
    <row r="353" spans="1:37">
      <c r="A353" s="4"/>
      <c r="B353" s="21"/>
      <c r="C353" s="21"/>
      <c r="D353" s="21"/>
      <c r="E353" s="22"/>
      <c r="F353" s="22"/>
      <c r="G353" s="23"/>
      <c r="H353" s="23"/>
      <c r="I353" s="8" t="str">
        <f t="shared" si="82"/>
        <v/>
      </c>
      <c r="J353" s="2" t="str">
        <f t="shared" si="89"/>
        <v/>
      </c>
      <c r="K353" s="2" t="str">
        <f t="shared" si="83"/>
        <v/>
      </c>
      <c r="L353" s="2" t="str">
        <f t="shared" si="90"/>
        <v/>
      </c>
      <c r="M353" s="2" t="str">
        <f t="shared" si="95"/>
        <v/>
      </c>
      <c r="N353" s="2" t="str">
        <f t="shared" si="91"/>
        <v/>
      </c>
      <c r="O353" s="8" t="str">
        <f t="shared" si="92"/>
        <v/>
      </c>
      <c r="P353" s="8" t="str">
        <f t="shared" si="93"/>
        <v/>
      </c>
      <c r="Q353" s="40" t="str">
        <f t="shared" si="84"/>
        <v/>
      </c>
      <c r="R353" s="48" t="str">
        <f t="shared" si="94"/>
        <v/>
      </c>
      <c r="S353" s="8"/>
      <c r="U353" s="35">
        <f t="shared" si="85"/>
        <v>0</v>
      </c>
      <c r="V353" s="24">
        <f t="shared" si="86"/>
        <v>0</v>
      </c>
      <c r="W353" s="41">
        <f t="shared" si="97"/>
        <v>0</v>
      </c>
      <c r="X353" s="31"/>
      <c r="Y353" s="31"/>
      <c r="Z353" s="31"/>
      <c r="AA353" s="25">
        <f t="shared" si="87"/>
        <v>9.0359999999999996</v>
      </c>
      <c r="AB353" s="25">
        <f t="shared" si="88"/>
        <v>-184.49199999999999</v>
      </c>
      <c r="AD353" s="24">
        <f>IF(D353="M",IF(AG353&lt;78,BMILMS!$D$5*AG353^3+BMILMS!$E$5*AG353^2+BMILMS!$F$5*AG353+BMILMS!$G$5,IF(AG353&lt;150,BMILMS!$D$6*AG353^3+BMILMS!$E$6*AG353^2+BMILMS!$F$6*AG353+BMILMS!$G$6,BMILMS!$D$7*AG353^3+BMILMS!$E$7*AG353^2+BMILMS!$F$7*AG353+BMILMS!$G$7)),IF(AG353&lt;69,BMILMS!$D$9*AG353^3+BMILMS!$E$9*AG353^2+BMILMS!$F$9*AG353+BMILMS!$G$9,IF(AG353&lt;150,BMILMS!$D$10*AG353^3+BMILMS!$E$10*AG353^2+BMILMS!$F$10*AG353+BMILMS!$G$10,BMILMS!$D$11*AG353^3+BMILMS!$E$11*AG353^2+BMILMS!$F$11*AG353+BMILMS!$G$11)))</f>
        <v>0.79584630099999998</v>
      </c>
      <c r="AE353" s="24">
        <f>IF(D353="M",(IF(AG353&lt;2.5,BMILMS!$D$21*AG353^3+BMILMS!$E$21*AG353^2+BMILMS!$F$21*AG353+BMILMS!$G$21,IF(AG353&lt;9.5,BMILMS!$D$22*AG353^3+BMILMS!$E$22*AG353^2+BMILMS!$F$22*AG353+BMILMS!$G$22,IF(AG353&lt;26.75,BMILMS!$D$23*AG353^3+BMILMS!$E$23*AG353^2+BMILMS!$F$23*AG353+BMILMS!$G$23,IF(AG353&lt;90,BMILMS!$D$24*AG353^3+BMILMS!$E$24*AG353^2+BMILMS!$F$24*AG353+BMILMS!$G$24,BMILMS!$D$25*AG353^3+BMILMS!$E$25*AG353^2+BMILMS!$F$25*AG353+BMILMS!$G$25))))),(IF(AG353&lt;2.5,BMILMS!$D$27*AG353^3+BMILMS!$E$27*AG353^2+BMILMS!$F$27*AG353+BMILMS!$G$27,IF(AG353&lt;9.5,BMILMS!$D$28*AG353^3+BMILMS!$E$28*AG353^2+BMILMS!$F$28*AG353+BMILMS!$G$28,IF(AG353&lt;26.75,BMILMS!$D$29*AG353^3+BMILMS!$E$29*AG353^2+BMILMS!$F$29*AG353+BMILMS!$G$29,IF(AG353&lt;90,BMILMS!$D$30*AG353^3+BMILMS!$E$30*AG353^2+BMILMS!$F$30*AG353+BMILMS!$G$30,IF(AG353&lt;150,BMILMS!$D$31*AG353^3+BMILMS!$E$31*AG353^2+BMILMS!$F$31*AG353+BMILMS!$G$31,BMILMS!$D$32*AG353^3+BMILMS!$E$32*AG353^2+BMILMS!$F$32*AG353+BMILMS!$G$32)))))))</f>
        <v>12.568967990000001</v>
      </c>
      <c r="AF353" s="24">
        <f>IF(D353="M",(IF(AG353&lt;90,BMILMS!$D$14*AG353^3+BMILMS!$E$14*AG353^2+BMILMS!$F$14*AG353+BMILMS!$G$14,BMILMS!$D$15*AG353^3+BMILMS!$E$15*AG353^2+BMILMS!$F$15*AG353+BMILMS!$G$15)),(IF(AG353&lt;90,BMILMS!$D$17*AG353^3+BMILMS!$E$17*AG353^2+BMILMS!$F$17*AG353+BMILMS!$G$17,BMILMS!$D$18*AG353^3+BMILMS!$E$18*AG353^2+BMILMS!$F$18*AG353+BMILMS!$G$18)))</f>
        <v>8.8969350000000003E-2</v>
      </c>
      <c r="AG353" s="24">
        <f t="shared" si="96"/>
        <v>0</v>
      </c>
      <c r="AI353" s="38">
        <f>IF(D353="M",WeightSDS!P$5*$AG353^7+WeightSDS!Q$5*$AG353^6+WeightSDS!R$5*$AG353^5+WeightSDS!S$5*$AG353^4+WeightSDS!T$5*$AG353^3+WeightSDS!U$5*$AG353^2+WeightSDS!V$5*$AG353+WeightSDS!W$5,IF($AG353&lt;186,WeightSDS!P$8*$AG353^7+WeightSDS!Q$8*$AG353^6+WeightSDS!R$8*$AG353^5+WeightSDS!S$8*$AG353^4+WeightSDS!T$8*$AG353^3+WeightSDS!U$8*$AG353^2+WeightSDS!V$8*$AG353+WeightSDS!W$8,WeightSDS!$U$9-WeightSDS!$V$9*($AG353-WeightSDS!$W$9)))</f>
        <v>0.75407122999999998</v>
      </c>
      <c r="AJ353" s="24">
        <f>IF(D353="M",IF($AG353&lt;45,WeightSDS!M$23*$AG353^10+WeightSDS!N$23*$AG353^9+WeightSDS!O$23*$AG353^8+WeightSDS!P$23*$AG353^7+WeightSDS!Q$23*$AG353^6+WeightSDS!R$23*$AG353^5+WeightSDS!S$23*$AG353^4+WeightSDS!T$23*$AG353^3+WeightSDS!U$23*$AG353^2+WeightSDS!V$23*$AG353+WeightSDS!W$23,IF($AG353&lt;153,WeightSDS!M$25*$AG353^10+WeightSDS!N$25*$AG353^9+WeightSDS!O$25*$AG353^8+WeightSDS!P$25*$AG353^7+WeightSDS!Q$25*$AG353^6+WeightSDS!R$25*$AG353^5+WeightSDS!S$25*$AG353^4+WeightSDS!T$25*$AG353^3+WeightSDS!U$25*$AG353^2+WeightSDS!V$25*$AG353+WeightSDS!W$25,WeightSDS!M$27+WeightSDS!N$27/(1+EXP(WeightSDS!O$27+WeightSDS!P$27*$AG353)))),IF($AG353&lt;43.8,WeightSDS!M$29*$AG353^10+WeightSDS!N$29*$AG353^9+WeightSDS!O$29*$AG353^8+WeightSDS!P$29*$AG353^7+WeightSDS!Q$29*$AG353^6+WeightSDS!R$29*$AG353^5+WeightSDS!S$29*$AG353^4+WeightSDS!T$29*$AG353^3+WeightSDS!U$29*$AG353^2+WeightSDS!V$29*$AG353+WeightSDS!W$29-0.010431*(1-$AG353/210),IF($AG353&lt;123,WeightSDS!M$30*$AG353^10+WeightSDS!N$30*$AG353^9+WeightSDS!O$30*$AG353^8+WeightSDS!P$30*$AG353^7+WeightSDS!Q$30*$AG353^6+WeightSDS!R$30*$AG353^5+WeightSDS!S$30*$AG353^4+WeightSDS!T$30*$AG353^3+WeightSDS!U$30*$AG353^2+WeightSDS!V$30*$AG353+WeightSDS!W$30-0.010431*(1-1/$AG353),WeightSDS!M$32+WeightSDS!N$32/(1+EXP(WeightSDS!O$32+WeightSDS!P$32*$AG353))-0.010431*(1-$AG353/210))))</f>
        <v>2.9500001032655536</v>
      </c>
      <c r="AK353" s="24">
        <f>IF(D353="M",IF($AG353&lt;162,WeightSDS!P$12*$AG353^7+WeightSDS!Q$12*$AG353^6+WeightSDS!R$12*$AG353^5+WeightSDS!S$12*$AG353^4+WeightSDS!T$12*$AG353^3+WeightSDS!U$12*$AG353^2+WeightSDS!V$12*$AG353+WeightSDS!W$12,WeightSDS!P$14*$AG353^7+WeightSDS!Q$14*$AG353^6+WeightSDS!R$14*$AG353^5+WeightSDS!S$14*$AG353^4+WeightSDS!T$14*$AG353^3+WeightSDS!U$14*$AG353^2+WeightSDS!V$14*$AG353+WeightSDS!W$14),IF($AG353&lt;156,WeightSDS!O$17*$AG353^8+WeightSDS!P$17*$AG353^7+WeightSDS!Q$17*$AG353^6+WeightSDS!R$17*$AG353^5+WeightSDS!S$17*$AG353^4+WeightSDS!T$17*$AG353^3+WeightSDS!U$17*$AG353^2+WeightSDS!V$17*$AG353+WeightSDS!W$17,IF($AG353&lt;186,WeightSDS!$U$18+(WeightSDS!$V$18-WeightSDS!$U$18)/24*($AG353-186)+WeightSDS!$W$18*(-$AG353+186)^2-0.005,WeightSDS!$U$18+(WeightSDS!$V$18-WeightSDS!$U$18)/24*($AG353-186)-0.005)))</f>
        <v>0.14604529399999999</v>
      </c>
    </row>
    <row r="354" spans="1:37">
      <c r="A354" s="4"/>
      <c r="B354" s="21"/>
      <c r="C354" s="21"/>
      <c r="D354" s="21"/>
      <c r="E354" s="22"/>
      <c r="F354" s="22"/>
      <c r="G354" s="23"/>
      <c r="H354" s="23"/>
      <c r="I354" s="8" t="str">
        <f t="shared" si="82"/>
        <v/>
      </c>
      <c r="J354" s="2" t="str">
        <f t="shared" si="89"/>
        <v/>
      </c>
      <c r="K354" s="2" t="str">
        <f t="shared" si="83"/>
        <v/>
      </c>
      <c r="L354" s="2" t="str">
        <f t="shared" si="90"/>
        <v/>
      </c>
      <c r="M354" s="2" t="str">
        <f t="shared" si="95"/>
        <v/>
      </c>
      <c r="N354" s="2" t="str">
        <f t="shared" si="91"/>
        <v/>
      </c>
      <c r="O354" s="8" t="str">
        <f t="shared" si="92"/>
        <v/>
      </c>
      <c r="P354" s="8" t="str">
        <f t="shared" si="93"/>
        <v/>
      </c>
      <c r="Q354" s="40" t="str">
        <f t="shared" si="84"/>
        <v/>
      </c>
      <c r="R354" s="48" t="str">
        <f t="shared" si="94"/>
        <v/>
      </c>
      <c r="S354" s="8"/>
      <c r="U354" s="35">
        <f t="shared" si="85"/>
        <v>0</v>
      </c>
      <c r="V354" s="24">
        <f t="shared" si="86"/>
        <v>0</v>
      </c>
      <c r="W354" s="41">
        <f t="shared" si="97"/>
        <v>0</v>
      </c>
      <c r="X354" s="31"/>
      <c r="Y354" s="31"/>
      <c r="Z354" s="31"/>
      <c r="AA354" s="25">
        <f t="shared" si="87"/>
        <v>9.0359999999999996</v>
      </c>
      <c r="AB354" s="25">
        <f t="shared" si="88"/>
        <v>-184.49199999999999</v>
      </c>
      <c r="AD354" s="24">
        <f>IF(D354="M",IF(AG354&lt;78,BMILMS!$D$5*AG354^3+BMILMS!$E$5*AG354^2+BMILMS!$F$5*AG354+BMILMS!$G$5,IF(AG354&lt;150,BMILMS!$D$6*AG354^3+BMILMS!$E$6*AG354^2+BMILMS!$F$6*AG354+BMILMS!$G$6,BMILMS!$D$7*AG354^3+BMILMS!$E$7*AG354^2+BMILMS!$F$7*AG354+BMILMS!$G$7)),IF(AG354&lt;69,BMILMS!$D$9*AG354^3+BMILMS!$E$9*AG354^2+BMILMS!$F$9*AG354+BMILMS!$G$9,IF(AG354&lt;150,BMILMS!$D$10*AG354^3+BMILMS!$E$10*AG354^2+BMILMS!$F$10*AG354+BMILMS!$G$10,BMILMS!$D$11*AG354^3+BMILMS!$E$11*AG354^2+BMILMS!$F$11*AG354+BMILMS!$G$11)))</f>
        <v>0.79584630099999998</v>
      </c>
      <c r="AE354" s="24">
        <f>IF(D354="M",(IF(AG354&lt;2.5,BMILMS!$D$21*AG354^3+BMILMS!$E$21*AG354^2+BMILMS!$F$21*AG354+BMILMS!$G$21,IF(AG354&lt;9.5,BMILMS!$D$22*AG354^3+BMILMS!$E$22*AG354^2+BMILMS!$F$22*AG354+BMILMS!$G$22,IF(AG354&lt;26.75,BMILMS!$D$23*AG354^3+BMILMS!$E$23*AG354^2+BMILMS!$F$23*AG354+BMILMS!$G$23,IF(AG354&lt;90,BMILMS!$D$24*AG354^3+BMILMS!$E$24*AG354^2+BMILMS!$F$24*AG354+BMILMS!$G$24,BMILMS!$D$25*AG354^3+BMILMS!$E$25*AG354^2+BMILMS!$F$25*AG354+BMILMS!$G$25))))),(IF(AG354&lt;2.5,BMILMS!$D$27*AG354^3+BMILMS!$E$27*AG354^2+BMILMS!$F$27*AG354+BMILMS!$G$27,IF(AG354&lt;9.5,BMILMS!$D$28*AG354^3+BMILMS!$E$28*AG354^2+BMILMS!$F$28*AG354+BMILMS!$G$28,IF(AG354&lt;26.75,BMILMS!$D$29*AG354^3+BMILMS!$E$29*AG354^2+BMILMS!$F$29*AG354+BMILMS!$G$29,IF(AG354&lt;90,BMILMS!$D$30*AG354^3+BMILMS!$E$30*AG354^2+BMILMS!$F$30*AG354+BMILMS!$G$30,IF(AG354&lt;150,BMILMS!$D$31*AG354^3+BMILMS!$E$31*AG354^2+BMILMS!$F$31*AG354+BMILMS!$G$31,BMILMS!$D$32*AG354^3+BMILMS!$E$32*AG354^2+BMILMS!$F$32*AG354+BMILMS!$G$32)))))))</f>
        <v>12.568967990000001</v>
      </c>
      <c r="AF354" s="24">
        <f>IF(D354="M",(IF(AG354&lt;90,BMILMS!$D$14*AG354^3+BMILMS!$E$14*AG354^2+BMILMS!$F$14*AG354+BMILMS!$G$14,BMILMS!$D$15*AG354^3+BMILMS!$E$15*AG354^2+BMILMS!$F$15*AG354+BMILMS!$G$15)),(IF(AG354&lt;90,BMILMS!$D$17*AG354^3+BMILMS!$E$17*AG354^2+BMILMS!$F$17*AG354+BMILMS!$G$17,BMILMS!$D$18*AG354^3+BMILMS!$E$18*AG354^2+BMILMS!$F$18*AG354+BMILMS!$G$18)))</f>
        <v>8.8969350000000003E-2</v>
      </c>
      <c r="AG354" s="24">
        <f t="shared" si="96"/>
        <v>0</v>
      </c>
      <c r="AI354" s="38">
        <f>IF(D354="M",WeightSDS!P$5*$AG354^7+WeightSDS!Q$5*$AG354^6+WeightSDS!R$5*$AG354^5+WeightSDS!S$5*$AG354^4+WeightSDS!T$5*$AG354^3+WeightSDS!U$5*$AG354^2+WeightSDS!V$5*$AG354+WeightSDS!W$5,IF($AG354&lt;186,WeightSDS!P$8*$AG354^7+WeightSDS!Q$8*$AG354^6+WeightSDS!R$8*$AG354^5+WeightSDS!S$8*$AG354^4+WeightSDS!T$8*$AG354^3+WeightSDS!U$8*$AG354^2+WeightSDS!V$8*$AG354+WeightSDS!W$8,WeightSDS!$U$9-WeightSDS!$V$9*($AG354-WeightSDS!$W$9)))</f>
        <v>0.75407122999999998</v>
      </c>
      <c r="AJ354" s="24">
        <f>IF(D354="M",IF($AG354&lt;45,WeightSDS!M$23*$AG354^10+WeightSDS!N$23*$AG354^9+WeightSDS!O$23*$AG354^8+WeightSDS!P$23*$AG354^7+WeightSDS!Q$23*$AG354^6+WeightSDS!R$23*$AG354^5+WeightSDS!S$23*$AG354^4+WeightSDS!T$23*$AG354^3+WeightSDS!U$23*$AG354^2+WeightSDS!V$23*$AG354+WeightSDS!W$23,IF($AG354&lt;153,WeightSDS!M$25*$AG354^10+WeightSDS!N$25*$AG354^9+WeightSDS!O$25*$AG354^8+WeightSDS!P$25*$AG354^7+WeightSDS!Q$25*$AG354^6+WeightSDS!R$25*$AG354^5+WeightSDS!S$25*$AG354^4+WeightSDS!T$25*$AG354^3+WeightSDS!U$25*$AG354^2+WeightSDS!V$25*$AG354+WeightSDS!W$25,WeightSDS!M$27+WeightSDS!N$27/(1+EXP(WeightSDS!O$27+WeightSDS!P$27*$AG354)))),IF($AG354&lt;43.8,WeightSDS!M$29*$AG354^10+WeightSDS!N$29*$AG354^9+WeightSDS!O$29*$AG354^8+WeightSDS!P$29*$AG354^7+WeightSDS!Q$29*$AG354^6+WeightSDS!R$29*$AG354^5+WeightSDS!S$29*$AG354^4+WeightSDS!T$29*$AG354^3+WeightSDS!U$29*$AG354^2+WeightSDS!V$29*$AG354+WeightSDS!W$29-0.010431*(1-$AG354/210),IF($AG354&lt;123,WeightSDS!M$30*$AG354^10+WeightSDS!N$30*$AG354^9+WeightSDS!O$30*$AG354^8+WeightSDS!P$30*$AG354^7+WeightSDS!Q$30*$AG354^6+WeightSDS!R$30*$AG354^5+WeightSDS!S$30*$AG354^4+WeightSDS!T$30*$AG354^3+WeightSDS!U$30*$AG354^2+WeightSDS!V$30*$AG354+WeightSDS!W$30-0.010431*(1-1/$AG354),WeightSDS!M$32+WeightSDS!N$32/(1+EXP(WeightSDS!O$32+WeightSDS!P$32*$AG354))-0.010431*(1-$AG354/210))))</f>
        <v>2.9500001032655536</v>
      </c>
      <c r="AK354" s="24">
        <f>IF(D354="M",IF($AG354&lt;162,WeightSDS!P$12*$AG354^7+WeightSDS!Q$12*$AG354^6+WeightSDS!R$12*$AG354^5+WeightSDS!S$12*$AG354^4+WeightSDS!T$12*$AG354^3+WeightSDS!U$12*$AG354^2+WeightSDS!V$12*$AG354+WeightSDS!W$12,WeightSDS!P$14*$AG354^7+WeightSDS!Q$14*$AG354^6+WeightSDS!R$14*$AG354^5+WeightSDS!S$14*$AG354^4+WeightSDS!T$14*$AG354^3+WeightSDS!U$14*$AG354^2+WeightSDS!V$14*$AG354+WeightSDS!W$14),IF($AG354&lt;156,WeightSDS!O$17*$AG354^8+WeightSDS!P$17*$AG354^7+WeightSDS!Q$17*$AG354^6+WeightSDS!R$17*$AG354^5+WeightSDS!S$17*$AG354^4+WeightSDS!T$17*$AG354^3+WeightSDS!U$17*$AG354^2+WeightSDS!V$17*$AG354+WeightSDS!W$17,IF($AG354&lt;186,WeightSDS!$U$18+(WeightSDS!$V$18-WeightSDS!$U$18)/24*($AG354-186)+WeightSDS!$W$18*(-$AG354+186)^2-0.005,WeightSDS!$U$18+(WeightSDS!$V$18-WeightSDS!$U$18)/24*($AG354-186)-0.005)))</f>
        <v>0.14604529399999999</v>
      </c>
    </row>
    <row r="355" spans="1:37">
      <c r="A355" s="4"/>
      <c r="B355" s="21"/>
      <c r="C355" s="21"/>
      <c r="D355" s="21"/>
      <c r="E355" s="22"/>
      <c r="F355" s="22"/>
      <c r="G355" s="23"/>
      <c r="H355" s="23"/>
      <c r="I355" s="8" t="str">
        <f t="shared" si="82"/>
        <v/>
      </c>
      <c r="J355" s="2" t="str">
        <f t="shared" si="89"/>
        <v/>
      </c>
      <c r="K355" s="2" t="str">
        <f t="shared" si="83"/>
        <v/>
      </c>
      <c r="L355" s="2" t="str">
        <f t="shared" si="90"/>
        <v/>
      </c>
      <c r="M355" s="2" t="str">
        <f t="shared" si="95"/>
        <v/>
      </c>
      <c r="N355" s="2" t="str">
        <f t="shared" si="91"/>
        <v/>
      </c>
      <c r="O355" s="8" t="str">
        <f t="shared" si="92"/>
        <v/>
      </c>
      <c r="P355" s="8" t="str">
        <f t="shared" si="93"/>
        <v/>
      </c>
      <c r="Q355" s="40" t="str">
        <f t="shared" si="84"/>
        <v/>
      </c>
      <c r="R355" s="48" t="str">
        <f t="shared" si="94"/>
        <v/>
      </c>
      <c r="S355" s="8"/>
      <c r="U355" s="35">
        <f t="shared" si="85"/>
        <v>0</v>
      </c>
      <c r="V355" s="24">
        <f t="shared" si="86"/>
        <v>0</v>
      </c>
      <c r="W355" s="41">
        <f t="shared" si="97"/>
        <v>0</v>
      </c>
      <c r="X355" s="31"/>
      <c r="Y355" s="31"/>
      <c r="Z355" s="31"/>
      <c r="AA355" s="25">
        <f t="shared" si="87"/>
        <v>9.0359999999999996</v>
      </c>
      <c r="AB355" s="25">
        <f t="shared" si="88"/>
        <v>-184.49199999999999</v>
      </c>
      <c r="AD355" s="24">
        <f>IF(D355="M",IF(AG355&lt;78,BMILMS!$D$5*AG355^3+BMILMS!$E$5*AG355^2+BMILMS!$F$5*AG355+BMILMS!$G$5,IF(AG355&lt;150,BMILMS!$D$6*AG355^3+BMILMS!$E$6*AG355^2+BMILMS!$F$6*AG355+BMILMS!$G$6,BMILMS!$D$7*AG355^3+BMILMS!$E$7*AG355^2+BMILMS!$F$7*AG355+BMILMS!$G$7)),IF(AG355&lt;69,BMILMS!$D$9*AG355^3+BMILMS!$E$9*AG355^2+BMILMS!$F$9*AG355+BMILMS!$G$9,IF(AG355&lt;150,BMILMS!$D$10*AG355^3+BMILMS!$E$10*AG355^2+BMILMS!$F$10*AG355+BMILMS!$G$10,BMILMS!$D$11*AG355^3+BMILMS!$E$11*AG355^2+BMILMS!$F$11*AG355+BMILMS!$G$11)))</f>
        <v>0.79584630099999998</v>
      </c>
      <c r="AE355" s="24">
        <f>IF(D355="M",(IF(AG355&lt;2.5,BMILMS!$D$21*AG355^3+BMILMS!$E$21*AG355^2+BMILMS!$F$21*AG355+BMILMS!$G$21,IF(AG355&lt;9.5,BMILMS!$D$22*AG355^3+BMILMS!$E$22*AG355^2+BMILMS!$F$22*AG355+BMILMS!$G$22,IF(AG355&lt;26.75,BMILMS!$D$23*AG355^3+BMILMS!$E$23*AG355^2+BMILMS!$F$23*AG355+BMILMS!$G$23,IF(AG355&lt;90,BMILMS!$D$24*AG355^3+BMILMS!$E$24*AG355^2+BMILMS!$F$24*AG355+BMILMS!$G$24,BMILMS!$D$25*AG355^3+BMILMS!$E$25*AG355^2+BMILMS!$F$25*AG355+BMILMS!$G$25))))),(IF(AG355&lt;2.5,BMILMS!$D$27*AG355^3+BMILMS!$E$27*AG355^2+BMILMS!$F$27*AG355+BMILMS!$G$27,IF(AG355&lt;9.5,BMILMS!$D$28*AG355^3+BMILMS!$E$28*AG355^2+BMILMS!$F$28*AG355+BMILMS!$G$28,IF(AG355&lt;26.75,BMILMS!$D$29*AG355^3+BMILMS!$E$29*AG355^2+BMILMS!$F$29*AG355+BMILMS!$G$29,IF(AG355&lt;90,BMILMS!$D$30*AG355^3+BMILMS!$E$30*AG355^2+BMILMS!$F$30*AG355+BMILMS!$G$30,IF(AG355&lt;150,BMILMS!$D$31*AG355^3+BMILMS!$E$31*AG355^2+BMILMS!$F$31*AG355+BMILMS!$G$31,BMILMS!$D$32*AG355^3+BMILMS!$E$32*AG355^2+BMILMS!$F$32*AG355+BMILMS!$G$32)))))))</f>
        <v>12.568967990000001</v>
      </c>
      <c r="AF355" s="24">
        <f>IF(D355="M",(IF(AG355&lt;90,BMILMS!$D$14*AG355^3+BMILMS!$E$14*AG355^2+BMILMS!$F$14*AG355+BMILMS!$G$14,BMILMS!$D$15*AG355^3+BMILMS!$E$15*AG355^2+BMILMS!$F$15*AG355+BMILMS!$G$15)),(IF(AG355&lt;90,BMILMS!$D$17*AG355^3+BMILMS!$E$17*AG355^2+BMILMS!$F$17*AG355+BMILMS!$G$17,BMILMS!$D$18*AG355^3+BMILMS!$E$18*AG355^2+BMILMS!$F$18*AG355+BMILMS!$G$18)))</f>
        <v>8.8969350000000003E-2</v>
      </c>
      <c r="AG355" s="24">
        <f t="shared" si="96"/>
        <v>0</v>
      </c>
      <c r="AI355" s="38">
        <f>IF(D355="M",WeightSDS!P$5*$AG355^7+WeightSDS!Q$5*$AG355^6+WeightSDS!R$5*$AG355^5+WeightSDS!S$5*$AG355^4+WeightSDS!T$5*$AG355^3+WeightSDS!U$5*$AG355^2+WeightSDS!V$5*$AG355+WeightSDS!W$5,IF($AG355&lt;186,WeightSDS!P$8*$AG355^7+WeightSDS!Q$8*$AG355^6+WeightSDS!R$8*$AG355^5+WeightSDS!S$8*$AG355^4+WeightSDS!T$8*$AG355^3+WeightSDS!U$8*$AG355^2+WeightSDS!V$8*$AG355+WeightSDS!W$8,WeightSDS!$U$9-WeightSDS!$V$9*($AG355-WeightSDS!$W$9)))</f>
        <v>0.75407122999999998</v>
      </c>
      <c r="AJ355" s="24">
        <f>IF(D355="M",IF($AG355&lt;45,WeightSDS!M$23*$AG355^10+WeightSDS!N$23*$AG355^9+WeightSDS!O$23*$AG355^8+WeightSDS!P$23*$AG355^7+WeightSDS!Q$23*$AG355^6+WeightSDS!R$23*$AG355^5+WeightSDS!S$23*$AG355^4+WeightSDS!T$23*$AG355^3+WeightSDS!U$23*$AG355^2+WeightSDS!V$23*$AG355+WeightSDS!W$23,IF($AG355&lt;153,WeightSDS!M$25*$AG355^10+WeightSDS!N$25*$AG355^9+WeightSDS!O$25*$AG355^8+WeightSDS!P$25*$AG355^7+WeightSDS!Q$25*$AG355^6+WeightSDS!R$25*$AG355^5+WeightSDS!S$25*$AG355^4+WeightSDS!T$25*$AG355^3+WeightSDS!U$25*$AG355^2+WeightSDS!V$25*$AG355+WeightSDS!W$25,WeightSDS!M$27+WeightSDS!N$27/(1+EXP(WeightSDS!O$27+WeightSDS!P$27*$AG355)))),IF($AG355&lt;43.8,WeightSDS!M$29*$AG355^10+WeightSDS!N$29*$AG355^9+WeightSDS!O$29*$AG355^8+WeightSDS!P$29*$AG355^7+WeightSDS!Q$29*$AG355^6+WeightSDS!R$29*$AG355^5+WeightSDS!S$29*$AG355^4+WeightSDS!T$29*$AG355^3+WeightSDS!U$29*$AG355^2+WeightSDS!V$29*$AG355+WeightSDS!W$29-0.010431*(1-$AG355/210),IF($AG355&lt;123,WeightSDS!M$30*$AG355^10+WeightSDS!N$30*$AG355^9+WeightSDS!O$30*$AG355^8+WeightSDS!P$30*$AG355^7+WeightSDS!Q$30*$AG355^6+WeightSDS!R$30*$AG355^5+WeightSDS!S$30*$AG355^4+WeightSDS!T$30*$AG355^3+WeightSDS!U$30*$AG355^2+WeightSDS!V$30*$AG355+WeightSDS!W$30-0.010431*(1-1/$AG355),WeightSDS!M$32+WeightSDS!N$32/(1+EXP(WeightSDS!O$32+WeightSDS!P$32*$AG355))-0.010431*(1-$AG355/210))))</f>
        <v>2.9500001032655536</v>
      </c>
      <c r="AK355" s="24">
        <f>IF(D355="M",IF($AG355&lt;162,WeightSDS!P$12*$AG355^7+WeightSDS!Q$12*$AG355^6+WeightSDS!R$12*$AG355^5+WeightSDS!S$12*$AG355^4+WeightSDS!T$12*$AG355^3+WeightSDS!U$12*$AG355^2+WeightSDS!V$12*$AG355+WeightSDS!W$12,WeightSDS!P$14*$AG355^7+WeightSDS!Q$14*$AG355^6+WeightSDS!R$14*$AG355^5+WeightSDS!S$14*$AG355^4+WeightSDS!T$14*$AG355^3+WeightSDS!U$14*$AG355^2+WeightSDS!V$14*$AG355+WeightSDS!W$14),IF($AG355&lt;156,WeightSDS!O$17*$AG355^8+WeightSDS!P$17*$AG355^7+WeightSDS!Q$17*$AG355^6+WeightSDS!R$17*$AG355^5+WeightSDS!S$17*$AG355^4+WeightSDS!T$17*$AG355^3+WeightSDS!U$17*$AG355^2+WeightSDS!V$17*$AG355+WeightSDS!W$17,IF($AG355&lt;186,WeightSDS!$U$18+(WeightSDS!$V$18-WeightSDS!$U$18)/24*($AG355-186)+WeightSDS!$W$18*(-$AG355+186)^2-0.005,WeightSDS!$U$18+(WeightSDS!$V$18-WeightSDS!$U$18)/24*($AG355-186)-0.005)))</f>
        <v>0.14604529399999999</v>
      </c>
    </row>
    <row r="356" spans="1:37">
      <c r="A356" s="4"/>
      <c r="B356" s="21"/>
      <c r="C356" s="21"/>
      <c r="D356" s="21"/>
      <c r="E356" s="22"/>
      <c r="F356" s="22"/>
      <c r="G356" s="23"/>
      <c r="H356" s="23"/>
      <c r="I356" s="8" t="str">
        <f t="shared" si="82"/>
        <v/>
      </c>
      <c r="J356" s="2" t="str">
        <f t="shared" si="89"/>
        <v/>
      </c>
      <c r="K356" s="2" t="str">
        <f t="shared" si="83"/>
        <v/>
      </c>
      <c r="L356" s="2" t="str">
        <f t="shared" si="90"/>
        <v/>
      </c>
      <c r="M356" s="2" t="str">
        <f t="shared" si="95"/>
        <v/>
      </c>
      <c r="N356" s="2" t="str">
        <f t="shared" si="91"/>
        <v/>
      </c>
      <c r="O356" s="8" t="str">
        <f t="shared" si="92"/>
        <v/>
      </c>
      <c r="P356" s="8" t="str">
        <f t="shared" si="93"/>
        <v/>
      </c>
      <c r="Q356" s="40" t="str">
        <f t="shared" si="84"/>
        <v/>
      </c>
      <c r="R356" s="48" t="str">
        <f t="shared" si="94"/>
        <v/>
      </c>
      <c r="S356" s="8"/>
      <c r="U356" s="35">
        <f t="shared" si="85"/>
        <v>0</v>
      </c>
      <c r="V356" s="24">
        <f t="shared" si="86"/>
        <v>0</v>
      </c>
      <c r="W356" s="41">
        <f t="shared" si="97"/>
        <v>0</v>
      </c>
      <c r="X356" s="31"/>
      <c r="Y356" s="31"/>
      <c r="Z356" s="31"/>
      <c r="AA356" s="25">
        <f t="shared" si="87"/>
        <v>9.0359999999999996</v>
      </c>
      <c r="AB356" s="25">
        <f t="shared" si="88"/>
        <v>-184.49199999999999</v>
      </c>
      <c r="AD356" s="24">
        <f>IF(D356="M",IF(AG356&lt;78,BMILMS!$D$5*AG356^3+BMILMS!$E$5*AG356^2+BMILMS!$F$5*AG356+BMILMS!$G$5,IF(AG356&lt;150,BMILMS!$D$6*AG356^3+BMILMS!$E$6*AG356^2+BMILMS!$F$6*AG356+BMILMS!$G$6,BMILMS!$D$7*AG356^3+BMILMS!$E$7*AG356^2+BMILMS!$F$7*AG356+BMILMS!$G$7)),IF(AG356&lt;69,BMILMS!$D$9*AG356^3+BMILMS!$E$9*AG356^2+BMILMS!$F$9*AG356+BMILMS!$G$9,IF(AG356&lt;150,BMILMS!$D$10*AG356^3+BMILMS!$E$10*AG356^2+BMILMS!$F$10*AG356+BMILMS!$G$10,BMILMS!$D$11*AG356^3+BMILMS!$E$11*AG356^2+BMILMS!$F$11*AG356+BMILMS!$G$11)))</f>
        <v>0.79584630099999998</v>
      </c>
      <c r="AE356" s="24">
        <f>IF(D356="M",(IF(AG356&lt;2.5,BMILMS!$D$21*AG356^3+BMILMS!$E$21*AG356^2+BMILMS!$F$21*AG356+BMILMS!$G$21,IF(AG356&lt;9.5,BMILMS!$D$22*AG356^3+BMILMS!$E$22*AG356^2+BMILMS!$F$22*AG356+BMILMS!$G$22,IF(AG356&lt;26.75,BMILMS!$D$23*AG356^3+BMILMS!$E$23*AG356^2+BMILMS!$F$23*AG356+BMILMS!$G$23,IF(AG356&lt;90,BMILMS!$D$24*AG356^3+BMILMS!$E$24*AG356^2+BMILMS!$F$24*AG356+BMILMS!$G$24,BMILMS!$D$25*AG356^3+BMILMS!$E$25*AG356^2+BMILMS!$F$25*AG356+BMILMS!$G$25))))),(IF(AG356&lt;2.5,BMILMS!$D$27*AG356^3+BMILMS!$E$27*AG356^2+BMILMS!$F$27*AG356+BMILMS!$G$27,IF(AG356&lt;9.5,BMILMS!$D$28*AG356^3+BMILMS!$E$28*AG356^2+BMILMS!$F$28*AG356+BMILMS!$G$28,IF(AG356&lt;26.75,BMILMS!$D$29*AG356^3+BMILMS!$E$29*AG356^2+BMILMS!$F$29*AG356+BMILMS!$G$29,IF(AG356&lt;90,BMILMS!$D$30*AG356^3+BMILMS!$E$30*AG356^2+BMILMS!$F$30*AG356+BMILMS!$G$30,IF(AG356&lt;150,BMILMS!$D$31*AG356^3+BMILMS!$E$31*AG356^2+BMILMS!$F$31*AG356+BMILMS!$G$31,BMILMS!$D$32*AG356^3+BMILMS!$E$32*AG356^2+BMILMS!$F$32*AG356+BMILMS!$G$32)))))))</f>
        <v>12.568967990000001</v>
      </c>
      <c r="AF356" s="24">
        <f>IF(D356="M",(IF(AG356&lt;90,BMILMS!$D$14*AG356^3+BMILMS!$E$14*AG356^2+BMILMS!$F$14*AG356+BMILMS!$G$14,BMILMS!$D$15*AG356^3+BMILMS!$E$15*AG356^2+BMILMS!$F$15*AG356+BMILMS!$G$15)),(IF(AG356&lt;90,BMILMS!$D$17*AG356^3+BMILMS!$E$17*AG356^2+BMILMS!$F$17*AG356+BMILMS!$G$17,BMILMS!$D$18*AG356^3+BMILMS!$E$18*AG356^2+BMILMS!$F$18*AG356+BMILMS!$G$18)))</f>
        <v>8.8969350000000003E-2</v>
      </c>
      <c r="AG356" s="24">
        <f t="shared" si="96"/>
        <v>0</v>
      </c>
      <c r="AI356" s="38">
        <f>IF(D356="M",WeightSDS!P$5*$AG356^7+WeightSDS!Q$5*$AG356^6+WeightSDS!R$5*$AG356^5+WeightSDS!S$5*$AG356^4+WeightSDS!T$5*$AG356^3+WeightSDS!U$5*$AG356^2+WeightSDS!V$5*$AG356+WeightSDS!W$5,IF($AG356&lt;186,WeightSDS!P$8*$AG356^7+WeightSDS!Q$8*$AG356^6+WeightSDS!R$8*$AG356^5+WeightSDS!S$8*$AG356^4+WeightSDS!T$8*$AG356^3+WeightSDS!U$8*$AG356^2+WeightSDS!V$8*$AG356+WeightSDS!W$8,WeightSDS!$U$9-WeightSDS!$V$9*($AG356-WeightSDS!$W$9)))</f>
        <v>0.75407122999999998</v>
      </c>
      <c r="AJ356" s="24">
        <f>IF(D356="M",IF($AG356&lt;45,WeightSDS!M$23*$AG356^10+WeightSDS!N$23*$AG356^9+WeightSDS!O$23*$AG356^8+WeightSDS!P$23*$AG356^7+WeightSDS!Q$23*$AG356^6+WeightSDS!R$23*$AG356^5+WeightSDS!S$23*$AG356^4+WeightSDS!T$23*$AG356^3+WeightSDS!U$23*$AG356^2+WeightSDS!V$23*$AG356+WeightSDS!W$23,IF($AG356&lt;153,WeightSDS!M$25*$AG356^10+WeightSDS!N$25*$AG356^9+WeightSDS!O$25*$AG356^8+WeightSDS!P$25*$AG356^7+WeightSDS!Q$25*$AG356^6+WeightSDS!R$25*$AG356^5+WeightSDS!S$25*$AG356^4+WeightSDS!T$25*$AG356^3+WeightSDS!U$25*$AG356^2+WeightSDS!V$25*$AG356+WeightSDS!W$25,WeightSDS!M$27+WeightSDS!N$27/(1+EXP(WeightSDS!O$27+WeightSDS!P$27*$AG356)))),IF($AG356&lt;43.8,WeightSDS!M$29*$AG356^10+WeightSDS!N$29*$AG356^9+WeightSDS!O$29*$AG356^8+WeightSDS!P$29*$AG356^7+WeightSDS!Q$29*$AG356^6+WeightSDS!R$29*$AG356^5+WeightSDS!S$29*$AG356^4+WeightSDS!T$29*$AG356^3+WeightSDS!U$29*$AG356^2+WeightSDS!V$29*$AG356+WeightSDS!W$29-0.010431*(1-$AG356/210),IF($AG356&lt;123,WeightSDS!M$30*$AG356^10+WeightSDS!N$30*$AG356^9+WeightSDS!O$30*$AG356^8+WeightSDS!P$30*$AG356^7+WeightSDS!Q$30*$AG356^6+WeightSDS!R$30*$AG356^5+WeightSDS!S$30*$AG356^4+WeightSDS!T$30*$AG356^3+WeightSDS!U$30*$AG356^2+WeightSDS!V$30*$AG356+WeightSDS!W$30-0.010431*(1-1/$AG356),WeightSDS!M$32+WeightSDS!N$32/(1+EXP(WeightSDS!O$32+WeightSDS!P$32*$AG356))-0.010431*(1-$AG356/210))))</f>
        <v>2.9500001032655536</v>
      </c>
      <c r="AK356" s="24">
        <f>IF(D356="M",IF($AG356&lt;162,WeightSDS!P$12*$AG356^7+WeightSDS!Q$12*$AG356^6+WeightSDS!R$12*$AG356^5+WeightSDS!S$12*$AG356^4+WeightSDS!T$12*$AG356^3+WeightSDS!U$12*$AG356^2+WeightSDS!V$12*$AG356+WeightSDS!W$12,WeightSDS!P$14*$AG356^7+WeightSDS!Q$14*$AG356^6+WeightSDS!R$14*$AG356^5+WeightSDS!S$14*$AG356^4+WeightSDS!T$14*$AG356^3+WeightSDS!U$14*$AG356^2+WeightSDS!V$14*$AG356+WeightSDS!W$14),IF($AG356&lt;156,WeightSDS!O$17*$AG356^8+WeightSDS!P$17*$AG356^7+WeightSDS!Q$17*$AG356^6+WeightSDS!R$17*$AG356^5+WeightSDS!S$17*$AG356^4+WeightSDS!T$17*$AG356^3+WeightSDS!U$17*$AG356^2+WeightSDS!V$17*$AG356+WeightSDS!W$17,IF($AG356&lt;186,WeightSDS!$U$18+(WeightSDS!$V$18-WeightSDS!$U$18)/24*($AG356-186)+WeightSDS!$W$18*(-$AG356+186)^2-0.005,WeightSDS!$U$18+(WeightSDS!$V$18-WeightSDS!$U$18)/24*($AG356-186)-0.005)))</f>
        <v>0.14604529399999999</v>
      </c>
    </row>
    <row r="357" spans="1:37">
      <c r="A357" s="4"/>
      <c r="B357" s="21"/>
      <c r="C357" s="21"/>
      <c r="D357" s="21"/>
      <c r="E357" s="22"/>
      <c r="F357" s="22"/>
      <c r="G357" s="23"/>
      <c r="H357" s="23"/>
      <c r="I357" s="8" t="str">
        <f t="shared" si="82"/>
        <v/>
      </c>
      <c r="J357" s="2" t="str">
        <f t="shared" si="89"/>
        <v/>
      </c>
      <c r="K357" s="2" t="str">
        <f t="shared" si="83"/>
        <v/>
      </c>
      <c r="L357" s="2" t="str">
        <f t="shared" si="90"/>
        <v/>
      </c>
      <c r="M357" s="2" t="str">
        <f t="shared" si="95"/>
        <v/>
      </c>
      <c r="N357" s="2" t="str">
        <f t="shared" si="91"/>
        <v/>
      </c>
      <c r="O357" s="8" t="str">
        <f t="shared" si="92"/>
        <v/>
      </c>
      <c r="P357" s="8" t="str">
        <f t="shared" si="93"/>
        <v/>
      </c>
      <c r="Q357" s="40" t="str">
        <f t="shared" si="84"/>
        <v/>
      </c>
      <c r="R357" s="48" t="str">
        <f t="shared" si="94"/>
        <v/>
      </c>
      <c r="S357" s="8"/>
      <c r="U357" s="35">
        <f t="shared" si="85"/>
        <v>0</v>
      </c>
      <c r="V357" s="24">
        <f t="shared" si="86"/>
        <v>0</v>
      </c>
      <c r="W357" s="41">
        <f t="shared" si="97"/>
        <v>0</v>
      </c>
      <c r="X357" s="31"/>
      <c r="Y357" s="31"/>
      <c r="Z357" s="31"/>
      <c r="AA357" s="25">
        <f t="shared" si="87"/>
        <v>9.0359999999999996</v>
      </c>
      <c r="AB357" s="25">
        <f t="shared" si="88"/>
        <v>-184.49199999999999</v>
      </c>
      <c r="AD357" s="24">
        <f>IF(D357="M",IF(AG357&lt;78,BMILMS!$D$5*AG357^3+BMILMS!$E$5*AG357^2+BMILMS!$F$5*AG357+BMILMS!$G$5,IF(AG357&lt;150,BMILMS!$D$6*AG357^3+BMILMS!$E$6*AG357^2+BMILMS!$F$6*AG357+BMILMS!$G$6,BMILMS!$D$7*AG357^3+BMILMS!$E$7*AG357^2+BMILMS!$F$7*AG357+BMILMS!$G$7)),IF(AG357&lt;69,BMILMS!$D$9*AG357^3+BMILMS!$E$9*AG357^2+BMILMS!$F$9*AG357+BMILMS!$G$9,IF(AG357&lt;150,BMILMS!$D$10*AG357^3+BMILMS!$E$10*AG357^2+BMILMS!$F$10*AG357+BMILMS!$G$10,BMILMS!$D$11*AG357^3+BMILMS!$E$11*AG357^2+BMILMS!$F$11*AG357+BMILMS!$G$11)))</f>
        <v>0.79584630099999998</v>
      </c>
      <c r="AE357" s="24">
        <f>IF(D357="M",(IF(AG357&lt;2.5,BMILMS!$D$21*AG357^3+BMILMS!$E$21*AG357^2+BMILMS!$F$21*AG357+BMILMS!$G$21,IF(AG357&lt;9.5,BMILMS!$D$22*AG357^3+BMILMS!$E$22*AG357^2+BMILMS!$F$22*AG357+BMILMS!$G$22,IF(AG357&lt;26.75,BMILMS!$D$23*AG357^3+BMILMS!$E$23*AG357^2+BMILMS!$F$23*AG357+BMILMS!$G$23,IF(AG357&lt;90,BMILMS!$D$24*AG357^3+BMILMS!$E$24*AG357^2+BMILMS!$F$24*AG357+BMILMS!$G$24,BMILMS!$D$25*AG357^3+BMILMS!$E$25*AG357^2+BMILMS!$F$25*AG357+BMILMS!$G$25))))),(IF(AG357&lt;2.5,BMILMS!$D$27*AG357^3+BMILMS!$E$27*AG357^2+BMILMS!$F$27*AG357+BMILMS!$G$27,IF(AG357&lt;9.5,BMILMS!$D$28*AG357^3+BMILMS!$E$28*AG357^2+BMILMS!$F$28*AG357+BMILMS!$G$28,IF(AG357&lt;26.75,BMILMS!$D$29*AG357^3+BMILMS!$E$29*AG357^2+BMILMS!$F$29*AG357+BMILMS!$G$29,IF(AG357&lt;90,BMILMS!$D$30*AG357^3+BMILMS!$E$30*AG357^2+BMILMS!$F$30*AG357+BMILMS!$G$30,IF(AG357&lt;150,BMILMS!$D$31*AG357^3+BMILMS!$E$31*AG357^2+BMILMS!$F$31*AG357+BMILMS!$G$31,BMILMS!$D$32*AG357^3+BMILMS!$E$32*AG357^2+BMILMS!$F$32*AG357+BMILMS!$G$32)))))))</f>
        <v>12.568967990000001</v>
      </c>
      <c r="AF357" s="24">
        <f>IF(D357="M",(IF(AG357&lt;90,BMILMS!$D$14*AG357^3+BMILMS!$E$14*AG357^2+BMILMS!$F$14*AG357+BMILMS!$G$14,BMILMS!$D$15*AG357^3+BMILMS!$E$15*AG357^2+BMILMS!$F$15*AG357+BMILMS!$G$15)),(IF(AG357&lt;90,BMILMS!$D$17*AG357^3+BMILMS!$E$17*AG357^2+BMILMS!$F$17*AG357+BMILMS!$G$17,BMILMS!$D$18*AG357^3+BMILMS!$E$18*AG357^2+BMILMS!$F$18*AG357+BMILMS!$G$18)))</f>
        <v>8.8969350000000003E-2</v>
      </c>
      <c r="AG357" s="24">
        <f t="shared" si="96"/>
        <v>0</v>
      </c>
      <c r="AI357" s="38">
        <f>IF(D357="M",WeightSDS!P$5*$AG357^7+WeightSDS!Q$5*$AG357^6+WeightSDS!R$5*$AG357^5+WeightSDS!S$5*$AG357^4+WeightSDS!T$5*$AG357^3+WeightSDS!U$5*$AG357^2+WeightSDS!V$5*$AG357+WeightSDS!W$5,IF($AG357&lt;186,WeightSDS!P$8*$AG357^7+WeightSDS!Q$8*$AG357^6+WeightSDS!R$8*$AG357^5+WeightSDS!S$8*$AG357^4+WeightSDS!T$8*$AG357^3+WeightSDS!U$8*$AG357^2+WeightSDS!V$8*$AG357+WeightSDS!W$8,WeightSDS!$U$9-WeightSDS!$V$9*($AG357-WeightSDS!$W$9)))</f>
        <v>0.75407122999999998</v>
      </c>
      <c r="AJ357" s="24">
        <f>IF(D357="M",IF($AG357&lt;45,WeightSDS!M$23*$AG357^10+WeightSDS!N$23*$AG357^9+WeightSDS!O$23*$AG357^8+WeightSDS!P$23*$AG357^7+WeightSDS!Q$23*$AG357^6+WeightSDS!R$23*$AG357^5+WeightSDS!S$23*$AG357^4+WeightSDS!T$23*$AG357^3+WeightSDS!U$23*$AG357^2+WeightSDS!V$23*$AG357+WeightSDS!W$23,IF($AG357&lt;153,WeightSDS!M$25*$AG357^10+WeightSDS!N$25*$AG357^9+WeightSDS!O$25*$AG357^8+WeightSDS!P$25*$AG357^7+WeightSDS!Q$25*$AG357^6+WeightSDS!R$25*$AG357^5+WeightSDS!S$25*$AG357^4+WeightSDS!T$25*$AG357^3+WeightSDS!U$25*$AG357^2+WeightSDS!V$25*$AG357+WeightSDS!W$25,WeightSDS!M$27+WeightSDS!N$27/(1+EXP(WeightSDS!O$27+WeightSDS!P$27*$AG357)))),IF($AG357&lt;43.8,WeightSDS!M$29*$AG357^10+WeightSDS!N$29*$AG357^9+WeightSDS!O$29*$AG357^8+WeightSDS!P$29*$AG357^7+WeightSDS!Q$29*$AG357^6+WeightSDS!R$29*$AG357^5+WeightSDS!S$29*$AG357^4+WeightSDS!T$29*$AG357^3+WeightSDS!U$29*$AG357^2+WeightSDS!V$29*$AG357+WeightSDS!W$29-0.010431*(1-$AG357/210),IF($AG357&lt;123,WeightSDS!M$30*$AG357^10+WeightSDS!N$30*$AG357^9+WeightSDS!O$30*$AG357^8+WeightSDS!P$30*$AG357^7+WeightSDS!Q$30*$AG357^6+WeightSDS!R$30*$AG357^5+WeightSDS!S$30*$AG357^4+WeightSDS!T$30*$AG357^3+WeightSDS!U$30*$AG357^2+WeightSDS!V$30*$AG357+WeightSDS!W$30-0.010431*(1-1/$AG357),WeightSDS!M$32+WeightSDS!N$32/(1+EXP(WeightSDS!O$32+WeightSDS!P$32*$AG357))-0.010431*(1-$AG357/210))))</f>
        <v>2.9500001032655536</v>
      </c>
      <c r="AK357" s="24">
        <f>IF(D357="M",IF($AG357&lt;162,WeightSDS!P$12*$AG357^7+WeightSDS!Q$12*$AG357^6+WeightSDS!R$12*$AG357^5+WeightSDS!S$12*$AG357^4+WeightSDS!T$12*$AG357^3+WeightSDS!U$12*$AG357^2+WeightSDS!V$12*$AG357+WeightSDS!W$12,WeightSDS!P$14*$AG357^7+WeightSDS!Q$14*$AG357^6+WeightSDS!R$14*$AG357^5+WeightSDS!S$14*$AG357^4+WeightSDS!T$14*$AG357^3+WeightSDS!U$14*$AG357^2+WeightSDS!V$14*$AG357+WeightSDS!W$14),IF($AG357&lt;156,WeightSDS!O$17*$AG357^8+WeightSDS!P$17*$AG357^7+WeightSDS!Q$17*$AG357^6+WeightSDS!R$17*$AG357^5+WeightSDS!S$17*$AG357^4+WeightSDS!T$17*$AG357^3+WeightSDS!U$17*$AG357^2+WeightSDS!V$17*$AG357+WeightSDS!W$17,IF($AG357&lt;186,WeightSDS!$U$18+(WeightSDS!$V$18-WeightSDS!$U$18)/24*($AG357-186)+WeightSDS!$W$18*(-$AG357+186)^2-0.005,WeightSDS!$U$18+(WeightSDS!$V$18-WeightSDS!$U$18)/24*($AG357-186)-0.005)))</f>
        <v>0.14604529399999999</v>
      </c>
    </row>
    <row r="358" spans="1:37">
      <c r="A358" s="4"/>
      <c r="B358" s="21"/>
      <c r="C358" s="21"/>
      <c r="D358" s="21"/>
      <c r="E358" s="22"/>
      <c r="F358" s="22"/>
      <c r="G358" s="23"/>
      <c r="H358" s="23"/>
      <c r="I358" s="8" t="str">
        <f t="shared" si="82"/>
        <v/>
      </c>
      <c r="J358" s="2" t="str">
        <f t="shared" si="89"/>
        <v/>
      </c>
      <c r="K358" s="2" t="str">
        <f t="shared" si="83"/>
        <v/>
      </c>
      <c r="L358" s="2" t="str">
        <f t="shared" si="90"/>
        <v/>
      </c>
      <c r="M358" s="2" t="str">
        <f t="shared" si="95"/>
        <v/>
      </c>
      <c r="N358" s="2" t="str">
        <f t="shared" si="91"/>
        <v/>
      </c>
      <c r="O358" s="8" t="str">
        <f t="shared" si="92"/>
        <v/>
      </c>
      <c r="P358" s="8" t="str">
        <f t="shared" si="93"/>
        <v/>
      </c>
      <c r="Q358" s="40" t="str">
        <f t="shared" si="84"/>
        <v/>
      </c>
      <c r="R358" s="48" t="str">
        <f t="shared" si="94"/>
        <v/>
      </c>
      <c r="S358" s="8"/>
      <c r="U358" s="35">
        <f t="shared" si="85"/>
        <v>0</v>
      </c>
      <c r="V358" s="24">
        <f t="shared" si="86"/>
        <v>0</v>
      </c>
      <c r="W358" s="41">
        <f t="shared" si="97"/>
        <v>0</v>
      </c>
      <c r="X358" s="31"/>
      <c r="Y358" s="31"/>
      <c r="Z358" s="31"/>
      <c r="AA358" s="25">
        <f t="shared" si="87"/>
        <v>9.0359999999999996</v>
      </c>
      <c r="AB358" s="25">
        <f t="shared" si="88"/>
        <v>-184.49199999999999</v>
      </c>
      <c r="AD358" s="24">
        <f>IF(D358="M",IF(AG358&lt;78,BMILMS!$D$5*AG358^3+BMILMS!$E$5*AG358^2+BMILMS!$F$5*AG358+BMILMS!$G$5,IF(AG358&lt;150,BMILMS!$D$6*AG358^3+BMILMS!$E$6*AG358^2+BMILMS!$F$6*AG358+BMILMS!$G$6,BMILMS!$D$7*AG358^3+BMILMS!$E$7*AG358^2+BMILMS!$F$7*AG358+BMILMS!$G$7)),IF(AG358&lt;69,BMILMS!$D$9*AG358^3+BMILMS!$E$9*AG358^2+BMILMS!$F$9*AG358+BMILMS!$G$9,IF(AG358&lt;150,BMILMS!$D$10*AG358^3+BMILMS!$E$10*AG358^2+BMILMS!$F$10*AG358+BMILMS!$G$10,BMILMS!$D$11*AG358^3+BMILMS!$E$11*AG358^2+BMILMS!$F$11*AG358+BMILMS!$G$11)))</f>
        <v>0.79584630099999998</v>
      </c>
      <c r="AE358" s="24">
        <f>IF(D358="M",(IF(AG358&lt;2.5,BMILMS!$D$21*AG358^3+BMILMS!$E$21*AG358^2+BMILMS!$F$21*AG358+BMILMS!$G$21,IF(AG358&lt;9.5,BMILMS!$D$22*AG358^3+BMILMS!$E$22*AG358^2+BMILMS!$F$22*AG358+BMILMS!$G$22,IF(AG358&lt;26.75,BMILMS!$D$23*AG358^3+BMILMS!$E$23*AG358^2+BMILMS!$F$23*AG358+BMILMS!$G$23,IF(AG358&lt;90,BMILMS!$D$24*AG358^3+BMILMS!$E$24*AG358^2+BMILMS!$F$24*AG358+BMILMS!$G$24,BMILMS!$D$25*AG358^3+BMILMS!$E$25*AG358^2+BMILMS!$F$25*AG358+BMILMS!$G$25))))),(IF(AG358&lt;2.5,BMILMS!$D$27*AG358^3+BMILMS!$E$27*AG358^2+BMILMS!$F$27*AG358+BMILMS!$G$27,IF(AG358&lt;9.5,BMILMS!$D$28*AG358^3+BMILMS!$E$28*AG358^2+BMILMS!$F$28*AG358+BMILMS!$G$28,IF(AG358&lt;26.75,BMILMS!$D$29*AG358^3+BMILMS!$E$29*AG358^2+BMILMS!$F$29*AG358+BMILMS!$G$29,IF(AG358&lt;90,BMILMS!$D$30*AG358^3+BMILMS!$E$30*AG358^2+BMILMS!$F$30*AG358+BMILMS!$G$30,IF(AG358&lt;150,BMILMS!$D$31*AG358^3+BMILMS!$E$31*AG358^2+BMILMS!$F$31*AG358+BMILMS!$G$31,BMILMS!$D$32*AG358^3+BMILMS!$E$32*AG358^2+BMILMS!$F$32*AG358+BMILMS!$G$32)))))))</f>
        <v>12.568967990000001</v>
      </c>
      <c r="AF358" s="24">
        <f>IF(D358="M",(IF(AG358&lt;90,BMILMS!$D$14*AG358^3+BMILMS!$E$14*AG358^2+BMILMS!$F$14*AG358+BMILMS!$G$14,BMILMS!$D$15*AG358^3+BMILMS!$E$15*AG358^2+BMILMS!$F$15*AG358+BMILMS!$G$15)),(IF(AG358&lt;90,BMILMS!$D$17*AG358^3+BMILMS!$E$17*AG358^2+BMILMS!$F$17*AG358+BMILMS!$G$17,BMILMS!$D$18*AG358^3+BMILMS!$E$18*AG358^2+BMILMS!$F$18*AG358+BMILMS!$G$18)))</f>
        <v>8.8969350000000003E-2</v>
      </c>
      <c r="AG358" s="24">
        <f t="shared" si="96"/>
        <v>0</v>
      </c>
      <c r="AI358" s="38">
        <f>IF(D358="M",WeightSDS!P$5*$AG358^7+WeightSDS!Q$5*$AG358^6+WeightSDS!R$5*$AG358^5+WeightSDS!S$5*$AG358^4+WeightSDS!T$5*$AG358^3+WeightSDS!U$5*$AG358^2+WeightSDS!V$5*$AG358+WeightSDS!W$5,IF($AG358&lt;186,WeightSDS!P$8*$AG358^7+WeightSDS!Q$8*$AG358^6+WeightSDS!R$8*$AG358^5+WeightSDS!S$8*$AG358^4+WeightSDS!T$8*$AG358^3+WeightSDS!U$8*$AG358^2+WeightSDS!V$8*$AG358+WeightSDS!W$8,WeightSDS!$U$9-WeightSDS!$V$9*($AG358-WeightSDS!$W$9)))</f>
        <v>0.75407122999999998</v>
      </c>
      <c r="AJ358" s="24">
        <f>IF(D358="M",IF($AG358&lt;45,WeightSDS!M$23*$AG358^10+WeightSDS!N$23*$AG358^9+WeightSDS!O$23*$AG358^8+WeightSDS!P$23*$AG358^7+WeightSDS!Q$23*$AG358^6+WeightSDS!R$23*$AG358^5+WeightSDS!S$23*$AG358^4+WeightSDS!T$23*$AG358^3+WeightSDS!U$23*$AG358^2+WeightSDS!V$23*$AG358+WeightSDS!W$23,IF($AG358&lt;153,WeightSDS!M$25*$AG358^10+WeightSDS!N$25*$AG358^9+WeightSDS!O$25*$AG358^8+WeightSDS!P$25*$AG358^7+WeightSDS!Q$25*$AG358^6+WeightSDS!R$25*$AG358^5+WeightSDS!S$25*$AG358^4+WeightSDS!T$25*$AG358^3+WeightSDS!U$25*$AG358^2+WeightSDS!V$25*$AG358+WeightSDS!W$25,WeightSDS!M$27+WeightSDS!N$27/(1+EXP(WeightSDS!O$27+WeightSDS!P$27*$AG358)))),IF($AG358&lt;43.8,WeightSDS!M$29*$AG358^10+WeightSDS!N$29*$AG358^9+WeightSDS!O$29*$AG358^8+WeightSDS!P$29*$AG358^7+WeightSDS!Q$29*$AG358^6+WeightSDS!R$29*$AG358^5+WeightSDS!S$29*$AG358^4+WeightSDS!T$29*$AG358^3+WeightSDS!U$29*$AG358^2+WeightSDS!V$29*$AG358+WeightSDS!W$29-0.010431*(1-$AG358/210),IF($AG358&lt;123,WeightSDS!M$30*$AG358^10+WeightSDS!N$30*$AG358^9+WeightSDS!O$30*$AG358^8+WeightSDS!P$30*$AG358^7+WeightSDS!Q$30*$AG358^6+WeightSDS!R$30*$AG358^5+WeightSDS!S$30*$AG358^4+WeightSDS!T$30*$AG358^3+WeightSDS!U$30*$AG358^2+WeightSDS!V$30*$AG358+WeightSDS!W$30-0.010431*(1-1/$AG358),WeightSDS!M$32+WeightSDS!N$32/(1+EXP(WeightSDS!O$32+WeightSDS!P$32*$AG358))-0.010431*(1-$AG358/210))))</f>
        <v>2.9500001032655536</v>
      </c>
      <c r="AK358" s="24">
        <f>IF(D358="M",IF($AG358&lt;162,WeightSDS!P$12*$AG358^7+WeightSDS!Q$12*$AG358^6+WeightSDS!R$12*$AG358^5+WeightSDS!S$12*$AG358^4+WeightSDS!T$12*$AG358^3+WeightSDS!U$12*$AG358^2+WeightSDS!V$12*$AG358+WeightSDS!W$12,WeightSDS!P$14*$AG358^7+WeightSDS!Q$14*$AG358^6+WeightSDS!R$14*$AG358^5+WeightSDS!S$14*$AG358^4+WeightSDS!T$14*$AG358^3+WeightSDS!U$14*$AG358^2+WeightSDS!V$14*$AG358+WeightSDS!W$14),IF($AG358&lt;156,WeightSDS!O$17*$AG358^8+WeightSDS!P$17*$AG358^7+WeightSDS!Q$17*$AG358^6+WeightSDS!R$17*$AG358^5+WeightSDS!S$17*$AG358^4+WeightSDS!T$17*$AG358^3+WeightSDS!U$17*$AG358^2+WeightSDS!V$17*$AG358+WeightSDS!W$17,IF($AG358&lt;186,WeightSDS!$U$18+(WeightSDS!$V$18-WeightSDS!$U$18)/24*($AG358-186)+WeightSDS!$W$18*(-$AG358+186)^2-0.005,WeightSDS!$U$18+(WeightSDS!$V$18-WeightSDS!$U$18)/24*($AG358-186)-0.005)))</f>
        <v>0.14604529399999999</v>
      </c>
    </row>
    <row r="359" spans="1:37">
      <c r="A359" s="4"/>
      <c r="B359" s="21"/>
      <c r="C359" s="21"/>
      <c r="D359" s="21"/>
      <c r="E359" s="22"/>
      <c r="F359" s="22"/>
      <c r="G359" s="23"/>
      <c r="H359" s="23"/>
      <c r="I359" s="8" t="str">
        <f t="shared" si="82"/>
        <v/>
      </c>
      <c r="J359" s="2" t="str">
        <f t="shared" si="89"/>
        <v/>
      </c>
      <c r="K359" s="2" t="str">
        <f t="shared" si="83"/>
        <v/>
      </c>
      <c r="L359" s="2" t="str">
        <f t="shared" si="90"/>
        <v/>
      </c>
      <c r="M359" s="2" t="str">
        <f t="shared" si="95"/>
        <v/>
      </c>
      <c r="N359" s="2" t="str">
        <f t="shared" si="91"/>
        <v/>
      </c>
      <c r="O359" s="8" t="str">
        <f t="shared" si="92"/>
        <v/>
      </c>
      <c r="P359" s="8" t="str">
        <f t="shared" si="93"/>
        <v/>
      </c>
      <c r="Q359" s="40" t="str">
        <f t="shared" si="84"/>
        <v/>
      </c>
      <c r="R359" s="48" t="str">
        <f t="shared" si="94"/>
        <v/>
      </c>
      <c r="S359" s="8"/>
      <c r="U359" s="35">
        <f t="shared" si="85"/>
        <v>0</v>
      </c>
      <c r="V359" s="24">
        <f t="shared" si="86"/>
        <v>0</v>
      </c>
      <c r="W359" s="41">
        <f t="shared" si="97"/>
        <v>0</v>
      </c>
      <c r="X359" s="31"/>
      <c r="Y359" s="31"/>
      <c r="Z359" s="31"/>
      <c r="AA359" s="25">
        <f t="shared" si="87"/>
        <v>9.0359999999999996</v>
      </c>
      <c r="AB359" s="25">
        <f t="shared" si="88"/>
        <v>-184.49199999999999</v>
      </c>
      <c r="AD359" s="24">
        <f>IF(D359="M",IF(AG359&lt;78,BMILMS!$D$5*AG359^3+BMILMS!$E$5*AG359^2+BMILMS!$F$5*AG359+BMILMS!$G$5,IF(AG359&lt;150,BMILMS!$D$6*AG359^3+BMILMS!$E$6*AG359^2+BMILMS!$F$6*AG359+BMILMS!$G$6,BMILMS!$D$7*AG359^3+BMILMS!$E$7*AG359^2+BMILMS!$F$7*AG359+BMILMS!$G$7)),IF(AG359&lt;69,BMILMS!$D$9*AG359^3+BMILMS!$E$9*AG359^2+BMILMS!$F$9*AG359+BMILMS!$G$9,IF(AG359&lt;150,BMILMS!$D$10*AG359^3+BMILMS!$E$10*AG359^2+BMILMS!$F$10*AG359+BMILMS!$G$10,BMILMS!$D$11*AG359^3+BMILMS!$E$11*AG359^2+BMILMS!$F$11*AG359+BMILMS!$G$11)))</f>
        <v>0.79584630099999998</v>
      </c>
      <c r="AE359" s="24">
        <f>IF(D359="M",(IF(AG359&lt;2.5,BMILMS!$D$21*AG359^3+BMILMS!$E$21*AG359^2+BMILMS!$F$21*AG359+BMILMS!$G$21,IF(AG359&lt;9.5,BMILMS!$D$22*AG359^3+BMILMS!$E$22*AG359^2+BMILMS!$F$22*AG359+BMILMS!$G$22,IF(AG359&lt;26.75,BMILMS!$D$23*AG359^3+BMILMS!$E$23*AG359^2+BMILMS!$F$23*AG359+BMILMS!$G$23,IF(AG359&lt;90,BMILMS!$D$24*AG359^3+BMILMS!$E$24*AG359^2+BMILMS!$F$24*AG359+BMILMS!$G$24,BMILMS!$D$25*AG359^3+BMILMS!$E$25*AG359^2+BMILMS!$F$25*AG359+BMILMS!$G$25))))),(IF(AG359&lt;2.5,BMILMS!$D$27*AG359^3+BMILMS!$E$27*AG359^2+BMILMS!$F$27*AG359+BMILMS!$G$27,IF(AG359&lt;9.5,BMILMS!$D$28*AG359^3+BMILMS!$E$28*AG359^2+BMILMS!$F$28*AG359+BMILMS!$G$28,IF(AG359&lt;26.75,BMILMS!$D$29*AG359^3+BMILMS!$E$29*AG359^2+BMILMS!$F$29*AG359+BMILMS!$G$29,IF(AG359&lt;90,BMILMS!$D$30*AG359^3+BMILMS!$E$30*AG359^2+BMILMS!$F$30*AG359+BMILMS!$G$30,IF(AG359&lt;150,BMILMS!$D$31*AG359^3+BMILMS!$E$31*AG359^2+BMILMS!$F$31*AG359+BMILMS!$G$31,BMILMS!$D$32*AG359^3+BMILMS!$E$32*AG359^2+BMILMS!$F$32*AG359+BMILMS!$G$32)))))))</f>
        <v>12.568967990000001</v>
      </c>
      <c r="AF359" s="24">
        <f>IF(D359="M",(IF(AG359&lt;90,BMILMS!$D$14*AG359^3+BMILMS!$E$14*AG359^2+BMILMS!$F$14*AG359+BMILMS!$G$14,BMILMS!$D$15*AG359^3+BMILMS!$E$15*AG359^2+BMILMS!$F$15*AG359+BMILMS!$G$15)),(IF(AG359&lt;90,BMILMS!$D$17*AG359^3+BMILMS!$E$17*AG359^2+BMILMS!$F$17*AG359+BMILMS!$G$17,BMILMS!$D$18*AG359^3+BMILMS!$E$18*AG359^2+BMILMS!$F$18*AG359+BMILMS!$G$18)))</f>
        <v>8.8969350000000003E-2</v>
      </c>
      <c r="AG359" s="24">
        <f t="shared" si="96"/>
        <v>0</v>
      </c>
      <c r="AI359" s="38">
        <f>IF(D359="M",WeightSDS!P$5*$AG359^7+WeightSDS!Q$5*$AG359^6+WeightSDS!R$5*$AG359^5+WeightSDS!S$5*$AG359^4+WeightSDS!T$5*$AG359^3+WeightSDS!U$5*$AG359^2+WeightSDS!V$5*$AG359+WeightSDS!W$5,IF($AG359&lt;186,WeightSDS!P$8*$AG359^7+WeightSDS!Q$8*$AG359^6+WeightSDS!R$8*$AG359^5+WeightSDS!S$8*$AG359^4+WeightSDS!T$8*$AG359^3+WeightSDS!U$8*$AG359^2+WeightSDS!V$8*$AG359+WeightSDS!W$8,WeightSDS!$U$9-WeightSDS!$V$9*($AG359-WeightSDS!$W$9)))</f>
        <v>0.75407122999999998</v>
      </c>
      <c r="AJ359" s="24">
        <f>IF(D359="M",IF($AG359&lt;45,WeightSDS!M$23*$AG359^10+WeightSDS!N$23*$AG359^9+WeightSDS!O$23*$AG359^8+WeightSDS!P$23*$AG359^7+WeightSDS!Q$23*$AG359^6+WeightSDS!R$23*$AG359^5+WeightSDS!S$23*$AG359^4+WeightSDS!T$23*$AG359^3+WeightSDS!U$23*$AG359^2+WeightSDS!V$23*$AG359+WeightSDS!W$23,IF($AG359&lt;153,WeightSDS!M$25*$AG359^10+WeightSDS!N$25*$AG359^9+WeightSDS!O$25*$AG359^8+WeightSDS!P$25*$AG359^7+WeightSDS!Q$25*$AG359^6+WeightSDS!R$25*$AG359^5+WeightSDS!S$25*$AG359^4+WeightSDS!T$25*$AG359^3+WeightSDS!U$25*$AG359^2+WeightSDS!V$25*$AG359+WeightSDS!W$25,WeightSDS!M$27+WeightSDS!N$27/(1+EXP(WeightSDS!O$27+WeightSDS!P$27*$AG359)))),IF($AG359&lt;43.8,WeightSDS!M$29*$AG359^10+WeightSDS!N$29*$AG359^9+WeightSDS!O$29*$AG359^8+WeightSDS!P$29*$AG359^7+WeightSDS!Q$29*$AG359^6+WeightSDS!R$29*$AG359^5+WeightSDS!S$29*$AG359^4+WeightSDS!T$29*$AG359^3+WeightSDS!U$29*$AG359^2+WeightSDS!V$29*$AG359+WeightSDS!W$29-0.010431*(1-$AG359/210),IF($AG359&lt;123,WeightSDS!M$30*$AG359^10+WeightSDS!N$30*$AG359^9+WeightSDS!O$30*$AG359^8+WeightSDS!P$30*$AG359^7+WeightSDS!Q$30*$AG359^6+WeightSDS!R$30*$AG359^5+WeightSDS!S$30*$AG359^4+WeightSDS!T$30*$AG359^3+WeightSDS!U$30*$AG359^2+WeightSDS!V$30*$AG359+WeightSDS!W$30-0.010431*(1-1/$AG359),WeightSDS!M$32+WeightSDS!N$32/(1+EXP(WeightSDS!O$32+WeightSDS!P$32*$AG359))-0.010431*(1-$AG359/210))))</f>
        <v>2.9500001032655536</v>
      </c>
      <c r="AK359" s="24">
        <f>IF(D359="M",IF($AG359&lt;162,WeightSDS!P$12*$AG359^7+WeightSDS!Q$12*$AG359^6+WeightSDS!R$12*$AG359^5+WeightSDS!S$12*$AG359^4+WeightSDS!T$12*$AG359^3+WeightSDS!U$12*$AG359^2+WeightSDS!V$12*$AG359+WeightSDS!W$12,WeightSDS!P$14*$AG359^7+WeightSDS!Q$14*$AG359^6+WeightSDS!R$14*$AG359^5+WeightSDS!S$14*$AG359^4+WeightSDS!T$14*$AG359^3+WeightSDS!U$14*$AG359^2+WeightSDS!V$14*$AG359+WeightSDS!W$14),IF($AG359&lt;156,WeightSDS!O$17*$AG359^8+WeightSDS!P$17*$AG359^7+WeightSDS!Q$17*$AG359^6+WeightSDS!R$17*$AG359^5+WeightSDS!S$17*$AG359^4+WeightSDS!T$17*$AG359^3+WeightSDS!U$17*$AG359^2+WeightSDS!V$17*$AG359+WeightSDS!W$17,IF($AG359&lt;186,WeightSDS!$U$18+(WeightSDS!$V$18-WeightSDS!$U$18)/24*($AG359-186)+WeightSDS!$W$18*(-$AG359+186)^2-0.005,WeightSDS!$U$18+(WeightSDS!$V$18-WeightSDS!$U$18)/24*($AG359-186)-0.005)))</f>
        <v>0.14604529399999999</v>
      </c>
    </row>
    <row r="360" spans="1:37">
      <c r="A360" s="4"/>
      <c r="B360" s="21"/>
      <c r="C360" s="21"/>
      <c r="D360" s="21"/>
      <c r="E360" s="22"/>
      <c r="F360" s="22"/>
      <c r="G360" s="23"/>
      <c r="H360" s="23"/>
      <c r="I360" s="8" t="str">
        <f t="shared" si="82"/>
        <v/>
      </c>
      <c r="J360" s="2" t="str">
        <f t="shared" si="89"/>
        <v/>
      </c>
      <c r="K360" s="2" t="str">
        <f t="shared" si="83"/>
        <v/>
      </c>
      <c r="L360" s="2" t="str">
        <f t="shared" si="90"/>
        <v/>
      </c>
      <c r="M360" s="2" t="str">
        <f t="shared" si="95"/>
        <v/>
      </c>
      <c r="N360" s="2" t="str">
        <f t="shared" si="91"/>
        <v/>
      </c>
      <c r="O360" s="8" t="str">
        <f t="shared" si="92"/>
        <v/>
      </c>
      <c r="P360" s="8" t="str">
        <f t="shared" si="93"/>
        <v/>
      </c>
      <c r="Q360" s="40" t="str">
        <f t="shared" si="84"/>
        <v/>
      </c>
      <c r="R360" s="48" t="str">
        <f t="shared" si="94"/>
        <v/>
      </c>
      <c r="S360" s="8"/>
      <c r="U360" s="35">
        <f t="shared" si="85"/>
        <v>0</v>
      </c>
      <c r="V360" s="24">
        <f t="shared" si="86"/>
        <v>0</v>
      </c>
      <c r="W360" s="41">
        <f t="shared" si="97"/>
        <v>0</v>
      </c>
      <c r="X360" s="31"/>
      <c r="Y360" s="31"/>
      <c r="Z360" s="31"/>
      <c r="AA360" s="25">
        <f t="shared" si="87"/>
        <v>9.0359999999999996</v>
      </c>
      <c r="AB360" s="25">
        <f t="shared" si="88"/>
        <v>-184.49199999999999</v>
      </c>
      <c r="AD360" s="24">
        <f>IF(D360="M",IF(AG360&lt;78,BMILMS!$D$5*AG360^3+BMILMS!$E$5*AG360^2+BMILMS!$F$5*AG360+BMILMS!$G$5,IF(AG360&lt;150,BMILMS!$D$6*AG360^3+BMILMS!$E$6*AG360^2+BMILMS!$F$6*AG360+BMILMS!$G$6,BMILMS!$D$7*AG360^3+BMILMS!$E$7*AG360^2+BMILMS!$F$7*AG360+BMILMS!$G$7)),IF(AG360&lt;69,BMILMS!$D$9*AG360^3+BMILMS!$E$9*AG360^2+BMILMS!$F$9*AG360+BMILMS!$G$9,IF(AG360&lt;150,BMILMS!$D$10*AG360^3+BMILMS!$E$10*AG360^2+BMILMS!$F$10*AG360+BMILMS!$G$10,BMILMS!$D$11*AG360^3+BMILMS!$E$11*AG360^2+BMILMS!$F$11*AG360+BMILMS!$G$11)))</f>
        <v>0.79584630099999998</v>
      </c>
      <c r="AE360" s="24">
        <f>IF(D360="M",(IF(AG360&lt;2.5,BMILMS!$D$21*AG360^3+BMILMS!$E$21*AG360^2+BMILMS!$F$21*AG360+BMILMS!$G$21,IF(AG360&lt;9.5,BMILMS!$D$22*AG360^3+BMILMS!$E$22*AG360^2+BMILMS!$F$22*AG360+BMILMS!$G$22,IF(AG360&lt;26.75,BMILMS!$D$23*AG360^3+BMILMS!$E$23*AG360^2+BMILMS!$F$23*AG360+BMILMS!$G$23,IF(AG360&lt;90,BMILMS!$D$24*AG360^3+BMILMS!$E$24*AG360^2+BMILMS!$F$24*AG360+BMILMS!$G$24,BMILMS!$D$25*AG360^3+BMILMS!$E$25*AG360^2+BMILMS!$F$25*AG360+BMILMS!$G$25))))),(IF(AG360&lt;2.5,BMILMS!$D$27*AG360^3+BMILMS!$E$27*AG360^2+BMILMS!$F$27*AG360+BMILMS!$G$27,IF(AG360&lt;9.5,BMILMS!$D$28*AG360^3+BMILMS!$E$28*AG360^2+BMILMS!$F$28*AG360+BMILMS!$G$28,IF(AG360&lt;26.75,BMILMS!$D$29*AG360^3+BMILMS!$E$29*AG360^2+BMILMS!$F$29*AG360+BMILMS!$G$29,IF(AG360&lt;90,BMILMS!$D$30*AG360^3+BMILMS!$E$30*AG360^2+BMILMS!$F$30*AG360+BMILMS!$G$30,IF(AG360&lt;150,BMILMS!$D$31*AG360^3+BMILMS!$E$31*AG360^2+BMILMS!$F$31*AG360+BMILMS!$G$31,BMILMS!$D$32*AG360^3+BMILMS!$E$32*AG360^2+BMILMS!$F$32*AG360+BMILMS!$G$32)))))))</f>
        <v>12.568967990000001</v>
      </c>
      <c r="AF360" s="24">
        <f>IF(D360="M",(IF(AG360&lt;90,BMILMS!$D$14*AG360^3+BMILMS!$E$14*AG360^2+BMILMS!$F$14*AG360+BMILMS!$G$14,BMILMS!$D$15*AG360^3+BMILMS!$E$15*AG360^2+BMILMS!$F$15*AG360+BMILMS!$G$15)),(IF(AG360&lt;90,BMILMS!$D$17*AG360^3+BMILMS!$E$17*AG360^2+BMILMS!$F$17*AG360+BMILMS!$G$17,BMILMS!$D$18*AG360^3+BMILMS!$E$18*AG360^2+BMILMS!$F$18*AG360+BMILMS!$G$18)))</f>
        <v>8.8969350000000003E-2</v>
      </c>
      <c r="AG360" s="24">
        <f t="shared" si="96"/>
        <v>0</v>
      </c>
      <c r="AI360" s="38">
        <f>IF(D360="M",WeightSDS!P$5*$AG360^7+WeightSDS!Q$5*$AG360^6+WeightSDS!R$5*$AG360^5+WeightSDS!S$5*$AG360^4+WeightSDS!T$5*$AG360^3+WeightSDS!U$5*$AG360^2+WeightSDS!V$5*$AG360+WeightSDS!W$5,IF($AG360&lt;186,WeightSDS!P$8*$AG360^7+WeightSDS!Q$8*$AG360^6+WeightSDS!R$8*$AG360^5+WeightSDS!S$8*$AG360^4+WeightSDS!T$8*$AG360^3+WeightSDS!U$8*$AG360^2+WeightSDS!V$8*$AG360+WeightSDS!W$8,WeightSDS!$U$9-WeightSDS!$V$9*($AG360-WeightSDS!$W$9)))</f>
        <v>0.75407122999999998</v>
      </c>
      <c r="AJ360" s="24">
        <f>IF(D360="M",IF($AG360&lt;45,WeightSDS!M$23*$AG360^10+WeightSDS!N$23*$AG360^9+WeightSDS!O$23*$AG360^8+WeightSDS!P$23*$AG360^7+WeightSDS!Q$23*$AG360^6+WeightSDS!R$23*$AG360^5+WeightSDS!S$23*$AG360^4+WeightSDS!T$23*$AG360^3+WeightSDS!U$23*$AG360^2+WeightSDS!V$23*$AG360+WeightSDS!W$23,IF($AG360&lt;153,WeightSDS!M$25*$AG360^10+WeightSDS!N$25*$AG360^9+WeightSDS!O$25*$AG360^8+WeightSDS!P$25*$AG360^7+WeightSDS!Q$25*$AG360^6+WeightSDS!R$25*$AG360^5+WeightSDS!S$25*$AG360^4+WeightSDS!T$25*$AG360^3+WeightSDS!U$25*$AG360^2+WeightSDS!V$25*$AG360+WeightSDS!W$25,WeightSDS!M$27+WeightSDS!N$27/(1+EXP(WeightSDS!O$27+WeightSDS!P$27*$AG360)))),IF($AG360&lt;43.8,WeightSDS!M$29*$AG360^10+WeightSDS!N$29*$AG360^9+WeightSDS!O$29*$AG360^8+WeightSDS!P$29*$AG360^7+WeightSDS!Q$29*$AG360^6+WeightSDS!R$29*$AG360^5+WeightSDS!S$29*$AG360^4+WeightSDS!T$29*$AG360^3+WeightSDS!U$29*$AG360^2+WeightSDS!V$29*$AG360+WeightSDS!W$29-0.010431*(1-$AG360/210),IF($AG360&lt;123,WeightSDS!M$30*$AG360^10+WeightSDS!N$30*$AG360^9+WeightSDS!O$30*$AG360^8+WeightSDS!P$30*$AG360^7+WeightSDS!Q$30*$AG360^6+WeightSDS!R$30*$AG360^5+WeightSDS!S$30*$AG360^4+WeightSDS!T$30*$AG360^3+WeightSDS!U$30*$AG360^2+WeightSDS!V$30*$AG360+WeightSDS!W$30-0.010431*(1-1/$AG360),WeightSDS!M$32+WeightSDS!N$32/(1+EXP(WeightSDS!O$32+WeightSDS!P$32*$AG360))-0.010431*(1-$AG360/210))))</f>
        <v>2.9500001032655536</v>
      </c>
      <c r="AK360" s="24">
        <f>IF(D360="M",IF($AG360&lt;162,WeightSDS!P$12*$AG360^7+WeightSDS!Q$12*$AG360^6+WeightSDS!R$12*$AG360^5+WeightSDS!S$12*$AG360^4+WeightSDS!T$12*$AG360^3+WeightSDS!U$12*$AG360^2+WeightSDS!V$12*$AG360+WeightSDS!W$12,WeightSDS!P$14*$AG360^7+WeightSDS!Q$14*$AG360^6+WeightSDS!R$14*$AG360^5+WeightSDS!S$14*$AG360^4+WeightSDS!T$14*$AG360^3+WeightSDS!U$14*$AG360^2+WeightSDS!V$14*$AG360+WeightSDS!W$14),IF($AG360&lt;156,WeightSDS!O$17*$AG360^8+WeightSDS!P$17*$AG360^7+WeightSDS!Q$17*$AG360^6+WeightSDS!R$17*$AG360^5+WeightSDS!S$17*$AG360^4+WeightSDS!T$17*$AG360^3+WeightSDS!U$17*$AG360^2+WeightSDS!V$17*$AG360+WeightSDS!W$17,IF($AG360&lt;186,WeightSDS!$U$18+(WeightSDS!$V$18-WeightSDS!$U$18)/24*($AG360-186)+WeightSDS!$W$18*(-$AG360+186)^2-0.005,WeightSDS!$U$18+(WeightSDS!$V$18-WeightSDS!$U$18)/24*($AG360-186)-0.005)))</f>
        <v>0.14604529399999999</v>
      </c>
    </row>
    <row r="361" spans="1:37">
      <c r="A361" s="4"/>
      <c r="B361" s="21"/>
      <c r="C361" s="21"/>
      <c r="D361" s="21"/>
      <c r="E361" s="22"/>
      <c r="F361" s="22"/>
      <c r="G361" s="23"/>
      <c r="H361" s="23"/>
      <c r="I361" s="8" t="str">
        <f t="shared" si="82"/>
        <v/>
      </c>
      <c r="J361" s="2" t="str">
        <f t="shared" si="89"/>
        <v/>
      </c>
      <c r="K361" s="2" t="str">
        <f t="shared" si="83"/>
        <v/>
      </c>
      <c r="L361" s="2" t="str">
        <f t="shared" si="90"/>
        <v/>
      </c>
      <c r="M361" s="2" t="str">
        <f t="shared" si="95"/>
        <v/>
      </c>
      <c r="N361" s="2" t="str">
        <f t="shared" si="91"/>
        <v/>
      </c>
      <c r="O361" s="8" t="str">
        <f t="shared" si="92"/>
        <v/>
      </c>
      <c r="P361" s="8" t="str">
        <f t="shared" si="93"/>
        <v/>
      </c>
      <c r="Q361" s="40" t="str">
        <f t="shared" si="84"/>
        <v/>
      </c>
      <c r="R361" s="48" t="str">
        <f t="shared" si="94"/>
        <v/>
      </c>
      <c r="S361" s="8"/>
      <c r="U361" s="35">
        <f t="shared" si="85"/>
        <v>0</v>
      </c>
      <c r="V361" s="24">
        <f t="shared" si="86"/>
        <v>0</v>
      </c>
      <c r="W361" s="41">
        <f t="shared" si="97"/>
        <v>0</v>
      </c>
      <c r="X361" s="31"/>
      <c r="Y361" s="31"/>
      <c r="Z361" s="31"/>
      <c r="AA361" s="25">
        <f t="shared" si="87"/>
        <v>9.0359999999999996</v>
      </c>
      <c r="AB361" s="25">
        <f t="shared" si="88"/>
        <v>-184.49199999999999</v>
      </c>
      <c r="AD361" s="24">
        <f>IF(D361="M",IF(AG361&lt;78,BMILMS!$D$5*AG361^3+BMILMS!$E$5*AG361^2+BMILMS!$F$5*AG361+BMILMS!$G$5,IF(AG361&lt;150,BMILMS!$D$6*AG361^3+BMILMS!$E$6*AG361^2+BMILMS!$F$6*AG361+BMILMS!$G$6,BMILMS!$D$7*AG361^3+BMILMS!$E$7*AG361^2+BMILMS!$F$7*AG361+BMILMS!$G$7)),IF(AG361&lt;69,BMILMS!$D$9*AG361^3+BMILMS!$E$9*AG361^2+BMILMS!$F$9*AG361+BMILMS!$G$9,IF(AG361&lt;150,BMILMS!$D$10*AG361^3+BMILMS!$E$10*AG361^2+BMILMS!$F$10*AG361+BMILMS!$G$10,BMILMS!$D$11*AG361^3+BMILMS!$E$11*AG361^2+BMILMS!$F$11*AG361+BMILMS!$G$11)))</f>
        <v>0.79584630099999998</v>
      </c>
      <c r="AE361" s="24">
        <f>IF(D361="M",(IF(AG361&lt;2.5,BMILMS!$D$21*AG361^3+BMILMS!$E$21*AG361^2+BMILMS!$F$21*AG361+BMILMS!$G$21,IF(AG361&lt;9.5,BMILMS!$D$22*AG361^3+BMILMS!$E$22*AG361^2+BMILMS!$F$22*AG361+BMILMS!$G$22,IF(AG361&lt;26.75,BMILMS!$D$23*AG361^3+BMILMS!$E$23*AG361^2+BMILMS!$F$23*AG361+BMILMS!$G$23,IF(AG361&lt;90,BMILMS!$D$24*AG361^3+BMILMS!$E$24*AG361^2+BMILMS!$F$24*AG361+BMILMS!$G$24,BMILMS!$D$25*AG361^3+BMILMS!$E$25*AG361^2+BMILMS!$F$25*AG361+BMILMS!$G$25))))),(IF(AG361&lt;2.5,BMILMS!$D$27*AG361^3+BMILMS!$E$27*AG361^2+BMILMS!$F$27*AG361+BMILMS!$G$27,IF(AG361&lt;9.5,BMILMS!$D$28*AG361^3+BMILMS!$E$28*AG361^2+BMILMS!$F$28*AG361+BMILMS!$G$28,IF(AG361&lt;26.75,BMILMS!$D$29*AG361^3+BMILMS!$E$29*AG361^2+BMILMS!$F$29*AG361+BMILMS!$G$29,IF(AG361&lt;90,BMILMS!$D$30*AG361^3+BMILMS!$E$30*AG361^2+BMILMS!$F$30*AG361+BMILMS!$G$30,IF(AG361&lt;150,BMILMS!$D$31*AG361^3+BMILMS!$E$31*AG361^2+BMILMS!$F$31*AG361+BMILMS!$G$31,BMILMS!$D$32*AG361^3+BMILMS!$E$32*AG361^2+BMILMS!$F$32*AG361+BMILMS!$G$32)))))))</f>
        <v>12.568967990000001</v>
      </c>
      <c r="AF361" s="24">
        <f>IF(D361="M",(IF(AG361&lt;90,BMILMS!$D$14*AG361^3+BMILMS!$E$14*AG361^2+BMILMS!$F$14*AG361+BMILMS!$G$14,BMILMS!$D$15*AG361^3+BMILMS!$E$15*AG361^2+BMILMS!$F$15*AG361+BMILMS!$G$15)),(IF(AG361&lt;90,BMILMS!$D$17*AG361^3+BMILMS!$E$17*AG361^2+BMILMS!$F$17*AG361+BMILMS!$G$17,BMILMS!$D$18*AG361^3+BMILMS!$E$18*AG361^2+BMILMS!$F$18*AG361+BMILMS!$G$18)))</f>
        <v>8.8969350000000003E-2</v>
      </c>
      <c r="AG361" s="24">
        <f t="shared" si="96"/>
        <v>0</v>
      </c>
      <c r="AI361" s="38">
        <f>IF(D361="M",WeightSDS!P$5*$AG361^7+WeightSDS!Q$5*$AG361^6+WeightSDS!R$5*$AG361^5+WeightSDS!S$5*$AG361^4+WeightSDS!T$5*$AG361^3+WeightSDS!U$5*$AG361^2+WeightSDS!V$5*$AG361+WeightSDS!W$5,IF($AG361&lt;186,WeightSDS!P$8*$AG361^7+WeightSDS!Q$8*$AG361^6+WeightSDS!R$8*$AG361^5+WeightSDS!S$8*$AG361^4+WeightSDS!T$8*$AG361^3+WeightSDS!U$8*$AG361^2+WeightSDS!V$8*$AG361+WeightSDS!W$8,WeightSDS!$U$9-WeightSDS!$V$9*($AG361-WeightSDS!$W$9)))</f>
        <v>0.75407122999999998</v>
      </c>
      <c r="AJ361" s="24">
        <f>IF(D361="M",IF($AG361&lt;45,WeightSDS!M$23*$AG361^10+WeightSDS!N$23*$AG361^9+WeightSDS!O$23*$AG361^8+WeightSDS!P$23*$AG361^7+WeightSDS!Q$23*$AG361^6+WeightSDS!R$23*$AG361^5+WeightSDS!S$23*$AG361^4+WeightSDS!T$23*$AG361^3+WeightSDS!U$23*$AG361^2+WeightSDS!V$23*$AG361+WeightSDS!W$23,IF($AG361&lt;153,WeightSDS!M$25*$AG361^10+WeightSDS!N$25*$AG361^9+WeightSDS!O$25*$AG361^8+WeightSDS!P$25*$AG361^7+WeightSDS!Q$25*$AG361^6+WeightSDS!R$25*$AG361^5+WeightSDS!S$25*$AG361^4+WeightSDS!T$25*$AG361^3+WeightSDS!U$25*$AG361^2+WeightSDS!V$25*$AG361+WeightSDS!W$25,WeightSDS!M$27+WeightSDS!N$27/(1+EXP(WeightSDS!O$27+WeightSDS!P$27*$AG361)))),IF($AG361&lt;43.8,WeightSDS!M$29*$AG361^10+WeightSDS!N$29*$AG361^9+WeightSDS!O$29*$AG361^8+WeightSDS!P$29*$AG361^7+WeightSDS!Q$29*$AG361^6+WeightSDS!R$29*$AG361^5+WeightSDS!S$29*$AG361^4+WeightSDS!T$29*$AG361^3+WeightSDS!U$29*$AG361^2+WeightSDS!V$29*$AG361+WeightSDS!W$29-0.010431*(1-$AG361/210),IF($AG361&lt;123,WeightSDS!M$30*$AG361^10+WeightSDS!N$30*$AG361^9+WeightSDS!O$30*$AG361^8+WeightSDS!P$30*$AG361^7+WeightSDS!Q$30*$AG361^6+WeightSDS!R$30*$AG361^5+WeightSDS!S$30*$AG361^4+WeightSDS!T$30*$AG361^3+WeightSDS!U$30*$AG361^2+WeightSDS!V$30*$AG361+WeightSDS!W$30-0.010431*(1-1/$AG361),WeightSDS!M$32+WeightSDS!N$32/(1+EXP(WeightSDS!O$32+WeightSDS!P$32*$AG361))-0.010431*(1-$AG361/210))))</f>
        <v>2.9500001032655536</v>
      </c>
      <c r="AK361" s="24">
        <f>IF(D361="M",IF($AG361&lt;162,WeightSDS!P$12*$AG361^7+WeightSDS!Q$12*$AG361^6+WeightSDS!R$12*$AG361^5+WeightSDS!S$12*$AG361^4+WeightSDS!T$12*$AG361^3+WeightSDS!U$12*$AG361^2+WeightSDS!V$12*$AG361+WeightSDS!W$12,WeightSDS!P$14*$AG361^7+WeightSDS!Q$14*$AG361^6+WeightSDS!R$14*$AG361^5+WeightSDS!S$14*$AG361^4+WeightSDS!T$14*$AG361^3+WeightSDS!U$14*$AG361^2+WeightSDS!V$14*$AG361+WeightSDS!W$14),IF($AG361&lt;156,WeightSDS!O$17*$AG361^8+WeightSDS!P$17*$AG361^7+WeightSDS!Q$17*$AG361^6+WeightSDS!R$17*$AG361^5+WeightSDS!S$17*$AG361^4+WeightSDS!T$17*$AG361^3+WeightSDS!U$17*$AG361^2+WeightSDS!V$17*$AG361+WeightSDS!W$17,IF($AG361&lt;186,WeightSDS!$U$18+(WeightSDS!$V$18-WeightSDS!$U$18)/24*($AG361-186)+WeightSDS!$W$18*(-$AG361+186)^2-0.005,WeightSDS!$U$18+(WeightSDS!$V$18-WeightSDS!$U$18)/24*($AG361-186)-0.005)))</f>
        <v>0.14604529399999999</v>
      </c>
    </row>
    <row r="362" spans="1:37">
      <c r="A362" s="4"/>
      <c r="B362" s="21"/>
      <c r="C362" s="21"/>
      <c r="D362" s="21"/>
      <c r="E362" s="22"/>
      <c r="F362" s="22"/>
      <c r="G362" s="23"/>
      <c r="H362" s="23"/>
      <c r="I362" s="8" t="str">
        <f t="shared" si="82"/>
        <v/>
      </c>
      <c r="J362" s="2" t="str">
        <f t="shared" si="89"/>
        <v/>
      </c>
      <c r="K362" s="2" t="str">
        <f t="shared" si="83"/>
        <v/>
      </c>
      <c r="L362" s="2" t="str">
        <f t="shared" si="90"/>
        <v/>
      </c>
      <c r="M362" s="2" t="str">
        <f t="shared" si="95"/>
        <v/>
      </c>
      <c r="N362" s="2" t="str">
        <f t="shared" si="91"/>
        <v/>
      </c>
      <c r="O362" s="8" t="str">
        <f t="shared" si="92"/>
        <v/>
      </c>
      <c r="P362" s="8" t="str">
        <f t="shared" si="93"/>
        <v/>
      </c>
      <c r="Q362" s="40" t="str">
        <f t="shared" si="84"/>
        <v/>
      </c>
      <c r="R362" s="48" t="str">
        <f t="shared" si="94"/>
        <v/>
      </c>
      <c r="S362" s="8"/>
      <c r="U362" s="35">
        <f t="shared" si="85"/>
        <v>0</v>
      </c>
      <c r="V362" s="24">
        <f t="shared" si="86"/>
        <v>0</v>
      </c>
      <c r="W362" s="41">
        <f t="shared" si="97"/>
        <v>0</v>
      </c>
      <c r="X362" s="31"/>
      <c r="Y362" s="31"/>
      <c r="Z362" s="31"/>
      <c r="AA362" s="25">
        <f t="shared" si="87"/>
        <v>9.0359999999999996</v>
      </c>
      <c r="AB362" s="25">
        <f t="shared" si="88"/>
        <v>-184.49199999999999</v>
      </c>
      <c r="AD362" s="24">
        <f>IF(D362="M",IF(AG362&lt;78,BMILMS!$D$5*AG362^3+BMILMS!$E$5*AG362^2+BMILMS!$F$5*AG362+BMILMS!$G$5,IF(AG362&lt;150,BMILMS!$D$6*AG362^3+BMILMS!$E$6*AG362^2+BMILMS!$F$6*AG362+BMILMS!$G$6,BMILMS!$D$7*AG362^3+BMILMS!$E$7*AG362^2+BMILMS!$F$7*AG362+BMILMS!$G$7)),IF(AG362&lt;69,BMILMS!$D$9*AG362^3+BMILMS!$E$9*AG362^2+BMILMS!$F$9*AG362+BMILMS!$G$9,IF(AG362&lt;150,BMILMS!$D$10*AG362^3+BMILMS!$E$10*AG362^2+BMILMS!$F$10*AG362+BMILMS!$G$10,BMILMS!$D$11*AG362^3+BMILMS!$E$11*AG362^2+BMILMS!$F$11*AG362+BMILMS!$G$11)))</f>
        <v>0.79584630099999998</v>
      </c>
      <c r="AE362" s="24">
        <f>IF(D362="M",(IF(AG362&lt;2.5,BMILMS!$D$21*AG362^3+BMILMS!$E$21*AG362^2+BMILMS!$F$21*AG362+BMILMS!$G$21,IF(AG362&lt;9.5,BMILMS!$D$22*AG362^3+BMILMS!$E$22*AG362^2+BMILMS!$F$22*AG362+BMILMS!$G$22,IF(AG362&lt;26.75,BMILMS!$D$23*AG362^3+BMILMS!$E$23*AG362^2+BMILMS!$F$23*AG362+BMILMS!$G$23,IF(AG362&lt;90,BMILMS!$D$24*AG362^3+BMILMS!$E$24*AG362^2+BMILMS!$F$24*AG362+BMILMS!$G$24,BMILMS!$D$25*AG362^3+BMILMS!$E$25*AG362^2+BMILMS!$F$25*AG362+BMILMS!$G$25))))),(IF(AG362&lt;2.5,BMILMS!$D$27*AG362^3+BMILMS!$E$27*AG362^2+BMILMS!$F$27*AG362+BMILMS!$G$27,IF(AG362&lt;9.5,BMILMS!$D$28*AG362^3+BMILMS!$E$28*AG362^2+BMILMS!$F$28*AG362+BMILMS!$G$28,IF(AG362&lt;26.75,BMILMS!$D$29*AG362^3+BMILMS!$E$29*AG362^2+BMILMS!$F$29*AG362+BMILMS!$G$29,IF(AG362&lt;90,BMILMS!$D$30*AG362^3+BMILMS!$E$30*AG362^2+BMILMS!$F$30*AG362+BMILMS!$G$30,IF(AG362&lt;150,BMILMS!$D$31*AG362^3+BMILMS!$E$31*AG362^2+BMILMS!$F$31*AG362+BMILMS!$G$31,BMILMS!$D$32*AG362^3+BMILMS!$E$32*AG362^2+BMILMS!$F$32*AG362+BMILMS!$G$32)))))))</f>
        <v>12.568967990000001</v>
      </c>
      <c r="AF362" s="24">
        <f>IF(D362="M",(IF(AG362&lt;90,BMILMS!$D$14*AG362^3+BMILMS!$E$14*AG362^2+BMILMS!$F$14*AG362+BMILMS!$G$14,BMILMS!$D$15*AG362^3+BMILMS!$E$15*AG362^2+BMILMS!$F$15*AG362+BMILMS!$G$15)),(IF(AG362&lt;90,BMILMS!$D$17*AG362^3+BMILMS!$E$17*AG362^2+BMILMS!$F$17*AG362+BMILMS!$G$17,BMILMS!$D$18*AG362^3+BMILMS!$E$18*AG362^2+BMILMS!$F$18*AG362+BMILMS!$G$18)))</f>
        <v>8.8969350000000003E-2</v>
      </c>
      <c r="AG362" s="24">
        <f t="shared" si="96"/>
        <v>0</v>
      </c>
      <c r="AI362" s="38">
        <f>IF(D362="M",WeightSDS!P$5*$AG362^7+WeightSDS!Q$5*$AG362^6+WeightSDS!R$5*$AG362^5+WeightSDS!S$5*$AG362^4+WeightSDS!T$5*$AG362^3+WeightSDS!U$5*$AG362^2+WeightSDS!V$5*$AG362+WeightSDS!W$5,IF($AG362&lt;186,WeightSDS!P$8*$AG362^7+WeightSDS!Q$8*$AG362^6+WeightSDS!R$8*$AG362^5+WeightSDS!S$8*$AG362^4+WeightSDS!T$8*$AG362^3+WeightSDS!U$8*$AG362^2+WeightSDS!V$8*$AG362+WeightSDS!W$8,WeightSDS!$U$9-WeightSDS!$V$9*($AG362-WeightSDS!$W$9)))</f>
        <v>0.75407122999999998</v>
      </c>
      <c r="AJ362" s="24">
        <f>IF(D362="M",IF($AG362&lt;45,WeightSDS!M$23*$AG362^10+WeightSDS!N$23*$AG362^9+WeightSDS!O$23*$AG362^8+WeightSDS!P$23*$AG362^7+WeightSDS!Q$23*$AG362^6+WeightSDS!R$23*$AG362^5+WeightSDS!S$23*$AG362^4+WeightSDS!T$23*$AG362^3+WeightSDS!U$23*$AG362^2+WeightSDS!V$23*$AG362+WeightSDS!W$23,IF($AG362&lt;153,WeightSDS!M$25*$AG362^10+WeightSDS!N$25*$AG362^9+WeightSDS!O$25*$AG362^8+WeightSDS!P$25*$AG362^7+WeightSDS!Q$25*$AG362^6+WeightSDS!R$25*$AG362^5+WeightSDS!S$25*$AG362^4+WeightSDS!T$25*$AG362^3+WeightSDS!U$25*$AG362^2+WeightSDS!V$25*$AG362+WeightSDS!W$25,WeightSDS!M$27+WeightSDS!N$27/(1+EXP(WeightSDS!O$27+WeightSDS!P$27*$AG362)))),IF($AG362&lt;43.8,WeightSDS!M$29*$AG362^10+WeightSDS!N$29*$AG362^9+WeightSDS!O$29*$AG362^8+WeightSDS!P$29*$AG362^7+WeightSDS!Q$29*$AG362^6+WeightSDS!R$29*$AG362^5+WeightSDS!S$29*$AG362^4+WeightSDS!T$29*$AG362^3+WeightSDS!U$29*$AG362^2+WeightSDS!V$29*$AG362+WeightSDS!W$29-0.010431*(1-$AG362/210),IF($AG362&lt;123,WeightSDS!M$30*$AG362^10+WeightSDS!N$30*$AG362^9+WeightSDS!O$30*$AG362^8+WeightSDS!P$30*$AG362^7+WeightSDS!Q$30*$AG362^6+WeightSDS!R$30*$AG362^5+WeightSDS!S$30*$AG362^4+WeightSDS!T$30*$AG362^3+WeightSDS!U$30*$AG362^2+WeightSDS!V$30*$AG362+WeightSDS!W$30-0.010431*(1-1/$AG362),WeightSDS!M$32+WeightSDS!N$32/(1+EXP(WeightSDS!O$32+WeightSDS!P$32*$AG362))-0.010431*(1-$AG362/210))))</f>
        <v>2.9500001032655536</v>
      </c>
      <c r="AK362" s="24">
        <f>IF(D362="M",IF($AG362&lt;162,WeightSDS!P$12*$AG362^7+WeightSDS!Q$12*$AG362^6+WeightSDS!R$12*$AG362^5+WeightSDS!S$12*$AG362^4+WeightSDS!T$12*$AG362^3+WeightSDS!U$12*$AG362^2+WeightSDS!V$12*$AG362+WeightSDS!W$12,WeightSDS!P$14*$AG362^7+WeightSDS!Q$14*$AG362^6+WeightSDS!R$14*$AG362^5+WeightSDS!S$14*$AG362^4+WeightSDS!T$14*$AG362^3+WeightSDS!U$14*$AG362^2+WeightSDS!V$14*$AG362+WeightSDS!W$14),IF($AG362&lt;156,WeightSDS!O$17*$AG362^8+WeightSDS!P$17*$AG362^7+WeightSDS!Q$17*$AG362^6+WeightSDS!R$17*$AG362^5+WeightSDS!S$17*$AG362^4+WeightSDS!T$17*$AG362^3+WeightSDS!U$17*$AG362^2+WeightSDS!V$17*$AG362+WeightSDS!W$17,IF($AG362&lt;186,WeightSDS!$U$18+(WeightSDS!$V$18-WeightSDS!$U$18)/24*($AG362-186)+WeightSDS!$W$18*(-$AG362+186)^2-0.005,WeightSDS!$U$18+(WeightSDS!$V$18-WeightSDS!$U$18)/24*($AG362-186)-0.005)))</f>
        <v>0.14604529399999999</v>
      </c>
    </row>
    <row r="363" spans="1:37">
      <c r="A363" s="4"/>
      <c r="B363" s="21"/>
      <c r="C363" s="21"/>
      <c r="D363" s="21"/>
      <c r="E363" s="22"/>
      <c r="F363" s="22"/>
      <c r="G363" s="23"/>
      <c r="H363" s="23"/>
      <c r="I363" s="8" t="str">
        <f t="shared" si="82"/>
        <v/>
      </c>
      <c r="J363" s="2" t="str">
        <f t="shared" si="89"/>
        <v/>
      </c>
      <c r="K363" s="2" t="str">
        <f t="shared" si="83"/>
        <v/>
      </c>
      <c r="L363" s="2" t="str">
        <f t="shared" si="90"/>
        <v/>
      </c>
      <c r="M363" s="2" t="str">
        <f t="shared" si="95"/>
        <v/>
      </c>
      <c r="N363" s="2" t="str">
        <f t="shared" si="91"/>
        <v/>
      </c>
      <c r="O363" s="8" t="str">
        <f t="shared" si="92"/>
        <v/>
      </c>
      <c r="P363" s="8" t="str">
        <f t="shared" si="93"/>
        <v/>
      </c>
      <c r="Q363" s="40" t="str">
        <f t="shared" si="84"/>
        <v/>
      </c>
      <c r="R363" s="48" t="str">
        <f t="shared" si="94"/>
        <v/>
      </c>
      <c r="S363" s="8"/>
      <c r="U363" s="35">
        <f t="shared" si="85"/>
        <v>0</v>
      </c>
      <c r="V363" s="24">
        <f t="shared" si="86"/>
        <v>0</v>
      </c>
      <c r="W363" s="41">
        <f t="shared" si="97"/>
        <v>0</v>
      </c>
      <c r="X363" s="31"/>
      <c r="Y363" s="31"/>
      <c r="Z363" s="31"/>
      <c r="AA363" s="25">
        <f t="shared" si="87"/>
        <v>9.0359999999999996</v>
      </c>
      <c r="AB363" s="25">
        <f t="shared" si="88"/>
        <v>-184.49199999999999</v>
      </c>
      <c r="AD363" s="24">
        <f>IF(D363="M",IF(AG363&lt;78,BMILMS!$D$5*AG363^3+BMILMS!$E$5*AG363^2+BMILMS!$F$5*AG363+BMILMS!$G$5,IF(AG363&lt;150,BMILMS!$D$6*AG363^3+BMILMS!$E$6*AG363^2+BMILMS!$F$6*AG363+BMILMS!$G$6,BMILMS!$D$7*AG363^3+BMILMS!$E$7*AG363^2+BMILMS!$F$7*AG363+BMILMS!$G$7)),IF(AG363&lt;69,BMILMS!$D$9*AG363^3+BMILMS!$E$9*AG363^2+BMILMS!$F$9*AG363+BMILMS!$G$9,IF(AG363&lt;150,BMILMS!$D$10*AG363^3+BMILMS!$E$10*AG363^2+BMILMS!$F$10*AG363+BMILMS!$G$10,BMILMS!$D$11*AG363^3+BMILMS!$E$11*AG363^2+BMILMS!$F$11*AG363+BMILMS!$G$11)))</f>
        <v>0.79584630099999998</v>
      </c>
      <c r="AE363" s="24">
        <f>IF(D363="M",(IF(AG363&lt;2.5,BMILMS!$D$21*AG363^3+BMILMS!$E$21*AG363^2+BMILMS!$F$21*AG363+BMILMS!$G$21,IF(AG363&lt;9.5,BMILMS!$D$22*AG363^3+BMILMS!$E$22*AG363^2+BMILMS!$F$22*AG363+BMILMS!$G$22,IF(AG363&lt;26.75,BMILMS!$D$23*AG363^3+BMILMS!$E$23*AG363^2+BMILMS!$F$23*AG363+BMILMS!$G$23,IF(AG363&lt;90,BMILMS!$D$24*AG363^3+BMILMS!$E$24*AG363^2+BMILMS!$F$24*AG363+BMILMS!$G$24,BMILMS!$D$25*AG363^3+BMILMS!$E$25*AG363^2+BMILMS!$F$25*AG363+BMILMS!$G$25))))),(IF(AG363&lt;2.5,BMILMS!$D$27*AG363^3+BMILMS!$E$27*AG363^2+BMILMS!$F$27*AG363+BMILMS!$G$27,IF(AG363&lt;9.5,BMILMS!$D$28*AG363^3+BMILMS!$E$28*AG363^2+BMILMS!$F$28*AG363+BMILMS!$G$28,IF(AG363&lt;26.75,BMILMS!$D$29*AG363^3+BMILMS!$E$29*AG363^2+BMILMS!$F$29*AG363+BMILMS!$G$29,IF(AG363&lt;90,BMILMS!$D$30*AG363^3+BMILMS!$E$30*AG363^2+BMILMS!$F$30*AG363+BMILMS!$G$30,IF(AG363&lt;150,BMILMS!$D$31*AG363^3+BMILMS!$E$31*AG363^2+BMILMS!$F$31*AG363+BMILMS!$G$31,BMILMS!$D$32*AG363^3+BMILMS!$E$32*AG363^2+BMILMS!$F$32*AG363+BMILMS!$G$32)))))))</f>
        <v>12.568967990000001</v>
      </c>
      <c r="AF363" s="24">
        <f>IF(D363="M",(IF(AG363&lt;90,BMILMS!$D$14*AG363^3+BMILMS!$E$14*AG363^2+BMILMS!$F$14*AG363+BMILMS!$G$14,BMILMS!$D$15*AG363^3+BMILMS!$E$15*AG363^2+BMILMS!$F$15*AG363+BMILMS!$G$15)),(IF(AG363&lt;90,BMILMS!$D$17*AG363^3+BMILMS!$E$17*AG363^2+BMILMS!$F$17*AG363+BMILMS!$G$17,BMILMS!$D$18*AG363^3+BMILMS!$E$18*AG363^2+BMILMS!$F$18*AG363+BMILMS!$G$18)))</f>
        <v>8.8969350000000003E-2</v>
      </c>
      <c r="AG363" s="24">
        <f t="shared" si="96"/>
        <v>0</v>
      </c>
      <c r="AI363" s="38">
        <f>IF(D363="M",WeightSDS!P$5*$AG363^7+WeightSDS!Q$5*$AG363^6+WeightSDS!R$5*$AG363^5+WeightSDS!S$5*$AG363^4+WeightSDS!T$5*$AG363^3+WeightSDS!U$5*$AG363^2+WeightSDS!V$5*$AG363+WeightSDS!W$5,IF($AG363&lt;186,WeightSDS!P$8*$AG363^7+WeightSDS!Q$8*$AG363^6+WeightSDS!R$8*$AG363^5+WeightSDS!S$8*$AG363^4+WeightSDS!T$8*$AG363^3+WeightSDS!U$8*$AG363^2+WeightSDS!V$8*$AG363+WeightSDS!W$8,WeightSDS!$U$9-WeightSDS!$V$9*($AG363-WeightSDS!$W$9)))</f>
        <v>0.75407122999999998</v>
      </c>
      <c r="AJ363" s="24">
        <f>IF(D363="M",IF($AG363&lt;45,WeightSDS!M$23*$AG363^10+WeightSDS!N$23*$AG363^9+WeightSDS!O$23*$AG363^8+WeightSDS!P$23*$AG363^7+WeightSDS!Q$23*$AG363^6+WeightSDS!R$23*$AG363^5+WeightSDS!S$23*$AG363^4+WeightSDS!T$23*$AG363^3+WeightSDS!U$23*$AG363^2+WeightSDS!V$23*$AG363+WeightSDS!W$23,IF($AG363&lt;153,WeightSDS!M$25*$AG363^10+WeightSDS!N$25*$AG363^9+WeightSDS!O$25*$AG363^8+WeightSDS!P$25*$AG363^7+WeightSDS!Q$25*$AG363^6+WeightSDS!R$25*$AG363^5+WeightSDS!S$25*$AG363^4+WeightSDS!T$25*$AG363^3+WeightSDS!U$25*$AG363^2+WeightSDS!V$25*$AG363+WeightSDS!W$25,WeightSDS!M$27+WeightSDS!N$27/(1+EXP(WeightSDS!O$27+WeightSDS!P$27*$AG363)))),IF($AG363&lt;43.8,WeightSDS!M$29*$AG363^10+WeightSDS!N$29*$AG363^9+WeightSDS!O$29*$AG363^8+WeightSDS!P$29*$AG363^7+WeightSDS!Q$29*$AG363^6+WeightSDS!R$29*$AG363^5+WeightSDS!S$29*$AG363^4+WeightSDS!T$29*$AG363^3+WeightSDS!U$29*$AG363^2+WeightSDS!V$29*$AG363+WeightSDS!W$29-0.010431*(1-$AG363/210),IF($AG363&lt;123,WeightSDS!M$30*$AG363^10+WeightSDS!N$30*$AG363^9+WeightSDS!O$30*$AG363^8+WeightSDS!P$30*$AG363^7+WeightSDS!Q$30*$AG363^6+WeightSDS!R$30*$AG363^5+WeightSDS!S$30*$AG363^4+WeightSDS!T$30*$AG363^3+WeightSDS!U$30*$AG363^2+WeightSDS!V$30*$AG363+WeightSDS!W$30-0.010431*(1-1/$AG363),WeightSDS!M$32+WeightSDS!N$32/(1+EXP(WeightSDS!O$32+WeightSDS!P$32*$AG363))-0.010431*(1-$AG363/210))))</f>
        <v>2.9500001032655536</v>
      </c>
      <c r="AK363" s="24">
        <f>IF(D363="M",IF($AG363&lt;162,WeightSDS!P$12*$AG363^7+WeightSDS!Q$12*$AG363^6+WeightSDS!R$12*$AG363^5+WeightSDS!S$12*$AG363^4+WeightSDS!T$12*$AG363^3+WeightSDS!U$12*$AG363^2+WeightSDS!V$12*$AG363+WeightSDS!W$12,WeightSDS!P$14*$AG363^7+WeightSDS!Q$14*$AG363^6+WeightSDS!R$14*$AG363^5+WeightSDS!S$14*$AG363^4+WeightSDS!T$14*$AG363^3+WeightSDS!U$14*$AG363^2+WeightSDS!V$14*$AG363+WeightSDS!W$14),IF($AG363&lt;156,WeightSDS!O$17*$AG363^8+WeightSDS!P$17*$AG363^7+WeightSDS!Q$17*$AG363^6+WeightSDS!R$17*$AG363^5+WeightSDS!S$17*$AG363^4+WeightSDS!T$17*$AG363^3+WeightSDS!U$17*$AG363^2+WeightSDS!V$17*$AG363+WeightSDS!W$17,IF($AG363&lt;186,WeightSDS!$U$18+(WeightSDS!$V$18-WeightSDS!$U$18)/24*($AG363-186)+WeightSDS!$W$18*(-$AG363+186)^2-0.005,WeightSDS!$U$18+(WeightSDS!$V$18-WeightSDS!$U$18)/24*($AG363-186)-0.005)))</f>
        <v>0.14604529399999999</v>
      </c>
    </row>
    <row r="364" spans="1:37">
      <c r="A364" s="4"/>
      <c r="B364" s="21"/>
      <c r="C364" s="21"/>
      <c r="D364" s="21"/>
      <c r="E364" s="22"/>
      <c r="F364" s="22"/>
      <c r="G364" s="23"/>
      <c r="H364" s="23"/>
      <c r="I364" s="8" t="str">
        <f t="shared" si="82"/>
        <v/>
      </c>
      <c r="J364" s="2" t="str">
        <f t="shared" si="89"/>
        <v/>
      </c>
      <c r="K364" s="2" t="str">
        <f t="shared" si="83"/>
        <v/>
      </c>
      <c r="L364" s="2" t="str">
        <f t="shared" si="90"/>
        <v/>
      </c>
      <c r="M364" s="2" t="str">
        <f t="shared" si="95"/>
        <v/>
      </c>
      <c r="N364" s="2" t="str">
        <f t="shared" si="91"/>
        <v/>
      </c>
      <c r="O364" s="8" t="str">
        <f t="shared" si="92"/>
        <v/>
      </c>
      <c r="P364" s="8" t="str">
        <f t="shared" si="93"/>
        <v/>
      </c>
      <c r="Q364" s="40" t="str">
        <f t="shared" si="84"/>
        <v/>
      </c>
      <c r="R364" s="48" t="str">
        <f t="shared" si="94"/>
        <v/>
      </c>
      <c r="S364" s="8"/>
      <c r="U364" s="35">
        <f t="shared" si="85"/>
        <v>0</v>
      </c>
      <c r="V364" s="24">
        <f t="shared" si="86"/>
        <v>0</v>
      </c>
      <c r="W364" s="41">
        <f t="shared" si="97"/>
        <v>0</v>
      </c>
      <c r="X364" s="31"/>
      <c r="Y364" s="31"/>
      <c r="Z364" s="31"/>
      <c r="AA364" s="25">
        <f t="shared" si="87"/>
        <v>9.0359999999999996</v>
      </c>
      <c r="AB364" s="25">
        <f t="shared" si="88"/>
        <v>-184.49199999999999</v>
      </c>
      <c r="AD364" s="24">
        <f>IF(D364="M",IF(AG364&lt;78,BMILMS!$D$5*AG364^3+BMILMS!$E$5*AG364^2+BMILMS!$F$5*AG364+BMILMS!$G$5,IF(AG364&lt;150,BMILMS!$D$6*AG364^3+BMILMS!$E$6*AG364^2+BMILMS!$F$6*AG364+BMILMS!$G$6,BMILMS!$D$7*AG364^3+BMILMS!$E$7*AG364^2+BMILMS!$F$7*AG364+BMILMS!$G$7)),IF(AG364&lt;69,BMILMS!$D$9*AG364^3+BMILMS!$E$9*AG364^2+BMILMS!$F$9*AG364+BMILMS!$G$9,IF(AG364&lt;150,BMILMS!$D$10*AG364^3+BMILMS!$E$10*AG364^2+BMILMS!$F$10*AG364+BMILMS!$G$10,BMILMS!$D$11*AG364^3+BMILMS!$E$11*AG364^2+BMILMS!$F$11*AG364+BMILMS!$G$11)))</f>
        <v>0.79584630099999998</v>
      </c>
      <c r="AE364" s="24">
        <f>IF(D364="M",(IF(AG364&lt;2.5,BMILMS!$D$21*AG364^3+BMILMS!$E$21*AG364^2+BMILMS!$F$21*AG364+BMILMS!$G$21,IF(AG364&lt;9.5,BMILMS!$D$22*AG364^3+BMILMS!$E$22*AG364^2+BMILMS!$F$22*AG364+BMILMS!$G$22,IF(AG364&lt;26.75,BMILMS!$D$23*AG364^3+BMILMS!$E$23*AG364^2+BMILMS!$F$23*AG364+BMILMS!$G$23,IF(AG364&lt;90,BMILMS!$D$24*AG364^3+BMILMS!$E$24*AG364^2+BMILMS!$F$24*AG364+BMILMS!$G$24,BMILMS!$D$25*AG364^3+BMILMS!$E$25*AG364^2+BMILMS!$F$25*AG364+BMILMS!$G$25))))),(IF(AG364&lt;2.5,BMILMS!$D$27*AG364^3+BMILMS!$E$27*AG364^2+BMILMS!$F$27*AG364+BMILMS!$G$27,IF(AG364&lt;9.5,BMILMS!$D$28*AG364^3+BMILMS!$E$28*AG364^2+BMILMS!$F$28*AG364+BMILMS!$G$28,IF(AG364&lt;26.75,BMILMS!$D$29*AG364^3+BMILMS!$E$29*AG364^2+BMILMS!$F$29*AG364+BMILMS!$G$29,IF(AG364&lt;90,BMILMS!$D$30*AG364^3+BMILMS!$E$30*AG364^2+BMILMS!$F$30*AG364+BMILMS!$G$30,IF(AG364&lt;150,BMILMS!$D$31*AG364^3+BMILMS!$E$31*AG364^2+BMILMS!$F$31*AG364+BMILMS!$G$31,BMILMS!$D$32*AG364^3+BMILMS!$E$32*AG364^2+BMILMS!$F$32*AG364+BMILMS!$G$32)))))))</f>
        <v>12.568967990000001</v>
      </c>
      <c r="AF364" s="24">
        <f>IF(D364="M",(IF(AG364&lt;90,BMILMS!$D$14*AG364^3+BMILMS!$E$14*AG364^2+BMILMS!$F$14*AG364+BMILMS!$G$14,BMILMS!$D$15*AG364^3+BMILMS!$E$15*AG364^2+BMILMS!$F$15*AG364+BMILMS!$G$15)),(IF(AG364&lt;90,BMILMS!$D$17*AG364^3+BMILMS!$E$17*AG364^2+BMILMS!$F$17*AG364+BMILMS!$G$17,BMILMS!$D$18*AG364^3+BMILMS!$E$18*AG364^2+BMILMS!$F$18*AG364+BMILMS!$G$18)))</f>
        <v>8.8969350000000003E-2</v>
      </c>
      <c r="AG364" s="24">
        <f t="shared" si="96"/>
        <v>0</v>
      </c>
      <c r="AI364" s="38">
        <f>IF(D364="M",WeightSDS!P$5*$AG364^7+WeightSDS!Q$5*$AG364^6+WeightSDS!R$5*$AG364^5+WeightSDS!S$5*$AG364^4+WeightSDS!T$5*$AG364^3+WeightSDS!U$5*$AG364^2+WeightSDS!V$5*$AG364+WeightSDS!W$5,IF($AG364&lt;186,WeightSDS!P$8*$AG364^7+WeightSDS!Q$8*$AG364^6+WeightSDS!R$8*$AG364^5+WeightSDS!S$8*$AG364^4+WeightSDS!T$8*$AG364^3+WeightSDS!U$8*$AG364^2+WeightSDS!V$8*$AG364+WeightSDS!W$8,WeightSDS!$U$9-WeightSDS!$V$9*($AG364-WeightSDS!$W$9)))</f>
        <v>0.75407122999999998</v>
      </c>
      <c r="AJ364" s="24">
        <f>IF(D364="M",IF($AG364&lt;45,WeightSDS!M$23*$AG364^10+WeightSDS!N$23*$AG364^9+WeightSDS!O$23*$AG364^8+WeightSDS!P$23*$AG364^7+WeightSDS!Q$23*$AG364^6+WeightSDS!R$23*$AG364^5+WeightSDS!S$23*$AG364^4+WeightSDS!T$23*$AG364^3+WeightSDS!U$23*$AG364^2+WeightSDS!V$23*$AG364+WeightSDS!W$23,IF($AG364&lt;153,WeightSDS!M$25*$AG364^10+WeightSDS!N$25*$AG364^9+WeightSDS!O$25*$AG364^8+WeightSDS!P$25*$AG364^7+WeightSDS!Q$25*$AG364^6+WeightSDS!R$25*$AG364^5+WeightSDS!S$25*$AG364^4+WeightSDS!T$25*$AG364^3+WeightSDS!U$25*$AG364^2+WeightSDS!V$25*$AG364+WeightSDS!W$25,WeightSDS!M$27+WeightSDS!N$27/(1+EXP(WeightSDS!O$27+WeightSDS!P$27*$AG364)))),IF($AG364&lt;43.8,WeightSDS!M$29*$AG364^10+WeightSDS!N$29*$AG364^9+WeightSDS!O$29*$AG364^8+WeightSDS!P$29*$AG364^7+WeightSDS!Q$29*$AG364^6+WeightSDS!R$29*$AG364^5+WeightSDS!S$29*$AG364^4+WeightSDS!T$29*$AG364^3+WeightSDS!U$29*$AG364^2+WeightSDS!V$29*$AG364+WeightSDS!W$29-0.010431*(1-$AG364/210),IF($AG364&lt;123,WeightSDS!M$30*$AG364^10+WeightSDS!N$30*$AG364^9+WeightSDS!O$30*$AG364^8+WeightSDS!P$30*$AG364^7+WeightSDS!Q$30*$AG364^6+WeightSDS!R$30*$AG364^5+WeightSDS!S$30*$AG364^4+WeightSDS!T$30*$AG364^3+WeightSDS!U$30*$AG364^2+WeightSDS!V$30*$AG364+WeightSDS!W$30-0.010431*(1-1/$AG364),WeightSDS!M$32+WeightSDS!N$32/(1+EXP(WeightSDS!O$32+WeightSDS!P$32*$AG364))-0.010431*(1-$AG364/210))))</f>
        <v>2.9500001032655536</v>
      </c>
      <c r="AK364" s="24">
        <f>IF(D364="M",IF($AG364&lt;162,WeightSDS!P$12*$AG364^7+WeightSDS!Q$12*$AG364^6+WeightSDS!R$12*$AG364^5+WeightSDS!S$12*$AG364^4+WeightSDS!T$12*$AG364^3+WeightSDS!U$12*$AG364^2+WeightSDS!V$12*$AG364+WeightSDS!W$12,WeightSDS!P$14*$AG364^7+WeightSDS!Q$14*$AG364^6+WeightSDS!R$14*$AG364^5+WeightSDS!S$14*$AG364^4+WeightSDS!T$14*$AG364^3+WeightSDS!U$14*$AG364^2+WeightSDS!V$14*$AG364+WeightSDS!W$14),IF($AG364&lt;156,WeightSDS!O$17*$AG364^8+WeightSDS!P$17*$AG364^7+WeightSDS!Q$17*$AG364^6+WeightSDS!R$17*$AG364^5+WeightSDS!S$17*$AG364^4+WeightSDS!T$17*$AG364^3+WeightSDS!U$17*$AG364^2+WeightSDS!V$17*$AG364+WeightSDS!W$17,IF($AG364&lt;186,WeightSDS!$U$18+(WeightSDS!$V$18-WeightSDS!$U$18)/24*($AG364-186)+WeightSDS!$W$18*(-$AG364+186)^2-0.005,WeightSDS!$U$18+(WeightSDS!$V$18-WeightSDS!$U$18)/24*($AG364-186)-0.005)))</f>
        <v>0.14604529399999999</v>
      </c>
    </row>
    <row r="365" spans="1:37">
      <c r="A365" s="4"/>
      <c r="B365" s="21"/>
      <c r="C365" s="21"/>
      <c r="D365" s="21"/>
      <c r="E365" s="22"/>
      <c r="F365" s="22"/>
      <c r="G365" s="23"/>
      <c r="H365" s="23"/>
      <c r="I365" s="8" t="str">
        <f t="shared" si="82"/>
        <v/>
      </c>
      <c r="J365" s="2" t="str">
        <f t="shared" si="89"/>
        <v/>
      </c>
      <c r="K365" s="2" t="str">
        <f t="shared" si="83"/>
        <v/>
      </c>
      <c r="L365" s="2" t="str">
        <f t="shared" si="90"/>
        <v/>
      </c>
      <c r="M365" s="2" t="str">
        <f t="shared" si="95"/>
        <v/>
      </c>
      <c r="N365" s="2" t="str">
        <f t="shared" si="91"/>
        <v/>
      </c>
      <c r="O365" s="8" t="str">
        <f t="shared" si="92"/>
        <v/>
      </c>
      <c r="P365" s="8" t="str">
        <f t="shared" si="93"/>
        <v/>
      </c>
      <c r="Q365" s="40" t="str">
        <f t="shared" si="84"/>
        <v/>
      </c>
      <c r="R365" s="48" t="str">
        <f t="shared" si="94"/>
        <v/>
      </c>
      <c r="S365" s="8"/>
      <c r="U365" s="35">
        <f t="shared" si="85"/>
        <v>0</v>
      </c>
      <c r="V365" s="24">
        <f t="shared" si="86"/>
        <v>0</v>
      </c>
      <c r="W365" s="41">
        <f t="shared" si="97"/>
        <v>0</v>
      </c>
      <c r="X365" s="31"/>
      <c r="Y365" s="31"/>
      <c r="Z365" s="31"/>
      <c r="AA365" s="25">
        <f t="shared" si="87"/>
        <v>9.0359999999999996</v>
      </c>
      <c r="AB365" s="25">
        <f t="shared" si="88"/>
        <v>-184.49199999999999</v>
      </c>
      <c r="AD365" s="24">
        <f>IF(D365="M",IF(AG365&lt;78,BMILMS!$D$5*AG365^3+BMILMS!$E$5*AG365^2+BMILMS!$F$5*AG365+BMILMS!$G$5,IF(AG365&lt;150,BMILMS!$D$6*AG365^3+BMILMS!$E$6*AG365^2+BMILMS!$F$6*AG365+BMILMS!$G$6,BMILMS!$D$7*AG365^3+BMILMS!$E$7*AG365^2+BMILMS!$F$7*AG365+BMILMS!$G$7)),IF(AG365&lt;69,BMILMS!$D$9*AG365^3+BMILMS!$E$9*AG365^2+BMILMS!$F$9*AG365+BMILMS!$G$9,IF(AG365&lt;150,BMILMS!$D$10*AG365^3+BMILMS!$E$10*AG365^2+BMILMS!$F$10*AG365+BMILMS!$G$10,BMILMS!$D$11*AG365^3+BMILMS!$E$11*AG365^2+BMILMS!$F$11*AG365+BMILMS!$G$11)))</f>
        <v>0.79584630099999998</v>
      </c>
      <c r="AE365" s="24">
        <f>IF(D365="M",(IF(AG365&lt;2.5,BMILMS!$D$21*AG365^3+BMILMS!$E$21*AG365^2+BMILMS!$F$21*AG365+BMILMS!$G$21,IF(AG365&lt;9.5,BMILMS!$D$22*AG365^3+BMILMS!$E$22*AG365^2+BMILMS!$F$22*AG365+BMILMS!$G$22,IF(AG365&lt;26.75,BMILMS!$D$23*AG365^3+BMILMS!$E$23*AG365^2+BMILMS!$F$23*AG365+BMILMS!$G$23,IF(AG365&lt;90,BMILMS!$D$24*AG365^3+BMILMS!$E$24*AG365^2+BMILMS!$F$24*AG365+BMILMS!$G$24,BMILMS!$D$25*AG365^3+BMILMS!$E$25*AG365^2+BMILMS!$F$25*AG365+BMILMS!$G$25))))),(IF(AG365&lt;2.5,BMILMS!$D$27*AG365^3+BMILMS!$E$27*AG365^2+BMILMS!$F$27*AG365+BMILMS!$G$27,IF(AG365&lt;9.5,BMILMS!$D$28*AG365^3+BMILMS!$E$28*AG365^2+BMILMS!$F$28*AG365+BMILMS!$G$28,IF(AG365&lt;26.75,BMILMS!$D$29*AG365^3+BMILMS!$E$29*AG365^2+BMILMS!$F$29*AG365+BMILMS!$G$29,IF(AG365&lt;90,BMILMS!$D$30*AG365^3+BMILMS!$E$30*AG365^2+BMILMS!$F$30*AG365+BMILMS!$G$30,IF(AG365&lt;150,BMILMS!$D$31*AG365^3+BMILMS!$E$31*AG365^2+BMILMS!$F$31*AG365+BMILMS!$G$31,BMILMS!$D$32*AG365^3+BMILMS!$E$32*AG365^2+BMILMS!$F$32*AG365+BMILMS!$G$32)))))))</f>
        <v>12.568967990000001</v>
      </c>
      <c r="AF365" s="24">
        <f>IF(D365="M",(IF(AG365&lt;90,BMILMS!$D$14*AG365^3+BMILMS!$E$14*AG365^2+BMILMS!$F$14*AG365+BMILMS!$G$14,BMILMS!$D$15*AG365^3+BMILMS!$E$15*AG365^2+BMILMS!$F$15*AG365+BMILMS!$G$15)),(IF(AG365&lt;90,BMILMS!$D$17*AG365^3+BMILMS!$E$17*AG365^2+BMILMS!$F$17*AG365+BMILMS!$G$17,BMILMS!$D$18*AG365^3+BMILMS!$E$18*AG365^2+BMILMS!$F$18*AG365+BMILMS!$G$18)))</f>
        <v>8.8969350000000003E-2</v>
      </c>
      <c r="AG365" s="24">
        <f t="shared" si="96"/>
        <v>0</v>
      </c>
      <c r="AI365" s="38">
        <f>IF(D365="M",WeightSDS!P$5*$AG365^7+WeightSDS!Q$5*$AG365^6+WeightSDS!R$5*$AG365^5+WeightSDS!S$5*$AG365^4+WeightSDS!T$5*$AG365^3+WeightSDS!U$5*$AG365^2+WeightSDS!V$5*$AG365+WeightSDS!W$5,IF($AG365&lt;186,WeightSDS!P$8*$AG365^7+WeightSDS!Q$8*$AG365^6+WeightSDS!R$8*$AG365^5+WeightSDS!S$8*$AG365^4+WeightSDS!T$8*$AG365^3+WeightSDS!U$8*$AG365^2+WeightSDS!V$8*$AG365+WeightSDS!W$8,WeightSDS!$U$9-WeightSDS!$V$9*($AG365-WeightSDS!$W$9)))</f>
        <v>0.75407122999999998</v>
      </c>
      <c r="AJ365" s="24">
        <f>IF(D365="M",IF($AG365&lt;45,WeightSDS!M$23*$AG365^10+WeightSDS!N$23*$AG365^9+WeightSDS!O$23*$AG365^8+WeightSDS!P$23*$AG365^7+WeightSDS!Q$23*$AG365^6+WeightSDS!R$23*$AG365^5+WeightSDS!S$23*$AG365^4+WeightSDS!T$23*$AG365^3+WeightSDS!U$23*$AG365^2+WeightSDS!V$23*$AG365+WeightSDS!W$23,IF($AG365&lt;153,WeightSDS!M$25*$AG365^10+WeightSDS!N$25*$AG365^9+WeightSDS!O$25*$AG365^8+WeightSDS!P$25*$AG365^7+WeightSDS!Q$25*$AG365^6+WeightSDS!R$25*$AG365^5+WeightSDS!S$25*$AG365^4+WeightSDS!T$25*$AG365^3+WeightSDS!U$25*$AG365^2+WeightSDS!V$25*$AG365+WeightSDS!W$25,WeightSDS!M$27+WeightSDS!N$27/(1+EXP(WeightSDS!O$27+WeightSDS!P$27*$AG365)))),IF($AG365&lt;43.8,WeightSDS!M$29*$AG365^10+WeightSDS!N$29*$AG365^9+WeightSDS!O$29*$AG365^8+WeightSDS!P$29*$AG365^7+WeightSDS!Q$29*$AG365^6+WeightSDS!R$29*$AG365^5+WeightSDS!S$29*$AG365^4+WeightSDS!T$29*$AG365^3+WeightSDS!U$29*$AG365^2+WeightSDS!V$29*$AG365+WeightSDS!W$29-0.010431*(1-$AG365/210),IF($AG365&lt;123,WeightSDS!M$30*$AG365^10+WeightSDS!N$30*$AG365^9+WeightSDS!O$30*$AG365^8+WeightSDS!P$30*$AG365^7+WeightSDS!Q$30*$AG365^6+WeightSDS!R$30*$AG365^5+WeightSDS!S$30*$AG365^4+WeightSDS!T$30*$AG365^3+WeightSDS!U$30*$AG365^2+WeightSDS!V$30*$AG365+WeightSDS!W$30-0.010431*(1-1/$AG365),WeightSDS!M$32+WeightSDS!N$32/(1+EXP(WeightSDS!O$32+WeightSDS!P$32*$AG365))-0.010431*(1-$AG365/210))))</f>
        <v>2.9500001032655536</v>
      </c>
      <c r="AK365" s="24">
        <f>IF(D365="M",IF($AG365&lt;162,WeightSDS!P$12*$AG365^7+WeightSDS!Q$12*$AG365^6+WeightSDS!R$12*$AG365^5+WeightSDS!S$12*$AG365^4+WeightSDS!T$12*$AG365^3+WeightSDS!U$12*$AG365^2+WeightSDS!V$12*$AG365+WeightSDS!W$12,WeightSDS!P$14*$AG365^7+WeightSDS!Q$14*$AG365^6+WeightSDS!R$14*$AG365^5+WeightSDS!S$14*$AG365^4+WeightSDS!T$14*$AG365^3+WeightSDS!U$14*$AG365^2+WeightSDS!V$14*$AG365+WeightSDS!W$14),IF($AG365&lt;156,WeightSDS!O$17*$AG365^8+WeightSDS!P$17*$AG365^7+WeightSDS!Q$17*$AG365^6+WeightSDS!R$17*$AG365^5+WeightSDS!S$17*$AG365^4+WeightSDS!T$17*$AG365^3+WeightSDS!U$17*$AG365^2+WeightSDS!V$17*$AG365+WeightSDS!W$17,IF($AG365&lt;186,WeightSDS!$U$18+(WeightSDS!$V$18-WeightSDS!$U$18)/24*($AG365-186)+WeightSDS!$W$18*(-$AG365+186)^2-0.005,WeightSDS!$U$18+(WeightSDS!$V$18-WeightSDS!$U$18)/24*($AG365-186)-0.005)))</f>
        <v>0.14604529399999999</v>
      </c>
    </row>
    <row r="366" spans="1:37">
      <c r="A366" s="4"/>
      <c r="B366" s="21"/>
      <c r="C366" s="21"/>
      <c r="D366" s="21"/>
      <c r="E366" s="22"/>
      <c r="F366" s="22"/>
      <c r="G366" s="23"/>
      <c r="H366" s="23"/>
      <c r="I366" s="8" t="str">
        <f t="shared" si="82"/>
        <v/>
      </c>
      <c r="J366" s="2" t="str">
        <f t="shared" si="89"/>
        <v/>
      </c>
      <c r="K366" s="2" t="str">
        <f t="shared" si="83"/>
        <v/>
      </c>
      <c r="L366" s="2" t="str">
        <f t="shared" si="90"/>
        <v/>
      </c>
      <c r="M366" s="2" t="str">
        <f t="shared" si="95"/>
        <v/>
      </c>
      <c r="N366" s="2" t="str">
        <f t="shared" si="91"/>
        <v/>
      </c>
      <c r="O366" s="8" t="str">
        <f t="shared" si="92"/>
        <v/>
      </c>
      <c r="P366" s="8" t="str">
        <f t="shared" si="93"/>
        <v/>
      </c>
      <c r="Q366" s="40" t="str">
        <f t="shared" si="84"/>
        <v/>
      </c>
      <c r="R366" s="48" t="str">
        <f t="shared" si="94"/>
        <v/>
      </c>
      <c r="S366" s="8"/>
      <c r="U366" s="35">
        <f t="shared" si="85"/>
        <v>0</v>
      </c>
      <c r="V366" s="24">
        <f t="shared" si="86"/>
        <v>0</v>
      </c>
      <c r="W366" s="41">
        <f t="shared" si="97"/>
        <v>0</v>
      </c>
      <c r="X366" s="31"/>
      <c r="Y366" s="31"/>
      <c r="Z366" s="31"/>
      <c r="AA366" s="25">
        <f t="shared" si="87"/>
        <v>9.0359999999999996</v>
      </c>
      <c r="AB366" s="25">
        <f t="shared" si="88"/>
        <v>-184.49199999999999</v>
      </c>
      <c r="AD366" s="24">
        <f>IF(D366="M",IF(AG366&lt;78,BMILMS!$D$5*AG366^3+BMILMS!$E$5*AG366^2+BMILMS!$F$5*AG366+BMILMS!$G$5,IF(AG366&lt;150,BMILMS!$D$6*AG366^3+BMILMS!$E$6*AG366^2+BMILMS!$F$6*AG366+BMILMS!$G$6,BMILMS!$D$7*AG366^3+BMILMS!$E$7*AG366^2+BMILMS!$F$7*AG366+BMILMS!$G$7)),IF(AG366&lt;69,BMILMS!$D$9*AG366^3+BMILMS!$E$9*AG366^2+BMILMS!$F$9*AG366+BMILMS!$G$9,IF(AG366&lt;150,BMILMS!$D$10*AG366^3+BMILMS!$E$10*AG366^2+BMILMS!$F$10*AG366+BMILMS!$G$10,BMILMS!$D$11*AG366^3+BMILMS!$E$11*AG366^2+BMILMS!$F$11*AG366+BMILMS!$G$11)))</f>
        <v>0.79584630099999998</v>
      </c>
      <c r="AE366" s="24">
        <f>IF(D366="M",(IF(AG366&lt;2.5,BMILMS!$D$21*AG366^3+BMILMS!$E$21*AG366^2+BMILMS!$F$21*AG366+BMILMS!$G$21,IF(AG366&lt;9.5,BMILMS!$D$22*AG366^3+BMILMS!$E$22*AG366^2+BMILMS!$F$22*AG366+BMILMS!$G$22,IF(AG366&lt;26.75,BMILMS!$D$23*AG366^3+BMILMS!$E$23*AG366^2+BMILMS!$F$23*AG366+BMILMS!$G$23,IF(AG366&lt;90,BMILMS!$D$24*AG366^3+BMILMS!$E$24*AG366^2+BMILMS!$F$24*AG366+BMILMS!$G$24,BMILMS!$D$25*AG366^3+BMILMS!$E$25*AG366^2+BMILMS!$F$25*AG366+BMILMS!$G$25))))),(IF(AG366&lt;2.5,BMILMS!$D$27*AG366^3+BMILMS!$E$27*AG366^2+BMILMS!$F$27*AG366+BMILMS!$G$27,IF(AG366&lt;9.5,BMILMS!$D$28*AG366^3+BMILMS!$E$28*AG366^2+BMILMS!$F$28*AG366+BMILMS!$G$28,IF(AG366&lt;26.75,BMILMS!$D$29*AG366^3+BMILMS!$E$29*AG366^2+BMILMS!$F$29*AG366+BMILMS!$G$29,IF(AG366&lt;90,BMILMS!$D$30*AG366^3+BMILMS!$E$30*AG366^2+BMILMS!$F$30*AG366+BMILMS!$G$30,IF(AG366&lt;150,BMILMS!$D$31*AG366^3+BMILMS!$E$31*AG366^2+BMILMS!$F$31*AG366+BMILMS!$G$31,BMILMS!$D$32*AG366^3+BMILMS!$E$32*AG366^2+BMILMS!$F$32*AG366+BMILMS!$G$32)))))))</f>
        <v>12.568967990000001</v>
      </c>
      <c r="AF366" s="24">
        <f>IF(D366="M",(IF(AG366&lt;90,BMILMS!$D$14*AG366^3+BMILMS!$E$14*AG366^2+BMILMS!$F$14*AG366+BMILMS!$G$14,BMILMS!$D$15*AG366^3+BMILMS!$E$15*AG366^2+BMILMS!$F$15*AG366+BMILMS!$G$15)),(IF(AG366&lt;90,BMILMS!$D$17*AG366^3+BMILMS!$E$17*AG366^2+BMILMS!$F$17*AG366+BMILMS!$G$17,BMILMS!$D$18*AG366^3+BMILMS!$E$18*AG366^2+BMILMS!$F$18*AG366+BMILMS!$G$18)))</f>
        <v>8.8969350000000003E-2</v>
      </c>
      <c r="AG366" s="24">
        <f t="shared" si="96"/>
        <v>0</v>
      </c>
      <c r="AI366" s="38">
        <f>IF(D366="M",WeightSDS!P$5*$AG366^7+WeightSDS!Q$5*$AG366^6+WeightSDS!R$5*$AG366^5+WeightSDS!S$5*$AG366^4+WeightSDS!T$5*$AG366^3+WeightSDS!U$5*$AG366^2+WeightSDS!V$5*$AG366+WeightSDS!W$5,IF($AG366&lt;186,WeightSDS!P$8*$AG366^7+WeightSDS!Q$8*$AG366^6+WeightSDS!R$8*$AG366^5+WeightSDS!S$8*$AG366^4+WeightSDS!T$8*$AG366^3+WeightSDS!U$8*$AG366^2+WeightSDS!V$8*$AG366+WeightSDS!W$8,WeightSDS!$U$9-WeightSDS!$V$9*($AG366-WeightSDS!$W$9)))</f>
        <v>0.75407122999999998</v>
      </c>
      <c r="AJ366" s="24">
        <f>IF(D366="M",IF($AG366&lt;45,WeightSDS!M$23*$AG366^10+WeightSDS!N$23*$AG366^9+WeightSDS!O$23*$AG366^8+WeightSDS!P$23*$AG366^7+WeightSDS!Q$23*$AG366^6+WeightSDS!R$23*$AG366^5+WeightSDS!S$23*$AG366^4+WeightSDS!T$23*$AG366^3+WeightSDS!U$23*$AG366^2+WeightSDS!V$23*$AG366+WeightSDS!W$23,IF($AG366&lt;153,WeightSDS!M$25*$AG366^10+WeightSDS!N$25*$AG366^9+WeightSDS!O$25*$AG366^8+WeightSDS!P$25*$AG366^7+WeightSDS!Q$25*$AG366^6+WeightSDS!R$25*$AG366^5+WeightSDS!S$25*$AG366^4+WeightSDS!T$25*$AG366^3+WeightSDS!U$25*$AG366^2+WeightSDS!V$25*$AG366+WeightSDS!W$25,WeightSDS!M$27+WeightSDS!N$27/(1+EXP(WeightSDS!O$27+WeightSDS!P$27*$AG366)))),IF($AG366&lt;43.8,WeightSDS!M$29*$AG366^10+WeightSDS!N$29*$AG366^9+WeightSDS!O$29*$AG366^8+WeightSDS!P$29*$AG366^7+WeightSDS!Q$29*$AG366^6+WeightSDS!R$29*$AG366^5+WeightSDS!S$29*$AG366^4+WeightSDS!T$29*$AG366^3+WeightSDS!U$29*$AG366^2+WeightSDS!V$29*$AG366+WeightSDS!W$29-0.010431*(1-$AG366/210),IF($AG366&lt;123,WeightSDS!M$30*$AG366^10+WeightSDS!N$30*$AG366^9+WeightSDS!O$30*$AG366^8+WeightSDS!P$30*$AG366^7+WeightSDS!Q$30*$AG366^6+WeightSDS!R$30*$AG366^5+WeightSDS!S$30*$AG366^4+WeightSDS!T$30*$AG366^3+WeightSDS!U$30*$AG366^2+WeightSDS!V$30*$AG366+WeightSDS!W$30-0.010431*(1-1/$AG366),WeightSDS!M$32+WeightSDS!N$32/(1+EXP(WeightSDS!O$32+WeightSDS!P$32*$AG366))-0.010431*(1-$AG366/210))))</f>
        <v>2.9500001032655536</v>
      </c>
      <c r="AK366" s="24">
        <f>IF(D366="M",IF($AG366&lt;162,WeightSDS!P$12*$AG366^7+WeightSDS!Q$12*$AG366^6+WeightSDS!R$12*$AG366^5+WeightSDS!S$12*$AG366^4+WeightSDS!T$12*$AG366^3+WeightSDS!U$12*$AG366^2+WeightSDS!V$12*$AG366+WeightSDS!W$12,WeightSDS!P$14*$AG366^7+WeightSDS!Q$14*$AG366^6+WeightSDS!R$14*$AG366^5+WeightSDS!S$14*$AG366^4+WeightSDS!T$14*$AG366^3+WeightSDS!U$14*$AG366^2+WeightSDS!V$14*$AG366+WeightSDS!W$14),IF($AG366&lt;156,WeightSDS!O$17*$AG366^8+WeightSDS!P$17*$AG366^7+WeightSDS!Q$17*$AG366^6+WeightSDS!R$17*$AG366^5+WeightSDS!S$17*$AG366^4+WeightSDS!T$17*$AG366^3+WeightSDS!U$17*$AG366^2+WeightSDS!V$17*$AG366+WeightSDS!W$17,IF($AG366&lt;186,WeightSDS!$U$18+(WeightSDS!$V$18-WeightSDS!$U$18)/24*($AG366-186)+WeightSDS!$W$18*(-$AG366+186)^2-0.005,WeightSDS!$U$18+(WeightSDS!$V$18-WeightSDS!$U$18)/24*($AG366-186)-0.005)))</f>
        <v>0.14604529399999999</v>
      </c>
    </row>
    <row r="367" spans="1:37">
      <c r="A367" s="4"/>
      <c r="B367" s="21"/>
      <c r="C367" s="21"/>
      <c r="D367" s="21"/>
      <c r="E367" s="22"/>
      <c r="F367" s="22"/>
      <c r="G367" s="23"/>
      <c r="H367" s="23"/>
      <c r="I367" s="8" t="str">
        <f t="shared" si="82"/>
        <v/>
      </c>
      <c r="J367" s="2" t="str">
        <f t="shared" si="89"/>
        <v/>
      </c>
      <c r="K367" s="2" t="str">
        <f t="shared" si="83"/>
        <v/>
      </c>
      <c r="L367" s="2" t="str">
        <f t="shared" si="90"/>
        <v/>
      </c>
      <c r="M367" s="2" t="str">
        <f t="shared" si="95"/>
        <v/>
      </c>
      <c r="N367" s="2" t="str">
        <f t="shared" si="91"/>
        <v/>
      </c>
      <c r="O367" s="8" t="str">
        <f t="shared" si="92"/>
        <v/>
      </c>
      <c r="P367" s="8" t="str">
        <f t="shared" si="93"/>
        <v/>
      </c>
      <c r="Q367" s="40" t="str">
        <f t="shared" si="84"/>
        <v/>
      </c>
      <c r="R367" s="48" t="str">
        <f t="shared" si="94"/>
        <v/>
      </c>
      <c r="S367" s="8"/>
      <c r="U367" s="35">
        <f t="shared" si="85"/>
        <v>0</v>
      </c>
      <c r="V367" s="24">
        <f t="shared" si="86"/>
        <v>0</v>
      </c>
      <c r="W367" s="41">
        <f t="shared" si="97"/>
        <v>0</v>
      </c>
      <c r="X367" s="31"/>
      <c r="Y367" s="31"/>
      <c r="Z367" s="31"/>
      <c r="AA367" s="25">
        <f t="shared" si="87"/>
        <v>9.0359999999999996</v>
      </c>
      <c r="AB367" s="25">
        <f t="shared" si="88"/>
        <v>-184.49199999999999</v>
      </c>
      <c r="AD367" s="24">
        <f>IF(D367="M",IF(AG367&lt;78,BMILMS!$D$5*AG367^3+BMILMS!$E$5*AG367^2+BMILMS!$F$5*AG367+BMILMS!$G$5,IF(AG367&lt;150,BMILMS!$D$6*AG367^3+BMILMS!$E$6*AG367^2+BMILMS!$F$6*AG367+BMILMS!$G$6,BMILMS!$D$7*AG367^3+BMILMS!$E$7*AG367^2+BMILMS!$F$7*AG367+BMILMS!$G$7)),IF(AG367&lt;69,BMILMS!$D$9*AG367^3+BMILMS!$E$9*AG367^2+BMILMS!$F$9*AG367+BMILMS!$G$9,IF(AG367&lt;150,BMILMS!$D$10*AG367^3+BMILMS!$E$10*AG367^2+BMILMS!$F$10*AG367+BMILMS!$G$10,BMILMS!$D$11*AG367^3+BMILMS!$E$11*AG367^2+BMILMS!$F$11*AG367+BMILMS!$G$11)))</f>
        <v>0.79584630099999998</v>
      </c>
      <c r="AE367" s="24">
        <f>IF(D367="M",(IF(AG367&lt;2.5,BMILMS!$D$21*AG367^3+BMILMS!$E$21*AG367^2+BMILMS!$F$21*AG367+BMILMS!$G$21,IF(AG367&lt;9.5,BMILMS!$D$22*AG367^3+BMILMS!$E$22*AG367^2+BMILMS!$F$22*AG367+BMILMS!$G$22,IF(AG367&lt;26.75,BMILMS!$D$23*AG367^3+BMILMS!$E$23*AG367^2+BMILMS!$F$23*AG367+BMILMS!$G$23,IF(AG367&lt;90,BMILMS!$D$24*AG367^3+BMILMS!$E$24*AG367^2+BMILMS!$F$24*AG367+BMILMS!$G$24,BMILMS!$D$25*AG367^3+BMILMS!$E$25*AG367^2+BMILMS!$F$25*AG367+BMILMS!$G$25))))),(IF(AG367&lt;2.5,BMILMS!$D$27*AG367^3+BMILMS!$E$27*AG367^2+BMILMS!$F$27*AG367+BMILMS!$G$27,IF(AG367&lt;9.5,BMILMS!$D$28*AG367^3+BMILMS!$E$28*AG367^2+BMILMS!$F$28*AG367+BMILMS!$G$28,IF(AG367&lt;26.75,BMILMS!$D$29*AG367^3+BMILMS!$E$29*AG367^2+BMILMS!$F$29*AG367+BMILMS!$G$29,IF(AG367&lt;90,BMILMS!$D$30*AG367^3+BMILMS!$E$30*AG367^2+BMILMS!$F$30*AG367+BMILMS!$G$30,IF(AG367&lt;150,BMILMS!$D$31*AG367^3+BMILMS!$E$31*AG367^2+BMILMS!$F$31*AG367+BMILMS!$G$31,BMILMS!$D$32*AG367^3+BMILMS!$E$32*AG367^2+BMILMS!$F$32*AG367+BMILMS!$G$32)))))))</f>
        <v>12.568967990000001</v>
      </c>
      <c r="AF367" s="24">
        <f>IF(D367="M",(IF(AG367&lt;90,BMILMS!$D$14*AG367^3+BMILMS!$E$14*AG367^2+BMILMS!$F$14*AG367+BMILMS!$G$14,BMILMS!$D$15*AG367^3+BMILMS!$E$15*AG367^2+BMILMS!$F$15*AG367+BMILMS!$G$15)),(IF(AG367&lt;90,BMILMS!$D$17*AG367^3+BMILMS!$E$17*AG367^2+BMILMS!$F$17*AG367+BMILMS!$G$17,BMILMS!$D$18*AG367^3+BMILMS!$E$18*AG367^2+BMILMS!$F$18*AG367+BMILMS!$G$18)))</f>
        <v>8.8969350000000003E-2</v>
      </c>
      <c r="AG367" s="24">
        <f t="shared" si="96"/>
        <v>0</v>
      </c>
      <c r="AI367" s="38">
        <f>IF(D367="M",WeightSDS!P$5*$AG367^7+WeightSDS!Q$5*$AG367^6+WeightSDS!R$5*$AG367^5+WeightSDS!S$5*$AG367^4+WeightSDS!T$5*$AG367^3+WeightSDS!U$5*$AG367^2+WeightSDS!V$5*$AG367+WeightSDS!W$5,IF($AG367&lt;186,WeightSDS!P$8*$AG367^7+WeightSDS!Q$8*$AG367^6+WeightSDS!R$8*$AG367^5+WeightSDS!S$8*$AG367^4+WeightSDS!T$8*$AG367^3+WeightSDS!U$8*$AG367^2+WeightSDS!V$8*$AG367+WeightSDS!W$8,WeightSDS!$U$9-WeightSDS!$V$9*($AG367-WeightSDS!$W$9)))</f>
        <v>0.75407122999999998</v>
      </c>
      <c r="AJ367" s="24">
        <f>IF(D367="M",IF($AG367&lt;45,WeightSDS!M$23*$AG367^10+WeightSDS!N$23*$AG367^9+WeightSDS!O$23*$AG367^8+WeightSDS!P$23*$AG367^7+WeightSDS!Q$23*$AG367^6+WeightSDS!R$23*$AG367^5+WeightSDS!S$23*$AG367^4+WeightSDS!T$23*$AG367^3+WeightSDS!U$23*$AG367^2+WeightSDS!V$23*$AG367+WeightSDS!W$23,IF($AG367&lt;153,WeightSDS!M$25*$AG367^10+WeightSDS!N$25*$AG367^9+WeightSDS!O$25*$AG367^8+WeightSDS!P$25*$AG367^7+WeightSDS!Q$25*$AG367^6+WeightSDS!R$25*$AG367^5+WeightSDS!S$25*$AG367^4+WeightSDS!T$25*$AG367^3+WeightSDS!U$25*$AG367^2+WeightSDS!V$25*$AG367+WeightSDS!W$25,WeightSDS!M$27+WeightSDS!N$27/(1+EXP(WeightSDS!O$27+WeightSDS!P$27*$AG367)))),IF($AG367&lt;43.8,WeightSDS!M$29*$AG367^10+WeightSDS!N$29*$AG367^9+WeightSDS!O$29*$AG367^8+WeightSDS!P$29*$AG367^7+WeightSDS!Q$29*$AG367^6+WeightSDS!R$29*$AG367^5+WeightSDS!S$29*$AG367^4+WeightSDS!T$29*$AG367^3+WeightSDS!U$29*$AG367^2+WeightSDS!V$29*$AG367+WeightSDS!W$29-0.010431*(1-$AG367/210),IF($AG367&lt;123,WeightSDS!M$30*$AG367^10+WeightSDS!N$30*$AG367^9+WeightSDS!O$30*$AG367^8+WeightSDS!P$30*$AG367^7+WeightSDS!Q$30*$AG367^6+WeightSDS!R$30*$AG367^5+WeightSDS!S$30*$AG367^4+WeightSDS!T$30*$AG367^3+WeightSDS!U$30*$AG367^2+WeightSDS!V$30*$AG367+WeightSDS!W$30-0.010431*(1-1/$AG367),WeightSDS!M$32+WeightSDS!N$32/(1+EXP(WeightSDS!O$32+WeightSDS!P$32*$AG367))-0.010431*(1-$AG367/210))))</f>
        <v>2.9500001032655536</v>
      </c>
      <c r="AK367" s="24">
        <f>IF(D367="M",IF($AG367&lt;162,WeightSDS!P$12*$AG367^7+WeightSDS!Q$12*$AG367^6+WeightSDS!R$12*$AG367^5+WeightSDS!S$12*$AG367^4+WeightSDS!T$12*$AG367^3+WeightSDS!U$12*$AG367^2+WeightSDS!V$12*$AG367+WeightSDS!W$12,WeightSDS!P$14*$AG367^7+WeightSDS!Q$14*$AG367^6+WeightSDS!R$14*$AG367^5+WeightSDS!S$14*$AG367^4+WeightSDS!T$14*$AG367^3+WeightSDS!U$14*$AG367^2+WeightSDS!V$14*$AG367+WeightSDS!W$14),IF($AG367&lt;156,WeightSDS!O$17*$AG367^8+WeightSDS!P$17*$AG367^7+WeightSDS!Q$17*$AG367^6+WeightSDS!R$17*$AG367^5+WeightSDS!S$17*$AG367^4+WeightSDS!T$17*$AG367^3+WeightSDS!U$17*$AG367^2+WeightSDS!V$17*$AG367+WeightSDS!W$17,IF($AG367&lt;186,WeightSDS!$U$18+(WeightSDS!$V$18-WeightSDS!$U$18)/24*($AG367-186)+WeightSDS!$W$18*(-$AG367+186)^2-0.005,WeightSDS!$U$18+(WeightSDS!$V$18-WeightSDS!$U$18)/24*($AG367-186)-0.005)))</f>
        <v>0.14604529399999999</v>
      </c>
    </row>
    <row r="368" spans="1:37">
      <c r="A368" s="4"/>
      <c r="B368" s="21"/>
      <c r="C368" s="21"/>
      <c r="D368" s="21"/>
      <c r="E368" s="22"/>
      <c r="F368" s="22"/>
      <c r="G368" s="23"/>
      <c r="H368" s="23"/>
      <c r="I368" s="8" t="str">
        <f t="shared" si="82"/>
        <v/>
      </c>
      <c r="J368" s="2" t="str">
        <f t="shared" si="89"/>
        <v/>
      </c>
      <c r="K368" s="2" t="str">
        <f t="shared" si="83"/>
        <v/>
      </c>
      <c r="L368" s="2" t="str">
        <f t="shared" si="90"/>
        <v/>
      </c>
      <c r="M368" s="2" t="str">
        <f t="shared" si="95"/>
        <v/>
      </c>
      <c r="N368" s="2" t="str">
        <f t="shared" si="91"/>
        <v/>
      </c>
      <c r="O368" s="8" t="str">
        <f t="shared" si="92"/>
        <v/>
      </c>
      <c r="P368" s="8" t="str">
        <f t="shared" si="93"/>
        <v/>
      </c>
      <c r="Q368" s="40" t="str">
        <f t="shared" si="84"/>
        <v/>
      </c>
      <c r="R368" s="48" t="str">
        <f t="shared" si="94"/>
        <v/>
      </c>
      <c r="S368" s="8"/>
      <c r="U368" s="35">
        <f t="shared" si="85"/>
        <v>0</v>
      </c>
      <c r="V368" s="24">
        <f t="shared" si="86"/>
        <v>0</v>
      </c>
      <c r="W368" s="41">
        <f t="shared" si="97"/>
        <v>0</v>
      </c>
      <c r="X368" s="31"/>
      <c r="Y368" s="31"/>
      <c r="Z368" s="31"/>
      <c r="AA368" s="25">
        <f t="shared" si="87"/>
        <v>9.0359999999999996</v>
      </c>
      <c r="AB368" s="25">
        <f t="shared" si="88"/>
        <v>-184.49199999999999</v>
      </c>
      <c r="AD368" s="24">
        <f>IF(D368="M",IF(AG368&lt;78,BMILMS!$D$5*AG368^3+BMILMS!$E$5*AG368^2+BMILMS!$F$5*AG368+BMILMS!$G$5,IF(AG368&lt;150,BMILMS!$D$6*AG368^3+BMILMS!$E$6*AG368^2+BMILMS!$F$6*AG368+BMILMS!$G$6,BMILMS!$D$7*AG368^3+BMILMS!$E$7*AG368^2+BMILMS!$F$7*AG368+BMILMS!$G$7)),IF(AG368&lt;69,BMILMS!$D$9*AG368^3+BMILMS!$E$9*AG368^2+BMILMS!$F$9*AG368+BMILMS!$G$9,IF(AG368&lt;150,BMILMS!$D$10*AG368^3+BMILMS!$E$10*AG368^2+BMILMS!$F$10*AG368+BMILMS!$G$10,BMILMS!$D$11*AG368^3+BMILMS!$E$11*AG368^2+BMILMS!$F$11*AG368+BMILMS!$G$11)))</f>
        <v>0.79584630099999998</v>
      </c>
      <c r="AE368" s="24">
        <f>IF(D368="M",(IF(AG368&lt;2.5,BMILMS!$D$21*AG368^3+BMILMS!$E$21*AG368^2+BMILMS!$F$21*AG368+BMILMS!$G$21,IF(AG368&lt;9.5,BMILMS!$D$22*AG368^3+BMILMS!$E$22*AG368^2+BMILMS!$F$22*AG368+BMILMS!$G$22,IF(AG368&lt;26.75,BMILMS!$D$23*AG368^3+BMILMS!$E$23*AG368^2+BMILMS!$F$23*AG368+BMILMS!$G$23,IF(AG368&lt;90,BMILMS!$D$24*AG368^3+BMILMS!$E$24*AG368^2+BMILMS!$F$24*AG368+BMILMS!$G$24,BMILMS!$D$25*AG368^3+BMILMS!$E$25*AG368^2+BMILMS!$F$25*AG368+BMILMS!$G$25))))),(IF(AG368&lt;2.5,BMILMS!$D$27*AG368^3+BMILMS!$E$27*AG368^2+BMILMS!$F$27*AG368+BMILMS!$G$27,IF(AG368&lt;9.5,BMILMS!$D$28*AG368^3+BMILMS!$E$28*AG368^2+BMILMS!$F$28*AG368+BMILMS!$G$28,IF(AG368&lt;26.75,BMILMS!$D$29*AG368^3+BMILMS!$E$29*AG368^2+BMILMS!$F$29*AG368+BMILMS!$G$29,IF(AG368&lt;90,BMILMS!$D$30*AG368^3+BMILMS!$E$30*AG368^2+BMILMS!$F$30*AG368+BMILMS!$G$30,IF(AG368&lt;150,BMILMS!$D$31*AG368^3+BMILMS!$E$31*AG368^2+BMILMS!$F$31*AG368+BMILMS!$G$31,BMILMS!$D$32*AG368^3+BMILMS!$E$32*AG368^2+BMILMS!$F$32*AG368+BMILMS!$G$32)))))))</f>
        <v>12.568967990000001</v>
      </c>
      <c r="AF368" s="24">
        <f>IF(D368="M",(IF(AG368&lt;90,BMILMS!$D$14*AG368^3+BMILMS!$E$14*AG368^2+BMILMS!$F$14*AG368+BMILMS!$G$14,BMILMS!$D$15*AG368^3+BMILMS!$E$15*AG368^2+BMILMS!$F$15*AG368+BMILMS!$G$15)),(IF(AG368&lt;90,BMILMS!$D$17*AG368^3+BMILMS!$E$17*AG368^2+BMILMS!$F$17*AG368+BMILMS!$G$17,BMILMS!$D$18*AG368^3+BMILMS!$E$18*AG368^2+BMILMS!$F$18*AG368+BMILMS!$G$18)))</f>
        <v>8.8969350000000003E-2</v>
      </c>
      <c r="AG368" s="24">
        <f t="shared" si="96"/>
        <v>0</v>
      </c>
      <c r="AI368" s="38">
        <f>IF(D368="M",WeightSDS!P$5*$AG368^7+WeightSDS!Q$5*$AG368^6+WeightSDS!R$5*$AG368^5+WeightSDS!S$5*$AG368^4+WeightSDS!T$5*$AG368^3+WeightSDS!U$5*$AG368^2+WeightSDS!V$5*$AG368+WeightSDS!W$5,IF($AG368&lt;186,WeightSDS!P$8*$AG368^7+WeightSDS!Q$8*$AG368^6+WeightSDS!R$8*$AG368^5+WeightSDS!S$8*$AG368^4+WeightSDS!T$8*$AG368^3+WeightSDS!U$8*$AG368^2+WeightSDS!V$8*$AG368+WeightSDS!W$8,WeightSDS!$U$9-WeightSDS!$V$9*($AG368-WeightSDS!$W$9)))</f>
        <v>0.75407122999999998</v>
      </c>
      <c r="AJ368" s="24">
        <f>IF(D368="M",IF($AG368&lt;45,WeightSDS!M$23*$AG368^10+WeightSDS!N$23*$AG368^9+WeightSDS!O$23*$AG368^8+WeightSDS!P$23*$AG368^7+WeightSDS!Q$23*$AG368^6+WeightSDS!R$23*$AG368^5+WeightSDS!S$23*$AG368^4+WeightSDS!T$23*$AG368^3+WeightSDS!U$23*$AG368^2+WeightSDS!V$23*$AG368+WeightSDS!W$23,IF($AG368&lt;153,WeightSDS!M$25*$AG368^10+WeightSDS!N$25*$AG368^9+WeightSDS!O$25*$AG368^8+WeightSDS!P$25*$AG368^7+WeightSDS!Q$25*$AG368^6+WeightSDS!R$25*$AG368^5+WeightSDS!S$25*$AG368^4+WeightSDS!T$25*$AG368^3+WeightSDS!U$25*$AG368^2+WeightSDS!V$25*$AG368+WeightSDS!W$25,WeightSDS!M$27+WeightSDS!N$27/(1+EXP(WeightSDS!O$27+WeightSDS!P$27*$AG368)))),IF($AG368&lt;43.8,WeightSDS!M$29*$AG368^10+WeightSDS!N$29*$AG368^9+WeightSDS!O$29*$AG368^8+WeightSDS!P$29*$AG368^7+WeightSDS!Q$29*$AG368^6+WeightSDS!R$29*$AG368^5+WeightSDS!S$29*$AG368^4+WeightSDS!T$29*$AG368^3+WeightSDS!U$29*$AG368^2+WeightSDS!V$29*$AG368+WeightSDS!W$29-0.010431*(1-$AG368/210),IF($AG368&lt;123,WeightSDS!M$30*$AG368^10+WeightSDS!N$30*$AG368^9+WeightSDS!O$30*$AG368^8+WeightSDS!P$30*$AG368^7+WeightSDS!Q$30*$AG368^6+WeightSDS!R$30*$AG368^5+WeightSDS!S$30*$AG368^4+WeightSDS!T$30*$AG368^3+WeightSDS!U$30*$AG368^2+WeightSDS!V$30*$AG368+WeightSDS!W$30-0.010431*(1-1/$AG368),WeightSDS!M$32+WeightSDS!N$32/(1+EXP(WeightSDS!O$32+WeightSDS!P$32*$AG368))-0.010431*(1-$AG368/210))))</f>
        <v>2.9500001032655536</v>
      </c>
      <c r="AK368" s="24">
        <f>IF(D368="M",IF($AG368&lt;162,WeightSDS!P$12*$AG368^7+WeightSDS!Q$12*$AG368^6+WeightSDS!R$12*$AG368^5+WeightSDS!S$12*$AG368^4+WeightSDS!T$12*$AG368^3+WeightSDS!U$12*$AG368^2+WeightSDS!V$12*$AG368+WeightSDS!W$12,WeightSDS!P$14*$AG368^7+WeightSDS!Q$14*$AG368^6+WeightSDS!R$14*$AG368^5+WeightSDS!S$14*$AG368^4+WeightSDS!T$14*$AG368^3+WeightSDS!U$14*$AG368^2+WeightSDS!V$14*$AG368+WeightSDS!W$14),IF($AG368&lt;156,WeightSDS!O$17*$AG368^8+WeightSDS!P$17*$AG368^7+WeightSDS!Q$17*$AG368^6+WeightSDS!R$17*$AG368^5+WeightSDS!S$17*$AG368^4+WeightSDS!T$17*$AG368^3+WeightSDS!U$17*$AG368^2+WeightSDS!V$17*$AG368+WeightSDS!W$17,IF($AG368&lt;186,WeightSDS!$U$18+(WeightSDS!$V$18-WeightSDS!$U$18)/24*($AG368-186)+WeightSDS!$W$18*(-$AG368+186)^2-0.005,WeightSDS!$U$18+(WeightSDS!$V$18-WeightSDS!$U$18)/24*($AG368-186)-0.005)))</f>
        <v>0.14604529399999999</v>
      </c>
    </row>
    <row r="369" spans="1:37">
      <c r="A369" s="4"/>
      <c r="B369" s="21"/>
      <c r="C369" s="21"/>
      <c r="D369" s="21"/>
      <c r="E369" s="22"/>
      <c r="F369" s="22"/>
      <c r="G369" s="23"/>
      <c r="H369" s="23"/>
      <c r="I369" s="8" t="str">
        <f t="shared" si="82"/>
        <v/>
      </c>
      <c r="J369" s="2" t="str">
        <f t="shared" si="89"/>
        <v/>
      </c>
      <c r="K369" s="2" t="str">
        <f t="shared" si="83"/>
        <v/>
      </c>
      <c r="L369" s="2" t="str">
        <f t="shared" si="90"/>
        <v/>
      </c>
      <c r="M369" s="2" t="str">
        <f t="shared" si="95"/>
        <v/>
      </c>
      <c r="N369" s="2" t="str">
        <f t="shared" si="91"/>
        <v/>
      </c>
      <c r="O369" s="8" t="str">
        <f t="shared" si="92"/>
        <v/>
      </c>
      <c r="P369" s="8" t="str">
        <f t="shared" si="93"/>
        <v/>
      </c>
      <c r="Q369" s="40" t="str">
        <f t="shared" si="84"/>
        <v/>
      </c>
      <c r="R369" s="48" t="str">
        <f t="shared" si="94"/>
        <v/>
      </c>
      <c r="S369" s="8"/>
      <c r="U369" s="35">
        <f t="shared" si="85"/>
        <v>0</v>
      </c>
      <c r="V369" s="24">
        <f t="shared" si="86"/>
        <v>0</v>
      </c>
      <c r="W369" s="41">
        <f t="shared" si="97"/>
        <v>0</v>
      </c>
      <c r="X369" s="31"/>
      <c r="Y369" s="31"/>
      <c r="Z369" s="31"/>
      <c r="AA369" s="25">
        <f t="shared" si="87"/>
        <v>9.0359999999999996</v>
      </c>
      <c r="AB369" s="25">
        <f t="shared" si="88"/>
        <v>-184.49199999999999</v>
      </c>
      <c r="AD369" s="24">
        <f>IF(D369="M",IF(AG369&lt;78,BMILMS!$D$5*AG369^3+BMILMS!$E$5*AG369^2+BMILMS!$F$5*AG369+BMILMS!$G$5,IF(AG369&lt;150,BMILMS!$D$6*AG369^3+BMILMS!$E$6*AG369^2+BMILMS!$F$6*AG369+BMILMS!$G$6,BMILMS!$D$7*AG369^3+BMILMS!$E$7*AG369^2+BMILMS!$F$7*AG369+BMILMS!$G$7)),IF(AG369&lt;69,BMILMS!$D$9*AG369^3+BMILMS!$E$9*AG369^2+BMILMS!$F$9*AG369+BMILMS!$G$9,IF(AG369&lt;150,BMILMS!$D$10*AG369^3+BMILMS!$E$10*AG369^2+BMILMS!$F$10*AG369+BMILMS!$G$10,BMILMS!$D$11*AG369^3+BMILMS!$E$11*AG369^2+BMILMS!$F$11*AG369+BMILMS!$G$11)))</f>
        <v>0.79584630099999998</v>
      </c>
      <c r="AE369" s="24">
        <f>IF(D369="M",(IF(AG369&lt;2.5,BMILMS!$D$21*AG369^3+BMILMS!$E$21*AG369^2+BMILMS!$F$21*AG369+BMILMS!$G$21,IF(AG369&lt;9.5,BMILMS!$D$22*AG369^3+BMILMS!$E$22*AG369^2+BMILMS!$F$22*AG369+BMILMS!$G$22,IF(AG369&lt;26.75,BMILMS!$D$23*AG369^3+BMILMS!$E$23*AG369^2+BMILMS!$F$23*AG369+BMILMS!$G$23,IF(AG369&lt;90,BMILMS!$D$24*AG369^3+BMILMS!$E$24*AG369^2+BMILMS!$F$24*AG369+BMILMS!$G$24,BMILMS!$D$25*AG369^3+BMILMS!$E$25*AG369^2+BMILMS!$F$25*AG369+BMILMS!$G$25))))),(IF(AG369&lt;2.5,BMILMS!$D$27*AG369^3+BMILMS!$E$27*AG369^2+BMILMS!$F$27*AG369+BMILMS!$G$27,IF(AG369&lt;9.5,BMILMS!$D$28*AG369^3+BMILMS!$E$28*AG369^2+BMILMS!$F$28*AG369+BMILMS!$G$28,IF(AG369&lt;26.75,BMILMS!$D$29*AG369^3+BMILMS!$E$29*AG369^2+BMILMS!$F$29*AG369+BMILMS!$G$29,IF(AG369&lt;90,BMILMS!$D$30*AG369^3+BMILMS!$E$30*AG369^2+BMILMS!$F$30*AG369+BMILMS!$G$30,IF(AG369&lt;150,BMILMS!$D$31*AG369^3+BMILMS!$E$31*AG369^2+BMILMS!$F$31*AG369+BMILMS!$G$31,BMILMS!$D$32*AG369^3+BMILMS!$E$32*AG369^2+BMILMS!$F$32*AG369+BMILMS!$G$32)))))))</f>
        <v>12.568967990000001</v>
      </c>
      <c r="AF369" s="24">
        <f>IF(D369="M",(IF(AG369&lt;90,BMILMS!$D$14*AG369^3+BMILMS!$E$14*AG369^2+BMILMS!$F$14*AG369+BMILMS!$G$14,BMILMS!$D$15*AG369^3+BMILMS!$E$15*AG369^2+BMILMS!$F$15*AG369+BMILMS!$G$15)),(IF(AG369&lt;90,BMILMS!$D$17*AG369^3+BMILMS!$E$17*AG369^2+BMILMS!$F$17*AG369+BMILMS!$G$17,BMILMS!$D$18*AG369^3+BMILMS!$E$18*AG369^2+BMILMS!$F$18*AG369+BMILMS!$G$18)))</f>
        <v>8.8969350000000003E-2</v>
      </c>
      <c r="AG369" s="24">
        <f t="shared" si="96"/>
        <v>0</v>
      </c>
      <c r="AI369" s="38">
        <f>IF(D369="M",WeightSDS!P$5*$AG369^7+WeightSDS!Q$5*$AG369^6+WeightSDS!R$5*$AG369^5+WeightSDS!S$5*$AG369^4+WeightSDS!T$5*$AG369^3+WeightSDS!U$5*$AG369^2+WeightSDS!V$5*$AG369+WeightSDS!W$5,IF($AG369&lt;186,WeightSDS!P$8*$AG369^7+WeightSDS!Q$8*$AG369^6+WeightSDS!R$8*$AG369^5+WeightSDS!S$8*$AG369^4+WeightSDS!T$8*$AG369^3+WeightSDS!U$8*$AG369^2+WeightSDS!V$8*$AG369+WeightSDS!W$8,WeightSDS!$U$9-WeightSDS!$V$9*($AG369-WeightSDS!$W$9)))</f>
        <v>0.75407122999999998</v>
      </c>
      <c r="AJ369" s="24">
        <f>IF(D369="M",IF($AG369&lt;45,WeightSDS!M$23*$AG369^10+WeightSDS!N$23*$AG369^9+WeightSDS!O$23*$AG369^8+WeightSDS!P$23*$AG369^7+WeightSDS!Q$23*$AG369^6+WeightSDS!R$23*$AG369^5+WeightSDS!S$23*$AG369^4+WeightSDS!T$23*$AG369^3+WeightSDS!U$23*$AG369^2+WeightSDS!V$23*$AG369+WeightSDS!W$23,IF($AG369&lt;153,WeightSDS!M$25*$AG369^10+WeightSDS!N$25*$AG369^9+WeightSDS!O$25*$AG369^8+WeightSDS!P$25*$AG369^7+WeightSDS!Q$25*$AG369^6+WeightSDS!R$25*$AG369^5+WeightSDS!S$25*$AG369^4+WeightSDS!T$25*$AG369^3+WeightSDS!U$25*$AG369^2+WeightSDS!V$25*$AG369+WeightSDS!W$25,WeightSDS!M$27+WeightSDS!N$27/(1+EXP(WeightSDS!O$27+WeightSDS!P$27*$AG369)))),IF($AG369&lt;43.8,WeightSDS!M$29*$AG369^10+WeightSDS!N$29*$AG369^9+WeightSDS!O$29*$AG369^8+WeightSDS!P$29*$AG369^7+WeightSDS!Q$29*$AG369^6+WeightSDS!R$29*$AG369^5+WeightSDS!S$29*$AG369^4+WeightSDS!T$29*$AG369^3+WeightSDS!U$29*$AG369^2+WeightSDS!V$29*$AG369+WeightSDS!W$29-0.010431*(1-$AG369/210),IF($AG369&lt;123,WeightSDS!M$30*$AG369^10+WeightSDS!N$30*$AG369^9+WeightSDS!O$30*$AG369^8+WeightSDS!P$30*$AG369^7+WeightSDS!Q$30*$AG369^6+WeightSDS!R$30*$AG369^5+WeightSDS!S$30*$AG369^4+WeightSDS!T$30*$AG369^3+WeightSDS!U$30*$AG369^2+WeightSDS!V$30*$AG369+WeightSDS!W$30-0.010431*(1-1/$AG369),WeightSDS!M$32+WeightSDS!N$32/(1+EXP(WeightSDS!O$32+WeightSDS!P$32*$AG369))-0.010431*(1-$AG369/210))))</f>
        <v>2.9500001032655536</v>
      </c>
      <c r="AK369" s="24">
        <f>IF(D369="M",IF($AG369&lt;162,WeightSDS!P$12*$AG369^7+WeightSDS!Q$12*$AG369^6+WeightSDS!R$12*$AG369^5+WeightSDS!S$12*$AG369^4+WeightSDS!T$12*$AG369^3+WeightSDS!U$12*$AG369^2+WeightSDS!V$12*$AG369+WeightSDS!W$12,WeightSDS!P$14*$AG369^7+WeightSDS!Q$14*$AG369^6+WeightSDS!R$14*$AG369^5+WeightSDS!S$14*$AG369^4+WeightSDS!T$14*$AG369^3+WeightSDS!U$14*$AG369^2+WeightSDS!V$14*$AG369+WeightSDS!W$14),IF($AG369&lt;156,WeightSDS!O$17*$AG369^8+WeightSDS!P$17*$AG369^7+WeightSDS!Q$17*$AG369^6+WeightSDS!R$17*$AG369^5+WeightSDS!S$17*$AG369^4+WeightSDS!T$17*$AG369^3+WeightSDS!U$17*$AG369^2+WeightSDS!V$17*$AG369+WeightSDS!W$17,IF($AG369&lt;186,WeightSDS!$U$18+(WeightSDS!$V$18-WeightSDS!$U$18)/24*($AG369-186)+WeightSDS!$W$18*(-$AG369+186)^2-0.005,WeightSDS!$U$18+(WeightSDS!$V$18-WeightSDS!$U$18)/24*($AG369-186)-0.005)))</f>
        <v>0.14604529399999999</v>
      </c>
    </row>
    <row r="370" spans="1:37">
      <c r="A370" s="4"/>
      <c r="B370" s="21"/>
      <c r="C370" s="21"/>
      <c r="D370" s="21"/>
      <c r="E370" s="22"/>
      <c r="F370" s="22"/>
      <c r="G370" s="23"/>
      <c r="H370" s="23"/>
      <c r="I370" s="8" t="str">
        <f t="shared" si="82"/>
        <v/>
      </c>
      <c r="J370" s="2" t="str">
        <f t="shared" si="89"/>
        <v/>
      </c>
      <c r="K370" s="2" t="str">
        <f t="shared" si="83"/>
        <v/>
      </c>
      <c r="L370" s="2" t="str">
        <f t="shared" si="90"/>
        <v/>
      </c>
      <c r="M370" s="2" t="str">
        <f t="shared" si="95"/>
        <v/>
      </c>
      <c r="N370" s="2" t="str">
        <f t="shared" si="91"/>
        <v/>
      </c>
      <c r="O370" s="8" t="str">
        <f t="shared" si="92"/>
        <v/>
      </c>
      <c r="P370" s="8" t="str">
        <f t="shared" si="93"/>
        <v/>
      </c>
      <c r="Q370" s="40" t="str">
        <f t="shared" si="84"/>
        <v/>
      </c>
      <c r="R370" s="48" t="str">
        <f t="shared" si="94"/>
        <v/>
      </c>
      <c r="S370" s="8"/>
      <c r="U370" s="35">
        <f t="shared" si="85"/>
        <v>0</v>
      </c>
      <c r="V370" s="24">
        <f t="shared" si="86"/>
        <v>0</v>
      </c>
      <c r="W370" s="41">
        <f t="shared" si="97"/>
        <v>0</v>
      </c>
      <c r="X370" s="31"/>
      <c r="Y370" s="31"/>
      <c r="Z370" s="31"/>
      <c r="AA370" s="25">
        <f t="shared" si="87"/>
        <v>9.0359999999999996</v>
      </c>
      <c r="AB370" s="25">
        <f t="shared" si="88"/>
        <v>-184.49199999999999</v>
      </c>
      <c r="AD370" s="24">
        <f>IF(D370="M",IF(AG370&lt;78,BMILMS!$D$5*AG370^3+BMILMS!$E$5*AG370^2+BMILMS!$F$5*AG370+BMILMS!$G$5,IF(AG370&lt;150,BMILMS!$D$6*AG370^3+BMILMS!$E$6*AG370^2+BMILMS!$F$6*AG370+BMILMS!$G$6,BMILMS!$D$7*AG370^3+BMILMS!$E$7*AG370^2+BMILMS!$F$7*AG370+BMILMS!$G$7)),IF(AG370&lt;69,BMILMS!$D$9*AG370^3+BMILMS!$E$9*AG370^2+BMILMS!$F$9*AG370+BMILMS!$G$9,IF(AG370&lt;150,BMILMS!$D$10*AG370^3+BMILMS!$E$10*AG370^2+BMILMS!$F$10*AG370+BMILMS!$G$10,BMILMS!$D$11*AG370^3+BMILMS!$E$11*AG370^2+BMILMS!$F$11*AG370+BMILMS!$G$11)))</f>
        <v>0.79584630099999998</v>
      </c>
      <c r="AE370" s="24">
        <f>IF(D370="M",(IF(AG370&lt;2.5,BMILMS!$D$21*AG370^3+BMILMS!$E$21*AG370^2+BMILMS!$F$21*AG370+BMILMS!$G$21,IF(AG370&lt;9.5,BMILMS!$D$22*AG370^3+BMILMS!$E$22*AG370^2+BMILMS!$F$22*AG370+BMILMS!$G$22,IF(AG370&lt;26.75,BMILMS!$D$23*AG370^3+BMILMS!$E$23*AG370^2+BMILMS!$F$23*AG370+BMILMS!$G$23,IF(AG370&lt;90,BMILMS!$D$24*AG370^3+BMILMS!$E$24*AG370^2+BMILMS!$F$24*AG370+BMILMS!$G$24,BMILMS!$D$25*AG370^3+BMILMS!$E$25*AG370^2+BMILMS!$F$25*AG370+BMILMS!$G$25))))),(IF(AG370&lt;2.5,BMILMS!$D$27*AG370^3+BMILMS!$E$27*AG370^2+BMILMS!$F$27*AG370+BMILMS!$G$27,IF(AG370&lt;9.5,BMILMS!$D$28*AG370^3+BMILMS!$E$28*AG370^2+BMILMS!$F$28*AG370+BMILMS!$G$28,IF(AG370&lt;26.75,BMILMS!$D$29*AG370^3+BMILMS!$E$29*AG370^2+BMILMS!$F$29*AG370+BMILMS!$G$29,IF(AG370&lt;90,BMILMS!$D$30*AG370^3+BMILMS!$E$30*AG370^2+BMILMS!$F$30*AG370+BMILMS!$G$30,IF(AG370&lt;150,BMILMS!$D$31*AG370^3+BMILMS!$E$31*AG370^2+BMILMS!$F$31*AG370+BMILMS!$G$31,BMILMS!$D$32*AG370^3+BMILMS!$E$32*AG370^2+BMILMS!$F$32*AG370+BMILMS!$G$32)))))))</f>
        <v>12.568967990000001</v>
      </c>
      <c r="AF370" s="24">
        <f>IF(D370="M",(IF(AG370&lt;90,BMILMS!$D$14*AG370^3+BMILMS!$E$14*AG370^2+BMILMS!$F$14*AG370+BMILMS!$G$14,BMILMS!$D$15*AG370^3+BMILMS!$E$15*AG370^2+BMILMS!$F$15*AG370+BMILMS!$G$15)),(IF(AG370&lt;90,BMILMS!$D$17*AG370^3+BMILMS!$E$17*AG370^2+BMILMS!$F$17*AG370+BMILMS!$G$17,BMILMS!$D$18*AG370^3+BMILMS!$E$18*AG370^2+BMILMS!$F$18*AG370+BMILMS!$G$18)))</f>
        <v>8.8969350000000003E-2</v>
      </c>
      <c r="AG370" s="24">
        <f t="shared" si="96"/>
        <v>0</v>
      </c>
      <c r="AI370" s="38">
        <f>IF(D370="M",WeightSDS!P$5*$AG370^7+WeightSDS!Q$5*$AG370^6+WeightSDS!R$5*$AG370^5+WeightSDS!S$5*$AG370^4+WeightSDS!T$5*$AG370^3+WeightSDS!U$5*$AG370^2+WeightSDS!V$5*$AG370+WeightSDS!W$5,IF($AG370&lt;186,WeightSDS!P$8*$AG370^7+WeightSDS!Q$8*$AG370^6+WeightSDS!R$8*$AG370^5+WeightSDS!S$8*$AG370^4+WeightSDS!T$8*$AG370^3+WeightSDS!U$8*$AG370^2+WeightSDS!V$8*$AG370+WeightSDS!W$8,WeightSDS!$U$9-WeightSDS!$V$9*($AG370-WeightSDS!$W$9)))</f>
        <v>0.75407122999999998</v>
      </c>
      <c r="AJ370" s="24">
        <f>IF(D370="M",IF($AG370&lt;45,WeightSDS!M$23*$AG370^10+WeightSDS!N$23*$AG370^9+WeightSDS!O$23*$AG370^8+WeightSDS!P$23*$AG370^7+WeightSDS!Q$23*$AG370^6+WeightSDS!R$23*$AG370^5+WeightSDS!S$23*$AG370^4+WeightSDS!T$23*$AG370^3+WeightSDS!U$23*$AG370^2+WeightSDS!V$23*$AG370+WeightSDS!W$23,IF($AG370&lt;153,WeightSDS!M$25*$AG370^10+WeightSDS!N$25*$AG370^9+WeightSDS!O$25*$AG370^8+WeightSDS!P$25*$AG370^7+WeightSDS!Q$25*$AG370^6+WeightSDS!R$25*$AG370^5+WeightSDS!S$25*$AG370^4+WeightSDS!T$25*$AG370^3+WeightSDS!U$25*$AG370^2+WeightSDS!V$25*$AG370+WeightSDS!W$25,WeightSDS!M$27+WeightSDS!N$27/(1+EXP(WeightSDS!O$27+WeightSDS!P$27*$AG370)))),IF($AG370&lt;43.8,WeightSDS!M$29*$AG370^10+WeightSDS!N$29*$AG370^9+WeightSDS!O$29*$AG370^8+WeightSDS!P$29*$AG370^7+WeightSDS!Q$29*$AG370^6+WeightSDS!R$29*$AG370^5+WeightSDS!S$29*$AG370^4+WeightSDS!T$29*$AG370^3+WeightSDS!U$29*$AG370^2+WeightSDS!V$29*$AG370+WeightSDS!W$29-0.010431*(1-$AG370/210),IF($AG370&lt;123,WeightSDS!M$30*$AG370^10+WeightSDS!N$30*$AG370^9+WeightSDS!O$30*$AG370^8+WeightSDS!P$30*$AG370^7+WeightSDS!Q$30*$AG370^6+WeightSDS!R$30*$AG370^5+WeightSDS!S$30*$AG370^4+WeightSDS!T$30*$AG370^3+WeightSDS!U$30*$AG370^2+WeightSDS!V$30*$AG370+WeightSDS!W$30-0.010431*(1-1/$AG370),WeightSDS!M$32+WeightSDS!N$32/(1+EXP(WeightSDS!O$32+WeightSDS!P$32*$AG370))-0.010431*(1-$AG370/210))))</f>
        <v>2.9500001032655536</v>
      </c>
      <c r="AK370" s="24">
        <f>IF(D370="M",IF($AG370&lt;162,WeightSDS!P$12*$AG370^7+WeightSDS!Q$12*$AG370^6+WeightSDS!R$12*$AG370^5+WeightSDS!S$12*$AG370^4+WeightSDS!T$12*$AG370^3+WeightSDS!U$12*$AG370^2+WeightSDS!V$12*$AG370+WeightSDS!W$12,WeightSDS!P$14*$AG370^7+WeightSDS!Q$14*$AG370^6+WeightSDS!R$14*$AG370^5+WeightSDS!S$14*$AG370^4+WeightSDS!T$14*$AG370^3+WeightSDS!U$14*$AG370^2+WeightSDS!V$14*$AG370+WeightSDS!W$14),IF($AG370&lt;156,WeightSDS!O$17*$AG370^8+WeightSDS!P$17*$AG370^7+WeightSDS!Q$17*$AG370^6+WeightSDS!R$17*$AG370^5+WeightSDS!S$17*$AG370^4+WeightSDS!T$17*$AG370^3+WeightSDS!U$17*$AG370^2+WeightSDS!V$17*$AG370+WeightSDS!W$17,IF($AG370&lt;186,WeightSDS!$U$18+(WeightSDS!$V$18-WeightSDS!$U$18)/24*($AG370-186)+WeightSDS!$W$18*(-$AG370+186)^2-0.005,WeightSDS!$U$18+(WeightSDS!$V$18-WeightSDS!$U$18)/24*($AG370-186)-0.005)))</f>
        <v>0.14604529399999999</v>
      </c>
    </row>
    <row r="371" spans="1:37">
      <c r="A371" s="4"/>
      <c r="B371" s="21"/>
      <c r="C371" s="21"/>
      <c r="D371" s="21"/>
      <c r="E371" s="22"/>
      <c r="F371" s="22"/>
      <c r="G371" s="23"/>
      <c r="H371" s="23"/>
      <c r="I371" s="8" t="str">
        <f t="shared" si="82"/>
        <v/>
      </c>
      <c r="J371" s="2" t="str">
        <f t="shared" si="89"/>
        <v/>
      </c>
      <c r="K371" s="2" t="str">
        <f t="shared" si="83"/>
        <v/>
      </c>
      <c r="L371" s="2" t="str">
        <f t="shared" si="90"/>
        <v/>
      </c>
      <c r="M371" s="2" t="str">
        <f t="shared" si="95"/>
        <v/>
      </c>
      <c r="N371" s="2" t="str">
        <f t="shared" si="91"/>
        <v/>
      </c>
      <c r="O371" s="8" t="str">
        <f t="shared" si="92"/>
        <v/>
      </c>
      <c r="P371" s="8" t="str">
        <f t="shared" si="93"/>
        <v/>
      </c>
      <c r="Q371" s="40" t="str">
        <f t="shared" si="84"/>
        <v/>
      </c>
      <c r="R371" s="48" t="str">
        <f t="shared" si="94"/>
        <v/>
      </c>
      <c r="S371" s="8"/>
      <c r="U371" s="35">
        <f t="shared" si="85"/>
        <v>0</v>
      </c>
      <c r="V371" s="24">
        <f t="shared" si="86"/>
        <v>0</v>
      </c>
      <c r="W371" s="41">
        <f t="shared" si="97"/>
        <v>0</v>
      </c>
      <c r="X371" s="31"/>
      <c r="Y371" s="31"/>
      <c r="Z371" s="31"/>
      <c r="AA371" s="25">
        <f t="shared" si="87"/>
        <v>9.0359999999999996</v>
      </c>
      <c r="AB371" s="25">
        <f t="shared" si="88"/>
        <v>-184.49199999999999</v>
      </c>
      <c r="AD371" s="24">
        <f>IF(D371="M",IF(AG371&lt;78,BMILMS!$D$5*AG371^3+BMILMS!$E$5*AG371^2+BMILMS!$F$5*AG371+BMILMS!$G$5,IF(AG371&lt;150,BMILMS!$D$6*AG371^3+BMILMS!$E$6*AG371^2+BMILMS!$F$6*AG371+BMILMS!$G$6,BMILMS!$D$7*AG371^3+BMILMS!$E$7*AG371^2+BMILMS!$F$7*AG371+BMILMS!$G$7)),IF(AG371&lt;69,BMILMS!$D$9*AG371^3+BMILMS!$E$9*AG371^2+BMILMS!$F$9*AG371+BMILMS!$G$9,IF(AG371&lt;150,BMILMS!$D$10*AG371^3+BMILMS!$E$10*AG371^2+BMILMS!$F$10*AG371+BMILMS!$G$10,BMILMS!$D$11*AG371^3+BMILMS!$E$11*AG371^2+BMILMS!$F$11*AG371+BMILMS!$G$11)))</f>
        <v>0.79584630099999998</v>
      </c>
      <c r="AE371" s="24">
        <f>IF(D371="M",(IF(AG371&lt;2.5,BMILMS!$D$21*AG371^3+BMILMS!$E$21*AG371^2+BMILMS!$F$21*AG371+BMILMS!$G$21,IF(AG371&lt;9.5,BMILMS!$D$22*AG371^3+BMILMS!$E$22*AG371^2+BMILMS!$F$22*AG371+BMILMS!$G$22,IF(AG371&lt;26.75,BMILMS!$D$23*AG371^3+BMILMS!$E$23*AG371^2+BMILMS!$F$23*AG371+BMILMS!$G$23,IF(AG371&lt;90,BMILMS!$D$24*AG371^3+BMILMS!$E$24*AG371^2+BMILMS!$F$24*AG371+BMILMS!$G$24,BMILMS!$D$25*AG371^3+BMILMS!$E$25*AG371^2+BMILMS!$F$25*AG371+BMILMS!$G$25))))),(IF(AG371&lt;2.5,BMILMS!$D$27*AG371^3+BMILMS!$E$27*AG371^2+BMILMS!$F$27*AG371+BMILMS!$G$27,IF(AG371&lt;9.5,BMILMS!$D$28*AG371^3+BMILMS!$E$28*AG371^2+BMILMS!$F$28*AG371+BMILMS!$G$28,IF(AG371&lt;26.75,BMILMS!$D$29*AG371^3+BMILMS!$E$29*AG371^2+BMILMS!$F$29*AG371+BMILMS!$G$29,IF(AG371&lt;90,BMILMS!$D$30*AG371^3+BMILMS!$E$30*AG371^2+BMILMS!$F$30*AG371+BMILMS!$G$30,IF(AG371&lt;150,BMILMS!$D$31*AG371^3+BMILMS!$E$31*AG371^2+BMILMS!$F$31*AG371+BMILMS!$G$31,BMILMS!$D$32*AG371^3+BMILMS!$E$32*AG371^2+BMILMS!$F$32*AG371+BMILMS!$G$32)))))))</f>
        <v>12.568967990000001</v>
      </c>
      <c r="AF371" s="24">
        <f>IF(D371="M",(IF(AG371&lt;90,BMILMS!$D$14*AG371^3+BMILMS!$E$14*AG371^2+BMILMS!$F$14*AG371+BMILMS!$G$14,BMILMS!$D$15*AG371^3+BMILMS!$E$15*AG371^2+BMILMS!$F$15*AG371+BMILMS!$G$15)),(IF(AG371&lt;90,BMILMS!$D$17*AG371^3+BMILMS!$E$17*AG371^2+BMILMS!$F$17*AG371+BMILMS!$G$17,BMILMS!$D$18*AG371^3+BMILMS!$E$18*AG371^2+BMILMS!$F$18*AG371+BMILMS!$G$18)))</f>
        <v>8.8969350000000003E-2</v>
      </c>
      <c r="AG371" s="24">
        <f t="shared" si="96"/>
        <v>0</v>
      </c>
      <c r="AI371" s="38">
        <f>IF(D371="M",WeightSDS!P$5*$AG371^7+WeightSDS!Q$5*$AG371^6+WeightSDS!R$5*$AG371^5+WeightSDS!S$5*$AG371^4+WeightSDS!T$5*$AG371^3+WeightSDS!U$5*$AG371^2+WeightSDS!V$5*$AG371+WeightSDS!W$5,IF($AG371&lt;186,WeightSDS!P$8*$AG371^7+WeightSDS!Q$8*$AG371^6+WeightSDS!R$8*$AG371^5+WeightSDS!S$8*$AG371^4+WeightSDS!T$8*$AG371^3+WeightSDS!U$8*$AG371^2+WeightSDS!V$8*$AG371+WeightSDS!W$8,WeightSDS!$U$9-WeightSDS!$V$9*($AG371-WeightSDS!$W$9)))</f>
        <v>0.75407122999999998</v>
      </c>
      <c r="AJ371" s="24">
        <f>IF(D371="M",IF($AG371&lt;45,WeightSDS!M$23*$AG371^10+WeightSDS!N$23*$AG371^9+WeightSDS!O$23*$AG371^8+WeightSDS!P$23*$AG371^7+WeightSDS!Q$23*$AG371^6+WeightSDS!R$23*$AG371^5+WeightSDS!S$23*$AG371^4+WeightSDS!T$23*$AG371^3+WeightSDS!U$23*$AG371^2+WeightSDS!V$23*$AG371+WeightSDS!W$23,IF($AG371&lt;153,WeightSDS!M$25*$AG371^10+WeightSDS!N$25*$AG371^9+WeightSDS!O$25*$AG371^8+WeightSDS!P$25*$AG371^7+WeightSDS!Q$25*$AG371^6+WeightSDS!R$25*$AG371^5+WeightSDS!S$25*$AG371^4+WeightSDS!T$25*$AG371^3+WeightSDS!U$25*$AG371^2+WeightSDS!V$25*$AG371+WeightSDS!W$25,WeightSDS!M$27+WeightSDS!N$27/(1+EXP(WeightSDS!O$27+WeightSDS!P$27*$AG371)))),IF($AG371&lt;43.8,WeightSDS!M$29*$AG371^10+WeightSDS!N$29*$AG371^9+WeightSDS!O$29*$AG371^8+WeightSDS!P$29*$AG371^7+WeightSDS!Q$29*$AG371^6+WeightSDS!R$29*$AG371^5+WeightSDS!S$29*$AG371^4+WeightSDS!T$29*$AG371^3+WeightSDS!U$29*$AG371^2+WeightSDS!V$29*$AG371+WeightSDS!W$29-0.010431*(1-$AG371/210),IF($AG371&lt;123,WeightSDS!M$30*$AG371^10+WeightSDS!N$30*$AG371^9+WeightSDS!O$30*$AG371^8+WeightSDS!P$30*$AG371^7+WeightSDS!Q$30*$AG371^6+WeightSDS!R$30*$AG371^5+WeightSDS!S$30*$AG371^4+WeightSDS!T$30*$AG371^3+WeightSDS!U$30*$AG371^2+WeightSDS!V$30*$AG371+WeightSDS!W$30-0.010431*(1-1/$AG371),WeightSDS!M$32+WeightSDS!N$32/(1+EXP(WeightSDS!O$32+WeightSDS!P$32*$AG371))-0.010431*(1-$AG371/210))))</f>
        <v>2.9500001032655536</v>
      </c>
      <c r="AK371" s="24">
        <f>IF(D371="M",IF($AG371&lt;162,WeightSDS!P$12*$AG371^7+WeightSDS!Q$12*$AG371^6+WeightSDS!R$12*$AG371^5+WeightSDS!S$12*$AG371^4+WeightSDS!T$12*$AG371^3+WeightSDS!U$12*$AG371^2+WeightSDS!V$12*$AG371+WeightSDS!W$12,WeightSDS!P$14*$AG371^7+WeightSDS!Q$14*$AG371^6+WeightSDS!R$14*$AG371^5+WeightSDS!S$14*$AG371^4+WeightSDS!T$14*$AG371^3+WeightSDS!U$14*$AG371^2+WeightSDS!V$14*$AG371+WeightSDS!W$14),IF($AG371&lt;156,WeightSDS!O$17*$AG371^8+WeightSDS!P$17*$AG371^7+WeightSDS!Q$17*$AG371^6+WeightSDS!R$17*$AG371^5+WeightSDS!S$17*$AG371^4+WeightSDS!T$17*$AG371^3+WeightSDS!U$17*$AG371^2+WeightSDS!V$17*$AG371+WeightSDS!W$17,IF($AG371&lt;186,WeightSDS!$U$18+(WeightSDS!$V$18-WeightSDS!$U$18)/24*($AG371-186)+WeightSDS!$W$18*(-$AG371+186)^2-0.005,WeightSDS!$U$18+(WeightSDS!$V$18-WeightSDS!$U$18)/24*($AG371-186)-0.005)))</f>
        <v>0.14604529399999999</v>
      </c>
    </row>
    <row r="372" spans="1:37">
      <c r="A372" s="4"/>
      <c r="B372" s="21"/>
      <c r="C372" s="21"/>
      <c r="D372" s="21"/>
      <c r="E372" s="22"/>
      <c r="F372" s="22"/>
      <c r="G372" s="23"/>
      <c r="H372" s="23"/>
      <c r="I372" s="8" t="str">
        <f t="shared" si="82"/>
        <v/>
      </c>
      <c r="J372" s="2" t="str">
        <f t="shared" si="89"/>
        <v/>
      </c>
      <c r="K372" s="2" t="str">
        <f t="shared" si="83"/>
        <v/>
      </c>
      <c r="L372" s="2" t="str">
        <f t="shared" si="90"/>
        <v/>
      </c>
      <c r="M372" s="2" t="str">
        <f t="shared" si="95"/>
        <v/>
      </c>
      <c r="N372" s="2" t="str">
        <f t="shared" si="91"/>
        <v/>
      </c>
      <c r="O372" s="8" t="str">
        <f t="shared" si="92"/>
        <v/>
      </c>
      <c r="P372" s="8" t="str">
        <f t="shared" si="93"/>
        <v/>
      </c>
      <c r="Q372" s="40" t="str">
        <f t="shared" si="84"/>
        <v/>
      </c>
      <c r="R372" s="48" t="str">
        <f t="shared" si="94"/>
        <v/>
      </c>
      <c r="S372" s="8"/>
      <c r="U372" s="35">
        <f t="shared" si="85"/>
        <v>0</v>
      </c>
      <c r="V372" s="24">
        <f t="shared" si="86"/>
        <v>0</v>
      </c>
      <c r="W372" s="41">
        <f t="shared" si="97"/>
        <v>0</v>
      </c>
      <c r="X372" s="31"/>
      <c r="Y372" s="31"/>
      <c r="Z372" s="31"/>
      <c r="AA372" s="25">
        <f t="shared" si="87"/>
        <v>9.0359999999999996</v>
      </c>
      <c r="AB372" s="25">
        <f t="shared" si="88"/>
        <v>-184.49199999999999</v>
      </c>
      <c r="AD372" s="24">
        <f>IF(D372="M",IF(AG372&lt;78,BMILMS!$D$5*AG372^3+BMILMS!$E$5*AG372^2+BMILMS!$F$5*AG372+BMILMS!$G$5,IF(AG372&lt;150,BMILMS!$D$6*AG372^3+BMILMS!$E$6*AG372^2+BMILMS!$F$6*AG372+BMILMS!$G$6,BMILMS!$D$7*AG372^3+BMILMS!$E$7*AG372^2+BMILMS!$F$7*AG372+BMILMS!$G$7)),IF(AG372&lt;69,BMILMS!$D$9*AG372^3+BMILMS!$E$9*AG372^2+BMILMS!$F$9*AG372+BMILMS!$G$9,IF(AG372&lt;150,BMILMS!$D$10*AG372^3+BMILMS!$E$10*AG372^2+BMILMS!$F$10*AG372+BMILMS!$G$10,BMILMS!$D$11*AG372^3+BMILMS!$E$11*AG372^2+BMILMS!$F$11*AG372+BMILMS!$G$11)))</f>
        <v>0.79584630099999998</v>
      </c>
      <c r="AE372" s="24">
        <f>IF(D372="M",(IF(AG372&lt;2.5,BMILMS!$D$21*AG372^3+BMILMS!$E$21*AG372^2+BMILMS!$F$21*AG372+BMILMS!$G$21,IF(AG372&lt;9.5,BMILMS!$D$22*AG372^3+BMILMS!$E$22*AG372^2+BMILMS!$F$22*AG372+BMILMS!$G$22,IF(AG372&lt;26.75,BMILMS!$D$23*AG372^3+BMILMS!$E$23*AG372^2+BMILMS!$F$23*AG372+BMILMS!$G$23,IF(AG372&lt;90,BMILMS!$D$24*AG372^3+BMILMS!$E$24*AG372^2+BMILMS!$F$24*AG372+BMILMS!$G$24,BMILMS!$D$25*AG372^3+BMILMS!$E$25*AG372^2+BMILMS!$F$25*AG372+BMILMS!$G$25))))),(IF(AG372&lt;2.5,BMILMS!$D$27*AG372^3+BMILMS!$E$27*AG372^2+BMILMS!$F$27*AG372+BMILMS!$G$27,IF(AG372&lt;9.5,BMILMS!$D$28*AG372^3+BMILMS!$E$28*AG372^2+BMILMS!$F$28*AG372+BMILMS!$G$28,IF(AG372&lt;26.75,BMILMS!$D$29*AG372^3+BMILMS!$E$29*AG372^2+BMILMS!$F$29*AG372+BMILMS!$G$29,IF(AG372&lt;90,BMILMS!$D$30*AG372^3+BMILMS!$E$30*AG372^2+BMILMS!$F$30*AG372+BMILMS!$G$30,IF(AG372&lt;150,BMILMS!$D$31*AG372^3+BMILMS!$E$31*AG372^2+BMILMS!$F$31*AG372+BMILMS!$G$31,BMILMS!$D$32*AG372^3+BMILMS!$E$32*AG372^2+BMILMS!$F$32*AG372+BMILMS!$G$32)))))))</f>
        <v>12.568967990000001</v>
      </c>
      <c r="AF372" s="24">
        <f>IF(D372="M",(IF(AG372&lt;90,BMILMS!$D$14*AG372^3+BMILMS!$E$14*AG372^2+BMILMS!$F$14*AG372+BMILMS!$G$14,BMILMS!$D$15*AG372^3+BMILMS!$E$15*AG372^2+BMILMS!$F$15*AG372+BMILMS!$G$15)),(IF(AG372&lt;90,BMILMS!$D$17*AG372^3+BMILMS!$E$17*AG372^2+BMILMS!$F$17*AG372+BMILMS!$G$17,BMILMS!$D$18*AG372^3+BMILMS!$E$18*AG372^2+BMILMS!$F$18*AG372+BMILMS!$G$18)))</f>
        <v>8.8969350000000003E-2</v>
      </c>
      <c r="AG372" s="24">
        <f t="shared" si="96"/>
        <v>0</v>
      </c>
      <c r="AI372" s="38">
        <f>IF(D372="M",WeightSDS!P$5*$AG372^7+WeightSDS!Q$5*$AG372^6+WeightSDS!R$5*$AG372^5+WeightSDS!S$5*$AG372^4+WeightSDS!T$5*$AG372^3+WeightSDS!U$5*$AG372^2+WeightSDS!V$5*$AG372+WeightSDS!W$5,IF($AG372&lt;186,WeightSDS!P$8*$AG372^7+WeightSDS!Q$8*$AG372^6+WeightSDS!R$8*$AG372^5+WeightSDS!S$8*$AG372^4+WeightSDS!T$8*$AG372^3+WeightSDS!U$8*$AG372^2+WeightSDS!V$8*$AG372+WeightSDS!W$8,WeightSDS!$U$9-WeightSDS!$V$9*($AG372-WeightSDS!$W$9)))</f>
        <v>0.75407122999999998</v>
      </c>
      <c r="AJ372" s="24">
        <f>IF(D372="M",IF($AG372&lt;45,WeightSDS!M$23*$AG372^10+WeightSDS!N$23*$AG372^9+WeightSDS!O$23*$AG372^8+WeightSDS!P$23*$AG372^7+WeightSDS!Q$23*$AG372^6+WeightSDS!R$23*$AG372^5+WeightSDS!S$23*$AG372^4+WeightSDS!T$23*$AG372^3+WeightSDS!U$23*$AG372^2+WeightSDS!V$23*$AG372+WeightSDS!W$23,IF($AG372&lt;153,WeightSDS!M$25*$AG372^10+WeightSDS!N$25*$AG372^9+WeightSDS!O$25*$AG372^8+WeightSDS!P$25*$AG372^7+WeightSDS!Q$25*$AG372^6+WeightSDS!R$25*$AG372^5+WeightSDS!S$25*$AG372^4+WeightSDS!T$25*$AG372^3+WeightSDS!U$25*$AG372^2+WeightSDS!V$25*$AG372+WeightSDS!W$25,WeightSDS!M$27+WeightSDS!N$27/(1+EXP(WeightSDS!O$27+WeightSDS!P$27*$AG372)))),IF($AG372&lt;43.8,WeightSDS!M$29*$AG372^10+WeightSDS!N$29*$AG372^9+WeightSDS!O$29*$AG372^8+WeightSDS!P$29*$AG372^7+WeightSDS!Q$29*$AG372^6+WeightSDS!R$29*$AG372^5+WeightSDS!S$29*$AG372^4+WeightSDS!T$29*$AG372^3+WeightSDS!U$29*$AG372^2+WeightSDS!V$29*$AG372+WeightSDS!W$29-0.010431*(1-$AG372/210),IF($AG372&lt;123,WeightSDS!M$30*$AG372^10+WeightSDS!N$30*$AG372^9+WeightSDS!O$30*$AG372^8+WeightSDS!P$30*$AG372^7+WeightSDS!Q$30*$AG372^6+WeightSDS!R$30*$AG372^5+WeightSDS!S$30*$AG372^4+WeightSDS!T$30*$AG372^3+WeightSDS!U$30*$AG372^2+WeightSDS!V$30*$AG372+WeightSDS!W$30-0.010431*(1-1/$AG372),WeightSDS!M$32+WeightSDS!N$32/(1+EXP(WeightSDS!O$32+WeightSDS!P$32*$AG372))-0.010431*(1-$AG372/210))))</f>
        <v>2.9500001032655536</v>
      </c>
      <c r="AK372" s="24">
        <f>IF(D372="M",IF($AG372&lt;162,WeightSDS!P$12*$AG372^7+WeightSDS!Q$12*$AG372^6+WeightSDS!R$12*$AG372^5+WeightSDS!S$12*$AG372^4+WeightSDS!T$12*$AG372^3+WeightSDS!U$12*$AG372^2+WeightSDS!V$12*$AG372+WeightSDS!W$12,WeightSDS!P$14*$AG372^7+WeightSDS!Q$14*$AG372^6+WeightSDS!R$14*$AG372^5+WeightSDS!S$14*$AG372^4+WeightSDS!T$14*$AG372^3+WeightSDS!U$14*$AG372^2+WeightSDS!V$14*$AG372+WeightSDS!W$14),IF($AG372&lt;156,WeightSDS!O$17*$AG372^8+WeightSDS!P$17*$AG372^7+WeightSDS!Q$17*$AG372^6+WeightSDS!R$17*$AG372^5+WeightSDS!S$17*$AG372^4+WeightSDS!T$17*$AG372^3+WeightSDS!U$17*$AG372^2+WeightSDS!V$17*$AG372+WeightSDS!W$17,IF($AG372&lt;186,WeightSDS!$U$18+(WeightSDS!$V$18-WeightSDS!$U$18)/24*($AG372-186)+WeightSDS!$W$18*(-$AG372+186)^2-0.005,WeightSDS!$U$18+(WeightSDS!$V$18-WeightSDS!$U$18)/24*($AG372-186)-0.005)))</f>
        <v>0.14604529399999999</v>
      </c>
    </row>
    <row r="373" spans="1:37">
      <c r="A373" s="4"/>
      <c r="B373" s="21"/>
      <c r="C373" s="21"/>
      <c r="D373" s="21"/>
      <c r="E373" s="22"/>
      <c r="F373" s="22"/>
      <c r="G373" s="23"/>
      <c r="H373" s="23"/>
      <c r="I373" s="8" t="str">
        <f t="shared" si="82"/>
        <v/>
      </c>
      <c r="J373" s="2" t="str">
        <f t="shared" si="89"/>
        <v/>
      </c>
      <c r="K373" s="2" t="str">
        <f t="shared" si="83"/>
        <v/>
      </c>
      <c r="L373" s="2" t="str">
        <f t="shared" si="90"/>
        <v/>
      </c>
      <c r="M373" s="2" t="str">
        <f t="shared" si="95"/>
        <v/>
      </c>
      <c r="N373" s="2" t="str">
        <f t="shared" si="91"/>
        <v/>
      </c>
      <c r="O373" s="8" t="str">
        <f t="shared" si="92"/>
        <v/>
      </c>
      <c r="P373" s="8" t="str">
        <f t="shared" si="93"/>
        <v/>
      </c>
      <c r="Q373" s="40" t="str">
        <f t="shared" si="84"/>
        <v/>
      </c>
      <c r="R373" s="48" t="str">
        <f t="shared" si="94"/>
        <v/>
      </c>
      <c r="S373" s="8"/>
      <c r="U373" s="35">
        <f t="shared" si="85"/>
        <v>0</v>
      </c>
      <c r="V373" s="24">
        <f t="shared" si="86"/>
        <v>0</v>
      </c>
      <c r="W373" s="41">
        <f t="shared" si="97"/>
        <v>0</v>
      </c>
      <c r="X373" s="31"/>
      <c r="Y373" s="31"/>
      <c r="Z373" s="31"/>
      <c r="AA373" s="25">
        <f t="shared" si="87"/>
        <v>9.0359999999999996</v>
      </c>
      <c r="AB373" s="25">
        <f t="shared" si="88"/>
        <v>-184.49199999999999</v>
      </c>
      <c r="AD373" s="24">
        <f>IF(D373="M",IF(AG373&lt;78,BMILMS!$D$5*AG373^3+BMILMS!$E$5*AG373^2+BMILMS!$F$5*AG373+BMILMS!$G$5,IF(AG373&lt;150,BMILMS!$D$6*AG373^3+BMILMS!$E$6*AG373^2+BMILMS!$F$6*AG373+BMILMS!$G$6,BMILMS!$D$7*AG373^3+BMILMS!$E$7*AG373^2+BMILMS!$F$7*AG373+BMILMS!$G$7)),IF(AG373&lt;69,BMILMS!$D$9*AG373^3+BMILMS!$E$9*AG373^2+BMILMS!$F$9*AG373+BMILMS!$G$9,IF(AG373&lt;150,BMILMS!$D$10*AG373^3+BMILMS!$E$10*AG373^2+BMILMS!$F$10*AG373+BMILMS!$G$10,BMILMS!$D$11*AG373^3+BMILMS!$E$11*AG373^2+BMILMS!$F$11*AG373+BMILMS!$G$11)))</f>
        <v>0.79584630099999998</v>
      </c>
      <c r="AE373" s="24">
        <f>IF(D373="M",(IF(AG373&lt;2.5,BMILMS!$D$21*AG373^3+BMILMS!$E$21*AG373^2+BMILMS!$F$21*AG373+BMILMS!$G$21,IF(AG373&lt;9.5,BMILMS!$D$22*AG373^3+BMILMS!$E$22*AG373^2+BMILMS!$F$22*AG373+BMILMS!$G$22,IF(AG373&lt;26.75,BMILMS!$D$23*AG373^3+BMILMS!$E$23*AG373^2+BMILMS!$F$23*AG373+BMILMS!$G$23,IF(AG373&lt;90,BMILMS!$D$24*AG373^3+BMILMS!$E$24*AG373^2+BMILMS!$F$24*AG373+BMILMS!$G$24,BMILMS!$D$25*AG373^3+BMILMS!$E$25*AG373^2+BMILMS!$F$25*AG373+BMILMS!$G$25))))),(IF(AG373&lt;2.5,BMILMS!$D$27*AG373^3+BMILMS!$E$27*AG373^2+BMILMS!$F$27*AG373+BMILMS!$G$27,IF(AG373&lt;9.5,BMILMS!$D$28*AG373^3+BMILMS!$E$28*AG373^2+BMILMS!$F$28*AG373+BMILMS!$G$28,IF(AG373&lt;26.75,BMILMS!$D$29*AG373^3+BMILMS!$E$29*AG373^2+BMILMS!$F$29*AG373+BMILMS!$G$29,IF(AG373&lt;90,BMILMS!$D$30*AG373^3+BMILMS!$E$30*AG373^2+BMILMS!$F$30*AG373+BMILMS!$G$30,IF(AG373&lt;150,BMILMS!$D$31*AG373^3+BMILMS!$E$31*AG373^2+BMILMS!$F$31*AG373+BMILMS!$G$31,BMILMS!$D$32*AG373^3+BMILMS!$E$32*AG373^2+BMILMS!$F$32*AG373+BMILMS!$G$32)))))))</f>
        <v>12.568967990000001</v>
      </c>
      <c r="AF373" s="24">
        <f>IF(D373="M",(IF(AG373&lt;90,BMILMS!$D$14*AG373^3+BMILMS!$E$14*AG373^2+BMILMS!$F$14*AG373+BMILMS!$G$14,BMILMS!$D$15*AG373^3+BMILMS!$E$15*AG373^2+BMILMS!$F$15*AG373+BMILMS!$G$15)),(IF(AG373&lt;90,BMILMS!$D$17*AG373^3+BMILMS!$E$17*AG373^2+BMILMS!$F$17*AG373+BMILMS!$G$17,BMILMS!$D$18*AG373^3+BMILMS!$E$18*AG373^2+BMILMS!$F$18*AG373+BMILMS!$G$18)))</f>
        <v>8.8969350000000003E-2</v>
      </c>
      <c r="AG373" s="24">
        <f t="shared" si="96"/>
        <v>0</v>
      </c>
      <c r="AI373" s="38">
        <f>IF(D373="M",WeightSDS!P$5*$AG373^7+WeightSDS!Q$5*$AG373^6+WeightSDS!R$5*$AG373^5+WeightSDS!S$5*$AG373^4+WeightSDS!T$5*$AG373^3+WeightSDS!U$5*$AG373^2+WeightSDS!V$5*$AG373+WeightSDS!W$5,IF($AG373&lt;186,WeightSDS!P$8*$AG373^7+WeightSDS!Q$8*$AG373^6+WeightSDS!R$8*$AG373^5+WeightSDS!S$8*$AG373^4+WeightSDS!T$8*$AG373^3+WeightSDS!U$8*$AG373^2+WeightSDS!V$8*$AG373+WeightSDS!W$8,WeightSDS!$U$9-WeightSDS!$V$9*($AG373-WeightSDS!$W$9)))</f>
        <v>0.75407122999999998</v>
      </c>
      <c r="AJ373" s="24">
        <f>IF(D373="M",IF($AG373&lt;45,WeightSDS!M$23*$AG373^10+WeightSDS!N$23*$AG373^9+WeightSDS!O$23*$AG373^8+WeightSDS!P$23*$AG373^7+WeightSDS!Q$23*$AG373^6+WeightSDS!R$23*$AG373^5+WeightSDS!S$23*$AG373^4+WeightSDS!T$23*$AG373^3+WeightSDS!U$23*$AG373^2+WeightSDS!V$23*$AG373+WeightSDS!W$23,IF($AG373&lt;153,WeightSDS!M$25*$AG373^10+WeightSDS!N$25*$AG373^9+WeightSDS!O$25*$AG373^8+WeightSDS!P$25*$AG373^7+WeightSDS!Q$25*$AG373^6+WeightSDS!R$25*$AG373^5+WeightSDS!S$25*$AG373^4+WeightSDS!T$25*$AG373^3+WeightSDS!U$25*$AG373^2+WeightSDS!V$25*$AG373+WeightSDS!W$25,WeightSDS!M$27+WeightSDS!N$27/(1+EXP(WeightSDS!O$27+WeightSDS!P$27*$AG373)))),IF($AG373&lt;43.8,WeightSDS!M$29*$AG373^10+WeightSDS!N$29*$AG373^9+WeightSDS!O$29*$AG373^8+WeightSDS!P$29*$AG373^7+WeightSDS!Q$29*$AG373^6+WeightSDS!R$29*$AG373^5+WeightSDS!S$29*$AG373^4+WeightSDS!T$29*$AG373^3+WeightSDS!U$29*$AG373^2+WeightSDS!V$29*$AG373+WeightSDS!W$29-0.010431*(1-$AG373/210),IF($AG373&lt;123,WeightSDS!M$30*$AG373^10+WeightSDS!N$30*$AG373^9+WeightSDS!O$30*$AG373^8+WeightSDS!P$30*$AG373^7+WeightSDS!Q$30*$AG373^6+WeightSDS!R$30*$AG373^5+WeightSDS!S$30*$AG373^4+WeightSDS!T$30*$AG373^3+WeightSDS!U$30*$AG373^2+WeightSDS!V$30*$AG373+WeightSDS!W$30-0.010431*(1-1/$AG373),WeightSDS!M$32+WeightSDS!N$32/(1+EXP(WeightSDS!O$32+WeightSDS!P$32*$AG373))-0.010431*(1-$AG373/210))))</f>
        <v>2.9500001032655536</v>
      </c>
      <c r="AK373" s="24">
        <f>IF(D373="M",IF($AG373&lt;162,WeightSDS!P$12*$AG373^7+WeightSDS!Q$12*$AG373^6+WeightSDS!R$12*$AG373^5+WeightSDS!S$12*$AG373^4+WeightSDS!T$12*$AG373^3+WeightSDS!U$12*$AG373^2+WeightSDS!V$12*$AG373+WeightSDS!W$12,WeightSDS!P$14*$AG373^7+WeightSDS!Q$14*$AG373^6+WeightSDS!R$14*$AG373^5+WeightSDS!S$14*$AG373^4+WeightSDS!T$14*$AG373^3+WeightSDS!U$14*$AG373^2+WeightSDS!V$14*$AG373+WeightSDS!W$14),IF($AG373&lt;156,WeightSDS!O$17*$AG373^8+WeightSDS!P$17*$AG373^7+WeightSDS!Q$17*$AG373^6+WeightSDS!R$17*$AG373^5+WeightSDS!S$17*$AG373^4+WeightSDS!T$17*$AG373^3+WeightSDS!U$17*$AG373^2+WeightSDS!V$17*$AG373+WeightSDS!W$17,IF($AG373&lt;186,WeightSDS!$U$18+(WeightSDS!$V$18-WeightSDS!$U$18)/24*($AG373-186)+WeightSDS!$W$18*(-$AG373+186)^2-0.005,WeightSDS!$U$18+(WeightSDS!$V$18-WeightSDS!$U$18)/24*($AG373-186)-0.005)))</f>
        <v>0.14604529399999999</v>
      </c>
    </row>
    <row r="374" spans="1:37">
      <c r="A374" s="4"/>
      <c r="B374" s="21"/>
      <c r="C374" s="21"/>
      <c r="D374" s="21"/>
      <c r="E374" s="22"/>
      <c r="F374" s="22"/>
      <c r="G374" s="23"/>
      <c r="H374" s="23"/>
      <c r="I374" s="8" t="str">
        <f t="shared" si="82"/>
        <v/>
      </c>
      <c r="J374" s="2" t="str">
        <f t="shared" si="89"/>
        <v/>
      </c>
      <c r="K374" s="2" t="str">
        <f t="shared" si="83"/>
        <v/>
      </c>
      <c r="L374" s="2" t="str">
        <f t="shared" si="90"/>
        <v/>
      </c>
      <c r="M374" s="2" t="str">
        <f t="shared" si="95"/>
        <v/>
      </c>
      <c r="N374" s="2" t="str">
        <f t="shared" si="91"/>
        <v/>
      </c>
      <c r="O374" s="8" t="str">
        <f t="shared" si="92"/>
        <v/>
      </c>
      <c r="P374" s="8" t="str">
        <f t="shared" si="93"/>
        <v/>
      </c>
      <c r="Q374" s="40" t="str">
        <f t="shared" si="84"/>
        <v/>
      </c>
      <c r="R374" s="48" t="str">
        <f t="shared" si="94"/>
        <v/>
      </c>
      <c r="S374" s="8"/>
      <c r="U374" s="35">
        <f t="shared" si="85"/>
        <v>0</v>
      </c>
      <c r="V374" s="24">
        <f t="shared" si="86"/>
        <v>0</v>
      </c>
      <c r="W374" s="41">
        <f t="shared" si="97"/>
        <v>0</v>
      </c>
      <c r="X374" s="31"/>
      <c r="Y374" s="31"/>
      <c r="Z374" s="31"/>
      <c r="AA374" s="25">
        <f t="shared" si="87"/>
        <v>9.0359999999999996</v>
      </c>
      <c r="AB374" s="25">
        <f t="shared" si="88"/>
        <v>-184.49199999999999</v>
      </c>
      <c r="AD374" s="24">
        <f>IF(D374="M",IF(AG374&lt;78,BMILMS!$D$5*AG374^3+BMILMS!$E$5*AG374^2+BMILMS!$F$5*AG374+BMILMS!$G$5,IF(AG374&lt;150,BMILMS!$D$6*AG374^3+BMILMS!$E$6*AG374^2+BMILMS!$F$6*AG374+BMILMS!$G$6,BMILMS!$D$7*AG374^3+BMILMS!$E$7*AG374^2+BMILMS!$F$7*AG374+BMILMS!$G$7)),IF(AG374&lt;69,BMILMS!$D$9*AG374^3+BMILMS!$E$9*AG374^2+BMILMS!$F$9*AG374+BMILMS!$G$9,IF(AG374&lt;150,BMILMS!$D$10*AG374^3+BMILMS!$E$10*AG374^2+BMILMS!$F$10*AG374+BMILMS!$G$10,BMILMS!$D$11*AG374^3+BMILMS!$E$11*AG374^2+BMILMS!$F$11*AG374+BMILMS!$G$11)))</f>
        <v>0.79584630099999998</v>
      </c>
      <c r="AE374" s="24">
        <f>IF(D374="M",(IF(AG374&lt;2.5,BMILMS!$D$21*AG374^3+BMILMS!$E$21*AG374^2+BMILMS!$F$21*AG374+BMILMS!$G$21,IF(AG374&lt;9.5,BMILMS!$D$22*AG374^3+BMILMS!$E$22*AG374^2+BMILMS!$F$22*AG374+BMILMS!$G$22,IF(AG374&lt;26.75,BMILMS!$D$23*AG374^3+BMILMS!$E$23*AG374^2+BMILMS!$F$23*AG374+BMILMS!$G$23,IF(AG374&lt;90,BMILMS!$D$24*AG374^3+BMILMS!$E$24*AG374^2+BMILMS!$F$24*AG374+BMILMS!$G$24,BMILMS!$D$25*AG374^3+BMILMS!$E$25*AG374^2+BMILMS!$F$25*AG374+BMILMS!$G$25))))),(IF(AG374&lt;2.5,BMILMS!$D$27*AG374^3+BMILMS!$E$27*AG374^2+BMILMS!$F$27*AG374+BMILMS!$G$27,IF(AG374&lt;9.5,BMILMS!$D$28*AG374^3+BMILMS!$E$28*AG374^2+BMILMS!$F$28*AG374+BMILMS!$G$28,IF(AG374&lt;26.75,BMILMS!$D$29*AG374^3+BMILMS!$E$29*AG374^2+BMILMS!$F$29*AG374+BMILMS!$G$29,IF(AG374&lt;90,BMILMS!$D$30*AG374^3+BMILMS!$E$30*AG374^2+BMILMS!$F$30*AG374+BMILMS!$G$30,IF(AG374&lt;150,BMILMS!$D$31*AG374^3+BMILMS!$E$31*AG374^2+BMILMS!$F$31*AG374+BMILMS!$G$31,BMILMS!$D$32*AG374^3+BMILMS!$E$32*AG374^2+BMILMS!$F$32*AG374+BMILMS!$G$32)))))))</f>
        <v>12.568967990000001</v>
      </c>
      <c r="AF374" s="24">
        <f>IF(D374="M",(IF(AG374&lt;90,BMILMS!$D$14*AG374^3+BMILMS!$E$14*AG374^2+BMILMS!$F$14*AG374+BMILMS!$G$14,BMILMS!$D$15*AG374^3+BMILMS!$E$15*AG374^2+BMILMS!$F$15*AG374+BMILMS!$G$15)),(IF(AG374&lt;90,BMILMS!$D$17*AG374^3+BMILMS!$E$17*AG374^2+BMILMS!$F$17*AG374+BMILMS!$G$17,BMILMS!$D$18*AG374^3+BMILMS!$E$18*AG374^2+BMILMS!$F$18*AG374+BMILMS!$G$18)))</f>
        <v>8.8969350000000003E-2</v>
      </c>
      <c r="AG374" s="24">
        <f t="shared" si="96"/>
        <v>0</v>
      </c>
      <c r="AI374" s="38">
        <f>IF(D374="M",WeightSDS!P$5*$AG374^7+WeightSDS!Q$5*$AG374^6+WeightSDS!R$5*$AG374^5+WeightSDS!S$5*$AG374^4+WeightSDS!T$5*$AG374^3+WeightSDS!U$5*$AG374^2+WeightSDS!V$5*$AG374+WeightSDS!W$5,IF($AG374&lt;186,WeightSDS!P$8*$AG374^7+WeightSDS!Q$8*$AG374^6+WeightSDS!R$8*$AG374^5+WeightSDS!S$8*$AG374^4+WeightSDS!T$8*$AG374^3+WeightSDS!U$8*$AG374^2+WeightSDS!V$8*$AG374+WeightSDS!W$8,WeightSDS!$U$9-WeightSDS!$V$9*($AG374-WeightSDS!$W$9)))</f>
        <v>0.75407122999999998</v>
      </c>
      <c r="AJ374" s="24">
        <f>IF(D374="M",IF($AG374&lt;45,WeightSDS!M$23*$AG374^10+WeightSDS!N$23*$AG374^9+WeightSDS!O$23*$AG374^8+WeightSDS!P$23*$AG374^7+WeightSDS!Q$23*$AG374^6+WeightSDS!R$23*$AG374^5+WeightSDS!S$23*$AG374^4+WeightSDS!T$23*$AG374^3+WeightSDS!U$23*$AG374^2+WeightSDS!V$23*$AG374+WeightSDS!W$23,IF($AG374&lt;153,WeightSDS!M$25*$AG374^10+WeightSDS!N$25*$AG374^9+WeightSDS!O$25*$AG374^8+WeightSDS!P$25*$AG374^7+WeightSDS!Q$25*$AG374^6+WeightSDS!R$25*$AG374^5+WeightSDS!S$25*$AG374^4+WeightSDS!T$25*$AG374^3+WeightSDS!U$25*$AG374^2+WeightSDS!V$25*$AG374+WeightSDS!W$25,WeightSDS!M$27+WeightSDS!N$27/(1+EXP(WeightSDS!O$27+WeightSDS!P$27*$AG374)))),IF($AG374&lt;43.8,WeightSDS!M$29*$AG374^10+WeightSDS!N$29*$AG374^9+WeightSDS!O$29*$AG374^8+WeightSDS!P$29*$AG374^7+WeightSDS!Q$29*$AG374^6+WeightSDS!R$29*$AG374^5+WeightSDS!S$29*$AG374^4+WeightSDS!T$29*$AG374^3+WeightSDS!U$29*$AG374^2+WeightSDS!V$29*$AG374+WeightSDS!W$29-0.010431*(1-$AG374/210),IF($AG374&lt;123,WeightSDS!M$30*$AG374^10+WeightSDS!N$30*$AG374^9+WeightSDS!O$30*$AG374^8+WeightSDS!P$30*$AG374^7+WeightSDS!Q$30*$AG374^6+WeightSDS!R$30*$AG374^5+WeightSDS!S$30*$AG374^4+WeightSDS!T$30*$AG374^3+WeightSDS!U$30*$AG374^2+WeightSDS!V$30*$AG374+WeightSDS!W$30-0.010431*(1-1/$AG374),WeightSDS!M$32+WeightSDS!N$32/(1+EXP(WeightSDS!O$32+WeightSDS!P$32*$AG374))-0.010431*(1-$AG374/210))))</f>
        <v>2.9500001032655536</v>
      </c>
      <c r="AK374" s="24">
        <f>IF(D374="M",IF($AG374&lt;162,WeightSDS!P$12*$AG374^7+WeightSDS!Q$12*$AG374^6+WeightSDS!R$12*$AG374^5+WeightSDS!S$12*$AG374^4+WeightSDS!T$12*$AG374^3+WeightSDS!U$12*$AG374^2+WeightSDS!V$12*$AG374+WeightSDS!W$12,WeightSDS!P$14*$AG374^7+WeightSDS!Q$14*$AG374^6+WeightSDS!R$14*$AG374^5+WeightSDS!S$14*$AG374^4+WeightSDS!T$14*$AG374^3+WeightSDS!U$14*$AG374^2+WeightSDS!V$14*$AG374+WeightSDS!W$14),IF($AG374&lt;156,WeightSDS!O$17*$AG374^8+WeightSDS!P$17*$AG374^7+WeightSDS!Q$17*$AG374^6+WeightSDS!R$17*$AG374^5+WeightSDS!S$17*$AG374^4+WeightSDS!T$17*$AG374^3+WeightSDS!U$17*$AG374^2+WeightSDS!V$17*$AG374+WeightSDS!W$17,IF($AG374&lt;186,WeightSDS!$U$18+(WeightSDS!$V$18-WeightSDS!$U$18)/24*($AG374-186)+WeightSDS!$W$18*(-$AG374+186)^2-0.005,WeightSDS!$U$18+(WeightSDS!$V$18-WeightSDS!$U$18)/24*($AG374-186)-0.005)))</f>
        <v>0.14604529399999999</v>
      </c>
    </row>
    <row r="375" spans="1:37">
      <c r="A375" s="4"/>
      <c r="B375" s="21"/>
      <c r="C375" s="21"/>
      <c r="D375" s="21"/>
      <c r="E375" s="22"/>
      <c r="F375" s="22"/>
      <c r="G375" s="23"/>
      <c r="H375" s="23"/>
      <c r="I375" s="8" t="str">
        <f t="shared" si="82"/>
        <v/>
      </c>
      <c r="J375" s="2" t="str">
        <f t="shared" si="89"/>
        <v/>
      </c>
      <c r="K375" s="2" t="str">
        <f t="shared" si="83"/>
        <v/>
      </c>
      <c r="L375" s="2" t="str">
        <f t="shared" si="90"/>
        <v/>
      </c>
      <c r="M375" s="2" t="str">
        <f t="shared" si="95"/>
        <v/>
      </c>
      <c r="N375" s="2" t="str">
        <f t="shared" si="91"/>
        <v/>
      </c>
      <c r="O375" s="8" t="str">
        <f t="shared" si="92"/>
        <v/>
      </c>
      <c r="P375" s="8" t="str">
        <f t="shared" si="93"/>
        <v/>
      </c>
      <c r="Q375" s="40" t="str">
        <f t="shared" si="84"/>
        <v/>
      </c>
      <c r="R375" s="48" t="str">
        <f t="shared" si="94"/>
        <v/>
      </c>
      <c r="S375" s="8"/>
      <c r="U375" s="35">
        <f t="shared" si="85"/>
        <v>0</v>
      </c>
      <c r="V375" s="24">
        <f t="shared" si="86"/>
        <v>0</v>
      </c>
      <c r="W375" s="41">
        <f t="shared" si="97"/>
        <v>0</v>
      </c>
      <c r="X375" s="31"/>
      <c r="Y375" s="31"/>
      <c r="Z375" s="31"/>
      <c r="AA375" s="25">
        <f t="shared" si="87"/>
        <v>9.0359999999999996</v>
      </c>
      <c r="AB375" s="25">
        <f t="shared" si="88"/>
        <v>-184.49199999999999</v>
      </c>
      <c r="AD375" s="24">
        <f>IF(D375="M",IF(AG375&lt;78,BMILMS!$D$5*AG375^3+BMILMS!$E$5*AG375^2+BMILMS!$F$5*AG375+BMILMS!$G$5,IF(AG375&lt;150,BMILMS!$D$6*AG375^3+BMILMS!$E$6*AG375^2+BMILMS!$F$6*AG375+BMILMS!$G$6,BMILMS!$D$7*AG375^3+BMILMS!$E$7*AG375^2+BMILMS!$F$7*AG375+BMILMS!$G$7)),IF(AG375&lt;69,BMILMS!$D$9*AG375^3+BMILMS!$E$9*AG375^2+BMILMS!$F$9*AG375+BMILMS!$G$9,IF(AG375&lt;150,BMILMS!$D$10*AG375^3+BMILMS!$E$10*AG375^2+BMILMS!$F$10*AG375+BMILMS!$G$10,BMILMS!$D$11*AG375^3+BMILMS!$E$11*AG375^2+BMILMS!$F$11*AG375+BMILMS!$G$11)))</f>
        <v>0.79584630099999998</v>
      </c>
      <c r="AE375" s="24">
        <f>IF(D375="M",(IF(AG375&lt;2.5,BMILMS!$D$21*AG375^3+BMILMS!$E$21*AG375^2+BMILMS!$F$21*AG375+BMILMS!$G$21,IF(AG375&lt;9.5,BMILMS!$D$22*AG375^3+BMILMS!$E$22*AG375^2+BMILMS!$F$22*AG375+BMILMS!$G$22,IF(AG375&lt;26.75,BMILMS!$D$23*AG375^3+BMILMS!$E$23*AG375^2+BMILMS!$F$23*AG375+BMILMS!$G$23,IF(AG375&lt;90,BMILMS!$D$24*AG375^3+BMILMS!$E$24*AG375^2+BMILMS!$F$24*AG375+BMILMS!$G$24,BMILMS!$D$25*AG375^3+BMILMS!$E$25*AG375^2+BMILMS!$F$25*AG375+BMILMS!$G$25))))),(IF(AG375&lt;2.5,BMILMS!$D$27*AG375^3+BMILMS!$E$27*AG375^2+BMILMS!$F$27*AG375+BMILMS!$G$27,IF(AG375&lt;9.5,BMILMS!$D$28*AG375^3+BMILMS!$E$28*AG375^2+BMILMS!$F$28*AG375+BMILMS!$G$28,IF(AG375&lt;26.75,BMILMS!$D$29*AG375^3+BMILMS!$E$29*AG375^2+BMILMS!$F$29*AG375+BMILMS!$G$29,IF(AG375&lt;90,BMILMS!$D$30*AG375^3+BMILMS!$E$30*AG375^2+BMILMS!$F$30*AG375+BMILMS!$G$30,IF(AG375&lt;150,BMILMS!$D$31*AG375^3+BMILMS!$E$31*AG375^2+BMILMS!$F$31*AG375+BMILMS!$G$31,BMILMS!$D$32*AG375^3+BMILMS!$E$32*AG375^2+BMILMS!$F$32*AG375+BMILMS!$G$32)))))))</f>
        <v>12.568967990000001</v>
      </c>
      <c r="AF375" s="24">
        <f>IF(D375="M",(IF(AG375&lt;90,BMILMS!$D$14*AG375^3+BMILMS!$E$14*AG375^2+BMILMS!$F$14*AG375+BMILMS!$G$14,BMILMS!$D$15*AG375^3+BMILMS!$E$15*AG375^2+BMILMS!$F$15*AG375+BMILMS!$G$15)),(IF(AG375&lt;90,BMILMS!$D$17*AG375^3+BMILMS!$E$17*AG375^2+BMILMS!$F$17*AG375+BMILMS!$G$17,BMILMS!$D$18*AG375^3+BMILMS!$E$18*AG375^2+BMILMS!$F$18*AG375+BMILMS!$G$18)))</f>
        <v>8.8969350000000003E-2</v>
      </c>
      <c r="AG375" s="24">
        <f t="shared" si="96"/>
        <v>0</v>
      </c>
      <c r="AI375" s="38">
        <f>IF(D375="M",WeightSDS!P$5*$AG375^7+WeightSDS!Q$5*$AG375^6+WeightSDS!R$5*$AG375^5+WeightSDS!S$5*$AG375^4+WeightSDS!T$5*$AG375^3+WeightSDS!U$5*$AG375^2+WeightSDS!V$5*$AG375+WeightSDS!W$5,IF($AG375&lt;186,WeightSDS!P$8*$AG375^7+WeightSDS!Q$8*$AG375^6+WeightSDS!R$8*$AG375^5+WeightSDS!S$8*$AG375^4+WeightSDS!T$8*$AG375^3+WeightSDS!U$8*$AG375^2+WeightSDS!V$8*$AG375+WeightSDS!W$8,WeightSDS!$U$9-WeightSDS!$V$9*($AG375-WeightSDS!$W$9)))</f>
        <v>0.75407122999999998</v>
      </c>
      <c r="AJ375" s="24">
        <f>IF(D375="M",IF($AG375&lt;45,WeightSDS!M$23*$AG375^10+WeightSDS!N$23*$AG375^9+WeightSDS!O$23*$AG375^8+WeightSDS!P$23*$AG375^7+WeightSDS!Q$23*$AG375^6+WeightSDS!R$23*$AG375^5+WeightSDS!S$23*$AG375^4+WeightSDS!T$23*$AG375^3+WeightSDS!U$23*$AG375^2+WeightSDS!V$23*$AG375+WeightSDS!W$23,IF($AG375&lt;153,WeightSDS!M$25*$AG375^10+WeightSDS!N$25*$AG375^9+WeightSDS!O$25*$AG375^8+WeightSDS!P$25*$AG375^7+WeightSDS!Q$25*$AG375^6+WeightSDS!R$25*$AG375^5+WeightSDS!S$25*$AG375^4+WeightSDS!T$25*$AG375^3+WeightSDS!U$25*$AG375^2+WeightSDS!V$25*$AG375+WeightSDS!W$25,WeightSDS!M$27+WeightSDS!N$27/(1+EXP(WeightSDS!O$27+WeightSDS!P$27*$AG375)))),IF($AG375&lt;43.8,WeightSDS!M$29*$AG375^10+WeightSDS!N$29*$AG375^9+WeightSDS!O$29*$AG375^8+WeightSDS!P$29*$AG375^7+WeightSDS!Q$29*$AG375^6+WeightSDS!R$29*$AG375^5+WeightSDS!S$29*$AG375^4+WeightSDS!T$29*$AG375^3+WeightSDS!U$29*$AG375^2+WeightSDS!V$29*$AG375+WeightSDS!W$29-0.010431*(1-$AG375/210),IF($AG375&lt;123,WeightSDS!M$30*$AG375^10+WeightSDS!N$30*$AG375^9+WeightSDS!O$30*$AG375^8+WeightSDS!P$30*$AG375^7+WeightSDS!Q$30*$AG375^6+WeightSDS!R$30*$AG375^5+WeightSDS!S$30*$AG375^4+WeightSDS!T$30*$AG375^3+WeightSDS!U$30*$AG375^2+WeightSDS!V$30*$AG375+WeightSDS!W$30-0.010431*(1-1/$AG375),WeightSDS!M$32+WeightSDS!N$32/(1+EXP(WeightSDS!O$32+WeightSDS!P$32*$AG375))-0.010431*(1-$AG375/210))))</f>
        <v>2.9500001032655536</v>
      </c>
      <c r="AK375" s="24">
        <f>IF(D375="M",IF($AG375&lt;162,WeightSDS!P$12*$AG375^7+WeightSDS!Q$12*$AG375^6+WeightSDS!R$12*$AG375^5+WeightSDS!S$12*$AG375^4+WeightSDS!T$12*$AG375^3+WeightSDS!U$12*$AG375^2+WeightSDS!V$12*$AG375+WeightSDS!W$12,WeightSDS!P$14*$AG375^7+WeightSDS!Q$14*$AG375^6+WeightSDS!R$14*$AG375^5+WeightSDS!S$14*$AG375^4+WeightSDS!T$14*$AG375^3+WeightSDS!U$14*$AG375^2+WeightSDS!V$14*$AG375+WeightSDS!W$14),IF($AG375&lt;156,WeightSDS!O$17*$AG375^8+WeightSDS!P$17*$AG375^7+WeightSDS!Q$17*$AG375^6+WeightSDS!R$17*$AG375^5+WeightSDS!S$17*$AG375^4+WeightSDS!T$17*$AG375^3+WeightSDS!U$17*$AG375^2+WeightSDS!V$17*$AG375+WeightSDS!W$17,IF($AG375&lt;186,WeightSDS!$U$18+(WeightSDS!$V$18-WeightSDS!$U$18)/24*($AG375-186)+WeightSDS!$W$18*(-$AG375+186)^2-0.005,WeightSDS!$U$18+(WeightSDS!$V$18-WeightSDS!$U$18)/24*($AG375-186)-0.005)))</f>
        <v>0.14604529399999999</v>
      </c>
    </row>
    <row r="376" spans="1:37">
      <c r="A376" s="4"/>
      <c r="B376" s="21"/>
      <c r="C376" s="21"/>
      <c r="D376" s="21"/>
      <c r="E376" s="22"/>
      <c r="F376" s="22"/>
      <c r="G376" s="23"/>
      <c r="H376" s="23"/>
      <c r="I376" s="8" t="str">
        <f t="shared" si="82"/>
        <v/>
      </c>
      <c r="J376" s="2" t="str">
        <f t="shared" si="89"/>
        <v/>
      </c>
      <c r="K376" s="2" t="str">
        <f t="shared" si="83"/>
        <v/>
      </c>
      <c r="L376" s="2" t="str">
        <f t="shared" si="90"/>
        <v/>
      </c>
      <c r="M376" s="2" t="str">
        <f t="shared" si="95"/>
        <v/>
      </c>
      <c r="N376" s="2" t="str">
        <f t="shared" si="91"/>
        <v/>
      </c>
      <c r="O376" s="8" t="str">
        <f t="shared" si="92"/>
        <v/>
      </c>
      <c r="P376" s="8" t="str">
        <f t="shared" si="93"/>
        <v/>
      </c>
      <c r="Q376" s="40" t="str">
        <f t="shared" si="84"/>
        <v/>
      </c>
      <c r="R376" s="48" t="str">
        <f t="shared" si="94"/>
        <v/>
      </c>
      <c r="S376" s="8"/>
      <c r="U376" s="35">
        <f t="shared" si="85"/>
        <v>0</v>
      </c>
      <c r="V376" s="24">
        <f t="shared" si="86"/>
        <v>0</v>
      </c>
      <c r="W376" s="41">
        <f t="shared" si="97"/>
        <v>0</v>
      </c>
      <c r="X376" s="31"/>
      <c r="Y376" s="31"/>
      <c r="Z376" s="31"/>
      <c r="AA376" s="25">
        <f t="shared" si="87"/>
        <v>9.0359999999999996</v>
      </c>
      <c r="AB376" s="25">
        <f t="shared" si="88"/>
        <v>-184.49199999999999</v>
      </c>
      <c r="AD376" s="24">
        <f>IF(D376="M",IF(AG376&lt;78,BMILMS!$D$5*AG376^3+BMILMS!$E$5*AG376^2+BMILMS!$F$5*AG376+BMILMS!$G$5,IF(AG376&lt;150,BMILMS!$D$6*AG376^3+BMILMS!$E$6*AG376^2+BMILMS!$F$6*AG376+BMILMS!$G$6,BMILMS!$D$7*AG376^3+BMILMS!$E$7*AG376^2+BMILMS!$F$7*AG376+BMILMS!$G$7)),IF(AG376&lt;69,BMILMS!$D$9*AG376^3+BMILMS!$E$9*AG376^2+BMILMS!$F$9*AG376+BMILMS!$G$9,IF(AG376&lt;150,BMILMS!$D$10*AG376^3+BMILMS!$E$10*AG376^2+BMILMS!$F$10*AG376+BMILMS!$G$10,BMILMS!$D$11*AG376^3+BMILMS!$E$11*AG376^2+BMILMS!$F$11*AG376+BMILMS!$G$11)))</f>
        <v>0.79584630099999998</v>
      </c>
      <c r="AE376" s="24">
        <f>IF(D376="M",(IF(AG376&lt;2.5,BMILMS!$D$21*AG376^3+BMILMS!$E$21*AG376^2+BMILMS!$F$21*AG376+BMILMS!$G$21,IF(AG376&lt;9.5,BMILMS!$D$22*AG376^3+BMILMS!$E$22*AG376^2+BMILMS!$F$22*AG376+BMILMS!$G$22,IF(AG376&lt;26.75,BMILMS!$D$23*AG376^3+BMILMS!$E$23*AG376^2+BMILMS!$F$23*AG376+BMILMS!$G$23,IF(AG376&lt;90,BMILMS!$D$24*AG376^3+BMILMS!$E$24*AG376^2+BMILMS!$F$24*AG376+BMILMS!$G$24,BMILMS!$D$25*AG376^3+BMILMS!$E$25*AG376^2+BMILMS!$F$25*AG376+BMILMS!$G$25))))),(IF(AG376&lt;2.5,BMILMS!$D$27*AG376^3+BMILMS!$E$27*AG376^2+BMILMS!$F$27*AG376+BMILMS!$G$27,IF(AG376&lt;9.5,BMILMS!$D$28*AG376^3+BMILMS!$E$28*AG376^2+BMILMS!$F$28*AG376+BMILMS!$G$28,IF(AG376&lt;26.75,BMILMS!$D$29*AG376^3+BMILMS!$E$29*AG376^2+BMILMS!$F$29*AG376+BMILMS!$G$29,IF(AG376&lt;90,BMILMS!$D$30*AG376^3+BMILMS!$E$30*AG376^2+BMILMS!$F$30*AG376+BMILMS!$G$30,IF(AG376&lt;150,BMILMS!$D$31*AG376^3+BMILMS!$E$31*AG376^2+BMILMS!$F$31*AG376+BMILMS!$G$31,BMILMS!$D$32*AG376^3+BMILMS!$E$32*AG376^2+BMILMS!$F$32*AG376+BMILMS!$G$32)))))))</f>
        <v>12.568967990000001</v>
      </c>
      <c r="AF376" s="24">
        <f>IF(D376="M",(IF(AG376&lt;90,BMILMS!$D$14*AG376^3+BMILMS!$E$14*AG376^2+BMILMS!$F$14*AG376+BMILMS!$G$14,BMILMS!$D$15*AG376^3+BMILMS!$E$15*AG376^2+BMILMS!$F$15*AG376+BMILMS!$G$15)),(IF(AG376&lt;90,BMILMS!$D$17*AG376^3+BMILMS!$E$17*AG376^2+BMILMS!$F$17*AG376+BMILMS!$G$17,BMILMS!$D$18*AG376^3+BMILMS!$E$18*AG376^2+BMILMS!$F$18*AG376+BMILMS!$G$18)))</f>
        <v>8.8969350000000003E-2</v>
      </c>
      <c r="AG376" s="24">
        <f t="shared" si="96"/>
        <v>0</v>
      </c>
      <c r="AI376" s="38">
        <f>IF(D376="M",WeightSDS!P$5*$AG376^7+WeightSDS!Q$5*$AG376^6+WeightSDS!R$5*$AG376^5+WeightSDS!S$5*$AG376^4+WeightSDS!T$5*$AG376^3+WeightSDS!U$5*$AG376^2+WeightSDS!V$5*$AG376+WeightSDS!W$5,IF($AG376&lt;186,WeightSDS!P$8*$AG376^7+WeightSDS!Q$8*$AG376^6+WeightSDS!R$8*$AG376^5+WeightSDS!S$8*$AG376^4+WeightSDS!T$8*$AG376^3+WeightSDS!U$8*$AG376^2+WeightSDS!V$8*$AG376+WeightSDS!W$8,WeightSDS!$U$9-WeightSDS!$V$9*($AG376-WeightSDS!$W$9)))</f>
        <v>0.75407122999999998</v>
      </c>
      <c r="AJ376" s="24">
        <f>IF(D376="M",IF($AG376&lt;45,WeightSDS!M$23*$AG376^10+WeightSDS!N$23*$AG376^9+WeightSDS!O$23*$AG376^8+WeightSDS!P$23*$AG376^7+WeightSDS!Q$23*$AG376^6+WeightSDS!R$23*$AG376^5+WeightSDS!S$23*$AG376^4+WeightSDS!T$23*$AG376^3+WeightSDS!U$23*$AG376^2+WeightSDS!V$23*$AG376+WeightSDS!W$23,IF($AG376&lt;153,WeightSDS!M$25*$AG376^10+WeightSDS!N$25*$AG376^9+WeightSDS!O$25*$AG376^8+WeightSDS!P$25*$AG376^7+WeightSDS!Q$25*$AG376^6+WeightSDS!R$25*$AG376^5+WeightSDS!S$25*$AG376^4+WeightSDS!T$25*$AG376^3+WeightSDS!U$25*$AG376^2+WeightSDS!V$25*$AG376+WeightSDS!W$25,WeightSDS!M$27+WeightSDS!N$27/(1+EXP(WeightSDS!O$27+WeightSDS!P$27*$AG376)))),IF($AG376&lt;43.8,WeightSDS!M$29*$AG376^10+WeightSDS!N$29*$AG376^9+WeightSDS!O$29*$AG376^8+WeightSDS!P$29*$AG376^7+WeightSDS!Q$29*$AG376^6+WeightSDS!R$29*$AG376^5+WeightSDS!S$29*$AG376^4+WeightSDS!T$29*$AG376^3+WeightSDS!U$29*$AG376^2+WeightSDS!V$29*$AG376+WeightSDS!W$29-0.010431*(1-$AG376/210),IF($AG376&lt;123,WeightSDS!M$30*$AG376^10+WeightSDS!N$30*$AG376^9+WeightSDS!O$30*$AG376^8+WeightSDS!P$30*$AG376^7+WeightSDS!Q$30*$AG376^6+WeightSDS!R$30*$AG376^5+WeightSDS!S$30*$AG376^4+WeightSDS!T$30*$AG376^3+WeightSDS!U$30*$AG376^2+WeightSDS!V$30*$AG376+WeightSDS!W$30-0.010431*(1-1/$AG376),WeightSDS!M$32+WeightSDS!N$32/(1+EXP(WeightSDS!O$32+WeightSDS!P$32*$AG376))-0.010431*(1-$AG376/210))))</f>
        <v>2.9500001032655536</v>
      </c>
      <c r="AK376" s="24">
        <f>IF(D376="M",IF($AG376&lt;162,WeightSDS!P$12*$AG376^7+WeightSDS!Q$12*$AG376^6+WeightSDS!R$12*$AG376^5+WeightSDS!S$12*$AG376^4+WeightSDS!T$12*$AG376^3+WeightSDS!U$12*$AG376^2+WeightSDS!V$12*$AG376+WeightSDS!W$12,WeightSDS!P$14*$AG376^7+WeightSDS!Q$14*$AG376^6+WeightSDS!R$14*$AG376^5+WeightSDS!S$14*$AG376^4+WeightSDS!T$14*$AG376^3+WeightSDS!U$14*$AG376^2+WeightSDS!V$14*$AG376+WeightSDS!W$14),IF($AG376&lt;156,WeightSDS!O$17*$AG376^8+WeightSDS!P$17*$AG376^7+WeightSDS!Q$17*$AG376^6+WeightSDS!R$17*$AG376^5+WeightSDS!S$17*$AG376^4+WeightSDS!T$17*$AG376^3+WeightSDS!U$17*$AG376^2+WeightSDS!V$17*$AG376+WeightSDS!W$17,IF($AG376&lt;186,WeightSDS!$U$18+(WeightSDS!$V$18-WeightSDS!$U$18)/24*($AG376-186)+WeightSDS!$W$18*(-$AG376+186)^2-0.005,WeightSDS!$U$18+(WeightSDS!$V$18-WeightSDS!$U$18)/24*($AG376-186)-0.005)))</f>
        <v>0.14604529399999999</v>
      </c>
    </row>
    <row r="377" spans="1:37">
      <c r="A377" s="4"/>
      <c r="B377" s="21"/>
      <c r="C377" s="21"/>
      <c r="D377" s="21"/>
      <c r="E377" s="22"/>
      <c r="F377" s="22"/>
      <c r="G377" s="23"/>
      <c r="H377" s="23"/>
      <c r="I377" s="8" t="str">
        <f t="shared" si="82"/>
        <v/>
      </c>
      <c r="J377" s="2" t="str">
        <f t="shared" si="89"/>
        <v/>
      </c>
      <c r="K377" s="2" t="str">
        <f t="shared" si="83"/>
        <v/>
      </c>
      <c r="L377" s="2" t="str">
        <f t="shared" si="90"/>
        <v/>
      </c>
      <c r="M377" s="2" t="str">
        <f t="shared" si="95"/>
        <v/>
      </c>
      <c r="N377" s="2" t="str">
        <f t="shared" si="91"/>
        <v/>
      </c>
      <c r="O377" s="8" t="str">
        <f t="shared" si="92"/>
        <v/>
      </c>
      <c r="P377" s="8" t="str">
        <f t="shared" si="93"/>
        <v/>
      </c>
      <c r="Q377" s="40" t="str">
        <f t="shared" si="84"/>
        <v/>
      </c>
      <c r="R377" s="48" t="str">
        <f t="shared" si="94"/>
        <v/>
      </c>
      <c r="S377" s="8"/>
      <c r="U377" s="35">
        <f t="shared" si="85"/>
        <v>0</v>
      </c>
      <c r="V377" s="24">
        <f t="shared" si="86"/>
        <v>0</v>
      </c>
      <c r="W377" s="41">
        <f t="shared" si="97"/>
        <v>0</v>
      </c>
      <c r="X377" s="31"/>
      <c r="Y377" s="31"/>
      <c r="Z377" s="31"/>
      <c r="AA377" s="25">
        <f t="shared" si="87"/>
        <v>9.0359999999999996</v>
      </c>
      <c r="AB377" s="25">
        <f t="shared" si="88"/>
        <v>-184.49199999999999</v>
      </c>
      <c r="AD377" s="24">
        <f>IF(D377="M",IF(AG377&lt;78,BMILMS!$D$5*AG377^3+BMILMS!$E$5*AG377^2+BMILMS!$F$5*AG377+BMILMS!$G$5,IF(AG377&lt;150,BMILMS!$D$6*AG377^3+BMILMS!$E$6*AG377^2+BMILMS!$F$6*AG377+BMILMS!$G$6,BMILMS!$D$7*AG377^3+BMILMS!$E$7*AG377^2+BMILMS!$F$7*AG377+BMILMS!$G$7)),IF(AG377&lt;69,BMILMS!$D$9*AG377^3+BMILMS!$E$9*AG377^2+BMILMS!$F$9*AG377+BMILMS!$G$9,IF(AG377&lt;150,BMILMS!$D$10*AG377^3+BMILMS!$E$10*AG377^2+BMILMS!$F$10*AG377+BMILMS!$G$10,BMILMS!$D$11*AG377^3+BMILMS!$E$11*AG377^2+BMILMS!$F$11*AG377+BMILMS!$G$11)))</f>
        <v>0.79584630099999998</v>
      </c>
      <c r="AE377" s="24">
        <f>IF(D377="M",(IF(AG377&lt;2.5,BMILMS!$D$21*AG377^3+BMILMS!$E$21*AG377^2+BMILMS!$F$21*AG377+BMILMS!$G$21,IF(AG377&lt;9.5,BMILMS!$D$22*AG377^3+BMILMS!$E$22*AG377^2+BMILMS!$F$22*AG377+BMILMS!$G$22,IF(AG377&lt;26.75,BMILMS!$D$23*AG377^3+BMILMS!$E$23*AG377^2+BMILMS!$F$23*AG377+BMILMS!$G$23,IF(AG377&lt;90,BMILMS!$D$24*AG377^3+BMILMS!$E$24*AG377^2+BMILMS!$F$24*AG377+BMILMS!$G$24,BMILMS!$D$25*AG377^3+BMILMS!$E$25*AG377^2+BMILMS!$F$25*AG377+BMILMS!$G$25))))),(IF(AG377&lt;2.5,BMILMS!$D$27*AG377^3+BMILMS!$E$27*AG377^2+BMILMS!$F$27*AG377+BMILMS!$G$27,IF(AG377&lt;9.5,BMILMS!$D$28*AG377^3+BMILMS!$E$28*AG377^2+BMILMS!$F$28*AG377+BMILMS!$G$28,IF(AG377&lt;26.75,BMILMS!$D$29*AG377^3+BMILMS!$E$29*AG377^2+BMILMS!$F$29*AG377+BMILMS!$G$29,IF(AG377&lt;90,BMILMS!$D$30*AG377^3+BMILMS!$E$30*AG377^2+BMILMS!$F$30*AG377+BMILMS!$G$30,IF(AG377&lt;150,BMILMS!$D$31*AG377^3+BMILMS!$E$31*AG377^2+BMILMS!$F$31*AG377+BMILMS!$G$31,BMILMS!$D$32*AG377^3+BMILMS!$E$32*AG377^2+BMILMS!$F$32*AG377+BMILMS!$G$32)))))))</f>
        <v>12.568967990000001</v>
      </c>
      <c r="AF377" s="24">
        <f>IF(D377="M",(IF(AG377&lt;90,BMILMS!$D$14*AG377^3+BMILMS!$E$14*AG377^2+BMILMS!$F$14*AG377+BMILMS!$G$14,BMILMS!$D$15*AG377^3+BMILMS!$E$15*AG377^2+BMILMS!$F$15*AG377+BMILMS!$G$15)),(IF(AG377&lt;90,BMILMS!$D$17*AG377^3+BMILMS!$E$17*AG377^2+BMILMS!$F$17*AG377+BMILMS!$G$17,BMILMS!$D$18*AG377^3+BMILMS!$E$18*AG377^2+BMILMS!$F$18*AG377+BMILMS!$G$18)))</f>
        <v>8.8969350000000003E-2</v>
      </c>
      <c r="AG377" s="24">
        <f t="shared" si="96"/>
        <v>0</v>
      </c>
      <c r="AI377" s="38">
        <f>IF(D377="M",WeightSDS!P$5*$AG377^7+WeightSDS!Q$5*$AG377^6+WeightSDS!R$5*$AG377^5+WeightSDS!S$5*$AG377^4+WeightSDS!T$5*$AG377^3+WeightSDS!U$5*$AG377^2+WeightSDS!V$5*$AG377+WeightSDS!W$5,IF($AG377&lt;186,WeightSDS!P$8*$AG377^7+WeightSDS!Q$8*$AG377^6+WeightSDS!R$8*$AG377^5+WeightSDS!S$8*$AG377^4+WeightSDS!T$8*$AG377^3+WeightSDS!U$8*$AG377^2+WeightSDS!V$8*$AG377+WeightSDS!W$8,WeightSDS!$U$9-WeightSDS!$V$9*($AG377-WeightSDS!$W$9)))</f>
        <v>0.75407122999999998</v>
      </c>
      <c r="AJ377" s="24">
        <f>IF(D377="M",IF($AG377&lt;45,WeightSDS!M$23*$AG377^10+WeightSDS!N$23*$AG377^9+WeightSDS!O$23*$AG377^8+WeightSDS!P$23*$AG377^7+WeightSDS!Q$23*$AG377^6+WeightSDS!R$23*$AG377^5+WeightSDS!S$23*$AG377^4+WeightSDS!T$23*$AG377^3+WeightSDS!U$23*$AG377^2+WeightSDS!V$23*$AG377+WeightSDS!W$23,IF($AG377&lt;153,WeightSDS!M$25*$AG377^10+WeightSDS!N$25*$AG377^9+WeightSDS!O$25*$AG377^8+WeightSDS!P$25*$AG377^7+WeightSDS!Q$25*$AG377^6+WeightSDS!R$25*$AG377^5+WeightSDS!S$25*$AG377^4+WeightSDS!T$25*$AG377^3+WeightSDS!U$25*$AG377^2+WeightSDS!V$25*$AG377+WeightSDS!W$25,WeightSDS!M$27+WeightSDS!N$27/(1+EXP(WeightSDS!O$27+WeightSDS!P$27*$AG377)))),IF($AG377&lt;43.8,WeightSDS!M$29*$AG377^10+WeightSDS!N$29*$AG377^9+WeightSDS!O$29*$AG377^8+WeightSDS!P$29*$AG377^7+WeightSDS!Q$29*$AG377^6+WeightSDS!R$29*$AG377^5+WeightSDS!S$29*$AG377^4+WeightSDS!T$29*$AG377^3+WeightSDS!U$29*$AG377^2+WeightSDS!V$29*$AG377+WeightSDS!W$29-0.010431*(1-$AG377/210),IF($AG377&lt;123,WeightSDS!M$30*$AG377^10+WeightSDS!N$30*$AG377^9+WeightSDS!O$30*$AG377^8+WeightSDS!P$30*$AG377^7+WeightSDS!Q$30*$AG377^6+WeightSDS!R$30*$AG377^5+WeightSDS!S$30*$AG377^4+WeightSDS!T$30*$AG377^3+WeightSDS!U$30*$AG377^2+WeightSDS!V$30*$AG377+WeightSDS!W$30-0.010431*(1-1/$AG377),WeightSDS!M$32+WeightSDS!N$32/(1+EXP(WeightSDS!O$32+WeightSDS!P$32*$AG377))-0.010431*(1-$AG377/210))))</f>
        <v>2.9500001032655536</v>
      </c>
      <c r="AK377" s="24">
        <f>IF(D377="M",IF($AG377&lt;162,WeightSDS!P$12*$AG377^7+WeightSDS!Q$12*$AG377^6+WeightSDS!R$12*$AG377^5+WeightSDS!S$12*$AG377^4+WeightSDS!T$12*$AG377^3+WeightSDS!U$12*$AG377^2+WeightSDS!V$12*$AG377+WeightSDS!W$12,WeightSDS!P$14*$AG377^7+WeightSDS!Q$14*$AG377^6+WeightSDS!R$14*$AG377^5+WeightSDS!S$14*$AG377^4+WeightSDS!T$14*$AG377^3+WeightSDS!U$14*$AG377^2+WeightSDS!V$14*$AG377+WeightSDS!W$14),IF($AG377&lt;156,WeightSDS!O$17*$AG377^8+WeightSDS!P$17*$AG377^7+WeightSDS!Q$17*$AG377^6+WeightSDS!R$17*$AG377^5+WeightSDS!S$17*$AG377^4+WeightSDS!T$17*$AG377^3+WeightSDS!U$17*$AG377^2+WeightSDS!V$17*$AG377+WeightSDS!W$17,IF($AG377&lt;186,WeightSDS!$U$18+(WeightSDS!$V$18-WeightSDS!$U$18)/24*($AG377-186)+WeightSDS!$W$18*(-$AG377+186)^2-0.005,WeightSDS!$U$18+(WeightSDS!$V$18-WeightSDS!$U$18)/24*($AG377-186)-0.005)))</f>
        <v>0.14604529399999999</v>
      </c>
    </row>
    <row r="378" spans="1:37">
      <c r="A378" s="4"/>
      <c r="B378" s="21"/>
      <c r="C378" s="21"/>
      <c r="D378" s="21"/>
      <c r="E378" s="22"/>
      <c r="F378" s="22"/>
      <c r="G378" s="23"/>
      <c r="H378" s="23"/>
      <c r="I378" s="8" t="str">
        <f t="shared" si="82"/>
        <v/>
      </c>
      <c r="J378" s="2" t="str">
        <f t="shared" si="89"/>
        <v/>
      </c>
      <c r="K378" s="2" t="str">
        <f t="shared" si="83"/>
        <v/>
      </c>
      <c r="L378" s="2" t="str">
        <f t="shared" si="90"/>
        <v/>
      </c>
      <c r="M378" s="2" t="str">
        <f t="shared" si="95"/>
        <v/>
      </c>
      <c r="N378" s="2" t="str">
        <f t="shared" si="91"/>
        <v/>
      </c>
      <c r="O378" s="8" t="str">
        <f t="shared" si="92"/>
        <v/>
      </c>
      <c r="P378" s="8" t="str">
        <f t="shared" si="93"/>
        <v/>
      </c>
      <c r="Q378" s="40" t="str">
        <f t="shared" si="84"/>
        <v/>
      </c>
      <c r="R378" s="48" t="str">
        <f t="shared" si="94"/>
        <v/>
      </c>
      <c r="S378" s="8"/>
      <c r="U378" s="35">
        <f t="shared" si="85"/>
        <v>0</v>
      </c>
      <c r="V378" s="24">
        <f t="shared" si="86"/>
        <v>0</v>
      </c>
      <c r="W378" s="41">
        <f t="shared" si="97"/>
        <v>0</v>
      </c>
      <c r="X378" s="31"/>
      <c r="Y378" s="31"/>
      <c r="Z378" s="31"/>
      <c r="AA378" s="25">
        <f t="shared" si="87"/>
        <v>9.0359999999999996</v>
      </c>
      <c r="AB378" s="25">
        <f t="shared" si="88"/>
        <v>-184.49199999999999</v>
      </c>
      <c r="AD378" s="24">
        <f>IF(D378="M",IF(AG378&lt;78,BMILMS!$D$5*AG378^3+BMILMS!$E$5*AG378^2+BMILMS!$F$5*AG378+BMILMS!$G$5,IF(AG378&lt;150,BMILMS!$D$6*AG378^3+BMILMS!$E$6*AG378^2+BMILMS!$F$6*AG378+BMILMS!$G$6,BMILMS!$D$7*AG378^3+BMILMS!$E$7*AG378^2+BMILMS!$F$7*AG378+BMILMS!$G$7)),IF(AG378&lt;69,BMILMS!$D$9*AG378^3+BMILMS!$E$9*AG378^2+BMILMS!$F$9*AG378+BMILMS!$G$9,IF(AG378&lt;150,BMILMS!$D$10*AG378^3+BMILMS!$E$10*AG378^2+BMILMS!$F$10*AG378+BMILMS!$G$10,BMILMS!$D$11*AG378^3+BMILMS!$E$11*AG378^2+BMILMS!$F$11*AG378+BMILMS!$G$11)))</f>
        <v>0.79584630099999998</v>
      </c>
      <c r="AE378" s="24">
        <f>IF(D378="M",(IF(AG378&lt;2.5,BMILMS!$D$21*AG378^3+BMILMS!$E$21*AG378^2+BMILMS!$F$21*AG378+BMILMS!$G$21,IF(AG378&lt;9.5,BMILMS!$D$22*AG378^3+BMILMS!$E$22*AG378^2+BMILMS!$F$22*AG378+BMILMS!$G$22,IF(AG378&lt;26.75,BMILMS!$D$23*AG378^3+BMILMS!$E$23*AG378^2+BMILMS!$F$23*AG378+BMILMS!$G$23,IF(AG378&lt;90,BMILMS!$D$24*AG378^3+BMILMS!$E$24*AG378^2+BMILMS!$F$24*AG378+BMILMS!$G$24,BMILMS!$D$25*AG378^3+BMILMS!$E$25*AG378^2+BMILMS!$F$25*AG378+BMILMS!$G$25))))),(IF(AG378&lt;2.5,BMILMS!$D$27*AG378^3+BMILMS!$E$27*AG378^2+BMILMS!$F$27*AG378+BMILMS!$G$27,IF(AG378&lt;9.5,BMILMS!$D$28*AG378^3+BMILMS!$E$28*AG378^2+BMILMS!$F$28*AG378+BMILMS!$G$28,IF(AG378&lt;26.75,BMILMS!$D$29*AG378^3+BMILMS!$E$29*AG378^2+BMILMS!$F$29*AG378+BMILMS!$G$29,IF(AG378&lt;90,BMILMS!$D$30*AG378^3+BMILMS!$E$30*AG378^2+BMILMS!$F$30*AG378+BMILMS!$G$30,IF(AG378&lt;150,BMILMS!$D$31*AG378^3+BMILMS!$E$31*AG378^2+BMILMS!$F$31*AG378+BMILMS!$G$31,BMILMS!$D$32*AG378^3+BMILMS!$E$32*AG378^2+BMILMS!$F$32*AG378+BMILMS!$G$32)))))))</f>
        <v>12.568967990000001</v>
      </c>
      <c r="AF378" s="24">
        <f>IF(D378="M",(IF(AG378&lt;90,BMILMS!$D$14*AG378^3+BMILMS!$E$14*AG378^2+BMILMS!$F$14*AG378+BMILMS!$G$14,BMILMS!$D$15*AG378^3+BMILMS!$E$15*AG378^2+BMILMS!$F$15*AG378+BMILMS!$G$15)),(IF(AG378&lt;90,BMILMS!$D$17*AG378^3+BMILMS!$E$17*AG378^2+BMILMS!$F$17*AG378+BMILMS!$G$17,BMILMS!$D$18*AG378^3+BMILMS!$E$18*AG378^2+BMILMS!$F$18*AG378+BMILMS!$G$18)))</f>
        <v>8.8969350000000003E-2</v>
      </c>
      <c r="AG378" s="24">
        <f t="shared" si="96"/>
        <v>0</v>
      </c>
      <c r="AI378" s="38">
        <f>IF(D378="M",WeightSDS!P$5*$AG378^7+WeightSDS!Q$5*$AG378^6+WeightSDS!R$5*$AG378^5+WeightSDS!S$5*$AG378^4+WeightSDS!T$5*$AG378^3+WeightSDS!U$5*$AG378^2+WeightSDS!V$5*$AG378+WeightSDS!W$5,IF($AG378&lt;186,WeightSDS!P$8*$AG378^7+WeightSDS!Q$8*$AG378^6+WeightSDS!R$8*$AG378^5+WeightSDS!S$8*$AG378^4+WeightSDS!T$8*$AG378^3+WeightSDS!U$8*$AG378^2+WeightSDS!V$8*$AG378+WeightSDS!W$8,WeightSDS!$U$9-WeightSDS!$V$9*($AG378-WeightSDS!$W$9)))</f>
        <v>0.75407122999999998</v>
      </c>
      <c r="AJ378" s="24">
        <f>IF(D378="M",IF($AG378&lt;45,WeightSDS!M$23*$AG378^10+WeightSDS!N$23*$AG378^9+WeightSDS!O$23*$AG378^8+WeightSDS!P$23*$AG378^7+WeightSDS!Q$23*$AG378^6+WeightSDS!R$23*$AG378^5+WeightSDS!S$23*$AG378^4+WeightSDS!T$23*$AG378^3+WeightSDS!U$23*$AG378^2+WeightSDS!V$23*$AG378+WeightSDS!W$23,IF($AG378&lt;153,WeightSDS!M$25*$AG378^10+WeightSDS!N$25*$AG378^9+WeightSDS!O$25*$AG378^8+WeightSDS!P$25*$AG378^7+WeightSDS!Q$25*$AG378^6+WeightSDS!R$25*$AG378^5+WeightSDS!S$25*$AG378^4+WeightSDS!T$25*$AG378^3+WeightSDS!U$25*$AG378^2+WeightSDS!V$25*$AG378+WeightSDS!W$25,WeightSDS!M$27+WeightSDS!N$27/(1+EXP(WeightSDS!O$27+WeightSDS!P$27*$AG378)))),IF($AG378&lt;43.8,WeightSDS!M$29*$AG378^10+WeightSDS!N$29*$AG378^9+WeightSDS!O$29*$AG378^8+WeightSDS!P$29*$AG378^7+WeightSDS!Q$29*$AG378^6+WeightSDS!R$29*$AG378^5+WeightSDS!S$29*$AG378^4+WeightSDS!T$29*$AG378^3+WeightSDS!U$29*$AG378^2+WeightSDS!V$29*$AG378+WeightSDS!W$29-0.010431*(1-$AG378/210),IF($AG378&lt;123,WeightSDS!M$30*$AG378^10+WeightSDS!N$30*$AG378^9+WeightSDS!O$30*$AG378^8+WeightSDS!P$30*$AG378^7+WeightSDS!Q$30*$AG378^6+WeightSDS!R$30*$AG378^5+WeightSDS!S$30*$AG378^4+WeightSDS!T$30*$AG378^3+WeightSDS!U$30*$AG378^2+WeightSDS!V$30*$AG378+WeightSDS!W$30-0.010431*(1-1/$AG378),WeightSDS!M$32+WeightSDS!N$32/(1+EXP(WeightSDS!O$32+WeightSDS!P$32*$AG378))-0.010431*(1-$AG378/210))))</f>
        <v>2.9500001032655536</v>
      </c>
      <c r="AK378" s="24">
        <f>IF(D378="M",IF($AG378&lt;162,WeightSDS!P$12*$AG378^7+WeightSDS!Q$12*$AG378^6+WeightSDS!R$12*$AG378^5+WeightSDS!S$12*$AG378^4+WeightSDS!T$12*$AG378^3+WeightSDS!U$12*$AG378^2+WeightSDS!V$12*$AG378+WeightSDS!W$12,WeightSDS!P$14*$AG378^7+WeightSDS!Q$14*$AG378^6+WeightSDS!R$14*$AG378^5+WeightSDS!S$14*$AG378^4+WeightSDS!T$14*$AG378^3+WeightSDS!U$14*$AG378^2+WeightSDS!V$14*$AG378+WeightSDS!W$14),IF($AG378&lt;156,WeightSDS!O$17*$AG378^8+WeightSDS!P$17*$AG378^7+WeightSDS!Q$17*$AG378^6+WeightSDS!R$17*$AG378^5+WeightSDS!S$17*$AG378^4+WeightSDS!T$17*$AG378^3+WeightSDS!U$17*$AG378^2+WeightSDS!V$17*$AG378+WeightSDS!W$17,IF($AG378&lt;186,WeightSDS!$U$18+(WeightSDS!$V$18-WeightSDS!$U$18)/24*($AG378-186)+WeightSDS!$W$18*(-$AG378+186)^2-0.005,WeightSDS!$U$18+(WeightSDS!$V$18-WeightSDS!$U$18)/24*($AG378-186)-0.005)))</f>
        <v>0.14604529399999999</v>
      </c>
    </row>
    <row r="379" spans="1:37">
      <c r="A379" s="4"/>
      <c r="B379" s="21"/>
      <c r="C379" s="21"/>
      <c r="D379" s="21"/>
      <c r="E379" s="22"/>
      <c r="F379" s="22"/>
      <c r="G379" s="23"/>
      <c r="H379" s="23"/>
      <c r="I379" s="8" t="str">
        <f t="shared" si="82"/>
        <v/>
      </c>
      <c r="J379" s="2" t="str">
        <f t="shared" si="89"/>
        <v/>
      </c>
      <c r="K379" s="2" t="str">
        <f t="shared" si="83"/>
        <v/>
      </c>
      <c r="L379" s="2" t="str">
        <f t="shared" si="90"/>
        <v/>
      </c>
      <c r="M379" s="2" t="str">
        <f t="shared" si="95"/>
        <v/>
      </c>
      <c r="N379" s="2" t="str">
        <f t="shared" si="91"/>
        <v/>
      </c>
      <c r="O379" s="8" t="str">
        <f t="shared" si="92"/>
        <v/>
      </c>
      <c r="P379" s="8" t="str">
        <f t="shared" si="93"/>
        <v/>
      </c>
      <c r="Q379" s="40" t="str">
        <f t="shared" si="84"/>
        <v/>
      </c>
      <c r="R379" s="48" t="str">
        <f t="shared" si="94"/>
        <v/>
      </c>
      <c r="S379" s="8"/>
      <c r="U379" s="35">
        <f t="shared" si="85"/>
        <v>0</v>
      </c>
      <c r="V379" s="24">
        <f t="shared" si="86"/>
        <v>0</v>
      </c>
      <c r="W379" s="41">
        <f t="shared" si="97"/>
        <v>0</v>
      </c>
      <c r="X379" s="31"/>
      <c r="Y379" s="31"/>
      <c r="Z379" s="31"/>
      <c r="AA379" s="25">
        <f t="shared" si="87"/>
        <v>9.0359999999999996</v>
      </c>
      <c r="AB379" s="25">
        <f t="shared" si="88"/>
        <v>-184.49199999999999</v>
      </c>
      <c r="AD379" s="24">
        <f>IF(D379="M",IF(AG379&lt;78,BMILMS!$D$5*AG379^3+BMILMS!$E$5*AG379^2+BMILMS!$F$5*AG379+BMILMS!$G$5,IF(AG379&lt;150,BMILMS!$D$6*AG379^3+BMILMS!$E$6*AG379^2+BMILMS!$F$6*AG379+BMILMS!$G$6,BMILMS!$D$7*AG379^3+BMILMS!$E$7*AG379^2+BMILMS!$F$7*AG379+BMILMS!$G$7)),IF(AG379&lt;69,BMILMS!$D$9*AG379^3+BMILMS!$E$9*AG379^2+BMILMS!$F$9*AG379+BMILMS!$G$9,IF(AG379&lt;150,BMILMS!$D$10*AG379^3+BMILMS!$E$10*AG379^2+BMILMS!$F$10*AG379+BMILMS!$G$10,BMILMS!$D$11*AG379^3+BMILMS!$E$11*AG379^2+BMILMS!$F$11*AG379+BMILMS!$G$11)))</f>
        <v>0.79584630099999998</v>
      </c>
      <c r="AE379" s="24">
        <f>IF(D379="M",(IF(AG379&lt;2.5,BMILMS!$D$21*AG379^3+BMILMS!$E$21*AG379^2+BMILMS!$F$21*AG379+BMILMS!$G$21,IF(AG379&lt;9.5,BMILMS!$D$22*AG379^3+BMILMS!$E$22*AG379^2+BMILMS!$F$22*AG379+BMILMS!$G$22,IF(AG379&lt;26.75,BMILMS!$D$23*AG379^3+BMILMS!$E$23*AG379^2+BMILMS!$F$23*AG379+BMILMS!$G$23,IF(AG379&lt;90,BMILMS!$D$24*AG379^3+BMILMS!$E$24*AG379^2+BMILMS!$F$24*AG379+BMILMS!$G$24,BMILMS!$D$25*AG379^3+BMILMS!$E$25*AG379^2+BMILMS!$F$25*AG379+BMILMS!$G$25))))),(IF(AG379&lt;2.5,BMILMS!$D$27*AG379^3+BMILMS!$E$27*AG379^2+BMILMS!$F$27*AG379+BMILMS!$G$27,IF(AG379&lt;9.5,BMILMS!$D$28*AG379^3+BMILMS!$E$28*AG379^2+BMILMS!$F$28*AG379+BMILMS!$G$28,IF(AG379&lt;26.75,BMILMS!$D$29*AG379^3+BMILMS!$E$29*AG379^2+BMILMS!$F$29*AG379+BMILMS!$G$29,IF(AG379&lt;90,BMILMS!$D$30*AG379^3+BMILMS!$E$30*AG379^2+BMILMS!$F$30*AG379+BMILMS!$G$30,IF(AG379&lt;150,BMILMS!$D$31*AG379^3+BMILMS!$E$31*AG379^2+BMILMS!$F$31*AG379+BMILMS!$G$31,BMILMS!$D$32*AG379^3+BMILMS!$E$32*AG379^2+BMILMS!$F$32*AG379+BMILMS!$G$32)))))))</f>
        <v>12.568967990000001</v>
      </c>
      <c r="AF379" s="24">
        <f>IF(D379="M",(IF(AG379&lt;90,BMILMS!$D$14*AG379^3+BMILMS!$E$14*AG379^2+BMILMS!$F$14*AG379+BMILMS!$G$14,BMILMS!$D$15*AG379^3+BMILMS!$E$15*AG379^2+BMILMS!$F$15*AG379+BMILMS!$G$15)),(IF(AG379&lt;90,BMILMS!$D$17*AG379^3+BMILMS!$E$17*AG379^2+BMILMS!$F$17*AG379+BMILMS!$G$17,BMILMS!$D$18*AG379^3+BMILMS!$E$18*AG379^2+BMILMS!$F$18*AG379+BMILMS!$G$18)))</f>
        <v>8.8969350000000003E-2</v>
      </c>
      <c r="AG379" s="24">
        <f t="shared" si="96"/>
        <v>0</v>
      </c>
      <c r="AI379" s="38">
        <f>IF(D379="M",WeightSDS!P$5*$AG379^7+WeightSDS!Q$5*$AG379^6+WeightSDS!R$5*$AG379^5+WeightSDS!S$5*$AG379^4+WeightSDS!T$5*$AG379^3+WeightSDS!U$5*$AG379^2+WeightSDS!V$5*$AG379+WeightSDS!W$5,IF($AG379&lt;186,WeightSDS!P$8*$AG379^7+WeightSDS!Q$8*$AG379^6+WeightSDS!R$8*$AG379^5+WeightSDS!S$8*$AG379^4+WeightSDS!T$8*$AG379^3+WeightSDS!U$8*$AG379^2+WeightSDS!V$8*$AG379+WeightSDS!W$8,WeightSDS!$U$9-WeightSDS!$V$9*($AG379-WeightSDS!$W$9)))</f>
        <v>0.75407122999999998</v>
      </c>
      <c r="AJ379" s="24">
        <f>IF(D379="M",IF($AG379&lt;45,WeightSDS!M$23*$AG379^10+WeightSDS!N$23*$AG379^9+WeightSDS!O$23*$AG379^8+WeightSDS!P$23*$AG379^7+WeightSDS!Q$23*$AG379^6+WeightSDS!R$23*$AG379^5+WeightSDS!S$23*$AG379^4+WeightSDS!T$23*$AG379^3+WeightSDS!U$23*$AG379^2+WeightSDS!V$23*$AG379+WeightSDS!W$23,IF($AG379&lt;153,WeightSDS!M$25*$AG379^10+WeightSDS!N$25*$AG379^9+WeightSDS!O$25*$AG379^8+WeightSDS!P$25*$AG379^7+WeightSDS!Q$25*$AG379^6+WeightSDS!R$25*$AG379^5+WeightSDS!S$25*$AG379^4+WeightSDS!T$25*$AG379^3+WeightSDS!U$25*$AG379^2+WeightSDS!V$25*$AG379+WeightSDS!W$25,WeightSDS!M$27+WeightSDS!N$27/(1+EXP(WeightSDS!O$27+WeightSDS!P$27*$AG379)))),IF($AG379&lt;43.8,WeightSDS!M$29*$AG379^10+WeightSDS!N$29*$AG379^9+WeightSDS!O$29*$AG379^8+WeightSDS!P$29*$AG379^7+WeightSDS!Q$29*$AG379^6+WeightSDS!R$29*$AG379^5+WeightSDS!S$29*$AG379^4+WeightSDS!T$29*$AG379^3+WeightSDS!U$29*$AG379^2+WeightSDS!V$29*$AG379+WeightSDS!W$29-0.010431*(1-$AG379/210),IF($AG379&lt;123,WeightSDS!M$30*$AG379^10+WeightSDS!N$30*$AG379^9+WeightSDS!O$30*$AG379^8+WeightSDS!P$30*$AG379^7+WeightSDS!Q$30*$AG379^6+WeightSDS!R$30*$AG379^5+WeightSDS!S$30*$AG379^4+WeightSDS!T$30*$AG379^3+WeightSDS!U$30*$AG379^2+WeightSDS!V$30*$AG379+WeightSDS!W$30-0.010431*(1-1/$AG379),WeightSDS!M$32+WeightSDS!N$32/(1+EXP(WeightSDS!O$32+WeightSDS!P$32*$AG379))-0.010431*(1-$AG379/210))))</f>
        <v>2.9500001032655536</v>
      </c>
      <c r="AK379" s="24">
        <f>IF(D379="M",IF($AG379&lt;162,WeightSDS!P$12*$AG379^7+WeightSDS!Q$12*$AG379^6+WeightSDS!R$12*$AG379^5+WeightSDS!S$12*$AG379^4+WeightSDS!T$12*$AG379^3+WeightSDS!U$12*$AG379^2+WeightSDS!V$12*$AG379+WeightSDS!W$12,WeightSDS!P$14*$AG379^7+WeightSDS!Q$14*$AG379^6+WeightSDS!R$14*$AG379^5+WeightSDS!S$14*$AG379^4+WeightSDS!T$14*$AG379^3+WeightSDS!U$14*$AG379^2+WeightSDS!V$14*$AG379+WeightSDS!W$14),IF($AG379&lt;156,WeightSDS!O$17*$AG379^8+WeightSDS!P$17*$AG379^7+WeightSDS!Q$17*$AG379^6+WeightSDS!R$17*$AG379^5+WeightSDS!S$17*$AG379^4+WeightSDS!T$17*$AG379^3+WeightSDS!U$17*$AG379^2+WeightSDS!V$17*$AG379+WeightSDS!W$17,IF($AG379&lt;186,WeightSDS!$U$18+(WeightSDS!$V$18-WeightSDS!$U$18)/24*($AG379-186)+WeightSDS!$W$18*(-$AG379+186)^2-0.005,WeightSDS!$U$18+(WeightSDS!$V$18-WeightSDS!$U$18)/24*($AG379-186)-0.005)))</f>
        <v>0.14604529399999999</v>
      </c>
    </row>
    <row r="380" spans="1:37">
      <c r="A380" s="4"/>
      <c r="B380" s="21"/>
      <c r="C380" s="21"/>
      <c r="D380" s="21"/>
      <c r="E380" s="22"/>
      <c r="F380" s="22"/>
      <c r="G380" s="23"/>
      <c r="H380" s="23"/>
      <c r="I380" s="8" t="str">
        <f t="shared" si="82"/>
        <v/>
      </c>
      <c r="J380" s="2" t="str">
        <f t="shared" si="89"/>
        <v/>
      </c>
      <c r="K380" s="2" t="str">
        <f t="shared" si="83"/>
        <v/>
      </c>
      <c r="L380" s="2" t="str">
        <f t="shared" si="90"/>
        <v/>
      </c>
      <c r="M380" s="2" t="str">
        <f t="shared" si="95"/>
        <v/>
      </c>
      <c r="N380" s="2" t="str">
        <f t="shared" si="91"/>
        <v/>
      </c>
      <c r="O380" s="8" t="str">
        <f t="shared" si="92"/>
        <v/>
      </c>
      <c r="P380" s="8" t="str">
        <f t="shared" si="93"/>
        <v/>
      </c>
      <c r="Q380" s="40" t="str">
        <f t="shared" si="84"/>
        <v/>
      </c>
      <c r="R380" s="48" t="str">
        <f t="shared" si="94"/>
        <v/>
      </c>
      <c r="S380" s="8"/>
      <c r="U380" s="35">
        <f t="shared" si="85"/>
        <v>0</v>
      </c>
      <c r="V380" s="24">
        <f t="shared" si="86"/>
        <v>0</v>
      </c>
      <c r="W380" s="41">
        <f t="shared" si="97"/>
        <v>0</v>
      </c>
      <c r="X380" s="31"/>
      <c r="Y380" s="31"/>
      <c r="Z380" s="31"/>
      <c r="AA380" s="25">
        <f t="shared" si="87"/>
        <v>9.0359999999999996</v>
      </c>
      <c r="AB380" s="25">
        <f t="shared" si="88"/>
        <v>-184.49199999999999</v>
      </c>
      <c r="AD380" s="24">
        <f>IF(D380="M",IF(AG380&lt;78,BMILMS!$D$5*AG380^3+BMILMS!$E$5*AG380^2+BMILMS!$F$5*AG380+BMILMS!$G$5,IF(AG380&lt;150,BMILMS!$D$6*AG380^3+BMILMS!$E$6*AG380^2+BMILMS!$F$6*AG380+BMILMS!$G$6,BMILMS!$D$7*AG380^3+BMILMS!$E$7*AG380^2+BMILMS!$F$7*AG380+BMILMS!$G$7)),IF(AG380&lt;69,BMILMS!$D$9*AG380^3+BMILMS!$E$9*AG380^2+BMILMS!$F$9*AG380+BMILMS!$G$9,IF(AG380&lt;150,BMILMS!$D$10*AG380^3+BMILMS!$E$10*AG380^2+BMILMS!$F$10*AG380+BMILMS!$G$10,BMILMS!$D$11*AG380^3+BMILMS!$E$11*AG380^2+BMILMS!$F$11*AG380+BMILMS!$G$11)))</f>
        <v>0.79584630099999998</v>
      </c>
      <c r="AE380" s="24">
        <f>IF(D380="M",(IF(AG380&lt;2.5,BMILMS!$D$21*AG380^3+BMILMS!$E$21*AG380^2+BMILMS!$F$21*AG380+BMILMS!$G$21,IF(AG380&lt;9.5,BMILMS!$D$22*AG380^3+BMILMS!$E$22*AG380^2+BMILMS!$F$22*AG380+BMILMS!$G$22,IF(AG380&lt;26.75,BMILMS!$D$23*AG380^3+BMILMS!$E$23*AG380^2+BMILMS!$F$23*AG380+BMILMS!$G$23,IF(AG380&lt;90,BMILMS!$D$24*AG380^3+BMILMS!$E$24*AG380^2+BMILMS!$F$24*AG380+BMILMS!$G$24,BMILMS!$D$25*AG380^3+BMILMS!$E$25*AG380^2+BMILMS!$F$25*AG380+BMILMS!$G$25))))),(IF(AG380&lt;2.5,BMILMS!$D$27*AG380^3+BMILMS!$E$27*AG380^2+BMILMS!$F$27*AG380+BMILMS!$G$27,IF(AG380&lt;9.5,BMILMS!$D$28*AG380^3+BMILMS!$E$28*AG380^2+BMILMS!$F$28*AG380+BMILMS!$G$28,IF(AG380&lt;26.75,BMILMS!$D$29*AG380^3+BMILMS!$E$29*AG380^2+BMILMS!$F$29*AG380+BMILMS!$G$29,IF(AG380&lt;90,BMILMS!$D$30*AG380^3+BMILMS!$E$30*AG380^2+BMILMS!$F$30*AG380+BMILMS!$G$30,IF(AG380&lt;150,BMILMS!$D$31*AG380^3+BMILMS!$E$31*AG380^2+BMILMS!$F$31*AG380+BMILMS!$G$31,BMILMS!$D$32*AG380^3+BMILMS!$E$32*AG380^2+BMILMS!$F$32*AG380+BMILMS!$G$32)))))))</f>
        <v>12.568967990000001</v>
      </c>
      <c r="AF380" s="24">
        <f>IF(D380="M",(IF(AG380&lt;90,BMILMS!$D$14*AG380^3+BMILMS!$E$14*AG380^2+BMILMS!$F$14*AG380+BMILMS!$G$14,BMILMS!$D$15*AG380^3+BMILMS!$E$15*AG380^2+BMILMS!$F$15*AG380+BMILMS!$G$15)),(IF(AG380&lt;90,BMILMS!$D$17*AG380^3+BMILMS!$E$17*AG380^2+BMILMS!$F$17*AG380+BMILMS!$G$17,BMILMS!$D$18*AG380^3+BMILMS!$E$18*AG380^2+BMILMS!$F$18*AG380+BMILMS!$G$18)))</f>
        <v>8.8969350000000003E-2</v>
      </c>
      <c r="AG380" s="24">
        <f t="shared" si="96"/>
        <v>0</v>
      </c>
      <c r="AI380" s="38">
        <f>IF(D380="M",WeightSDS!P$5*$AG380^7+WeightSDS!Q$5*$AG380^6+WeightSDS!R$5*$AG380^5+WeightSDS!S$5*$AG380^4+WeightSDS!T$5*$AG380^3+WeightSDS!U$5*$AG380^2+WeightSDS!V$5*$AG380+WeightSDS!W$5,IF($AG380&lt;186,WeightSDS!P$8*$AG380^7+WeightSDS!Q$8*$AG380^6+WeightSDS!R$8*$AG380^5+WeightSDS!S$8*$AG380^4+WeightSDS!T$8*$AG380^3+WeightSDS!U$8*$AG380^2+WeightSDS!V$8*$AG380+WeightSDS!W$8,WeightSDS!$U$9-WeightSDS!$V$9*($AG380-WeightSDS!$W$9)))</f>
        <v>0.75407122999999998</v>
      </c>
      <c r="AJ380" s="24">
        <f>IF(D380="M",IF($AG380&lt;45,WeightSDS!M$23*$AG380^10+WeightSDS!N$23*$AG380^9+WeightSDS!O$23*$AG380^8+WeightSDS!P$23*$AG380^7+WeightSDS!Q$23*$AG380^6+WeightSDS!R$23*$AG380^5+WeightSDS!S$23*$AG380^4+WeightSDS!T$23*$AG380^3+WeightSDS!U$23*$AG380^2+WeightSDS!V$23*$AG380+WeightSDS!W$23,IF($AG380&lt;153,WeightSDS!M$25*$AG380^10+WeightSDS!N$25*$AG380^9+WeightSDS!O$25*$AG380^8+WeightSDS!P$25*$AG380^7+WeightSDS!Q$25*$AG380^6+WeightSDS!R$25*$AG380^5+WeightSDS!S$25*$AG380^4+WeightSDS!T$25*$AG380^3+WeightSDS!U$25*$AG380^2+WeightSDS!V$25*$AG380+WeightSDS!W$25,WeightSDS!M$27+WeightSDS!N$27/(1+EXP(WeightSDS!O$27+WeightSDS!P$27*$AG380)))),IF($AG380&lt;43.8,WeightSDS!M$29*$AG380^10+WeightSDS!N$29*$AG380^9+WeightSDS!O$29*$AG380^8+WeightSDS!P$29*$AG380^7+WeightSDS!Q$29*$AG380^6+WeightSDS!R$29*$AG380^5+WeightSDS!S$29*$AG380^4+WeightSDS!T$29*$AG380^3+WeightSDS!U$29*$AG380^2+WeightSDS!V$29*$AG380+WeightSDS!W$29-0.010431*(1-$AG380/210),IF($AG380&lt;123,WeightSDS!M$30*$AG380^10+WeightSDS!N$30*$AG380^9+WeightSDS!O$30*$AG380^8+WeightSDS!P$30*$AG380^7+WeightSDS!Q$30*$AG380^6+WeightSDS!R$30*$AG380^5+WeightSDS!S$30*$AG380^4+WeightSDS!T$30*$AG380^3+WeightSDS!U$30*$AG380^2+WeightSDS!V$30*$AG380+WeightSDS!W$30-0.010431*(1-1/$AG380),WeightSDS!M$32+WeightSDS!N$32/(1+EXP(WeightSDS!O$32+WeightSDS!P$32*$AG380))-0.010431*(1-$AG380/210))))</f>
        <v>2.9500001032655536</v>
      </c>
      <c r="AK380" s="24">
        <f>IF(D380="M",IF($AG380&lt;162,WeightSDS!P$12*$AG380^7+WeightSDS!Q$12*$AG380^6+WeightSDS!R$12*$AG380^5+WeightSDS!S$12*$AG380^4+WeightSDS!T$12*$AG380^3+WeightSDS!U$12*$AG380^2+WeightSDS!V$12*$AG380+WeightSDS!W$12,WeightSDS!P$14*$AG380^7+WeightSDS!Q$14*$AG380^6+WeightSDS!R$14*$AG380^5+WeightSDS!S$14*$AG380^4+WeightSDS!T$14*$AG380^3+WeightSDS!U$14*$AG380^2+WeightSDS!V$14*$AG380+WeightSDS!W$14),IF($AG380&lt;156,WeightSDS!O$17*$AG380^8+WeightSDS!P$17*$AG380^7+WeightSDS!Q$17*$AG380^6+WeightSDS!R$17*$AG380^5+WeightSDS!S$17*$AG380^4+WeightSDS!T$17*$AG380^3+WeightSDS!U$17*$AG380^2+WeightSDS!V$17*$AG380+WeightSDS!W$17,IF($AG380&lt;186,WeightSDS!$U$18+(WeightSDS!$V$18-WeightSDS!$U$18)/24*($AG380-186)+WeightSDS!$W$18*(-$AG380+186)^2-0.005,WeightSDS!$U$18+(WeightSDS!$V$18-WeightSDS!$U$18)/24*($AG380-186)-0.005)))</f>
        <v>0.14604529399999999</v>
      </c>
    </row>
    <row r="381" spans="1:37">
      <c r="A381" s="4"/>
      <c r="B381" s="21"/>
      <c r="C381" s="21"/>
      <c r="D381" s="21"/>
      <c r="E381" s="22"/>
      <c r="F381" s="22"/>
      <c r="G381" s="23"/>
      <c r="H381" s="23"/>
      <c r="I381" s="8" t="str">
        <f t="shared" si="82"/>
        <v/>
      </c>
      <c r="J381" s="2" t="str">
        <f t="shared" si="89"/>
        <v/>
      </c>
      <c r="K381" s="2" t="str">
        <f t="shared" si="83"/>
        <v/>
      </c>
      <c r="L381" s="2" t="str">
        <f t="shared" si="90"/>
        <v/>
      </c>
      <c r="M381" s="2" t="str">
        <f t="shared" si="95"/>
        <v/>
      </c>
      <c r="N381" s="2" t="str">
        <f t="shared" si="91"/>
        <v/>
      </c>
      <c r="O381" s="8" t="str">
        <f t="shared" si="92"/>
        <v/>
      </c>
      <c r="P381" s="8" t="str">
        <f t="shared" si="93"/>
        <v/>
      </c>
      <c r="Q381" s="40" t="str">
        <f t="shared" si="84"/>
        <v/>
      </c>
      <c r="R381" s="48" t="str">
        <f t="shared" si="94"/>
        <v/>
      </c>
      <c r="S381" s="8"/>
      <c r="U381" s="35">
        <f t="shared" si="85"/>
        <v>0</v>
      </c>
      <c r="V381" s="24">
        <f t="shared" si="86"/>
        <v>0</v>
      </c>
      <c r="W381" s="41">
        <f t="shared" si="97"/>
        <v>0</v>
      </c>
      <c r="X381" s="31"/>
      <c r="Y381" s="31"/>
      <c r="Z381" s="31"/>
      <c r="AA381" s="25">
        <f t="shared" si="87"/>
        <v>9.0359999999999996</v>
      </c>
      <c r="AB381" s="25">
        <f t="shared" si="88"/>
        <v>-184.49199999999999</v>
      </c>
      <c r="AD381" s="24">
        <f>IF(D381="M",IF(AG381&lt;78,BMILMS!$D$5*AG381^3+BMILMS!$E$5*AG381^2+BMILMS!$F$5*AG381+BMILMS!$G$5,IF(AG381&lt;150,BMILMS!$D$6*AG381^3+BMILMS!$E$6*AG381^2+BMILMS!$F$6*AG381+BMILMS!$G$6,BMILMS!$D$7*AG381^3+BMILMS!$E$7*AG381^2+BMILMS!$F$7*AG381+BMILMS!$G$7)),IF(AG381&lt;69,BMILMS!$D$9*AG381^3+BMILMS!$E$9*AG381^2+BMILMS!$F$9*AG381+BMILMS!$G$9,IF(AG381&lt;150,BMILMS!$D$10*AG381^3+BMILMS!$E$10*AG381^2+BMILMS!$F$10*AG381+BMILMS!$G$10,BMILMS!$D$11*AG381^3+BMILMS!$E$11*AG381^2+BMILMS!$F$11*AG381+BMILMS!$G$11)))</f>
        <v>0.79584630099999998</v>
      </c>
      <c r="AE381" s="24">
        <f>IF(D381="M",(IF(AG381&lt;2.5,BMILMS!$D$21*AG381^3+BMILMS!$E$21*AG381^2+BMILMS!$F$21*AG381+BMILMS!$G$21,IF(AG381&lt;9.5,BMILMS!$D$22*AG381^3+BMILMS!$E$22*AG381^2+BMILMS!$F$22*AG381+BMILMS!$G$22,IF(AG381&lt;26.75,BMILMS!$D$23*AG381^3+BMILMS!$E$23*AG381^2+BMILMS!$F$23*AG381+BMILMS!$G$23,IF(AG381&lt;90,BMILMS!$D$24*AG381^3+BMILMS!$E$24*AG381^2+BMILMS!$F$24*AG381+BMILMS!$G$24,BMILMS!$D$25*AG381^3+BMILMS!$E$25*AG381^2+BMILMS!$F$25*AG381+BMILMS!$G$25))))),(IF(AG381&lt;2.5,BMILMS!$D$27*AG381^3+BMILMS!$E$27*AG381^2+BMILMS!$F$27*AG381+BMILMS!$G$27,IF(AG381&lt;9.5,BMILMS!$D$28*AG381^3+BMILMS!$E$28*AG381^2+BMILMS!$F$28*AG381+BMILMS!$G$28,IF(AG381&lt;26.75,BMILMS!$D$29*AG381^3+BMILMS!$E$29*AG381^2+BMILMS!$F$29*AG381+BMILMS!$G$29,IF(AG381&lt;90,BMILMS!$D$30*AG381^3+BMILMS!$E$30*AG381^2+BMILMS!$F$30*AG381+BMILMS!$G$30,IF(AG381&lt;150,BMILMS!$D$31*AG381^3+BMILMS!$E$31*AG381^2+BMILMS!$F$31*AG381+BMILMS!$G$31,BMILMS!$D$32*AG381^3+BMILMS!$E$32*AG381^2+BMILMS!$F$32*AG381+BMILMS!$G$32)))))))</f>
        <v>12.568967990000001</v>
      </c>
      <c r="AF381" s="24">
        <f>IF(D381="M",(IF(AG381&lt;90,BMILMS!$D$14*AG381^3+BMILMS!$E$14*AG381^2+BMILMS!$F$14*AG381+BMILMS!$G$14,BMILMS!$D$15*AG381^3+BMILMS!$E$15*AG381^2+BMILMS!$F$15*AG381+BMILMS!$G$15)),(IF(AG381&lt;90,BMILMS!$D$17*AG381^3+BMILMS!$E$17*AG381^2+BMILMS!$F$17*AG381+BMILMS!$G$17,BMILMS!$D$18*AG381^3+BMILMS!$E$18*AG381^2+BMILMS!$F$18*AG381+BMILMS!$G$18)))</f>
        <v>8.8969350000000003E-2</v>
      </c>
      <c r="AG381" s="24">
        <f t="shared" si="96"/>
        <v>0</v>
      </c>
      <c r="AI381" s="38">
        <f>IF(D381="M",WeightSDS!P$5*$AG381^7+WeightSDS!Q$5*$AG381^6+WeightSDS!R$5*$AG381^5+WeightSDS!S$5*$AG381^4+WeightSDS!T$5*$AG381^3+WeightSDS!U$5*$AG381^2+WeightSDS!V$5*$AG381+WeightSDS!W$5,IF($AG381&lt;186,WeightSDS!P$8*$AG381^7+WeightSDS!Q$8*$AG381^6+WeightSDS!R$8*$AG381^5+WeightSDS!S$8*$AG381^4+WeightSDS!T$8*$AG381^3+WeightSDS!U$8*$AG381^2+WeightSDS!V$8*$AG381+WeightSDS!W$8,WeightSDS!$U$9-WeightSDS!$V$9*($AG381-WeightSDS!$W$9)))</f>
        <v>0.75407122999999998</v>
      </c>
      <c r="AJ381" s="24">
        <f>IF(D381="M",IF($AG381&lt;45,WeightSDS!M$23*$AG381^10+WeightSDS!N$23*$AG381^9+WeightSDS!O$23*$AG381^8+WeightSDS!P$23*$AG381^7+WeightSDS!Q$23*$AG381^6+WeightSDS!R$23*$AG381^5+WeightSDS!S$23*$AG381^4+WeightSDS!T$23*$AG381^3+WeightSDS!U$23*$AG381^2+WeightSDS!V$23*$AG381+WeightSDS!W$23,IF($AG381&lt;153,WeightSDS!M$25*$AG381^10+WeightSDS!N$25*$AG381^9+WeightSDS!O$25*$AG381^8+WeightSDS!P$25*$AG381^7+WeightSDS!Q$25*$AG381^6+WeightSDS!R$25*$AG381^5+WeightSDS!S$25*$AG381^4+WeightSDS!T$25*$AG381^3+WeightSDS!U$25*$AG381^2+WeightSDS!V$25*$AG381+WeightSDS!W$25,WeightSDS!M$27+WeightSDS!N$27/(1+EXP(WeightSDS!O$27+WeightSDS!P$27*$AG381)))),IF($AG381&lt;43.8,WeightSDS!M$29*$AG381^10+WeightSDS!N$29*$AG381^9+WeightSDS!O$29*$AG381^8+WeightSDS!P$29*$AG381^7+WeightSDS!Q$29*$AG381^6+WeightSDS!R$29*$AG381^5+WeightSDS!S$29*$AG381^4+WeightSDS!T$29*$AG381^3+WeightSDS!U$29*$AG381^2+WeightSDS!V$29*$AG381+WeightSDS!W$29-0.010431*(1-$AG381/210),IF($AG381&lt;123,WeightSDS!M$30*$AG381^10+WeightSDS!N$30*$AG381^9+WeightSDS!O$30*$AG381^8+WeightSDS!P$30*$AG381^7+WeightSDS!Q$30*$AG381^6+WeightSDS!R$30*$AG381^5+WeightSDS!S$30*$AG381^4+WeightSDS!T$30*$AG381^3+WeightSDS!U$30*$AG381^2+WeightSDS!V$30*$AG381+WeightSDS!W$30-0.010431*(1-1/$AG381),WeightSDS!M$32+WeightSDS!N$32/(1+EXP(WeightSDS!O$32+WeightSDS!P$32*$AG381))-0.010431*(1-$AG381/210))))</f>
        <v>2.9500001032655536</v>
      </c>
      <c r="AK381" s="24">
        <f>IF(D381="M",IF($AG381&lt;162,WeightSDS!P$12*$AG381^7+WeightSDS!Q$12*$AG381^6+WeightSDS!R$12*$AG381^5+WeightSDS!S$12*$AG381^4+WeightSDS!T$12*$AG381^3+WeightSDS!U$12*$AG381^2+WeightSDS!V$12*$AG381+WeightSDS!W$12,WeightSDS!P$14*$AG381^7+WeightSDS!Q$14*$AG381^6+WeightSDS!R$14*$AG381^5+WeightSDS!S$14*$AG381^4+WeightSDS!T$14*$AG381^3+WeightSDS!U$14*$AG381^2+WeightSDS!V$14*$AG381+WeightSDS!W$14),IF($AG381&lt;156,WeightSDS!O$17*$AG381^8+WeightSDS!P$17*$AG381^7+WeightSDS!Q$17*$AG381^6+WeightSDS!R$17*$AG381^5+WeightSDS!S$17*$AG381^4+WeightSDS!T$17*$AG381^3+WeightSDS!U$17*$AG381^2+WeightSDS!V$17*$AG381+WeightSDS!W$17,IF($AG381&lt;186,WeightSDS!$U$18+(WeightSDS!$V$18-WeightSDS!$U$18)/24*($AG381-186)+WeightSDS!$W$18*(-$AG381+186)^2-0.005,WeightSDS!$U$18+(WeightSDS!$V$18-WeightSDS!$U$18)/24*($AG381-186)-0.005)))</f>
        <v>0.14604529399999999</v>
      </c>
    </row>
    <row r="382" spans="1:37">
      <c r="A382" s="4"/>
      <c r="B382" s="21"/>
      <c r="C382" s="21"/>
      <c r="D382" s="21"/>
      <c r="E382" s="22"/>
      <c r="F382" s="22"/>
      <c r="G382" s="23"/>
      <c r="H382" s="23"/>
      <c r="I382" s="8" t="str">
        <f t="shared" si="82"/>
        <v/>
      </c>
      <c r="J382" s="2" t="str">
        <f t="shared" si="89"/>
        <v/>
      </c>
      <c r="K382" s="2" t="str">
        <f t="shared" si="83"/>
        <v/>
      </c>
      <c r="L382" s="2" t="str">
        <f t="shared" si="90"/>
        <v/>
      </c>
      <c r="M382" s="2" t="str">
        <f t="shared" si="95"/>
        <v/>
      </c>
      <c r="N382" s="2" t="str">
        <f t="shared" si="91"/>
        <v/>
      </c>
      <c r="O382" s="8" t="str">
        <f t="shared" si="92"/>
        <v/>
      </c>
      <c r="P382" s="8" t="str">
        <f t="shared" si="93"/>
        <v/>
      </c>
      <c r="Q382" s="40" t="str">
        <f t="shared" si="84"/>
        <v/>
      </c>
      <c r="R382" s="48" t="str">
        <f t="shared" si="94"/>
        <v/>
      </c>
      <c r="S382" s="8"/>
      <c r="U382" s="35">
        <f t="shared" si="85"/>
        <v>0</v>
      </c>
      <c r="V382" s="24">
        <f t="shared" si="86"/>
        <v>0</v>
      </c>
      <c r="W382" s="41">
        <f t="shared" si="97"/>
        <v>0</v>
      </c>
      <c r="X382" s="31"/>
      <c r="Y382" s="31"/>
      <c r="Z382" s="31"/>
      <c r="AA382" s="25">
        <f t="shared" si="87"/>
        <v>9.0359999999999996</v>
      </c>
      <c r="AB382" s="25">
        <f t="shared" si="88"/>
        <v>-184.49199999999999</v>
      </c>
      <c r="AD382" s="24">
        <f>IF(D382="M",IF(AG382&lt;78,BMILMS!$D$5*AG382^3+BMILMS!$E$5*AG382^2+BMILMS!$F$5*AG382+BMILMS!$G$5,IF(AG382&lt;150,BMILMS!$D$6*AG382^3+BMILMS!$E$6*AG382^2+BMILMS!$F$6*AG382+BMILMS!$G$6,BMILMS!$D$7*AG382^3+BMILMS!$E$7*AG382^2+BMILMS!$F$7*AG382+BMILMS!$G$7)),IF(AG382&lt;69,BMILMS!$D$9*AG382^3+BMILMS!$E$9*AG382^2+BMILMS!$F$9*AG382+BMILMS!$G$9,IF(AG382&lt;150,BMILMS!$D$10*AG382^3+BMILMS!$E$10*AG382^2+BMILMS!$F$10*AG382+BMILMS!$G$10,BMILMS!$D$11*AG382^3+BMILMS!$E$11*AG382^2+BMILMS!$F$11*AG382+BMILMS!$G$11)))</f>
        <v>0.79584630099999998</v>
      </c>
      <c r="AE382" s="24">
        <f>IF(D382="M",(IF(AG382&lt;2.5,BMILMS!$D$21*AG382^3+BMILMS!$E$21*AG382^2+BMILMS!$F$21*AG382+BMILMS!$G$21,IF(AG382&lt;9.5,BMILMS!$D$22*AG382^3+BMILMS!$E$22*AG382^2+BMILMS!$F$22*AG382+BMILMS!$G$22,IF(AG382&lt;26.75,BMILMS!$D$23*AG382^3+BMILMS!$E$23*AG382^2+BMILMS!$F$23*AG382+BMILMS!$G$23,IF(AG382&lt;90,BMILMS!$D$24*AG382^3+BMILMS!$E$24*AG382^2+BMILMS!$F$24*AG382+BMILMS!$G$24,BMILMS!$D$25*AG382^3+BMILMS!$E$25*AG382^2+BMILMS!$F$25*AG382+BMILMS!$G$25))))),(IF(AG382&lt;2.5,BMILMS!$D$27*AG382^3+BMILMS!$E$27*AG382^2+BMILMS!$F$27*AG382+BMILMS!$G$27,IF(AG382&lt;9.5,BMILMS!$D$28*AG382^3+BMILMS!$E$28*AG382^2+BMILMS!$F$28*AG382+BMILMS!$G$28,IF(AG382&lt;26.75,BMILMS!$D$29*AG382^3+BMILMS!$E$29*AG382^2+BMILMS!$F$29*AG382+BMILMS!$G$29,IF(AG382&lt;90,BMILMS!$D$30*AG382^3+BMILMS!$E$30*AG382^2+BMILMS!$F$30*AG382+BMILMS!$G$30,IF(AG382&lt;150,BMILMS!$D$31*AG382^3+BMILMS!$E$31*AG382^2+BMILMS!$F$31*AG382+BMILMS!$G$31,BMILMS!$D$32*AG382^3+BMILMS!$E$32*AG382^2+BMILMS!$F$32*AG382+BMILMS!$G$32)))))))</f>
        <v>12.568967990000001</v>
      </c>
      <c r="AF382" s="24">
        <f>IF(D382="M",(IF(AG382&lt;90,BMILMS!$D$14*AG382^3+BMILMS!$E$14*AG382^2+BMILMS!$F$14*AG382+BMILMS!$G$14,BMILMS!$D$15*AG382^3+BMILMS!$E$15*AG382^2+BMILMS!$F$15*AG382+BMILMS!$G$15)),(IF(AG382&lt;90,BMILMS!$D$17*AG382^3+BMILMS!$E$17*AG382^2+BMILMS!$F$17*AG382+BMILMS!$G$17,BMILMS!$D$18*AG382^3+BMILMS!$E$18*AG382^2+BMILMS!$F$18*AG382+BMILMS!$G$18)))</f>
        <v>8.8969350000000003E-2</v>
      </c>
      <c r="AG382" s="24">
        <f t="shared" si="96"/>
        <v>0</v>
      </c>
      <c r="AI382" s="38">
        <f>IF(D382="M",WeightSDS!P$5*$AG382^7+WeightSDS!Q$5*$AG382^6+WeightSDS!R$5*$AG382^5+WeightSDS!S$5*$AG382^4+WeightSDS!T$5*$AG382^3+WeightSDS!U$5*$AG382^2+WeightSDS!V$5*$AG382+WeightSDS!W$5,IF($AG382&lt;186,WeightSDS!P$8*$AG382^7+WeightSDS!Q$8*$AG382^6+WeightSDS!R$8*$AG382^5+WeightSDS!S$8*$AG382^4+WeightSDS!T$8*$AG382^3+WeightSDS!U$8*$AG382^2+WeightSDS!V$8*$AG382+WeightSDS!W$8,WeightSDS!$U$9-WeightSDS!$V$9*($AG382-WeightSDS!$W$9)))</f>
        <v>0.75407122999999998</v>
      </c>
      <c r="AJ382" s="24">
        <f>IF(D382="M",IF($AG382&lt;45,WeightSDS!M$23*$AG382^10+WeightSDS!N$23*$AG382^9+WeightSDS!O$23*$AG382^8+WeightSDS!P$23*$AG382^7+WeightSDS!Q$23*$AG382^6+WeightSDS!R$23*$AG382^5+WeightSDS!S$23*$AG382^4+WeightSDS!T$23*$AG382^3+WeightSDS!U$23*$AG382^2+WeightSDS!V$23*$AG382+WeightSDS!W$23,IF($AG382&lt;153,WeightSDS!M$25*$AG382^10+WeightSDS!N$25*$AG382^9+WeightSDS!O$25*$AG382^8+WeightSDS!P$25*$AG382^7+WeightSDS!Q$25*$AG382^6+WeightSDS!R$25*$AG382^5+WeightSDS!S$25*$AG382^4+WeightSDS!T$25*$AG382^3+WeightSDS!U$25*$AG382^2+WeightSDS!V$25*$AG382+WeightSDS!W$25,WeightSDS!M$27+WeightSDS!N$27/(1+EXP(WeightSDS!O$27+WeightSDS!P$27*$AG382)))),IF($AG382&lt;43.8,WeightSDS!M$29*$AG382^10+WeightSDS!N$29*$AG382^9+WeightSDS!O$29*$AG382^8+WeightSDS!P$29*$AG382^7+WeightSDS!Q$29*$AG382^6+WeightSDS!R$29*$AG382^5+WeightSDS!S$29*$AG382^4+WeightSDS!T$29*$AG382^3+WeightSDS!U$29*$AG382^2+WeightSDS!V$29*$AG382+WeightSDS!W$29-0.010431*(1-$AG382/210),IF($AG382&lt;123,WeightSDS!M$30*$AG382^10+WeightSDS!N$30*$AG382^9+WeightSDS!O$30*$AG382^8+WeightSDS!P$30*$AG382^7+WeightSDS!Q$30*$AG382^6+WeightSDS!R$30*$AG382^5+WeightSDS!S$30*$AG382^4+WeightSDS!T$30*$AG382^3+WeightSDS!U$30*$AG382^2+WeightSDS!V$30*$AG382+WeightSDS!W$30-0.010431*(1-1/$AG382),WeightSDS!M$32+WeightSDS!N$32/(1+EXP(WeightSDS!O$32+WeightSDS!P$32*$AG382))-0.010431*(1-$AG382/210))))</f>
        <v>2.9500001032655536</v>
      </c>
      <c r="AK382" s="24">
        <f>IF(D382="M",IF($AG382&lt;162,WeightSDS!P$12*$AG382^7+WeightSDS!Q$12*$AG382^6+WeightSDS!R$12*$AG382^5+WeightSDS!S$12*$AG382^4+WeightSDS!T$12*$AG382^3+WeightSDS!U$12*$AG382^2+WeightSDS!V$12*$AG382+WeightSDS!W$12,WeightSDS!P$14*$AG382^7+WeightSDS!Q$14*$AG382^6+WeightSDS!R$14*$AG382^5+WeightSDS!S$14*$AG382^4+WeightSDS!T$14*$AG382^3+WeightSDS!U$14*$AG382^2+WeightSDS!V$14*$AG382+WeightSDS!W$14),IF($AG382&lt;156,WeightSDS!O$17*$AG382^8+WeightSDS!P$17*$AG382^7+WeightSDS!Q$17*$AG382^6+WeightSDS!R$17*$AG382^5+WeightSDS!S$17*$AG382^4+WeightSDS!T$17*$AG382^3+WeightSDS!U$17*$AG382^2+WeightSDS!V$17*$AG382+WeightSDS!W$17,IF($AG382&lt;186,WeightSDS!$U$18+(WeightSDS!$V$18-WeightSDS!$U$18)/24*($AG382-186)+WeightSDS!$W$18*(-$AG382+186)^2-0.005,WeightSDS!$U$18+(WeightSDS!$V$18-WeightSDS!$U$18)/24*($AG382-186)-0.005)))</f>
        <v>0.14604529399999999</v>
      </c>
    </row>
    <row r="383" spans="1:37">
      <c r="A383" s="4"/>
      <c r="B383" s="21"/>
      <c r="C383" s="21"/>
      <c r="D383" s="21"/>
      <c r="E383" s="22"/>
      <c r="F383" s="22"/>
      <c r="G383" s="23"/>
      <c r="H383" s="23"/>
      <c r="I383" s="8" t="str">
        <f t="shared" si="82"/>
        <v/>
      </c>
      <c r="J383" s="2" t="str">
        <f t="shared" si="89"/>
        <v/>
      </c>
      <c r="K383" s="2" t="str">
        <f t="shared" si="83"/>
        <v/>
      </c>
      <c r="L383" s="2" t="str">
        <f t="shared" si="90"/>
        <v/>
      </c>
      <c r="M383" s="2" t="str">
        <f t="shared" si="95"/>
        <v/>
      </c>
      <c r="N383" s="2" t="str">
        <f t="shared" si="91"/>
        <v/>
      </c>
      <c r="O383" s="8" t="str">
        <f t="shared" si="92"/>
        <v/>
      </c>
      <c r="P383" s="8" t="str">
        <f t="shared" si="93"/>
        <v/>
      </c>
      <c r="Q383" s="40" t="str">
        <f t="shared" si="84"/>
        <v/>
      </c>
      <c r="R383" s="48" t="str">
        <f t="shared" si="94"/>
        <v/>
      </c>
      <c r="S383" s="8"/>
      <c r="U383" s="35">
        <f t="shared" si="85"/>
        <v>0</v>
      </c>
      <c r="V383" s="24">
        <f t="shared" si="86"/>
        <v>0</v>
      </c>
      <c r="W383" s="41">
        <f t="shared" si="97"/>
        <v>0</v>
      </c>
      <c r="X383" s="31"/>
      <c r="Y383" s="31"/>
      <c r="Z383" s="31"/>
      <c r="AA383" s="25">
        <f t="shared" si="87"/>
        <v>9.0359999999999996</v>
      </c>
      <c r="AB383" s="25">
        <f t="shared" si="88"/>
        <v>-184.49199999999999</v>
      </c>
      <c r="AD383" s="24">
        <f>IF(D383="M",IF(AG383&lt;78,BMILMS!$D$5*AG383^3+BMILMS!$E$5*AG383^2+BMILMS!$F$5*AG383+BMILMS!$G$5,IF(AG383&lt;150,BMILMS!$D$6*AG383^3+BMILMS!$E$6*AG383^2+BMILMS!$F$6*AG383+BMILMS!$G$6,BMILMS!$D$7*AG383^3+BMILMS!$E$7*AG383^2+BMILMS!$F$7*AG383+BMILMS!$G$7)),IF(AG383&lt;69,BMILMS!$D$9*AG383^3+BMILMS!$E$9*AG383^2+BMILMS!$F$9*AG383+BMILMS!$G$9,IF(AG383&lt;150,BMILMS!$D$10*AG383^3+BMILMS!$E$10*AG383^2+BMILMS!$F$10*AG383+BMILMS!$G$10,BMILMS!$D$11*AG383^3+BMILMS!$E$11*AG383^2+BMILMS!$F$11*AG383+BMILMS!$G$11)))</f>
        <v>0.79584630099999998</v>
      </c>
      <c r="AE383" s="24">
        <f>IF(D383="M",(IF(AG383&lt;2.5,BMILMS!$D$21*AG383^3+BMILMS!$E$21*AG383^2+BMILMS!$F$21*AG383+BMILMS!$G$21,IF(AG383&lt;9.5,BMILMS!$D$22*AG383^3+BMILMS!$E$22*AG383^2+BMILMS!$F$22*AG383+BMILMS!$G$22,IF(AG383&lt;26.75,BMILMS!$D$23*AG383^3+BMILMS!$E$23*AG383^2+BMILMS!$F$23*AG383+BMILMS!$G$23,IF(AG383&lt;90,BMILMS!$D$24*AG383^3+BMILMS!$E$24*AG383^2+BMILMS!$F$24*AG383+BMILMS!$G$24,BMILMS!$D$25*AG383^3+BMILMS!$E$25*AG383^2+BMILMS!$F$25*AG383+BMILMS!$G$25))))),(IF(AG383&lt;2.5,BMILMS!$D$27*AG383^3+BMILMS!$E$27*AG383^2+BMILMS!$F$27*AG383+BMILMS!$G$27,IF(AG383&lt;9.5,BMILMS!$D$28*AG383^3+BMILMS!$E$28*AG383^2+BMILMS!$F$28*AG383+BMILMS!$G$28,IF(AG383&lt;26.75,BMILMS!$D$29*AG383^3+BMILMS!$E$29*AG383^2+BMILMS!$F$29*AG383+BMILMS!$G$29,IF(AG383&lt;90,BMILMS!$D$30*AG383^3+BMILMS!$E$30*AG383^2+BMILMS!$F$30*AG383+BMILMS!$G$30,IF(AG383&lt;150,BMILMS!$D$31*AG383^3+BMILMS!$E$31*AG383^2+BMILMS!$F$31*AG383+BMILMS!$G$31,BMILMS!$D$32*AG383^3+BMILMS!$E$32*AG383^2+BMILMS!$F$32*AG383+BMILMS!$G$32)))))))</f>
        <v>12.568967990000001</v>
      </c>
      <c r="AF383" s="24">
        <f>IF(D383="M",(IF(AG383&lt;90,BMILMS!$D$14*AG383^3+BMILMS!$E$14*AG383^2+BMILMS!$F$14*AG383+BMILMS!$G$14,BMILMS!$D$15*AG383^3+BMILMS!$E$15*AG383^2+BMILMS!$F$15*AG383+BMILMS!$G$15)),(IF(AG383&lt;90,BMILMS!$D$17*AG383^3+BMILMS!$E$17*AG383^2+BMILMS!$F$17*AG383+BMILMS!$G$17,BMILMS!$D$18*AG383^3+BMILMS!$E$18*AG383^2+BMILMS!$F$18*AG383+BMILMS!$G$18)))</f>
        <v>8.8969350000000003E-2</v>
      </c>
      <c r="AG383" s="24">
        <f t="shared" si="96"/>
        <v>0</v>
      </c>
      <c r="AI383" s="38">
        <f>IF(D383="M",WeightSDS!P$5*$AG383^7+WeightSDS!Q$5*$AG383^6+WeightSDS!R$5*$AG383^5+WeightSDS!S$5*$AG383^4+WeightSDS!T$5*$AG383^3+WeightSDS!U$5*$AG383^2+WeightSDS!V$5*$AG383+WeightSDS!W$5,IF($AG383&lt;186,WeightSDS!P$8*$AG383^7+WeightSDS!Q$8*$AG383^6+WeightSDS!R$8*$AG383^5+WeightSDS!S$8*$AG383^4+WeightSDS!T$8*$AG383^3+WeightSDS!U$8*$AG383^2+WeightSDS!V$8*$AG383+WeightSDS!W$8,WeightSDS!$U$9-WeightSDS!$V$9*($AG383-WeightSDS!$W$9)))</f>
        <v>0.75407122999999998</v>
      </c>
      <c r="AJ383" s="24">
        <f>IF(D383="M",IF($AG383&lt;45,WeightSDS!M$23*$AG383^10+WeightSDS!N$23*$AG383^9+WeightSDS!O$23*$AG383^8+WeightSDS!P$23*$AG383^7+WeightSDS!Q$23*$AG383^6+WeightSDS!R$23*$AG383^5+WeightSDS!S$23*$AG383^4+WeightSDS!T$23*$AG383^3+WeightSDS!U$23*$AG383^2+WeightSDS!V$23*$AG383+WeightSDS!W$23,IF($AG383&lt;153,WeightSDS!M$25*$AG383^10+WeightSDS!N$25*$AG383^9+WeightSDS!O$25*$AG383^8+WeightSDS!P$25*$AG383^7+WeightSDS!Q$25*$AG383^6+WeightSDS!R$25*$AG383^5+WeightSDS!S$25*$AG383^4+WeightSDS!T$25*$AG383^3+WeightSDS!U$25*$AG383^2+WeightSDS!V$25*$AG383+WeightSDS!W$25,WeightSDS!M$27+WeightSDS!N$27/(1+EXP(WeightSDS!O$27+WeightSDS!P$27*$AG383)))),IF($AG383&lt;43.8,WeightSDS!M$29*$AG383^10+WeightSDS!N$29*$AG383^9+WeightSDS!O$29*$AG383^8+WeightSDS!P$29*$AG383^7+WeightSDS!Q$29*$AG383^6+WeightSDS!R$29*$AG383^5+WeightSDS!S$29*$AG383^4+WeightSDS!T$29*$AG383^3+WeightSDS!U$29*$AG383^2+WeightSDS!V$29*$AG383+WeightSDS!W$29-0.010431*(1-$AG383/210),IF($AG383&lt;123,WeightSDS!M$30*$AG383^10+WeightSDS!N$30*$AG383^9+WeightSDS!O$30*$AG383^8+WeightSDS!P$30*$AG383^7+WeightSDS!Q$30*$AG383^6+WeightSDS!R$30*$AG383^5+WeightSDS!S$30*$AG383^4+WeightSDS!T$30*$AG383^3+WeightSDS!U$30*$AG383^2+WeightSDS!V$30*$AG383+WeightSDS!W$30-0.010431*(1-1/$AG383),WeightSDS!M$32+WeightSDS!N$32/(1+EXP(WeightSDS!O$32+WeightSDS!P$32*$AG383))-0.010431*(1-$AG383/210))))</f>
        <v>2.9500001032655536</v>
      </c>
      <c r="AK383" s="24">
        <f>IF(D383="M",IF($AG383&lt;162,WeightSDS!P$12*$AG383^7+WeightSDS!Q$12*$AG383^6+WeightSDS!R$12*$AG383^5+WeightSDS!S$12*$AG383^4+WeightSDS!T$12*$AG383^3+WeightSDS!U$12*$AG383^2+WeightSDS!V$12*$AG383+WeightSDS!W$12,WeightSDS!P$14*$AG383^7+WeightSDS!Q$14*$AG383^6+WeightSDS!R$14*$AG383^5+WeightSDS!S$14*$AG383^4+WeightSDS!T$14*$AG383^3+WeightSDS!U$14*$AG383^2+WeightSDS!V$14*$AG383+WeightSDS!W$14),IF($AG383&lt;156,WeightSDS!O$17*$AG383^8+WeightSDS!P$17*$AG383^7+WeightSDS!Q$17*$AG383^6+WeightSDS!R$17*$AG383^5+WeightSDS!S$17*$AG383^4+WeightSDS!T$17*$AG383^3+WeightSDS!U$17*$AG383^2+WeightSDS!V$17*$AG383+WeightSDS!W$17,IF($AG383&lt;186,WeightSDS!$U$18+(WeightSDS!$V$18-WeightSDS!$U$18)/24*($AG383-186)+WeightSDS!$W$18*(-$AG383+186)^2-0.005,WeightSDS!$U$18+(WeightSDS!$V$18-WeightSDS!$U$18)/24*($AG383-186)-0.005)))</f>
        <v>0.14604529399999999</v>
      </c>
    </row>
    <row r="384" spans="1:37">
      <c r="A384" s="4"/>
      <c r="B384" s="21"/>
      <c r="C384" s="21"/>
      <c r="D384" s="21"/>
      <c r="E384" s="22"/>
      <c r="F384" s="22"/>
      <c r="G384" s="23"/>
      <c r="H384" s="23"/>
      <c r="I384" s="8" t="str">
        <f t="shared" si="82"/>
        <v/>
      </c>
      <c r="J384" s="2" t="str">
        <f t="shared" si="89"/>
        <v/>
      </c>
      <c r="K384" s="2" t="str">
        <f t="shared" si="83"/>
        <v/>
      </c>
      <c r="L384" s="2" t="str">
        <f t="shared" si="90"/>
        <v/>
      </c>
      <c r="M384" s="2" t="str">
        <f t="shared" si="95"/>
        <v/>
      </c>
      <c r="N384" s="2" t="str">
        <f t="shared" si="91"/>
        <v/>
      </c>
      <c r="O384" s="8" t="str">
        <f t="shared" si="92"/>
        <v/>
      </c>
      <c r="P384" s="8" t="str">
        <f t="shared" si="93"/>
        <v/>
      </c>
      <c r="Q384" s="40" t="str">
        <f t="shared" si="84"/>
        <v/>
      </c>
      <c r="R384" s="48" t="str">
        <f t="shared" si="94"/>
        <v/>
      </c>
      <c r="S384" s="8"/>
      <c r="U384" s="35">
        <f t="shared" si="85"/>
        <v>0</v>
      </c>
      <c r="V384" s="24">
        <f t="shared" si="86"/>
        <v>0</v>
      </c>
      <c r="W384" s="41">
        <f t="shared" si="97"/>
        <v>0</v>
      </c>
      <c r="X384" s="31"/>
      <c r="Y384" s="31"/>
      <c r="Z384" s="31"/>
      <c r="AA384" s="25">
        <f t="shared" si="87"/>
        <v>9.0359999999999996</v>
      </c>
      <c r="AB384" s="25">
        <f t="shared" si="88"/>
        <v>-184.49199999999999</v>
      </c>
      <c r="AD384" s="24">
        <f>IF(D384="M",IF(AG384&lt;78,BMILMS!$D$5*AG384^3+BMILMS!$E$5*AG384^2+BMILMS!$F$5*AG384+BMILMS!$G$5,IF(AG384&lt;150,BMILMS!$D$6*AG384^3+BMILMS!$E$6*AG384^2+BMILMS!$F$6*AG384+BMILMS!$G$6,BMILMS!$D$7*AG384^3+BMILMS!$E$7*AG384^2+BMILMS!$F$7*AG384+BMILMS!$G$7)),IF(AG384&lt;69,BMILMS!$D$9*AG384^3+BMILMS!$E$9*AG384^2+BMILMS!$F$9*AG384+BMILMS!$G$9,IF(AG384&lt;150,BMILMS!$D$10*AG384^3+BMILMS!$E$10*AG384^2+BMILMS!$F$10*AG384+BMILMS!$G$10,BMILMS!$D$11*AG384^3+BMILMS!$E$11*AG384^2+BMILMS!$F$11*AG384+BMILMS!$G$11)))</f>
        <v>0.79584630099999998</v>
      </c>
      <c r="AE384" s="24">
        <f>IF(D384="M",(IF(AG384&lt;2.5,BMILMS!$D$21*AG384^3+BMILMS!$E$21*AG384^2+BMILMS!$F$21*AG384+BMILMS!$G$21,IF(AG384&lt;9.5,BMILMS!$D$22*AG384^3+BMILMS!$E$22*AG384^2+BMILMS!$F$22*AG384+BMILMS!$G$22,IF(AG384&lt;26.75,BMILMS!$D$23*AG384^3+BMILMS!$E$23*AG384^2+BMILMS!$F$23*AG384+BMILMS!$G$23,IF(AG384&lt;90,BMILMS!$D$24*AG384^3+BMILMS!$E$24*AG384^2+BMILMS!$F$24*AG384+BMILMS!$G$24,BMILMS!$D$25*AG384^3+BMILMS!$E$25*AG384^2+BMILMS!$F$25*AG384+BMILMS!$G$25))))),(IF(AG384&lt;2.5,BMILMS!$D$27*AG384^3+BMILMS!$E$27*AG384^2+BMILMS!$F$27*AG384+BMILMS!$G$27,IF(AG384&lt;9.5,BMILMS!$D$28*AG384^3+BMILMS!$E$28*AG384^2+BMILMS!$F$28*AG384+BMILMS!$G$28,IF(AG384&lt;26.75,BMILMS!$D$29*AG384^3+BMILMS!$E$29*AG384^2+BMILMS!$F$29*AG384+BMILMS!$G$29,IF(AG384&lt;90,BMILMS!$D$30*AG384^3+BMILMS!$E$30*AG384^2+BMILMS!$F$30*AG384+BMILMS!$G$30,IF(AG384&lt;150,BMILMS!$D$31*AG384^3+BMILMS!$E$31*AG384^2+BMILMS!$F$31*AG384+BMILMS!$G$31,BMILMS!$D$32*AG384^3+BMILMS!$E$32*AG384^2+BMILMS!$F$32*AG384+BMILMS!$G$32)))))))</f>
        <v>12.568967990000001</v>
      </c>
      <c r="AF384" s="24">
        <f>IF(D384="M",(IF(AG384&lt;90,BMILMS!$D$14*AG384^3+BMILMS!$E$14*AG384^2+BMILMS!$F$14*AG384+BMILMS!$G$14,BMILMS!$D$15*AG384^3+BMILMS!$E$15*AG384^2+BMILMS!$F$15*AG384+BMILMS!$G$15)),(IF(AG384&lt;90,BMILMS!$D$17*AG384^3+BMILMS!$E$17*AG384^2+BMILMS!$F$17*AG384+BMILMS!$G$17,BMILMS!$D$18*AG384^3+BMILMS!$E$18*AG384^2+BMILMS!$F$18*AG384+BMILMS!$G$18)))</f>
        <v>8.8969350000000003E-2</v>
      </c>
      <c r="AG384" s="24">
        <f t="shared" si="96"/>
        <v>0</v>
      </c>
      <c r="AI384" s="38">
        <f>IF(D384="M",WeightSDS!P$5*$AG384^7+WeightSDS!Q$5*$AG384^6+WeightSDS!R$5*$AG384^5+WeightSDS!S$5*$AG384^4+WeightSDS!T$5*$AG384^3+WeightSDS!U$5*$AG384^2+WeightSDS!V$5*$AG384+WeightSDS!W$5,IF($AG384&lt;186,WeightSDS!P$8*$AG384^7+WeightSDS!Q$8*$AG384^6+WeightSDS!R$8*$AG384^5+WeightSDS!S$8*$AG384^4+WeightSDS!T$8*$AG384^3+WeightSDS!U$8*$AG384^2+WeightSDS!V$8*$AG384+WeightSDS!W$8,WeightSDS!$U$9-WeightSDS!$V$9*($AG384-WeightSDS!$W$9)))</f>
        <v>0.75407122999999998</v>
      </c>
      <c r="AJ384" s="24">
        <f>IF(D384="M",IF($AG384&lt;45,WeightSDS!M$23*$AG384^10+WeightSDS!N$23*$AG384^9+WeightSDS!O$23*$AG384^8+WeightSDS!P$23*$AG384^7+WeightSDS!Q$23*$AG384^6+WeightSDS!R$23*$AG384^5+WeightSDS!S$23*$AG384^4+WeightSDS!T$23*$AG384^3+WeightSDS!U$23*$AG384^2+WeightSDS!V$23*$AG384+WeightSDS!W$23,IF($AG384&lt;153,WeightSDS!M$25*$AG384^10+WeightSDS!N$25*$AG384^9+WeightSDS!O$25*$AG384^8+WeightSDS!P$25*$AG384^7+WeightSDS!Q$25*$AG384^6+WeightSDS!R$25*$AG384^5+WeightSDS!S$25*$AG384^4+WeightSDS!T$25*$AG384^3+WeightSDS!U$25*$AG384^2+WeightSDS!V$25*$AG384+WeightSDS!W$25,WeightSDS!M$27+WeightSDS!N$27/(1+EXP(WeightSDS!O$27+WeightSDS!P$27*$AG384)))),IF($AG384&lt;43.8,WeightSDS!M$29*$AG384^10+WeightSDS!N$29*$AG384^9+WeightSDS!O$29*$AG384^8+WeightSDS!P$29*$AG384^7+WeightSDS!Q$29*$AG384^6+WeightSDS!R$29*$AG384^5+WeightSDS!S$29*$AG384^4+WeightSDS!T$29*$AG384^3+WeightSDS!U$29*$AG384^2+WeightSDS!V$29*$AG384+WeightSDS!W$29-0.010431*(1-$AG384/210),IF($AG384&lt;123,WeightSDS!M$30*$AG384^10+WeightSDS!N$30*$AG384^9+WeightSDS!O$30*$AG384^8+WeightSDS!P$30*$AG384^7+WeightSDS!Q$30*$AG384^6+WeightSDS!R$30*$AG384^5+WeightSDS!S$30*$AG384^4+WeightSDS!T$30*$AG384^3+WeightSDS!U$30*$AG384^2+WeightSDS!V$30*$AG384+WeightSDS!W$30-0.010431*(1-1/$AG384),WeightSDS!M$32+WeightSDS!N$32/(1+EXP(WeightSDS!O$32+WeightSDS!P$32*$AG384))-0.010431*(1-$AG384/210))))</f>
        <v>2.9500001032655536</v>
      </c>
      <c r="AK384" s="24">
        <f>IF(D384="M",IF($AG384&lt;162,WeightSDS!P$12*$AG384^7+WeightSDS!Q$12*$AG384^6+WeightSDS!R$12*$AG384^5+WeightSDS!S$12*$AG384^4+WeightSDS!T$12*$AG384^3+WeightSDS!U$12*$AG384^2+WeightSDS!V$12*$AG384+WeightSDS!W$12,WeightSDS!P$14*$AG384^7+WeightSDS!Q$14*$AG384^6+WeightSDS!R$14*$AG384^5+WeightSDS!S$14*$AG384^4+WeightSDS!T$14*$AG384^3+WeightSDS!U$14*$AG384^2+WeightSDS!V$14*$AG384+WeightSDS!W$14),IF($AG384&lt;156,WeightSDS!O$17*$AG384^8+WeightSDS!P$17*$AG384^7+WeightSDS!Q$17*$AG384^6+WeightSDS!R$17*$AG384^5+WeightSDS!S$17*$AG384^4+WeightSDS!T$17*$AG384^3+WeightSDS!U$17*$AG384^2+WeightSDS!V$17*$AG384+WeightSDS!W$17,IF($AG384&lt;186,WeightSDS!$U$18+(WeightSDS!$V$18-WeightSDS!$U$18)/24*($AG384-186)+WeightSDS!$W$18*(-$AG384+186)^2-0.005,WeightSDS!$U$18+(WeightSDS!$V$18-WeightSDS!$U$18)/24*($AG384-186)-0.005)))</f>
        <v>0.14604529399999999</v>
      </c>
    </row>
    <row r="385" spans="1:37">
      <c r="A385" s="4"/>
      <c r="B385" s="21"/>
      <c r="C385" s="21"/>
      <c r="D385" s="21"/>
      <c r="E385" s="22"/>
      <c r="F385" s="22"/>
      <c r="G385" s="23"/>
      <c r="H385" s="23"/>
      <c r="I385" s="8" t="str">
        <f t="shared" si="82"/>
        <v/>
      </c>
      <c r="J385" s="2" t="str">
        <f t="shared" si="89"/>
        <v/>
      </c>
      <c r="K385" s="2" t="str">
        <f t="shared" si="83"/>
        <v/>
      </c>
      <c r="L385" s="2" t="str">
        <f t="shared" si="90"/>
        <v/>
      </c>
      <c r="M385" s="2" t="str">
        <f t="shared" si="95"/>
        <v/>
      </c>
      <c r="N385" s="2" t="str">
        <f t="shared" si="91"/>
        <v/>
      </c>
      <c r="O385" s="8" t="str">
        <f t="shared" si="92"/>
        <v/>
      </c>
      <c r="P385" s="8" t="str">
        <f t="shared" si="93"/>
        <v/>
      </c>
      <c r="Q385" s="40" t="str">
        <f t="shared" si="84"/>
        <v/>
      </c>
      <c r="R385" s="48" t="str">
        <f t="shared" si="94"/>
        <v/>
      </c>
      <c r="S385" s="8"/>
      <c r="U385" s="35">
        <f t="shared" si="85"/>
        <v>0</v>
      </c>
      <c r="V385" s="24">
        <f t="shared" si="86"/>
        <v>0</v>
      </c>
      <c r="W385" s="41">
        <f t="shared" si="97"/>
        <v>0</v>
      </c>
      <c r="X385" s="31"/>
      <c r="Y385" s="31"/>
      <c r="Z385" s="31"/>
      <c r="AA385" s="25">
        <f t="shared" si="87"/>
        <v>9.0359999999999996</v>
      </c>
      <c r="AB385" s="25">
        <f t="shared" si="88"/>
        <v>-184.49199999999999</v>
      </c>
      <c r="AD385" s="24">
        <f>IF(D385="M",IF(AG385&lt;78,BMILMS!$D$5*AG385^3+BMILMS!$E$5*AG385^2+BMILMS!$F$5*AG385+BMILMS!$G$5,IF(AG385&lt;150,BMILMS!$D$6*AG385^3+BMILMS!$E$6*AG385^2+BMILMS!$F$6*AG385+BMILMS!$G$6,BMILMS!$D$7*AG385^3+BMILMS!$E$7*AG385^2+BMILMS!$F$7*AG385+BMILMS!$G$7)),IF(AG385&lt;69,BMILMS!$D$9*AG385^3+BMILMS!$E$9*AG385^2+BMILMS!$F$9*AG385+BMILMS!$G$9,IF(AG385&lt;150,BMILMS!$D$10*AG385^3+BMILMS!$E$10*AG385^2+BMILMS!$F$10*AG385+BMILMS!$G$10,BMILMS!$D$11*AG385^3+BMILMS!$E$11*AG385^2+BMILMS!$F$11*AG385+BMILMS!$G$11)))</f>
        <v>0.79584630099999998</v>
      </c>
      <c r="AE385" s="24">
        <f>IF(D385="M",(IF(AG385&lt;2.5,BMILMS!$D$21*AG385^3+BMILMS!$E$21*AG385^2+BMILMS!$F$21*AG385+BMILMS!$G$21,IF(AG385&lt;9.5,BMILMS!$D$22*AG385^3+BMILMS!$E$22*AG385^2+BMILMS!$F$22*AG385+BMILMS!$G$22,IF(AG385&lt;26.75,BMILMS!$D$23*AG385^3+BMILMS!$E$23*AG385^2+BMILMS!$F$23*AG385+BMILMS!$G$23,IF(AG385&lt;90,BMILMS!$D$24*AG385^3+BMILMS!$E$24*AG385^2+BMILMS!$F$24*AG385+BMILMS!$G$24,BMILMS!$D$25*AG385^3+BMILMS!$E$25*AG385^2+BMILMS!$F$25*AG385+BMILMS!$G$25))))),(IF(AG385&lt;2.5,BMILMS!$D$27*AG385^3+BMILMS!$E$27*AG385^2+BMILMS!$F$27*AG385+BMILMS!$G$27,IF(AG385&lt;9.5,BMILMS!$D$28*AG385^3+BMILMS!$E$28*AG385^2+BMILMS!$F$28*AG385+BMILMS!$G$28,IF(AG385&lt;26.75,BMILMS!$D$29*AG385^3+BMILMS!$E$29*AG385^2+BMILMS!$F$29*AG385+BMILMS!$G$29,IF(AG385&lt;90,BMILMS!$D$30*AG385^3+BMILMS!$E$30*AG385^2+BMILMS!$F$30*AG385+BMILMS!$G$30,IF(AG385&lt;150,BMILMS!$D$31*AG385^3+BMILMS!$E$31*AG385^2+BMILMS!$F$31*AG385+BMILMS!$G$31,BMILMS!$D$32*AG385^3+BMILMS!$E$32*AG385^2+BMILMS!$F$32*AG385+BMILMS!$G$32)))))))</f>
        <v>12.568967990000001</v>
      </c>
      <c r="AF385" s="24">
        <f>IF(D385="M",(IF(AG385&lt;90,BMILMS!$D$14*AG385^3+BMILMS!$E$14*AG385^2+BMILMS!$F$14*AG385+BMILMS!$G$14,BMILMS!$D$15*AG385^3+BMILMS!$E$15*AG385^2+BMILMS!$F$15*AG385+BMILMS!$G$15)),(IF(AG385&lt;90,BMILMS!$D$17*AG385^3+BMILMS!$E$17*AG385^2+BMILMS!$F$17*AG385+BMILMS!$G$17,BMILMS!$D$18*AG385^3+BMILMS!$E$18*AG385^2+BMILMS!$F$18*AG385+BMILMS!$G$18)))</f>
        <v>8.8969350000000003E-2</v>
      </c>
      <c r="AG385" s="24">
        <f t="shared" si="96"/>
        <v>0</v>
      </c>
      <c r="AI385" s="38">
        <f>IF(D385="M",WeightSDS!P$5*$AG385^7+WeightSDS!Q$5*$AG385^6+WeightSDS!R$5*$AG385^5+WeightSDS!S$5*$AG385^4+WeightSDS!T$5*$AG385^3+WeightSDS!U$5*$AG385^2+WeightSDS!V$5*$AG385+WeightSDS!W$5,IF($AG385&lt;186,WeightSDS!P$8*$AG385^7+WeightSDS!Q$8*$AG385^6+WeightSDS!R$8*$AG385^5+WeightSDS!S$8*$AG385^4+WeightSDS!T$8*$AG385^3+WeightSDS!U$8*$AG385^2+WeightSDS!V$8*$AG385+WeightSDS!W$8,WeightSDS!$U$9-WeightSDS!$V$9*($AG385-WeightSDS!$W$9)))</f>
        <v>0.75407122999999998</v>
      </c>
      <c r="AJ385" s="24">
        <f>IF(D385="M",IF($AG385&lt;45,WeightSDS!M$23*$AG385^10+WeightSDS!N$23*$AG385^9+WeightSDS!O$23*$AG385^8+WeightSDS!P$23*$AG385^7+WeightSDS!Q$23*$AG385^6+WeightSDS!R$23*$AG385^5+WeightSDS!S$23*$AG385^4+WeightSDS!T$23*$AG385^3+WeightSDS!U$23*$AG385^2+WeightSDS!V$23*$AG385+WeightSDS!W$23,IF($AG385&lt;153,WeightSDS!M$25*$AG385^10+WeightSDS!N$25*$AG385^9+WeightSDS!O$25*$AG385^8+WeightSDS!P$25*$AG385^7+WeightSDS!Q$25*$AG385^6+WeightSDS!R$25*$AG385^5+WeightSDS!S$25*$AG385^4+WeightSDS!T$25*$AG385^3+WeightSDS!U$25*$AG385^2+WeightSDS!V$25*$AG385+WeightSDS!W$25,WeightSDS!M$27+WeightSDS!N$27/(1+EXP(WeightSDS!O$27+WeightSDS!P$27*$AG385)))),IF($AG385&lt;43.8,WeightSDS!M$29*$AG385^10+WeightSDS!N$29*$AG385^9+WeightSDS!O$29*$AG385^8+WeightSDS!P$29*$AG385^7+WeightSDS!Q$29*$AG385^6+WeightSDS!R$29*$AG385^5+WeightSDS!S$29*$AG385^4+WeightSDS!T$29*$AG385^3+WeightSDS!U$29*$AG385^2+WeightSDS!V$29*$AG385+WeightSDS!W$29-0.010431*(1-$AG385/210),IF($AG385&lt;123,WeightSDS!M$30*$AG385^10+WeightSDS!N$30*$AG385^9+WeightSDS!O$30*$AG385^8+WeightSDS!P$30*$AG385^7+WeightSDS!Q$30*$AG385^6+WeightSDS!R$30*$AG385^5+WeightSDS!S$30*$AG385^4+WeightSDS!T$30*$AG385^3+WeightSDS!U$30*$AG385^2+WeightSDS!V$30*$AG385+WeightSDS!W$30-0.010431*(1-1/$AG385),WeightSDS!M$32+WeightSDS!N$32/(1+EXP(WeightSDS!O$32+WeightSDS!P$32*$AG385))-0.010431*(1-$AG385/210))))</f>
        <v>2.9500001032655536</v>
      </c>
      <c r="AK385" s="24">
        <f>IF(D385="M",IF($AG385&lt;162,WeightSDS!P$12*$AG385^7+WeightSDS!Q$12*$AG385^6+WeightSDS!R$12*$AG385^5+WeightSDS!S$12*$AG385^4+WeightSDS!T$12*$AG385^3+WeightSDS!U$12*$AG385^2+WeightSDS!V$12*$AG385+WeightSDS!W$12,WeightSDS!P$14*$AG385^7+WeightSDS!Q$14*$AG385^6+WeightSDS!R$14*$AG385^5+WeightSDS!S$14*$AG385^4+WeightSDS!T$14*$AG385^3+WeightSDS!U$14*$AG385^2+WeightSDS!V$14*$AG385+WeightSDS!W$14),IF($AG385&lt;156,WeightSDS!O$17*$AG385^8+WeightSDS!P$17*$AG385^7+WeightSDS!Q$17*$AG385^6+WeightSDS!R$17*$AG385^5+WeightSDS!S$17*$AG385^4+WeightSDS!T$17*$AG385^3+WeightSDS!U$17*$AG385^2+WeightSDS!V$17*$AG385+WeightSDS!W$17,IF($AG385&lt;186,WeightSDS!$U$18+(WeightSDS!$V$18-WeightSDS!$U$18)/24*($AG385-186)+WeightSDS!$W$18*(-$AG385+186)^2-0.005,WeightSDS!$U$18+(WeightSDS!$V$18-WeightSDS!$U$18)/24*($AG385-186)-0.005)))</f>
        <v>0.14604529399999999</v>
      </c>
    </row>
    <row r="386" spans="1:37">
      <c r="A386" s="4"/>
      <c r="B386" s="21"/>
      <c r="C386" s="21"/>
      <c r="D386" s="21"/>
      <c r="E386" s="22"/>
      <c r="F386" s="22"/>
      <c r="G386" s="23"/>
      <c r="H386" s="23"/>
      <c r="I386" s="8" t="str">
        <f t="shared" si="82"/>
        <v/>
      </c>
      <c r="J386" s="2" t="str">
        <f t="shared" si="89"/>
        <v/>
      </c>
      <c r="K386" s="2" t="str">
        <f t="shared" si="83"/>
        <v/>
      </c>
      <c r="L386" s="2" t="str">
        <f t="shared" si="90"/>
        <v/>
      </c>
      <c r="M386" s="2" t="str">
        <f t="shared" si="95"/>
        <v/>
      </c>
      <c r="N386" s="2" t="str">
        <f t="shared" si="91"/>
        <v/>
      </c>
      <c r="O386" s="8" t="str">
        <f t="shared" si="92"/>
        <v/>
      </c>
      <c r="P386" s="8" t="str">
        <f t="shared" si="93"/>
        <v/>
      </c>
      <c r="Q386" s="40" t="str">
        <f t="shared" si="84"/>
        <v/>
      </c>
      <c r="R386" s="48" t="str">
        <f t="shared" si="94"/>
        <v/>
      </c>
      <c r="S386" s="8"/>
      <c r="U386" s="35">
        <f t="shared" si="85"/>
        <v>0</v>
      </c>
      <c r="V386" s="24">
        <f t="shared" si="86"/>
        <v>0</v>
      </c>
      <c r="W386" s="41">
        <f t="shared" si="97"/>
        <v>0</v>
      </c>
      <c r="X386" s="31"/>
      <c r="Y386" s="31"/>
      <c r="Z386" s="31"/>
      <c r="AA386" s="25">
        <f t="shared" si="87"/>
        <v>9.0359999999999996</v>
      </c>
      <c r="AB386" s="25">
        <f t="shared" si="88"/>
        <v>-184.49199999999999</v>
      </c>
      <c r="AD386" s="24">
        <f>IF(D386="M",IF(AG386&lt;78,BMILMS!$D$5*AG386^3+BMILMS!$E$5*AG386^2+BMILMS!$F$5*AG386+BMILMS!$G$5,IF(AG386&lt;150,BMILMS!$D$6*AG386^3+BMILMS!$E$6*AG386^2+BMILMS!$F$6*AG386+BMILMS!$G$6,BMILMS!$D$7*AG386^3+BMILMS!$E$7*AG386^2+BMILMS!$F$7*AG386+BMILMS!$G$7)),IF(AG386&lt;69,BMILMS!$D$9*AG386^3+BMILMS!$E$9*AG386^2+BMILMS!$F$9*AG386+BMILMS!$G$9,IF(AG386&lt;150,BMILMS!$D$10*AG386^3+BMILMS!$E$10*AG386^2+BMILMS!$F$10*AG386+BMILMS!$G$10,BMILMS!$D$11*AG386^3+BMILMS!$E$11*AG386^2+BMILMS!$F$11*AG386+BMILMS!$G$11)))</f>
        <v>0.79584630099999998</v>
      </c>
      <c r="AE386" s="24">
        <f>IF(D386="M",(IF(AG386&lt;2.5,BMILMS!$D$21*AG386^3+BMILMS!$E$21*AG386^2+BMILMS!$F$21*AG386+BMILMS!$G$21,IF(AG386&lt;9.5,BMILMS!$D$22*AG386^3+BMILMS!$E$22*AG386^2+BMILMS!$F$22*AG386+BMILMS!$G$22,IF(AG386&lt;26.75,BMILMS!$D$23*AG386^3+BMILMS!$E$23*AG386^2+BMILMS!$F$23*AG386+BMILMS!$G$23,IF(AG386&lt;90,BMILMS!$D$24*AG386^3+BMILMS!$E$24*AG386^2+BMILMS!$F$24*AG386+BMILMS!$G$24,BMILMS!$D$25*AG386^3+BMILMS!$E$25*AG386^2+BMILMS!$F$25*AG386+BMILMS!$G$25))))),(IF(AG386&lt;2.5,BMILMS!$D$27*AG386^3+BMILMS!$E$27*AG386^2+BMILMS!$F$27*AG386+BMILMS!$G$27,IF(AG386&lt;9.5,BMILMS!$D$28*AG386^3+BMILMS!$E$28*AG386^2+BMILMS!$F$28*AG386+BMILMS!$G$28,IF(AG386&lt;26.75,BMILMS!$D$29*AG386^3+BMILMS!$E$29*AG386^2+BMILMS!$F$29*AG386+BMILMS!$G$29,IF(AG386&lt;90,BMILMS!$D$30*AG386^3+BMILMS!$E$30*AG386^2+BMILMS!$F$30*AG386+BMILMS!$G$30,IF(AG386&lt;150,BMILMS!$D$31*AG386^3+BMILMS!$E$31*AG386^2+BMILMS!$F$31*AG386+BMILMS!$G$31,BMILMS!$D$32*AG386^3+BMILMS!$E$32*AG386^2+BMILMS!$F$32*AG386+BMILMS!$G$32)))))))</f>
        <v>12.568967990000001</v>
      </c>
      <c r="AF386" s="24">
        <f>IF(D386="M",(IF(AG386&lt;90,BMILMS!$D$14*AG386^3+BMILMS!$E$14*AG386^2+BMILMS!$F$14*AG386+BMILMS!$G$14,BMILMS!$D$15*AG386^3+BMILMS!$E$15*AG386^2+BMILMS!$F$15*AG386+BMILMS!$G$15)),(IF(AG386&lt;90,BMILMS!$D$17*AG386^3+BMILMS!$E$17*AG386^2+BMILMS!$F$17*AG386+BMILMS!$G$17,BMILMS!$D$18*AG386^3+BMILMS!$E$18*AG386^2+BMILMS!$F$18*AG386+BMILMS!$G$18)))</f>
        <v>8.8969350000000003E-2</v>
      </c>
      <c r="AG386" s="24">
        <f t="shared" si="96"/>
        <v>0</v>
      </c>
      <c r="AI386" s="38">
        <f>IF(D386="M",WeightSDS!P$5*$AG386^7+WeightSDS!Q$5*$AG386^6+WeightSDS!R$5*$AG386^5+WeightSDS!S$5*$AG386^4+WeightSDS!T$5*$AG386^3+WeightSDS!U$5*$AG386^2+WeightSDS!V$5*$AG386+WeightSDS!W$5,IF($AG386&lt;186,WeightSDS!P$8*$AG386^7+WeightSDS!Q$8*$AG386^6+WeightSDS!R$8*$AG386^5+WeightSDS!S$8*$AG386^4+WeightSDS!T$8*$AG386^3+WeightSDS!U$8*$AG386^2+WeightSDS!V$8*$AG386+WeightSDS!W$8,WeightSDS!$U$9-WeightSDS!$V$9*($AG386-WeightSDS!$W$9)))</f>
        <v>0.75407122999999998</v>
      </c>
      <c r="AJ386" s="24">
        <f>IF(D386="M",IF($AG386&lt;45,WeightSDS!M$23*$AG386^10+WeightSDS!N$23*$AG386^9+WeightSDS!O$23*$AG386^8+WeightSDS!P$23*$AG386^7+WeightSDS!Q$23*$AG386^6+WeightSDS!R$23*$AG386^5+WeightSDS!S$23*$AG386^4+WeightSDS!T$23*$AG386^3+WeightSDS!U$23*$AG386^2+WeightSDS!V$23*$AG386+WeightSDS!W$23,IF($AG386&lt;153,WeightSDS!M$25*$AG386^10+WeightSDS!N$25*$AG386^9+WeightSDS!O$25*$AG386^8+WeightSDS!P$25*$AG386^7+WeightSDS!Q$25*$AG386^6+WeightSDS!R$25*$AG386^5+WeightSDS!S$25*$AG386^4+WeightSDS!T$25*$AG386^3+WeightSDS!U$25*$AG386^2+WeightSDS!V$25*$AG386+WeightSDS!W$25,WeightSDS!M$27+WeightSDS!N$27/(1+EXP(WeightSDS!O$27+WeightSDS!P$27*$AG386)))),IF($AG386&lt;43.8,WeightSDS!M$29*$AG386^10+WeightSDS!N$29*$AG386^9+WeightSDS!O$29*$AG386^8+WeightSDS!P$29*$AG386^7+WeightSDS!Q$29*$AG386^6+WeightSDS!R$29*$AG386^5+WeightSDS!S$29*$AG386^4+WeightSDS!T$29*$AG386^3+WeightSDS!U$29*$AG386^2+WeightSDS!V$29*$AG386+WeightSDS!W$29-0.010431*(1-$AG386/210),IF($AG386&lt;123,WeightSDS!M$30*$AG386^10+WeightSDS!N$30*$AG386^9+WeightSDS!O$30*$AG386^8+WeightSDS!P$30*$AG386^7+WeightSDS!Q$30*$AG386^6+WeightSDS!R$30*$AG386^5+WeightSDS!S$30*$AG386^4+WeightSDS!T$30*$AG386^3+WeightSDS!U$30*$AG386^2+WeightSDS!V$30*$AG386+WeightSDS!W$30-0.010431*(1-1/$AG386),WeightSDS!M$32+WeightSDS!N$32/(1+EXP(WeightSDS!O$32+WeightSDS!P$32*$AG386))-0.010431*(1-$AG386/210))))</f>
        <v>2.9500001032655536</v>
      </c>
      <c r="AK386" s="24">
        <f>IF(D386="M",IF($AG386&lt;162,WeightSDS!P$12*$AG386^7+WeightSDS!Q$12*$AG386^6+WeightSDS!R$12*$AG386^5+WeightSDS!S$12*$AG386^4+WeightSDS!T$12*$AG386^3+WeightSDS!U$12*$AG386^2+WeightSDS!V$12*$AG386+WeightSDS!W$12,WeightSDS!P$14*$AG386^7+WeightSDS!Q$14*$AG386^6+WeightSDS!R$14*$AG386^5+WeightSDS!S$14*$AG386^4+WeightSDS!T$14*$AG386^3+WeightSDS!U$14*$AG386^2+WeightSDS!V$14*$AG386+WeightSDS!W$14),IF($AG386&lt;156,WeightSDS!O$17*$AG386^8+WeightSDS!P$17*$AG386^7+WeightSDS!Q$17*$AG386^6+WeightSDS!R$17*$AG386^5+WeightSDS!S$17*$AG386^4+WeightSDS!T$17*$AG386^3+WeightSDS!U$17*$AG386^2+WeightSDS!V$17*$AG386+WeightSDS!W$17,IF($AG386&lt;186,WeightSDS!$U$18+(WeightSDS!$V$18-WeightSDS!$U$18)/24*($AG386-186)+WeightSDS!$W$18*(-$AG386+186)^2-0.005,WeightSDS!$U$18+(WeightSDS!$V$18-WeightSDS!$U$18)/24*($AG386-186)-0.005)))</f>
        <v>0.14604529399999999</v>
      </c>
    </row>
    <row r="387" spans="1:37">
      <c r="A387" s="4"/>
      <c r="B387" s="21"/>
      <c r="C387" s="21"/>
      <c r="D387" s="21"/>
      <c r="E387" s="22"/>
      <c r="F387" s="22"/>
      <c r="G387" s="23"/>
      <c r="H387" s="23"/>
      <c r="I387" s="8" t="str">
        <f t="shared" ref="I387:I450" si="98">IF(COUNTA(D387,E387,F387,G387,H387)=5,IF(Q387&gt;17.583,"       *",(G387-(INDEX(IF(D387="F",Hfemalemean,Hmalemean),V387+1,U387+1)))/(INDEX(IF(D387="F",Hfemalesd,Hmalesd),V387+1,U387+1))),"")</f>
        <v/>
      </c>
      <c r="J387" s="2" t="str">
        <f t="shared" si="89"/>
        <v/>
      </c>
      <c r="K387" s="2" t="str">
        <f t="shared" ref="K387:K450" si="99">IF(COUNTA(D387,E387,F387,G387,H387)&lt;5,"",IF(Q387&lt;6,"       *",IF(Q387&gt;=17.583,"       *",(H387-G387*INDEX(IF(D387="F",muratafemale,muratamale),U387-4,1)-INDEX(IF(D387="F",muratafemale,muratamale),U387-4,2))/(G387*INDEX(IF(D387="F",muratafemale,muratamale),U387-4,1)+INDEX(IF(D387="F",muratafemale,muratamale),U387-4,2))*100)))</f>
        <v/>
      </c>
      <c r="L387" s="2" t="str">
        <f t="shared" si="90"/>
        <v/>
      </c>
      <c r="M387" s="2" t="str">
        <f t="shared" si="95"/>
        <v/>
      </c>
      <c r="N387" s="2" t="str">
        <f t="shared" si="91"/>
        <v/>
      </c>
      <c r="O387" s="8" t="str">
        <f t="shared" si="92"/>
        <v/>
      </c>
      <c r="P387" s="8" t="str">
        <f t="shared" si="93"/>
        <v/>
      </c>
      <c r="Q387" s="40" t="str">
        <f t="shared" ref="Q387:Q450" si="100">IF(COUNTA(D387,E387,F387,G387,H387)=5,W387,"")</f>
        <v/>
      </c>
      <c r="R387" s="48" t="str">
        <f t="shared" si="94"/>
        <v/>
      </c>
      <c r="S387" s="8"/>
      <c r="U387" s="35">
        <f t="shared" ref="U387:U450" si="101">DATEDIF(E387,F387,"Y")</f>
        <v>0</v>
      </c>
      <c r="V387" s="24">
        <f t="shared" ref="V387:V450" si="102">DATEDIF(E387,F387,"YM")</f>
        <v>0</v>
      </c>
      <c r="W387" s="41">
        <f t="shared" si="97"/>
        <v>0</v>
      </c>
      <c r="X387" s="31"/>
      <c r="Y387" s="31"/>
      <c r="Z387" s="31"/>
      <c r="AA387" s="25">
        <f t="shared" ref="AA387:AA450" si="103">IF(D387="M",2.06*10^-3*G387^2-0.1166*G387+6.5273,2.49*10^-3*G387^2-0.1858*G387+9.036)</f>
        <v>9.0359999999999996</v>
      </c>
      <c r="AB387" s="25">
        <f t="shared" ref="AB387:AB450" si="104">((G387/100)^3*INDEX(itoOI,IF(D387="M",0,3)+IF(G387&lt;140,1,IF(G387&lt;=149,2,3)),1)+(G387/100)^2*INDEX(itoOI,IF(D387="M",0,3)+IF(G387&lt;140,1,IF(G387&lt;=149,2,3)),2)+(G387/100)*INDEX(itoOI,IF(D387="M",0,3)+IF(G387&lt;140,1,IF(G387&lt;=149,2,3)),3)+INDEX(itoOI,IF(D387="M",0,3)+IF(G387&lt;140,1,IF(G387&lt;=149,2,3)),4))</f>
        <v>-184.49199999999999</v>
      </c>
      <c r="AD387" s="24">
        <f>IF(D387="M",IF(AG387&lt;78,BMILMS!$D$5*AG387^3+BMILMS!$E$5*AG387^2+BMILMS!$F$5*AG387+BMILMS!$G$5,IF(AG387&lt;150,BMILMS!$D$6*AG387^3+BMILMS!$E$6*AG387^2+BMILMS!$F$6*AG387+BMILMS!$G$6,BMILMS!$D$7*AG387^3+BMILMS!$E$7*AG387^2+BMILMS!$F$7*AG387+BMILMS!$G$7)),IF(AG387&lt;69,BMILMS!$D$9*AG387^3+BMILMS!$E$9*AG387^2+BMILMS!$F$9*AG387+BMILMS!$G$9,IF(AG387&lt;150,BMILMS!$D$10*AG387^3+BMILMS!$E$10*AG387^2+BMILMS!$F$10*AG387+BMILMS!$G$10,BMILMS!$D$11*AG387^3+BMILMS!$E$11*AG387^2+BMILMS!$F$11*AG387+BMILMS!$G$11)))</f>
        <v>0.79584630099999998</v>
      </c>
      <c r="AE387" s="24">
        <f>IF(D387="M",(IF(AG387&lt;2.5,BMILMS!$D$21*AG387^3+BMILMS!$E$21*AG387^2+BMILMS!$F$21*AG387+BMILMS!$G$21,IF(AG387&lt;9.5,BMILMS!$D$22*AG387^3+BMILMS!$E$22*AG387^2+BMILMS!$F$22*AG387+BMILMS!$G$22,IF(AG387&lt;26.75,BMILMS!$D$23*AG387^3+BMILMS!$E$23*AG387^2+BMILMS!$F$23*AG387+BMILMS!$G$23,IF(AG387&lt;90,BMILMS!$D$24*AG387^3+BMILMS!$E$24*AG387^2+BMILMS!$F$24*AG387+BMILMS!$G$24,BMILMS!$D$25*AG387^3+BMILMS!$E$25*AG387^2+BMILMS!$F$25*AG387+BMILMS!$G$25))))),(IF(AG387&lt;2.5,BMILMS!$D$27*AG387^3+BMILMS!$E$27*AG387^2+BMILMS!$F$27*AG387+BMILMS!$G$27,IF(AG387&lt;9.5,BMILMS!$D$28*AG387^3+BMILMS!$E$28*AG387^2+BMILMS!$F$28*AG387+BMILMS!$G$28,IF(AG387&lt;26.75,BMILMS!$D$29*AG387^3+BMILMS!$E$29*AG387^2+BMILMS!$F$29*AG387+BMILMS!$G$29,IF(AG387&lt;90,BMILMS!$D$30*AG387^3+BMILMS!$E$30*AG387^2+BMILMS!$F$30*AG387+BMILMS!$G$30,IF(AG387&lt;150,BMILMS!$D$31*AG387^3+BMILMS!$E$31*AG387^2+BMILMS!$F$31*AG387+BMILMS!$G$31,BMILMS!$D$32*AG387^3+BMILMS!$E$32*AG387^2+BMILMS!$F$32*AG387+BMILMS!$G$32)))))))</f>
        <v>12.568967990000001</v>
      </c>
      <c r="AF387" s="24">
        <f>IF(D387="M",(IF(AG387&lt;90,BMILMS!$D$14*AG387^3+BMILMS!$E$14*AG387^2+BMILMS!$F$14*AG387+BMILMS!$G$14,BMILMS!$D$15*AG387^3+BMILMS!$E$15*AG387^2+BMILMS!$F$15*AG387+BMILMS!$G$15)),(IF(AG387&lt;90,BMILMS!$D$17*AG387^3+BMILMS!$E$17*AG387^2+BMILMS!$F$17*AG387+BMILMS!$G$17,BMILMS!$D$18*AG387^3+BMILMS!$E$18*AG387^2+BMILMS!$F$18*AG387+BMILMS!$G$18)))</f>
        <v>8.8969350000000003E-2</v>
      </c>
      <c r="AG387" s="24">
        <f t="shared" si="96"/>
        <v>0</v>
      </c>
      <c r="AI387" s="38">
        <f>IF(D387="M",WeightSDS!P$5*$AG387^7+WeightSDS!Q$5*$AG387^6+WeightSDS!R$5*$AG387^5+WeightSDS!S$5*$AG387^4+WeightSDS!T$5*$AG387^3+WeightSDS!U$5*$AG387^2+WeightSDS!V$5*$AG387+WeightSDS!W$5,IF($AG387&lt;186,WeightSDS!P$8*$AG387^7+WeightSDS!Q$8*$AG387^6+WeightSDS!R$8*$AG387^5+WeightSDS!S$8*$AG387^4+WeightSDS!T$8*$AG387^3+WeightSDS!U$8*$AG387^2+WeightSDS!V$8*$AG387+WeightSDS!W$8,WeightSDS!$U$9-WeightSDS!$V$9*($AG387-WeightSDS!$W$9)))</f>
        <v>0.75407122999999998</v>
      </c>
      <c r="AJ387" s="24">
        <f>IF(D387="M",IF($AG387&lt;45,WeightSDS!M$23*$AG387^10+WeightSDS!N$23*$AG387^9+WeightSDS!O$23*$AG387^8+WeightSDS!P$23*$AG387^7+WeightSDS!Q$23*$AG387^6+WeightSDS!R$23*$AG387^5+WeightSDS!S$23*$AG387^4+WeightSDS!T$23*$AG387^3+WeightSDS!U$23*$AG387^2+WeightSDS!V$23*$AG387+WeightSDS!W$23,IF($AG387&lt;153,WeightSDS!M$25*$AG387^10+WeightSDS!N$25*$AG387^9+WeightSDS!O$25*$AG387^8+WeightSDS!P$25*$AG387^7+WeightSDS!Q$25*$AG387^6+WeightSDS!R$25*$AG387^5+WeightSDS!S$25*$AG387^4+WeightSDS!T$25*$AG387^3+WeightSDS!U$25*$AG387^2+WeightSDS!V$25*$AG387+WeightSDS!W$25,WeightSDS!M$27+WeightSDS!N$27/(1+EXP(WeightSDS!O$27+WeightSDS!P$27*$AG387)))),IF($AG387&lt;43.8,WeightSDS!M$29*$AG387^10+WeightSDS!N$29*$AG387^9+WeightSDS!O$29*$AG387^8+WeightSDS!P$29*$AG387^7+WeightSDS!Q$29*$AG387^6+WeightSDS!R$29*$AG387^5+WeightSDS!S$29*$AG387^4+WeightSDS!T$29*$AG387^3+WeightSDS!U$29*$AG387^2+WeightSDS!V$29*$AG387+WeightSDS!W$29-0.010431*(1-$AG387/210),IF($AG387&lt;123,WeightSDS!M$30*$AG387^10+WeightSDS!N$30*$AG387^9+WeightSDS!O$30*$AG387^8+WeightSDS!P$30*$AG387^7+WeightSDS!Q$30*$AG387^6+WeightSDS!R$30*$AG387^5+WeightSDS!S$30*$AG387^4+WeightSDS!T$30*$AG387^3+WeightSDS!U$30*$AG387^2+WeightSDS!V$30*$AG387+WeightSDS!W$30-0.010431*(1-1/$AG387),WeightSDS!M$32+WeightSDS!N$32/(1+EXP(WeightSDS!O$32+WeightSDS!P$32*$AG387))-0.010431*(1-$AG387/210))))</f>
        <v>2.9500001032655536</v>
      </c>
      <c r="AK387" s="24">
        <f>IF(D387="M",IF($AG387&lt;162,WeightSDS!P$12*$AG387^7+WeightSDS!Q$12*$AG387^6+WeightSDS!R$12*$AG387^5+WeightSDS!S$12*$AG387^4+WeightSDS!T$12*$AG387^3+WeightSDS!U$12*$AG387^2+WeightSDS!V$12*$AG387+WeightSDS!W$12,WeightSDS!P$14*$AG387^7+WeightSDS!Q$14*$AG387^6+WeightSDS!R$14*$AG387^5+WeightSDS!S$14*$AG387^4+WeightSDS!T$14*$AG387^3+WeightSDS!U$14*$AG387^2+WeightSDS!V$14*$AG387+WeightSDS!W$14),IF($AG387&lt;156,WeightSDS!O$17*$AG387^8+WeightSDS!P$17*$AG387^7+WeightSDS!Q$17*$AG387^6+WeightSDS!R$17*$AG387^5+WeightSDS!S$17*$AG387^4+WeightSDS!T$17*$AG387^3+WeightSDS!U$17*$AG387^2+WeightSDS!V$17*$AG387+WeightSDS!W$17,IF($AG387&lt;186,WeightSDS!$U$18+(WeightSDS!$V$18-WeightSDS!$U$18)/24*($AG387-186)+WeightSDS!$W$18*(-$AG387+186)^2-0.005,WeightSDS!$U$18+(WeightSDS!$V$18-WeightSDS!$U$18)/24*($AG387-186)-0.005)))</f>
        <v>0.14604529399999999</v>
      </c>
    </row>
    <row r="388" spans="1:37">
      <c r="A388" s="4"/>
      <c r="B388" s="21"/>
      <c r="C388" s="21"/>
      <c r="D388" s="21"/>
      <c r="E388" s="22"/>
      <c r="F388" s="22"/>
      <c r="G388" s="23"/>
      <c r="H388" s="23"/>
      <c r="I388" s="8" t="str">
        <f t="shared" si="98"/>
        <v/>
      </c>
      <c r="J388" s="2" t="str">
        <f t="shared" ref="J388:J451" si="105">IF(COUNTA(D388,E388,F388,G388,H388)=5,IF(Q388&lt;1,"       *",IF(Q388&gt;=6,"       *",IF(G388&gt;=120,"       *",IF(G388&lt;70,"       *",(H388-AA388)/AA388*100)))),"")</f>
        <v/>
      </c>
      <c r="K388" s="2" t="str">
        <f t="shared" si="99"/>
        <v/>
      </c>
      <c r="L388" s="2" t="str">
        <f t="shared" ref="L388:L451" si="106">IF(COUNTA(D388,E388,F388,G388,H388)=5,IF(G388&gt;=IF(D388="M",181,174),"*",IF(G388&lt;101,"       *",IF(Q388&lt;6,"       *",IF(Q388&gt;=17.583,"*",(H388-AB388)/AB388*100)))),"")</f>
        <v/>
      </c>
      <c r="M388" s="2" t="str">
        <f t="shared" si="95"/>
        <v/>
      </c>
      <c r="N388" s="2" t="str">
        <f t="shared" ref="N388:N451" si="107">IF(COUNTA(D388,E388,F388,G388,H388)=5,IF(Q388&gt;17.583,"   *",NORMSDIST(((M388/AE388)^(AD388)-1)/AD388/AF388)*100),"")</f>
        <v/>
      </c>
      <c r="O388" s="8" t="str">
        <f t="shared" ref="O388:O451" si="108">IF(COUNTA(D388,E388,F388,G388,H388)=5,IF(Q388&gt;17.583,"   *",((M388/AE388)^(AD388)-1)/AD388/AF388),"")</f>
        <v/>
      </c>
      <c r="P388" s="8" t="str">
        <f t="shared" ref="P388:P451" si="109">IF(COUNTA(D388,E388,F388,G388,H388)=5,IF(Q388&gt;17.583,"   *",((H388/AJ388)^(AI388)-1)/AI388/AK388),"")</f>
        <v/>
      </c>
      <c r="Q388" s="40" t="str">
        <f t="shared" si="100"/>
        <v/>
      </c>
      <c r="R388" s="48" t="str">
        <f t="shared" ref="R388:R451" si="110">IF(COUNTA(D388,E388,F388,G388,H388)=5,U388&amp;"歳"&amp;V388&amp;"か月","")</f>
        <v/>
      </c>
      <c r="S388" s="8"/>
      <c r="U388" s="35">
        <f t="shared" si="101"/>
        <v>0</v>
      </c>
      <c r="V388" s="24">
        <f t="shared" si="102"/>
        <v>0</v>
      </c>
      <c r="W388" s="41">
        <f t="shared" si="97"/>
        <v>0</v>
      </c>
      <c r="X388" s="31"/>
      <c r="Y388" s="31"/>
      <c r="Z388" s="31"/>
      <c r="AA388" s="25">
        <f t="shared" si="103"/>
        <v>9.0359999999999996</v>
      </c>
      <c r="AB388" s="25">
        <f t="shared" si="104"/>
        <v>-184.49199999999999</v>
      </c>
      <c r="AD388" s="24">
        <f>IF(D388="M",IF(AG388&lt;78,BMILMS!$D$5*AG388^3+BMILMS!$E$5*AG388^2+BMILMS!$F$5*AG388+BMILMS!$G$5,IF(AG388&lt;150,BMILMS!$D$6*AG388^3+BMILMS!$E$6*AG388^2+BMILMS!$F$6*AG388+BMILMS!$G$6,BMILMS!$D$7*AG388^3+BMILMS!$E$7*AG388^2+BMILMS!$F$7*AG388+BMILMS!$G$7)),IF(AG388&lt;69,BMILMS!$D$9*AG388^3+BMILMS!$E$9*AG388^2+BMILMS!$F$9*AG388+BMILMS!$G$9,IF(AG388&lt;150,BMILMS!$D$10*AG388^3+BMILMS!$E$10*AG388^2+BMILMS!$F$10*AG388+BMILMS!$G$10,BMILMS!$D$11*AG388^3+BMILMS!$E$11*AG388^2+BMILMS!$F$11*AG388+BMILMS!$G$11)))</f>
        <v>0.79584630099999998</v>
      </c>
      <c r="AE388" s="24">
        <f>IF(D388="M",(IF(AG388&lt;2.5,BMILMS!$D$21*AG388^3+BMILMS!$E$21*AG388^2+BMILMS!$F$21*AG388+BMILMS!$G$21,IF(AG388&lt;9.5,BMILMS!$D$22*AG388^3+BMILMS!$E$22*AG388^2+BMILMS!$F$22*AG388+BMILMS!$G$22,IF(AG388&lt;26.75,BMILMS!$D$23*AG388^3+BMILMS!$E$23*AG388^2+BMILMS!$F$23*AG388+BMILMS!$G$23,IF(AG388&lt;90,BMILMS!$D$24*AG388^3+BMILMS!$E$24*AG388^2+BMILMS!$F$24*AG388+BMILMS!$G$24,BMILMS!$D$25*AG388^3+BMILMS!$E$25*AG388^2+BMILMS!$F$25*AG388+BMILMS!$G$25))))),(IF(AG388&lt;2.5,BMILMS!$D$27*AG388^3+BMILMS!$E$27*AG388^2+BMILMS!$F$27*AG388+BMILMS!$G$27,IF(AG388&lt;9.5,BMILMS!$D$28*AG388^3+BMILMS!$E$28*AG388^2+BMILMS!$F$28*AG388+BMILMS!$G$28,IF(AG388&lt;26.75,BMILMS!$D$29*AG388^3+BMILMS!$E$29*AG388^2+BMILMS!$F$29*AG388+BMILMS!$G$29,IF(AG388&lt;90,BMILMS!$D$30*AG388^3+BMILMS!$E$30*AG388^2+BMILMS!$F$30*AG388+BMILMS!$G$30,IF(AG388&lt;150,BMILMS!$D$31*AG388^3+BMILMS!$E$31*AG388^2+BMILMS!$F$31*AG388+BMILMS!$G$31,BMILMS!$D$32*AG388^3+BMILMS!$E$32*AG388^2+BMILMS!$F$32*AG388+BMILMS!$G$32)))))))</f>
        <v>12.568967990000001</v>
      </c>
      <c r="AF388" s="24">
        <f>IF(D388="M",(IF(AG388&lt;90,BMILMS!$D$14*AG388^3+BMILMS!$E$14*AG388^2+BMILMS!$F$14*AG388+BMILMS!$G$14,BMILMS!$D$15*AG388^3+BMILMS!$E$15*AG388^2+BMILMS!$F$15*AG388+BMILMS!$G$15)),(IF(AG388&lt;90,BMILMS!$D$17*AG388^3+BMILMS!$E$17*AG388^2+BMILMS!$F$17*AG388+BMILMS!$G$17,BMILMS!$D$18*AG388^3+BMILMS!$E$18*AG388^2+BMILMS!$F$18*AG388+BMILMS!$G$18)))</f>
        <v>8.8969350000000003E-2</v>
      </c>
      <c r="AG388" s="24">
        <f t="shared" si="96"/>
        <v>0</v>
      </c>
      <c r="AI388" s="38">
        <f>IF(D388="M",WeightSDS!P$5*$AG388^7+WeightSDS!Q$5*$AG388^6+WeightSDS!R$5*$AG388^5+WeightSDS!S$5*$AG388^4+WeightSDS!T$5*$AG388^3+WeightSDS!U$5*$AG388^2+WeightSDS!V$5*$AG388+WeightSDS!W$5,IF($AG388&lt;186,WeightSDS!P$8*$AG388^7+WeightSDS!Q$8*$AG388^6+WeightSDS!R$8*$AG388^5+WeightSDS!S$8*$AG388^4+WeightSDS!T$8*$AG388^3+WeightSDS!U$8*$AG388^2+WeightSDS!V$8*$AG388+WeightSDS!W$8,WeightSDS!$U$9-WeightSDS!$V$9*($AG388-WeightSDS!$W$9)))</f>
        <v>0.75407122999999998</v>
      </c>
      <c r="AJ388" s="24">
        <f>IF(D388="M",IF($AG388&lt;45,WeightSDS!M$23*$AG388^10+WeightSDS!N$23*$AG388^9+WeightSDS!O$23*$AG388^8+WeightSDS!P$23*$AG388^7+WeightSDS!Q$23*$AG388^6+WeightSDS!R$23*$AG388^5+WeightSDS!S$23*$AG388^4+WeightSDS!T$23*$AG388^3+WeightSDS!U$23*$AG388^2+WeightSDS!V$23*$AG388+WeightSDS!W$23,IF($AG388&lt;153,WeightSDS!M$25*$AG388^10+WeightSDS!N$25*$AG388^9+WeightSDS!O$25*$AG388^8+WeightSDS!P$25*$AG388^7+WeightSDS!Q$25*$AG388^6+WeightSDS!R$25*$AG388^5+WeightSDS!S$25*$AG388^4+WeightSDS!T$25*$AG388^3+WeightSDS!U$25*$AG388^2+WeightSDS!V$25*$AG388+WeightSDS!W$25,WeightSDS!M$27+WeightSDS!N$27/(1+EXP(WeightSDS!O$27+WeightSDS!P$27*$AG388)))),IF($AG388&lt;43.8,WeightSDS!M$29*$AG388^10+WeightSDS!N$29*$AG388^9+WeightSDS!O$29*$AG388^8+WeightSDS!P$29*$AG388^7+WeightSDS!Q$29*$AG388^6+WeightSDS!R$29*$AG388^5+WeightSDS!S$29*$AG388^4+WeightSDS!T$29*$AG388^3+WeightSDS!U$29*$AG388^2+WeightSDS!V$29*$AG388+WeightSDS!W$29-0.010431*(1-$AG388/210),IF($AG388&lt;123,WeightSDS!M$30*$AG388^10+WeightSDS!N$30*$AG388^9+WeightSDS!O$30*$AG388^8+WeightSDS!P$30*$AG388^7+WeightSDS!Q$30*$AG388^6+WeightSDS!R$30*$AG388^5+WeightSDS!S$30*$AG388^4+WeightSDS!T$30*$AG388^3+WeightSDS!U$30*$AG388^2+WeightSDS!V$30*$AG388+WeightSDS!W$30-0.010431*(1-1/$AG388),WeightSDS!M$32+WeightSDS!N$32/(1+EXP(WeightSDS!O$32+WeightSDS!P$32*$AG388))-0.010431*(1-$AG388/210))))</f>
        <v>2.9500001032655536</v>
      </c>
      <c r="AK388" s="24">
        <f>IF(D388="M",IF($AG388&lt;162,WeightSDS!P$12*$AG388^7+WeightSDS!Q$12*$AG388^6+WeightSDS!R$12*$AG388^5+WeightSDS!S$12*$AG388^4+WeightSDS!T$12*$AG388^3+WeightSDS!U$12*$AG388^2+WeightSDS!V$12*$AG388+WeightSDS!W$12,WeightSDS!P$14*$AG388^7+WeightSDS!Q$14*$AG388^6+WeightSDS!R$14*$AG388^5+WeightSDS!S$14*$AG388^4+WeightSDS!T$14*$AG388^3+WeightSDS!U$14*$AG388^2+WeightSDS!V$14*$AG388+WeightSDS!W$14),IF($AG388&lt;156,WeightSDS!O$17*$AG388^8+WeightSDS!P$17*$AG388^7+WeightSDS!Q$17*$AG388^6+WeightSDS!R$17*$AG388^5+WeightSDS!S$17*$AG388^4+WeightSDS!T$17*$AG388^3+WeightSDS!U$17*$AG388^2+WeightSDS!V$17*$AG388+WeightSDS!W$17,IF($AG388&lt;186,WeightSDS!$U$18+(WeightSDS!$V$18-WeightSDS!$U$18)/24*($AG388-186)+WeightSDS!$W$18*(-$AG388+186)^2-0.005,WeightSDS!$U$18+(WeightSDS!$V$18-WeightSDS!$U$18)/24*($AG388-186)-0.005)))</f>
        <v>0.14604529399999999</v>
      </c>
    </row>
    <row r="389" spans="1:37">
      <c r="A389" s="4"/>
      <c r="B389" s="21"/>
      <c r="C389" s="21"/>
      <c r="D389" s="21"/>
      <c r="E389" s="22"/>
      <c r="F389" s="22"/>
      <c r="G389" s="23"/>
      <c r="H389" s="23"/>
      <c r="I389" s="8" t="str">
        <f t="shared" si="98"/>
        <v/>
      </c>
      <c r="J389" s="2" t="str">
        <f t="shared" si="105"/>
        <v/>
      </c>
      <c r="K389" s="2" t="str">
        <f t="shared" si="99"/>
        <v/>
      </c>
      <c r="L389" s="2" t="str">
        <f t="shared" si="106"/>
        <v/>
      </c>
      <c r="M389" s="2" t="str">
        <f t="shared" si="95"/>
        <v/>
      </c>
      <c r="N389" s="2" t="str">
        <f t="shared" si="107"/>
        <v/>
      </c>
      <c r="O389" s="8" t="str">
        <f t="shared" si="108"/>
        <v/>
      </c>
      <c r="P389" s="8" t="str">
        <f t="shared" si="109"/>
        <v/>
      </c>
      <c r="Q389" s="40" t="str">
        <f t="shared" si="100"/>
        <v/>
      </c>
      <c r="R389" s="48" t="str">
        <f t="shared" si="110"/>
        <v/>
      </c>
      <c r="S389" s="8"/>
      <c r="U389" s="35">
        <f t="shared" si="101"/>
        <v>0</v>
      </c>
      <c r="V389" s="24">
        <f t="shared" si="102"/>
        <v>0</v>
      </c>
      <c r="W389" s="41">
        <f t="shared" si="97"/>
        <v>0</v>
      </c>
      <c r="X389" s="31"/>
      <c r="Y389" s="31"/>
      <c r="Z389" s="31"/>
      <c r="AA389" s="25">
        <f t="shared" si="103"/>
        <v>9.0359999999999996</v>
      </c>
      <c r="AB389" s="25">
        <f t="shared" si="104"/>
        <v>-184.49199999999999</v>
      </c>
      <c r="AD389" s="24">
        <f>IF(D389="M",IF(AG389&lt;78,BMILMS!$D$5*AG389^3+BMILMS!$E$5*AG389^2+BMILMS!$F$5*AG389+BMILMS!$G$5,IF(AG389&lt;150,BMILMS!$D$6*AG389^3+BMILMS!$E$6*AG389^2+BMILMS!$F$6*AG389+BMILMS!$G$6,BMILMS!$D$7*AG389^3+BMILMS!$E$7*AG389^2+BMILMS!$F$7*AG389+BMILMS!$G$7)),IF(AG389&lt;69,BMILMS!$D$9*AG389^3+BMILMS!$E$9*AG389^2+BMILMS!$F$9*AG389+BMILMS!$G$9,IF(AG389&lt;150,BMILMS!$D$10*AG389^3+BMILMS!$E$10*AG389^2+BMILMS!$F$10*AG389+BMILMS!$G$10,BMILMS!$D$11*AG389^3+BMILMS!$E$11*AG389^2+BMILMS!$F$11*AG389+BMILMS!$G$11)))</f>
        <v>0.79584630099999998</v>
      </c>
      <c r="AE389" s="24">
        <f>IF(D389="M",(IF(AG389&lt;2.5,BMILMS!$D$21*AG389^3+BMILMS!$E$21*AG389^2+BMILMS!$F$21*AG389+BMILMS!$G$21,IF(AG389&lt;9.5,BMILMS!$D$22*AG389^3+BMILMS!$E$22*AG389^2+BMILMS!$F$22*AG389+BMILMS!$G$22,IF(AG389&lt;26.75,BMILMS!$D$23*AG389^3+BMILMS!$E$23*AG389^2+BMILMS!$F$23*AG389+BMILMS!$G$23,IF(AG389&lt;90,BMILMS!$D$24*AG389^3+BMILMS!$E$24*AG389^2+BMILMS!$F$24*AG389+BMILMS!$G$24,BMILMS!$D$25*AG389^3+BMILMS!$E$25*AG389^2+BMILMS!$F$25*AG389+BMILMS!$G$25))))),(IF(AG389&lt;2.5,BMILMS!$D$27*AG389^3+BMILMS!$E$27*AG389^2+BMILMS!$F$27*AG389+BMILMS!$G$27,IF(AG389&lt;9.5,BMILMS!$D$28*AG389^3+BMILMS!$E$28*AG389^2+BMILMS!$F$28*AG389+BMILMS!$G$28,IF(AG389&lt;26.75,BMILMS!$D$29*AG389^3+BMILMS!$E$29*AG389^2+BMILMS!$F$29*AG389+BMILMS!$G$29,IF(AG389&lt;90,BMILMS!$D$30*AG389^3+BMILMS!$E$30*AG389^2+BMILMS!$F$30*AG389+BMILMS!$G$30,IF(AG389&lt;150,BMILMS!$D$31*AG389^3+BMILMS!$E$31*AG389^2+BMILMS!$F$31*AG389+BMILMS!$G$31,BMILMS!$D$32*AG389^3+BMILMS!$E$32*AG389^2+BMILMS!$F$32*AG389+BMILMS!$G$32)))))))</f>
        <v>12.568967990000001</v>
      </c>
      <c r="AF389" s="24">
        <f>IF(D389="M",(IF(AG389&lt;90,BMILMS!$D$14*AG389^3+BMILMS!$E$14*AG389^2+BMILMS!$F$14*AG389+BMILMS!$G$14,BMILMS!$D$15*AG389^3+BMILMS!$E$15*AG389^2+BMILMS!$F$15*AG389+BMILMS!$G$15)),(IF(AG389&lt;90,BMILMS!$D$17*AG389^3+BMILMS!$E$17*AG389^2+BMILMS!$F$17*AG389+BMILMS!$G$17,BMILMS!$D$18*AG389^3+BMILMS!$E$18*AG389^2+BMILMS!$F$18*AG389+BMILMS!$G$18)))</f>
        <v>8.8969350000000003E-2</v>
      </c>
      <c r="AG389" s="24">
        <f t="shared" si="96"/>
        <v>0</v>
      </c>
      <c r="AI389" s="38">
        <f>IF(D389="M",WeightSDS!P$5*$AG389^7+WeightSDS!Q$5*$AG389^6+WeightSDS!R$5*$AG389^5+WeightSDS!S$5*$AG389^4+WeightSDS!T$5*$AG389^3+WeightSDS!U$5*$AG389^2+WeightSDS!V$5*$AG389+WeightSDS!W$5,IF($AG389&lt;186,WeightSDS!P$8*$AG389^7+WeightSDS!Q$8*$AG389^6+WeightSDS!R$8*$AG389^5+WeightSDS!S$8*$AG389^4+WeightSDS!T$8*$AG389^3+WeightSDS!U$8*$AG389^2+WeightSDS!V$8*$AG389+WeightSDS!W$8,WeightSDS!$U$9-WeightSDS!$V$9*($AG389-WeightSDS!$W$9)))</f>
        <v>0.75407122999999998</v>
      </c>
      <c r="AJ389" s="24">
        <f>IF(D389="M",IF($AG389&lt;45,WeightSDS!M$23*$AG389^10+WeightSDS!N$23*$AG389^9+WeightSDS!O$23*$AG389^8+WeightSDS!P$23*$AG389^7+WeightSDS!Q$23*$AG389^6+WeightSDS!R$23*$AG389^5+WeightSDS!S$23*$AG389^4+WeightSDS!T$23*$AG389^3+WeightSDS!U$23*$AG389^2+WeightSDS!V$23*$AG389+WeightSDS!W$23,IF($AG389&lt;153,WeightSDS!M$25*$AG389^10+WeightSDS!N$25*$AG389^9+WeightSDS!O$25*$AG389^8+WeightSDS!P$25*$AG389^7+WeightSDS!Q$25*$AG389^6+WeightSDS!R$25*$AG389^5+WeightSDS!S$25*$AG389^4+WeightSDS!T$25*$AG389^3+WeightSDS!U$25*$AG389^2+WeightSDS!V$25*$AG389+WeightSDS!W$25,WeightSDS!M$27+WeightSDS!N$27/(1+EXP(WeightSDS!O$27+WeightSDS!P$27*$AG389)))),IF($AG389&lt;43.8,WeightSDS!M$29*$AG389^10+WeightSDS!N$29*$AG389^9+WeightSDS!O$29*$AG389^8+WeightSDS!P$29*$AG389^7+WeightSDS!Q$29*$AG389^6+WeightSDS!R$29*$AG389^5+WeightSDS!S$29*$AG389^4+WeightSDS!T$29*$AG389^3+WeightSDS!U$29*$AG389^2+WeightSDS!V$29*$AG389+WeightSDS!W$29-0.010431*(1-$AG389/210),IF($AG389&lt;123,WeightSDS!M$30*$AG389^10+WeightSDS!N$30*$AG389^9+WeightSDS!O$30*$AG389^8+WeightSDS!P$30*$AG389^7+WeightSDS!Q$30*$AG389^6+WeightSDS!R$30*$AG389^5+WeightSDS!S$30*$AG389^4+WeightSDS!T$30*$AG389^3+WeightSDS!U$30*$AG389^2+WeightSDS!V$30*$AG389+WeightSDS!W$30-0.010431*(1-1/$AG389),WeightSDS!M$32+WeightSDS!N$32/(1+EXP(WeightSDS!O$32+WeightSDS!P$32*$AG389))-0.010431*(1-$AG389/210))))</f>
        <v>2.9500001032655536</v>
      </c>
      <c r="AK389" s="24">
        <f>IF(D389="M",IF($AG389&lt;162,WeightSDS!P$12*$AG389^7+WeightSDS!Q$12*$AG389^6+WeightSDS!R$12*$AG389^5+WeightSDS!S$12*$AG389^4+WeightSDS!T$12*$AG389^3+WeightSDS!U$12*$AG389^2+WeightSDS!V$12*$AG389+WeightSDS!W$12,WeightSDS!P$14*$AG389^7+WeightSDS!Q$14*$AG389^6+WeightSDS!R$14*$AG389^5+WeightSDS!S$14*$AG389^4+WeightSDS!T$14*$AG389^3+WeightSDS!U$14*$AG389^2+WeightSDS!V$14*$AG389+WeightSDS!W$14),IF($AG389&lt;156,WeightSDS!O$17*$AG389^8+WeightSDS!P$17*$AG389^7+WeightSDS!Q$17*$AG389^6+WeightSDS!R$17*$AG389^5+WeightSDS!S$17*$AG389^4+WeightSDS!T$17*$AG389^3+WeightSDS!U$17*$AG389^2+WeightSDS!V$17*$AG389+WeightSDS!W$17,IF($AG389&lt;186,WeightSDS!$U$18+(WeightSDS!$V$18-WeightSDS!$U$18)/24*($AG389-186)+WeightSDS!$W$18*(-$AG389+186)^2-0.005,WeightSDS!$U$18+(WeightSDS!$V$18-WeightSDS!$U$18)/24*($AG389-186)-0.005)))</f>
        <v>0.14604529399999999</v>
      </c>
    </row>
    <row r="390" spans="1:37">
      <c r="A390" s="4"/>
      <c r="B390" s="21"/>
      <c r="C390" s="21"/>
      <c r="D390" s="21"/>
      <c r="E390" s="22"/>
      <c r="F390" s="22"/>
      <c r="G390" s="23"/>
      <c r="H390" s="23"/>
      <c r="I390" s="8" t="str">
        <f t="shared" si="98"/>
        <v/>
      </c>
      <c r="J390" s="2" t="str">
        <f t="shared" si="105"/>
        <v/>
      </c>
      <c r="K390" s="2" t="str">
        <f t="shared" si="99"/>
        <v/>
      </c>
      <c r="L390" s="2" t="str">
        <f t="shared" si="106"/>
        <v/>
      </c>
      <c r="M390" s="2" t="str">
        <f t="shared" si="95"/>
        <v/>
      </c>
      <c r="N390" s="2" t="str">
        <f t="shared" si="107"/>
        <v/>
      </c>
      <c r="O390" s="8" t="str">
        <f t="shared" si="108"/>
        <v/>
      </c>
      <c r="P390" s="8" t="str">
        <f t="shared" si="109"/>
        <v/>
      </c>
      <c r="Q390" s="40" t="str">
        <f t="shared" si="100"/>
        <v/>
      </c>
      <c r="R390" s="48" t="str">
        <f t="shared" si="110"/>
        <v/>
      </c>
      <c r="S390" s="8"/>
      <c r="U390" s="35">
        <f t="shared" si="101"/>
        <v>0</v>
      </c>
      <c r="V390" s="24">
        <f t="shared" si="102"/>
        <v>0</v>
      </c>
      <c r="W390" s="41">
        <f t="shared" si="97"/>
        <v>0</v>
      </c>
      <c r="X390" s="31"/>
      <c r="Y390" s="31"/>
      <c r="Z390" s="31"/>
      <c r="AA390" s="25">
        <f t="shared" si="103"/>
        <v>9.0359999999999996</v>
      </c>
      <c r="AB390" s="25">
        <f t="shared" si="104"/>
        <v>-184.49199999999999</v>
      </c>
      <c r="AD390" s="24">
        <f>IF(D390="M",IF(AG390&lt;78,BMILMS!$D$5*AG390^3+BMILMS!$E$5*AG390^2+BMILMS!$F$5*AG390+BMILMS!$G$5,IF(AG390&lt;150,BMILMS!$D$6*AG390^3+BMILMS!$E$6*AG390^2+BMILMS!$F$6*AG390+BMILMS!$G$6,BMILMS!$D$7*AG390^3+BMILMS!$E$7*AG390^2+BMILMS!$F$7*AG390+BMILMS!$G$7)),IF(AG390&lt;69,BMILMS!$D$9*AG390^3+BMILMS!$E$9*AG390^2+BMILMS!$F$9*AG390+BMILMS!$G$9,IF(AG390&lt;150,BMILMS!$D$10*AG390^3+BMILMS!$E$10*AG390^2+BMILMS!$F$10*AG390+BMILMS!$G$10,BMILMS!$D$11*AG390^3+BMILMS!$E$11*AG390^2+BMILMS!$F$11*AG390+BMILMS!$G$11)))</f>
        <v>0.79584630099999998</v>
      </c>
      <c r="AE390" s="24">
        <f>IF(D390="M",(IF(AG390&lt;2.5,BMILMS!$D$21*AG390^3+BMILMS!$E$21*AG390^2+BMILMS!$F$21*AG390+BMILMS!$G$21,IF(AG390&lt;9.5,BMILMS!$D$22*AG390^3+BMILMS!$E$22*AG390^2+BMILMS!$F$22*AG390+BMILMS!$G$22,IF(AG390&lt;26.75,BMILMS!$D$23*AG390^3+BMILMS!$E$23*AG390^2+BMILMS!$F$23*AG390+BMILMS!$G$23,IF(AG390&lt;90,BMILMS!$D$24*AG390^3+BMILMS!$E$24*AG390^2+BMILMS!$F$24*AG390+BMILMS!$G$24,BMILMS!$D$25*AG390^3+BMILMS!$E$25*AG390^2+BMILMS!$F$25*AG390+BMILMS!$G$25))))),(IF(AG390&lt;2.5,BMILMS!$D$27*AG390^3+BMILMS!$E$27*AG390^2+BMILMS!$F$27*AG390+BMILMS!$G$27,IF(AG390&lt;9.5,BMILMS!$D$28*AG390^3+BMILMS!$E$28*AG390^2+BMILMS!$F$28*AG390+BMILMS!$G$28,IF(AG390&lt;26.75,BMILMS!$D$29*AG390^3+BMILMS!$E$29*AG390^2+BMILMS!$F$29*AG390+BMILMS!$G$29,IF(AG390&lt;90,BMILMS!$D$30*AG390^3+BMILMS!$E$30*AG390^2+BMILMS!$F$30*AG390+BMILMS!$G$30,IF(AG390&lt;150,BMILMS!$D$31*AG390^3+BMILMS!$E$31*AG390^2+BMILMS!$F$31*AG390+BMILMS!$G$31,BMILMS!$D$32*AG390^3+BMILMS!$E$32*AG390^2+BMILMS!$F$32*AG390+BMILMS!$G$32)))))))</f>
        <v>12.568967990000001</v>
      </c>
      <c r="AF390" s="24">
        <f>IF(D390="M",(IF(AG390&lt;90,BMILMS!$D$14*AG390^3+BMILMS!$E$14*AG390^2+BMILMS!$F$14*AG390+BMILMS!$G$14,BMILMS!$D$15*AG390^3+BMILMS!$E$15*AG390^2+BMILMS!$F$15*AG390+BMILMS!$G$15)),(IF(AG390&lt;90,BMILMS!$D$17*AG390^3+BMILMS!$E$17*AG390^2+BMILMS!$F$17*AG390+BMILMS!$G$17,BMILMS!$D$18*AG390^3+BMILMS!$E$18*AG390^2+BMILMS!$F$18*AG390+BMILMS!$G$18)))</f>
        <v>8.8969350000000003E-2</v>
      </c>
      <c r="AG390" s="24">
        <f t="shared" si="96"/>
        <v>0</v>
      </c>
      <c r="AI390" s="38">
        <f>IF(D390="M",WeightSDS!P$5*$AG390^7+WeightSDS!Q$5*$AG390^6+WeightSDS!R$5*$AG390^5+WeightSDS!S$5*$AG390^4+WeightSDS!T$5*$AG390^3+WeightSDS!U$5*$AG390^2+WeightSDS!V$5*$AG390+WeightSDS!W$5,IF($AG390&lt;186,WeightSDS!P$8*$AG390^7+WeightSDS!Q$8*$AG390^6+WeightSDS!R$8*$AG390^5+WeightSDS!S$8*$AG390^4+WeightSDS!T$8*$AG390^3+WeightSDS!U$8*$AG390^2+WeightSDS!V$8*$AG390+WeightSDS!W$8,WeightSDS!$U$9-WeightSDS!$V$9*($AG390-WeightSDS!$W$9)))</f>
        <v>0.75407122999999998</v>
      </c>
      <c r="AJ390" s="24">
        <f>IF(D390="M",IF($AG390&lt;45,WeightSDS!M$23*$AG390^10+WeightSDS!N$23*$AG390^9+WeightSDS!O$23*$AG390^8+WeightSDS!P$23*$AG390^7+WeightSDS!Q$23*$AG390^6+WeightSDS!R$23*$AG390^5+WeightSDS!S$23*$AG390^4+WeightSDS!T$23*$AG390^3+WeightSDS!U$23*$AG390^2+WeightSDS!V$23*$AG390+WeightSDS!W$23,IF($AG390&lt;153,WeightSDS!M$25*$AG390^10+WeightSDS!N$25*$AG390^9+WeightSDS!O$25*$AG390^8+WeightSDS!P$25*$AG390^7+WeightSDS!Q$25*$AG390^6+WeightSDS!R$25*$AG390^5+WeightSDS!S$25*$AG390^4+WeightSDS!T$25*$AG390^3+WeightSDS!U$25*$AG390^2+WeightSDS!V$25*$AG390+WeightSDS!W$25,WeightSDS!M$27+WeightSDS!N$27/(1+EXP(WeightSDS!O$27+WeightSDS!P$27*$AG390)))),IF($AG390&lt;43.8,WeightSDS!M$29*$AG390^10+WeightSDS!N$29*$AG390^9+WeightSDS!O$29*$AG390^8+WeightSDS!P$29*$AG390^7+WeightSDS!Q$29*$AG390^6+WeightSDS!R$29*$AG390^5+WeightSDS!S$29*$AG390^4+WeightSDS!T$29*$AG390^3+WeightSDS!U$29*$AG390^2+WeightSDS!V$29*$AG390+WeightSDS!W$29-0.010431*(1-$AG390/210),IF($AG390&lt;123,WeightSDS!M$30*$AG390^10+WeightSDS!N$30*$AG390^9+WeightSDS!O$30*$AG390^8+WeightSDS!P$30*$AG390^7+WeightSDS!Q$30*$AG390^6+WeightSDS!R$30*$AG390^5+WeightSDS!S$30*$AG390^4+WeightSDS!T$30*$AG390^3+WeightSDS!U$30*$AG390^2+WeightSDS!V$30*$AG390+WeightSDS!W$30-0.010431*(1-1/$AG390),WeightSDS!M$32+WeightSDS!N$32/(1+EXP(WeightSDS!O$32+WeightSDS!P$32*$AG390))-0.010431*(1-$AG390/210))))</f>
        <v>2.9500001032655536</v>
      </c>
      <c r="AK390" s="24">
        <f>IF(D390="M",IF($AG390&lt;162,WeightSDS!P$12*$AG390^7+WeightSDS!Q$12*$AG390^6+WeightSDS!R$12*$AG390^5+WeightSDS!S$12*$AG390^4+WeightSDS!T$12*$AG390^3+WeightSDS!U$12*$AG390^2+WeightSDS!V$12*$AG390+WeightSDS!W$12,WeightSDS!P$14*$AG390^7+WeightSDS!Q$14*$AG390^6+WeightSDS!R$14*$AG390^5+WeightSDS!S$14*$AG390^4+WeightSDS!T$14*$AG390^3+WeightSDS!U$14*$AG390^2+WeightSDS!V$14*$AG390+WeightSDS!W$14),IF($AG390&lt;156,WeightSDS!O$17*$AG390^8+WeightSDS!P$17*$AG390^7+WeightSDS!Q$17*$AG390^6+WeightSDS!R$17*$AG390^5+WeightSDS!S$17*$AG390^4+WeightSDS!T$17*$AG390^3+WeightSDS!U$17*$AG390^2+WeightSDS!V$17*$AG390+WeightSDS!W$17,IF($AG390&lt;186,WeightSDS!$U$18+(WeightSDS!$V$18-WeightSDS!$U$18)/24*($AG390-186)+WeightSDS!$W$18*(-$AG390+186)^2-0.005,WeightSDS!$U$18+(WeightSDS!$V$18-WeightSDS!$U$18)/24*($AG390-186)-0.005)))</f>
        <v>0.14604529399999999</v>
      </c>
    </row>
    <row r="391" spans="1:37">
      <c r="A391" s="4"/>
      <c r="B391" s="21"/>
      <c r="C391" s="21"/>
      <c r="D391" s="21"/>
      <c r="E391" s="22"/>
      <c r="F391" s="22"/>
      <c r="G391" s="23"/>
      <c r="H391" s="23"/>
      <c r="I391" s="8" t="str">
        <f t="shared" si="98"/>
        <v/>
      </c>
      <c r="J391" s="2" t="str">
        <f t="shared" si="105"/>
        <v/>
      </c>
      <c r="K391" s="2" t="str">
        <f t="shared" si="99"/>
        <v/>
      </c>
      <c r="L391" s="2" t="str">
        <f t="shared" si="106"/>
        <v/>
      </c>
      <c r="M391" s="2" t="str">
        <f t="shared" si="95"/>
        <v/>
      </c>
      <c r="N391" s="2" t="str">
        <f t="shared" si="107"/>
        <v/>
      </c>
      <c r="O391" s="8" t="str">
        <f t="shared" si="108"/>
        <v/>
      </c>
      <c r="P391" s="8" t="str">
        <f t="shared" si="109"/>
        <v/>
      </c>
      <c r="Q391" s="40" t="str">
        <f t="shared" si="100"/>
        <v/>
      </c>
      <c r="R391" s="48" t="str">
        <f t="shared" si="110"/>
        <v/>
      </c>
      <c r="S391" s="8"/>
      <c r="U391" s="35">
        <f t="shared" si="101"/>
        <v>0</v>
      </c>
      <c r="V391" s="24">
        <f t="shared" si="102"/>
        <v>0</v>
      </c>
      <c r="W391" s="41">
        <f t="shared" si="97"/>
        <v>0</v>
      </c>
      <c r="X391" s="31"/>
      <c r="Y391" s="31"/>
      <c r="Z391" s="31"/>
      <c r="AA391" s="25">
        <f t="shared" si="103"/>
        <v>9.0359999999999996</v>
      </c>
      <c r="AB391" s="25">
        <f t="shared" si="104"/>
        <v>-184.49199999999999</v>
      </c>
      <c r="AD391" s="24">
        <f>IF(D391="M",IF(AG391&lt;78,BMILMS!$D$5*AG391^3+BMILMS!$E$5*AG391^2+BMILMS!$F$5*AG391+BMILMS!$G$5,IF(AG391&lt;150,BMILMS!$D$6*AG391^3+BMILMS!$E$6*AG391^2+BMILMS!$F$6*AG391+BMILMS!$G$6,BMILMS!$D$7*AG391^3+BMILMS!$E$7*AG391^2+BMILMS!$F$7*AG391+BMILMS!$G$7)),IF(AG391&lt;69,BMILMS!$D$9*AG391^3+BMILMS!$E$9*AG391^2+BMILMS!$F$9*AG391+BMILMS!$G$9,IF(AG391&lt;150,BMILMS!$D$10*AG391^3+BMILMS!$E$10*AG391^2+BMILMS!$F$10*AG391+BMILMS!$G$10,BMILMS!$D$11*AG391^3+BMILMS!$E$11*AG391^2+BMILMS!$F$11*AG391+BMILMS!$G$11)))</f>
        <v>0.79584630099999998</v>
      </c>
      <c r="AE391" s="24">
        <f>IF(D391="M",(IF(AG391&lt;2.5,BMILMS!$D$21*AG391^3+BMILMS!$E$21*AG391^2+BMILMS!$F$21*AG391+BMILMS!$G$21,IF(AG391&lt;9.5,BMILMS!$D$22*AG391^3+BMILMS!$E$22*AG391^2+BMILMS!$F$22*AG391+BMILMS!$G$22,IF(AG391&lt;26.75,BMILMS!$D$23*AG391^3+BMILMS!$E$23*AG391^2+BMILMS!$F$23*AG391+BMILMS!$G$23,IF(AG391&lt;90,BMILMS!$D$24*AG391^3+BMILMS!$E$24*AG391^2+BMILMS!$F$24*AG391+BMILMS!$G$24,BMILMS!$D$25*AG391^3+BMILMS!$E$25*AG391^2+BMILMS!$F$25*AG391+BMILMS!$G$25))))),(IF(AG391&lt;2.5,BMILMS!$D$27*AG391^3+BMILMS!$E$27*AG391^2+BMILMS!$F$27*AG391+BMILMS!$G$27,IF(AG391&lt;9.5,BMILMS!$D$28*AG391^3+BMILMS!$E$28*AG391^2+BMILMS!$F$28*AG391+BMILMS!$G$28,IF(AG391&lt;26.75,BMILMS!$D$29*AG391^3+BMILMS!$E$29*AG391^2+BMILMS!$F$29*AG391+BMILMS!$G$29,IF(AG391&lt;90,BMILMS!$D$30*AG391^3+BMILMS!$E$30*AG391^2+BMILMS!$F$30*AG391+BMILMS!$G$30,IF(AG391&lt;150,BMILMS!$D$31*AG391^3+BMILMS!$E$31*AG391^2+BMILMS!$F$31*AG391+BMILMS!$G$31,BMILMS!$D$32*AG391^3+BMILMS!$E$32*AG391^2+BMILMS!$F$32*AG391+BMILMS!$G$32)))))))</f>
        <v>12.568967990000001</v>
      </c>
      <c r="AF391" s="24">
        <f>IF(D391="M",(IF(AG391&lt;90,BMILMS!$D$14*AG391^3+BMILMS!$E$14*AG391^2+BMILMS!$F$14*AG391+BMILMS!$G$14,BMILMS!$D$15*AG391^3+BMILMS!$E$15*AG391^2+BMILMS!$F$15*AG391+BMILMS!$G$15)),(IF(AG391&lt;90,BMILMS!$D$17*AG391^3+BMILMS!$E$17*AG391^2+BMILMS!$F$17*AG391+BMILMS!$G$17,BMILMS!$D$18*AG391^3+BMILMS!$E$18*AG391^2+BMILMS!$F$18*AG391+BMILMS!$G$18)))</f>
        <v>8.8969350000000003E-2</v>
      </c>
      <c r="AG391" s="24">
        <f t="shared" si="96"/>
        <v>0</v>
      </c>
      <c r="AI391" s="38">
        <f>IF(D391="M",WeightSDS!P$5*$AG391^7+WeightSDS!Q$5*$AG391^6+WeightSDS!R$5*$AG391^5+WeightSDS!S$5*$AG391^4+WeightSDS!T$5*$AG391^3+WeightSDS!U$5*$AG391^2+WeightSDS!V$5*$AG391+WeightSDS!W$5,IF($AG391&lt;186,WeightSDS!P$8*$AG391^7+WeightSDS!Q$8*$AG391^6+WeightSDS!R$8*$AG391^5+WeightSDS!S$8*$AG391^4+WeightSDS!T$8*$AG391^3+WeightSDS!U$8*$AG391^2+WeightSDS!V$8*$AG391+WeightSDS!W$8,WeightSDS!$U$9-WeightSDS!$V$9*($AG391-WeightSDS!$W$9)))</f>
        <v>0.75407122999999998</v>
      </c>
      <c r="AJ391" s="24">
        <f>IF(D391="M",IF($AG391&lt;45,WeightSDS!M$23*$AG391^10+WeightSDS!N$23*$AG391^9+WeightSDS!O$23*$AG391^8+WeightSDS!P$23*$AG391^7+WeightSDS!Q$23*$AG391^6+WeightSDS!R$23*$AG391^5+WeightSDS!S$23*$AG391^4+WeightSDS!T$23*$AG391^3+WeightSDS!U$23*$AG391^2+WeightSDS!V$23*$AG391+WeightSDS!W$23,IF($AG391&lt;153,WeightSDS!M$25*$AG391^10+WeightSDS!N$25*$AG391^9+WeightSDS!O$25*$AG391^8+WeightSDS!P$25*$AG391^7+WeightSDS!Q$25*$AG391^6+WeightSDS!R$25*$AG391^5+WeightSDS!S$25*$AG391^4+WeightSDS!T$25*$AG391^3+WeightSDS!U$25*$AG391^2+WeightSDS!V$25*$AG391+WeightSDS!W$25,WeightSDS!M$27+WeightSDS!N$27/(1+EXP(WeightSDS!O$27+WeightSDS!P$27*$AG391)))),IF($AG391&lt;43.8,WeightSDS!M$29*$AG391^10+WeightSDS!N$29*$AG391^9+WeightSDS!O$29*$AG391^8+WeightSDS!P$29*$AG391^7+WeightSDS!Q$29*$AG391^6+WeightSDS!R$29*$AG391^5+WeightSDS!S$29*$AG391^4+WeightSDS!T$29*$AG391^3+WeightSDS!U$29*$AG391^2+WeightSDS!V$29*$AG391+WeightSDS!W$29-0.010431*(1-$AG391/210),IF($AG391&lt;123,WeightSDS!M$30*$AG391^10+WeightSDS!N$30*$AG391^9+WeightSDS!O$30*$AG391^8+WeightSDS!P$30*$AG391^7+WeightSDS!Q$30*$AG391^6+WeightSDS!R$30*$AG391^5+WeightSDS!S$30*$AG391^4+WeightSDS!T$30*$AG391^3+WeightSDS!U$30*$AG391^2+WeightSDS!V$30*$AG391+WeightSDS!W$30-0.010431*(1-1/$AG391),WeightSDS!M$32+WeightSDS!N$32/(1+EXP(WeightSDS!O$32+WeightSDS!P$32*$AG391))-0.010431*(1-$AG391/210))))</f>
        <v>2.9500001032655536</v>
      </c>
      <c r="AK391" s="24">
        <f>IF(D391="M",IF($AG391&lt;162,WeightSDS!P$12*$AG391^7+WeightSDS!Q$12*$AG391^6+WeightSDS!R$12*$AG391^5+WeightSDS!S$12*$AG391^4+WeightSDS!T$12*$AG391^3+WeightSDS!U$12*$AG391^2+WeightSDS!V$12*$AG391+WeightSDS!W$12,WeightSDS!P$14*$AG391^7+WeightSDS!Q$14*$AG391^6+WeightSDS!R$14*$AG391^5+WeightSDS!S$14*$AG391^4+WeightSDS!T$14*$AG391^3+WeightSDS!U$14*$AG391^2+WeightSDS!V$14*$AG391+WeightSDS!W$14),IF($AG391&lt;156,WeightSDS!O$17*$AG391^8+WeightSDS!P$17*$AG391^7+WeightSDS!Q$17*$AG391^6+WeightSDS!R$17*$AG391^5+WeightSDS!S$17*$AG391^4+WeightSDS!T$17*$AG391^3+WeightSDS!U$17*$AG391^2+WeightSDS!V$17*$AG391+WeightSDS!W$17,IF($AG391&lt;186,WeightSDS!$U$18+(WeightSDS!$V$18-WeightSDS!$U$18)/24*($AG391-186)+WeightSDS!$W$18*(-$AG391+186)^2-0.005,WeightSDS!$U$18+(WeightSDS!$V$18-WeightSDS!$U$18)/24*($AG391-186)-0.005)))</f>
        <v>0.14604529399999999</v>
      </c>
    </row>
    <row r="392" spans="1:37">
      <c r="A392" s="4"/>
      <c r="B392" s="21"/>
      <c r="C392" s="21"/>
      <c r="D392" s="21"/>
      <c r="E392" s="22"/>
      <c r="F392" s="22"/>
      <c r="G392" s="23"/>
      <c r="H392" s="23"/>
      <c r="I392" s="8" t="str">
        <f t="shared" si="98"/>
        <v/>
      </c>
      <c r="J392" s="2" t="str">
        <f t="shared" si="105"/>
        <v/>
      </c>
      <c r="K392" s="2" t="str">
        <f t="shared" si="99"/>
        <v/>
      </c>
      <c r="L392" s="2" t="str">
        <f t="shared" si="106"/>
        <v/>
      </c>
      <c r="M392" s="2" t="str">
        <f t="shared" ref="M392:M455" si="111">IF(COUNTA(D392,E392,F392,G392,H392)=5,H392/G392^2*10000,"")</f>
        <v/>
      </c>
      <c r="N392" s="2" t="str">
        <f t="shared" si="107"/>
        <v/>
      </c>
      <c r="O392" s="8" t="str">
        <f t="shared" si="108"/>
        <v/>
      </c>
      <c r="P392" s="8" t="str">
        <f t="shared" si="109"/>
        <v/>
      </c>
      <c r="Q392" s="40" t="str">
        <f t="shared" si="100"/>
        <v/>
      </c>
      <c r="R392" s="48" t="str">
        <f t="shared" si="110"/>
        <v/>
      </c>
      <c r="S392" s="8"/>
      <c r="U392" s="35">
        <f t="shared" si="101"/>
        <v>0</v>
      </c>
      <c r="V392" s="24">
        <f t="shared" si="102"/>
        <v>0</v>
      </c>
      <c r="W392" s="41">
        <f t="shared" si="97"/>
        <v>0</v>
      </c>
      <c r="X392" s="31"/>
      <c r="Y392" s="31"/>
      <c r="Z392" s="31"/>
      <c r="AA392" s="25">
        <f t="shared" si="103"/>
        <v>9.0359999999999996</v>
      </c>
      <c r="AB392" s="25">
        <f t="shared" si="104"/>
        <v>-184.49199999999999</v>
      </c>
      <c r="AD392" s="24">
        <f>IF(D392="M",IF(AG392&lt;78,BMILMS!$D$5*AG392^3+BMILMS!$E$5*AG392^2+BMILMS!$F$5*AG392+BMILMS!$G$5,IF(AG392&lt;150,BMILMS!$D$6*AG392^3+BMILMS!$E$6*AG392^2+BMILMS!$F$6*AG392+BMILMS!$G$6,BMILMS!$D$7*AG392^3+BMILMS!$E$7*AG392^2+BMILMS!$F$7*AG392+BMILMS!$G$7)),IF(AG392&lt;69,BMILMS!$D$9*AG392^3+BMILMS!$E$9*AG392^2+BMILMS!$F$9*AG392+BMILMS!$G$9,IF(AG392&lt;150,BMILMS!$D$10*AG392^3+BMILMS!$E$10*AG392^2+BMILMS!$F$10*AG392+BMILMS!$G$10,BMILMS!$D$11*AG392^3+BMILMS!$E$11*AG392^2+BMILMS!$F$11*AG392+BMILMS!$G$11)))</f>
        <v>0.79584630099999998</v>
      </c>
      <c r="AE392" s="24">
        <f>IF(D392="M",(IF(AG392&lt;2.5,BMILMS!$D$21*AG392^3+BMILMS!$E$21*AG392^2+BMILMS!$F$21*AG392+BMILMS!$G$21,IF(AG392&lt;9.5,BMILMS!$D$22*AG392^3+BMILMS!$E$22*AG392^2+BMILMS!$F$22*AG392+BMILMS!$G$22,IF(AG392&lt;26.75,BMILMS!$D$23*AG392^3+BMILMS!$E$23*AG392^2+BMILMS!$F$23*AG392+BMILMS!$G$23,IF(AG392&lt;90,BMILMS!$D$24*AG392^3+BMILMS!$E$24*AG392^2+BMILMS!$F$24*AG392+BMILMS!$G$24,BMILMS!$D$25*AG392^3+BMILMS!$E$25*AG392^2+BMILMS!$F$25*AG392+BMILMS!$G$25))))),(IF(AG392&lt;2.5,BMILMS!$D$27*AG392^3+BMILMS!$E$27*AG392^2+BMILMS!$F$27*AG392+BMILMS!$G$27,IF(AG392&lt;9.5,BMILMS!$D$28*AG392^3+BMILMS!$E$28*AG392^2+BMILMS!$F$28*AG392+BMILMS!$G$28,IF(AG392&lt;26.75,BMILMS!$D$29*AG392^3+BMILMS!$E$29*AG392^2+BMILMS!$F$29*AG392+BMILMS!$G$29,IF(AG392&lt;90,BMILMS!$D$30*AG392^3+BMILMS!$E$30*AG392^2+BMILMS!$F$30*AG392+BMILMS!$G$30,IF(AG392&lt;150,BMILMS!$D$31*AG392^3+BMILMS!$E$31*AG392^2+BMILMS!$F$31*AG392+BMILMS!$G$31,BMILMS!$D$32*AG392^3+BMILMS!$E$32*AG392^2+BMILMS!$F$32*AG392+BMILMS!$G$32)))))))</f>
        <v>12.568967990000001</v>
      </c>
      <c r="AF392" s="24">
        <f>IF(D392="M",(IF(AG392&lt;90,BMILMS!$D$14*AG392^3+BMILMS!$E$14*AG392^2+BMILMS!$F$14*AG392+BMILMS!$G$14,BMILMS!$D$15*AG392^3+BMILMS!$E$15*AG392^2+BMILMS!$F$15*AG392+BMILMS!$G$15)),(IF(AG392&lt;90,BMILMS!$D$17*AG392^3+BMILMS!$E$17*AG392^2+BMILMS!$F$17*AG392+BMILMS!$G$17,BMILMS!$D$18*AG392^3+BMILMS!$E$18*AG392^2+BMILMS!$F$18*AG392+BMILMS!$G$18)))</f>
        <v>8.8969350000000003E-2</v>
      </c>
      <c r="AG392" s="24">
        <f t="shared" ref="AG392:AG455" si="112">U392*12+V392</f>
        <v>0</v>
      </c>
      <c r="AI392" s="38">
        <f>IF(D392="M",WeightSDS!P$5*$AG392^7+WeightSDS!Q$5*$AG392^6+WeightSDS!R$5*$AG392^5+WeightSDS!S$5*$AG392^4+WeightSDS!T$5*$AG392^3+WeightSDS!U$5*$AG392^2+WeightSDS!V$5*$AG392+WeightSDS!W$5,IF($AG392&lt;186,WeightSDS!P$8*$AG392^7+WeightSDS!Q$8*$AG392^6+WeightSDS!R$8*$AG392^5+WeightSDS!S$8*$AG392^4+WeightSDS!T$8*$AG392^3+WeightSDS!U$8*$AG392^2+WeightSDS!V$8*$AG392+WeightSDS!W$8,WeightSDS!$U$9-WeightSDS!$V$9*($AG392-WeightSDS!$W$9)))</f>
        <v>0.75407122999999998</v>
      </c>
      <c r="AJ392" s="24">
        <f>IF(D392="M",IF($AG392&lt;45,WeightSDS!M$23*$AG392^10+WeightSDS!N$23*$AG392^9+WeightSDS!O$23*$AG392^8+WeightSDS!P$23*$AG392^7+WeightSDS!Q$23*$AG392^6+WeightSDS!R$23*$AG392^5+WeightSDS!S$23*$AG392^4+WeightSDS!T$23*$AG392^3+WeightSDS!U$23*$AG392^2+WeightSDS!V$23*$AG392+WeightSDS!W$23,IF($AG392&lt;153,WeightSDS!M$25*$AG392^10+WeightSDS!N$25*$AG392^9+WeightSDS!O$25*$AG392^8+WeightSDS!P$25*$AG392^7+WeightSDS!Q$25*$AG392^6+WeightSDS!R$25*$AG392^5+WeightSDS!S$25*$AG392^4+WeightSDS!T$25*$AG392^3+WeightSDS!U$25*$AG392^2+WeightSDS!V$25*$AG392+WeightSDS!W$25,WeightSDS!M$27+WeightSDS!N$27/(1+EXP(WeightSDS!O$27+WeightSDS!P$27*$AG392)))),IF($AG392&lt;43.8,WeightSDS!M$29*$AG392^10+WeightSDS!N$29*$AG392^9+WeightSDS!O$29*$AG392^8+WeightSDS!P$29*$AG392^7+WeightSDS!Q$29*$AG392^6+WeightSDS!R$29*$AG392^5+WeightSDS!S$29*$AG392^4+WeightSDS!T$29*$AG392^3+WeightSDS!U$29*$AG392^2+WeightSDS!V$29*$AG392+WeightSDS!W$29-0.010431*(1-$AG392/210),IF($AG392&lt;123,WeightSDS!M$30*$AG392^10+WeightSDS!N$30*$AG392^9+WeightSDS!O$30*$AG392^8+WeightSDS!P$30*$AG392^7+WeightSDS!Q$30*$AG392^6+WeightSDS!R$30*$AG392^5+WeightSDS!S$30*$AG392^4+WeightSDS!T$30*$AG392^3+WeightSDS!U$30*$AG392^2+WeightSDS!V$30*$AG392+WeightSDS!W$30-0.010431*(1-1/$AG392),WeightSDS!M$32+WeightSDS!N$32/(1+EXP(WeightSDS!O$32+WeightSDS!P$32*$AG392))-0.010431*(1-$AG392/210))))</f>
        <v>2.9500001032655536</v>
      </c>
      <c r="AK392" s="24">
        <f>IF(D392="M",IF($AG392&lt;162,WeightSDS!P$12*$AG392^7+WeightSDS!Q$12*$AG392^6+WeightSDS!R$12*$AG392^5+WeightSDS!S$12*$AG392^4+WeightSDS!T$12*$AG392^3+WeightSDS!U$12*$AG392^2+WeightSDS!V$12*$AG392+WeightSDS!W$12,WeightSDS!P$14*$AG392^7+WeightSDS!Q$14*$AG392^6+WeightSDS!R$14*$AG392^5+WeightSDS!S$14*$AG392^4+WeightSDS!T$14*$AG392^3+WeightSDS!U$14*$AG392^2+WeightSDS!V$14*$AG392+WeightSDS!W$14),IF($AG392&lt;156,WeightSDS!O$17*$AG392^8+WeightSDS!P$17*$AG392^7+WeightSDS!Q$17*$AG392^6+WeightSDS!R$17*$AG392^5+WeightSDS!S$17*$AG392^4+WeightSDS!T$17*$AG392^3+WeightSDS!U$17*$AG392^2+WeightSDS!V$17*$AG392+WeightSDS!W$17,IF($AG392&lt;186,WeightSDS!$U$18+(WeightSDS!$V$18-WeightSDS!$U$18)/24*($AG392-186)+WeightSDS!$W$18*(-$AG392+186)^2-0.005,WeightSDS!$U$18+(WeightSDS!$V$18-WeightSDS!$U$18)/24*($AG392-186)-0.005)))</f>
        <v>0.14604529399999999</v>
      </c>
    </row>
    <row r="393" spans="1:37">
      <c r="A393" s="4"/>
      <c r="B393" s="21"/>
      <c r="C393" s="21"/>
      <c r="D393" s="21"/>
      <c r="E393" s="22"/>
      <c r="F393" s="22"/>
      <c r="G393" s="23"/>
      <c r="H393" s="23"/>
      <c r="I393" s="8" t="str">
        <f t="shared" si="98"/>
        <v/>
      </c>
      <c r="J393" s="2" t="str">
        <f t="shared" si="105"/>
        <v/>
      </c>
      <c r="K393" s="2" t="str">
        <f t="shared" si="99"/>
        <v/>
      </c>
      <c r="L393" s="2" t="str">
        <f t="shared" si="106"/>
        <v/>
      </c>
      <c r="M393" s="2" t="str">
        <f t="shared" si="111"/>
        <v/>
      </c>
      <c r="N393" s="2" t="str">
        <f t="shared" si="107"/>
        <v/>
      </c>
      <c r="O393" s="8" t="str">
        <f t="shared" si="108"/>
        <v/>
      </c>
      <c r="P393" s="8" t="str">
        <f t="shared" si="109"/>
        <v/>
      </c>
      <c r="Q393" s="40" t="str">
        <f t="shared" si="100"/>
        <v/>
      </c>
      <c r="R393" s="48" t="str">
        <f t="shared" si="110"/>
        <v/>
      </c>
      <c r="S393" s="8"/>
      <c r="U393" s="35">
        <f t="shared" si="101"/>
        <v>0</v>
      </c>
      <c r="V393" s="24">
        <f t="shared" si="102"/>
        <v>0</v>
      </c>
      <c r="W393" s="41">
        <f t="shared" si="97"/>
        <v>0</v>
      </c>
      <c r="X393" s="31"/>
      <c r="Y393" s="31"/>
      <c r="Z393" s="31"/>
      <c r="AA393" s="25">
        <f t="shared" si="103"/>
        <v>9.0359999999999996</v>
      </c>
      <c r="AB393" s="25">
        <f t="shared" si="104"/>
        <v>-184.49199999999999</v>
      </c>
      <c r="AD393" s="24">
        <f>IF(D393="M",IF(AG393&lt;78,BMILMS!$D$5*AG393^3+BMILMS!$E$5*AG393^2+BMILMS!$F$5*AG393+BMILMS!$G$5,IF(AG393&lt;150,BMILMS!$D$6*AG393^3+BMILMS!$E$6*AG393^2+BMILMS!$F$6*AG393+BMILMS!$G$6,BMILMS!$D$7*AG393^3+BMILMS!$E$7*AG393^2+BMILMS!$F$7*AG393+BMILMS!$G$7)),IF(AG393&lt;69,BMILMS!$D$9*AG393^3+BMILMS!$E$9*AG393^2+BMILMS!$F$9*AG393+BMILMS!$G$9,IF(AG393&lt;150,BMILMS!$D$10*AG393^3+BMILMS!$E$10*AG393^2+BMILMS!$F$10*AG393+BMILMS!$G$10,BMILMS!$D$11*AG393^3+BMILMS!$E$11*AG393^2+BMILMS!$F$11*AG393+BMILMS!$G$11)))</f>
        <v>0.79584630099999998</v>
      </c>
      <c r="AE393" s="24">
        <f>IF(D393="M",(IF(AG393&lt;2.5,BMILMS!$D$21*AG393^3+BMILMS!$E$21*AG393^2+BMILMS!$F$21*AG393+BMILMS!$G$21,IF(AG393&lt;9.5,BMILMS!$D$22*AG393^3+BMILMS!$E$22*AG393^2+BMILMS!$F$22*AG393+BMILMS!$G$22,IF(AG393&lt;26.75,BMILMS!$D$23*AG393^3+BMILMS!$E$23*AG393^2+BMILMS!$F$23*AG393+BMILMS!$G$23,IF(AG393&lt;90,BMILMS!$D$24*AG393^3+BMILMS!$E$24*AG393^2+BMILMS!$F$24*AG393+BMILMS!$G$24,BMILMS!$D$25*AG393^3+BMILMS!$E$25*AG393^2+BMILMS!$F$25*AG393+BMILMS!$G$25))))),(IF(AG393&lt;2.5,BMILMS!$D$27*AG393^3+BMILMS!$E$27*AG393^2+BMILMS!$F$27*AG393+BMILMS!$G$27,IF(AG393&lt;9.5,BMILMS!$D$28*AG393^3+BMILMS!$E$28*AG393^2+BMILMS!$F$28*AG393+BMILMS!$G$28,IF(AG393&lt;26.75,BMILMS!$D$29*AG393^3+BMILMS!$E$29*AG393^2+BMILMS!$F$29*AG393+BMILMS!$G$29,IF(AG393&lt;90,BMILMS!$D$30*AG393^3+BMILMS!$E$30*AG393^2+BMILMS!$F$30*AG393+BMILMS!$G$30,IF(AG393&lt;150,BMILMS!$D$31*AG393^3+BMILMS!$E$31*AG393^2+BMILMS!$F$31*AG393+BMILMS!$G$31,BMILMS!$D$32*AG393^3+BMILMS!$E$32*AG393^2+BMILMS!$F$32*AG393+BMILMS!$G$32)))))))</f>
        <v>12.568967990000001</v>
      </c>
      <c r="AF393" s="24">
        <f>IF(D393="M",(IF(AG393&lt;90,BMILMS!$D$14*AG393^3+BMILMS!$E$14*AG393^2+BMILMS!$F$14*AG393+BMILMS!$G$14,BMILMS!$D$15*AG393^3+BMILMS!$E$15*AG393^2+BMILMS!$F$15*AG393+BMILMS!$G$15)),(IF(AG393&lt;90,BMILMS!$D$17*AG393^3+BMILMS!$E$17*AG393^2+BMILMS!$F$17*AG393+BMILMS!$G$17,BMILMS!$D$18*AG393^3+BMILMS!$E$18*AG393^2+BMILMS!$F$18*AG393+BMILMS!$G$18)))</f>
        <v>8.8969350000000003E-2</v>
      </c>
      <c r="AG393" s="24">
        <f t="shared" si="112"/>
        <v>0</v>
      </c>
      <c r="AI393" s="38">
        <f>IF(D393="M",WeightSDS!P$5*$AG393^7+WeightSDS!Q$5*$AG393^6+WeightSDS!R$5*$AG393^5+WeightSDS!S$5*$AG393^4+WeightSDS!T$5*$AG393^3+WeightSDS!U$5*$AG393^2+WeightSDS!V$5*$AG393+WeightSDS!W$5,IF($AG393&lt;186,WeightSDS!P$8*$AG393^7+WeightSDS!Q$8*$AG393^6+WeightSDS!R$8*$AG393^5+WeightSDS!S$8*$AG393^4+WeightSDS!T$8*$AG393^3+WeightSDS!U$8*$AG393^2+WeightSDS!V$8*$AG393+WeightSDS!W$8,WeightSDS!$U$9-WeightSDS!$V$9*($AG393-WeightSDS!$W$9)))</f>
        <v>0.75407122999999998</v>
      </c>
      <c r="AJ393" s="24">
        <f>IF(D393="M",IF($AG393&lt;45,WeightSDS!M$23*$AG393^10+WeightSDS!N$23*$AG393^9+WeightSDS!O$23*$AG393^8+WeightSDS!P$23*$AG393^7+WeightSDS!Q$23*$AG393^6+WeightSDS!R$23*$AG393^5+WeightSDS!S$23*$AG393^4+WeightSDS!T$23*$AG393^3+WeightSDS!U$23*$AG393^2+WeightSDS!V$23*$AG393+WeightSDS!W$23,IF($AG393&lt;153,WeightSDS!M$25*$AG393^10+WeightSDS!N$25*$AG393^9+WeightSDS!O$25*$AG393^8+WeightSDS!P$25*$AG393^7+WeightSDS!Q$25*$AG393^6+WeightSDS!R$25*$AG393^5+WeightSDS!S$25*$AG393^4+WeightSDS!T$25*$AG393^3+WeightSDS!U$25*$AG393^2+WeightSDS!V$25*$AG393+WeightSDS!W$25,WeightSDS!M$27+WeightSDS!N$27/(1+EXP(WeightSDS!O$27+WeightSDS!P$27*$AG393)))),IF($AG393&lt;43.8,WeightSDS!M$29*$AG393^10+WeightSDS!N$29*$AG393^9+WeightSDS!O$29*$AG393^8+WeightSDS!P$29*$AG393^7+WeightSDS!Q$29*$AG393^6+WeightSDS!R$29*$AG393^5+WeightSDS!S$29*$AG393^4+WeightSDS!T$29*$AG393^3+WeightSDS!U$29*$AG393^2+WeightSDS!V$29*$AG393+WeightSDS!W$29-0.010431*(1-$AG393/210),IF($AG393&lt;123,WeightSDS!M$30*$AG393^10+WeightSDS!N$30*$AG393^9+WeightSDS!O$30*$AG393^8+WeightSDS!P$30*$AG393^7+WeightSDS!Q$30*$AG393^6+WeightSDS!R$30*$AG393^5+WeightSDS!S$30*$AG393^4+WeightSDS!T$30*$AG393^3+WeightSDS!U$30*$AG393^2+WeightSDS!V$30*$AG393+WeightSDS!W$30-0.010431*(1-1/$AG393),WeightSDS!M$32+WeightSDS!N$32/(1+EXP(WeightSDS!O$32+WeightSDS!P$32*$AG393))-0.010431*(1-$AG393/210))))</f>
        <v>2.9500001032655536</v>
      </c>
      <c r="AK393" s="24">
        <f>IF(D393="M",IF($AG393&lt;162,WeightSDS!P$12*$AG393^7+WeightSDS!Q$12*$AG393^6+WeightSDS!R$12*$AG393^5+WeightSDS!S$12*$AG393^4+WeightSDS!T$12*$AG393^3+WeightSDS!U$12*$AG393^2+WeightSDS!V$12*$AG393+WeightSDS!W$12,WeightSDS!P$14*$AG393^7+WeightSDS!Q$14*$AG393^6+WeightSDS!R$14*$AG393^5+WeightSDS!S$14*$AG393^4+WeightSDS!T$14*$AG393^3+WeightSDS!U$14*$AG393^2+WeightSDS!V$14*$AG393+WeightSDS!W$14),IF($AG393&lt;156,WeightSDS!O$17*$AG393^8+WeightSDS!P$17*$AG393^7+WeightSDS!Q$17*$AG393^6+WeightSDS!R$17*$AG393^5+WeightSDS!S$17*$AG393^4+WeightSDS!T$17*$AG393^3+WeightSDS!U$17*$AG393^2+WeightSDS!V$17*$AG393+WeightSDS!W$17,IF($AG393&lt;186,WeightSDS!$U$18+(WeightSDS!$V$18-WeightSDS!$U$18)/24*($AG393-186)+WeightSDS!$W$18*(-$AG393+186)^2-0.005,WeightSDS!$U$18+(WeightSDS!$V$18-WeightSDS!$U$18)/24*($AG393-186)-0.005)))</f>
        <v>0.14604529399999999</v>
      </c>
    </row>
    <row r="394" spans="1:37">
      <c r="A394" s="4"/>
      <c r="B394" s="21"/>
      <c r="C394" s="21"/>
      <c r="D394" s="21"/>
      <c r="E394" s="22"/>
      <c r="F394" s="22"/>
      <c r="G394" s="23"/>
      <c r="H394" s="23"/>
      <c r="I394" s="8" t="str">
        <f t="shared" si="98"/>
        <v/>
      </c>
      <c r="J394" s="2" t="str">
        <f t="shared" si="105"/>
        <v/>
      </c>
      <c r="K394" s="2" t="str">
        <f t="shared" si="99"/>
        <v/>
      </c>
      <c r="L394" s="2" t="str">
        <f t="shared" si="106"/>
        <v/>
      </c>
      <c r="M394" s="2" t="str">
        <f t="shared" si="111"/>
        <v/>
      </c>
      <c r="N394" s="2" t="str">
        <f t="shared" si="107"/>
        <v/>
      </c>
      <c r="O394" s="8" t="str">
        <f t="shared" si="108"/>
        <v/>
      </c>
      <c r="P394" s="8" t="str">
        <f t="shared" si="109"/>
        <v/>
      </c>
      <c r="Q394" s="40" t="str">
        <f t="shared" si="100"/>
        <v/>
      </c>
      <c r="R394" s="48" t="str">
        <f t="shared" si="110"/>
        <v/>
      </c>
      <c r="S394" s="8"/>
      <c r="U394" s="35">
        <f t="shared" si="101"/>
        <v>0</v>
      </c>
      <c r="V394" s="24">
        <f t="shared" si="102"/>
        <v>0</v>
      </c>
      <c r="W394" s="41">
        <f t="shared" si="97"/>
        <v>0</v>
      </c>
      <c r="X394" s="31"/>
      <c r="Y394" s="31"/>
      <c r="Z394" s="31"/>
      <c r="AA394" s="25">
        <f t="shared" si="103"/>
        <v>9.0359999999999996</v>
      </c>
      <c r="AB394" s="25">
        <f t="shared" si="104"/>
        <v>-184.49199999999999</v>
      </c>
      <c r="AD394" s="24">
        <f>IF(D394="M",IF(AG394&lt;78,BMILMS!$D$5*AG394^3+BMILMS!$E$5*AG394^2+BMILMS!$F$5*AG394+BMILMS!$G$5,IF(AG394&lt;150,BMILMS!$D$6*AG394^3+BMILMS!$E$6*AG394^2+BMILMS!$F$6*AG394+BMILMS!$G$6,BMILMS!$D$7*AG394^3+BMILMS!$E$7*AG394^2+BMILMS!$F$7*AG394+BMILMS!$G$7)),IF(AG394&lt;69,BMILMS!$D$9*AG394^3+BMILMS!$E$9*AG394^2+BMILMS!$F$9*AG394+BMILMS!$G$9,IF(AG394&lt;150,BMILMS!$D$10*AG394^3+BMILMS!$E$10*AG394^2+BMILMS!$F$10*AG394+BMILMS!$G$10,BMILMS!$D$11*AG394^3+BMILMS!$E$11*AG394^2+BMILMS!$F$11*AG394+BMILMS!$G$11)))</f>
        <v>0.79584630099999998</v>
      </c>
      <c r="AE394" s="24">
        <f>IF(D394="M",(IF(AG394&lt;2.5,BMILMS!$D$21*AG394^3+BMILMS!$E$21*AG394^2+BMILMS!$F$21*AG394+BMILMS!$G$21,IF(AG394&lt;9.5,BMILMS!$D$22*AG394^3+BMILMS!$E$22*AG394^2+BMILMS!$F$22*AG394+BMILMS!$G$22,IF(AG394&lt;26.75,BMILMS!$D$23*AG394^3+BMILMS!$E$23*AG394^2+BMILMS!$F$23*AG394+BMILMS!$G$23,IF(AG394&lt;90,BMILMS!$D$24*AG394^3+BMILMS!$E$24*AG394^2+BMILMS!$F$24*AG394+BMILMS!$G$24,BMILMS!$D$25*AG394^3+BMILMS!$E$25*AG394^2+BMILMS!$F$25*AG394+BMILMS!$G$25))))),(IF(AG394&lt;2.5,BMILMS!$D$27*AG394^3+BMILMS!$E$27*AG394^2+BMILMS!$F$27*AG394+BMILMS!$G$27,IF(AG394&lt;9.5,BMILMS!$D$28*AG394^3+BMILMS!$E$28*AG394^2+BMILMS!$F$28*AG394+BMILMS!$G$28,IF(AG394&lt;26.75,BMILMS!$D$29*AG394^3+BMILMS!$E$29*AG394^2+BMILMS!$F$29*AG394+BMILMS!$G$29,IF(AG394&lt;90,BMILMS!$D$30*AG394^3+BMILMS!$E$30*AG394^2+BMILMS!$F$30*AG394+BMILMS!$G$30,IF(AG394&lt;150,BMILMS!$D$31*AG394^3+BMILMS!$E$31*AG394^2+BMILMS!$F$31*AG394+BMILMS!$G$31,BMILMS!$D$32*AG394^3+BMILMS!$E$32*AG394^2+BMILMS!$F$32*AG394+BMILMS!$G$32)))))))</f>
        <v>12.568967990000001</v>
      </c>
      <c r="AF394" s="24">
        <f>IF(D394="M",(IF(AG394&lt;90,BMILMS!$D$14*AG394^3+BMILMS!$E$14*AG394^2+BMILMS!$F$14*AG394+BMILMS!$G$14,BMILMS!$D$15*AG394^3+BMILMS!$E$15*AG394^2+BMILMS!$F$15*AG394+BMILMS!$G$15)),(IF(AG394&lt;90,BMILMS!$D$17*AG394^3+BMILMS!$E$17*AG394^2+BMILMS!$F$17*AG394+BMILMS!$G$17,BMILMS!$D$18*AG394^3+BMILMS!$E$18*AG394^2+BMILMS!$F$18*AG394+BMILMS!$G$18)))</f>
        <v>8.8969350000000003E-2</v>
      </c>
      <c r="AG394" s="24">
        <f t="shared" si="112"/>
        <v>0</v>
      </c>
      <c r="AI394" s="38">
        <f>IF(D394="M",WeightSDS!P$5*$AG394^7+WeightSDS!Q$5*$AG394^6+WeightSDS!R$5*$AG394^5+WeightSDS!S$5*$AG394^4+WeightSDS!T$5*$AG394^3+WeightSDS!U$5*$AG394^2+WeightSDS!V$5*$AG394+WeightSDS!W$5,IF($AG394&lt;186,WeightSDS!P$8*$AG394^7+WeightSDS!Q$8*$AG394^6+WeightSDS!R$8*$AG394^5+WeightSDS!S$8*$AG394^4+WeightSDS!T$8*$AG394^3+WeightSDS!U$8*$AG394^2+WeightSDS!V$8*$AG394+WeightSDS!W$8,WeightSDS!$U$9-WeightSDS!$V$9*($AG394-WeightSDS!$W$9)))</f>
        <v>0.75407122999999998</v>
      </c>
      <c r="AJ394" s="24">
        <f>IF(D394="M",IF($AG394&lt;45,WeightSDS!M$23*$AG394^10+WeightSDS!N$23*$AG394^9+WeightSDS!O$23*$AG394^8+WeightSDS!P$23*$AG394^7+WeightSDS!Q$23*$AG394^6+WeightSDS!R$23*$AG394^5+WeightSDS!S$23*$AG394^4+WeightSDS!T$23*$AG394^3+WeightSDS!U$23*$AG394^2+WeightSDS!V$23*$AG394+WeightSDS!W$23,IF($AG394&lt;153,WeightSDS!M$25*$AG394^10+WeightSDS!N$25*$AG394^9+WeightSDS!O$25*$AG394^8+WeightSDS!P$25*$AG394^7+WeightSDS!Q$25*$AG394^6+WeightSDS!R$25*$AG394^5+WeightSDS!S$25*$AG394^4+WeightSDS!T$25*$AG394^3+WeightSDS!U$25*$AG394^2+WeightSDS!V$25*$AG394+WeightSDS!W$25,WeightSDS!M$27+WeightSDS!N$27/(1+EXP(WeightSDS!O$27+WeightSDS!P$27*$AG394)))),IF($AG394&lt;43.8,WeightSDS!M$29*$AG394^10+WeightSDS!N$29*$AG394^9+WeightSDS!O$29*$AG394^8+WeightSDS!P$29*$AG394^7+WeightSDS!Q$29*$AG394^6+WeightSDS!R$29*$AG394^5+WeightSDS!S$29*$AG394^4+WeightSDS!T$29*$AG394^3+WeightSDS!U$29*$AG394^2+WeightSDS!V$29*$AG394+WeightSDS!W$29-0.010431*(1-$AG394/210),IF($AG394&lt;123,WeightSDS!M$30*$AG394^10+WeightSDS!N$30*$AG394^9+WeightSDS!O$30*$AG394^8+WeightSDS!P$30*$AG394^7+WeightSDS!Q$30*$AG394^6+WeightSDS!R$30*$AG394^5+WeightSDS!S$30*$AG394^4+WeightSDS!T$30*$AG394^3+WeightSDS!U$30*$AG394^2+WeightSDS!V$30*$AG394+WeightSDS!W$30-0.010431*(1-1/$AG394),WeightSDS!M$32+WeightSDS!N$32/(1+EXP(WeightSDS!O$32+WeightSDS!P$32*$AG394))-0.010431*(1-$AG394/210))))</f>
        <v>2.9500001032655536</v>
      </c>
      <c r="AK394" s="24">
        <f>IF(D394="M",IF($AG394&lt;162,WeightSDS!P$12*$AG394^7+WeightSDS!Q$12*$AG394^6+WeightSDS!R$12*$AG394^5+WeightSDS!S$12*$AG394^4+WeightSDS!T$12*$AG394^3+WeightSDS!U$12*$AG394^2+WeightSDS!V$12*$AG394+WeightSDS!W$12,WeightSDS!P$14*$AG394^7+WeightSDS!Q$14*$AG394^6+WeightSDS!R$14*$AG394^5+WeightSDS!S$14*$AG394^4+WeightSDS!T$14*$AG394^3+WeightSDS!U$14*$AG394^2+WeightSDS!V$14*$AG394+WeightSDS!W$14),IF($AG394&lt;156,WeightSDS!O$17*$AG394^8+WeightSDS!P$17*$AG394^7+WeightSDS!Q$17*$AG394^6+WeightSDS!R$17*$AG394^5+WeightSDS!S$17*$AG394^4+WeightSDS!T$17*$AG394^3+WeightSDS!U$17*$AG394^2+WeightSDS!V$17*$AG394+WeightSDS!W$17,IF($AG394&lt;186,WeightSDS!$U$18+(WeightSDS!$V$18-WeightSDS!$U$18)/24*($AG394-186)+WeightSDS!$W$18*(-$AG394+186)^2-0.005,WeightSDS!$U$18+(WeightSDS!$V$18-WeightSDS!$U$18)/24*($AG394-186)-0.005)))</f>
        <v>0.14604529399999999</v>
      </c>
    </row>
    <row r="395" spans="1:37">
      <c r="A395" s="4"/>
      <c r="B395" s="21"/>
      <c r="C395" s="21"/>
      <c r="D395" s="21"/>
      <c r="E395" s="22"/>
      <c r="F395" s="22"/>
      <c r="G395" s="23"/>
      <c r="H395" s="23"/>
      <c r="I395" s="8" t="str">
        <f t="shared" si="98"/>
        <v/>
      </c>
      <c r="J395" s="2" t="str">
        <f t="shared" si="105"/>
        <v/>
      </c>
      <c r="K395" s="2" t="str">
        <f t="shared" si="99"/>
        <v/>
      </c>
      <c r="L395" s="2" t="str">
        <f t="shared" si="106"/>
        <v/>
      </c>
      <c r="M395" s="2" t="str">
        <f t="shared" si="111"/>
        <v/>
      </c>
      <c r="N395" s="2" t="str">
        <f t="shared" si="107"/>
        <v/>
      </c>
      <c r="O395" s="8" t="str">
        <f t="shared" si="108"/>
        <v/>
      </c>
      <c r="P395" s="8" t="str">
        <f t="shared" si="109"/>
        <v/>
      </c>
      <c r="Q395" s="40" t="str">
        <f t="shared" si="100"/>
        <v/>
      </c>
      <c r="R395" s="48" t="str">
        <f t="shared" si="110"/>
        <v/>
      </c>
      <c r="S395" s="8"/>
      <c r="U395" s="35">
        <f t="shared" si="101"/>
        <v>0</v>
      </c>
      <c r="V395" s="24">
        <f t="shared" si="102"/>
        <v>0</v>
      </c>
      <c r="W395" s="41">
        <f t="shared" si="97"/>
        <v>0</v>
      </c>
      <c r="X395" s="31"/>
      <c r="Y395" s="31"/>
      <c r="Z395" s="31"/>
      <c r="AA395" s="25">
        <f t="shared" si="103"/>
        <v>9.0359999999999996</v>
      </c>
      <c r="AB395" s="25">
        <f t="shared" si="104"/>
        <v>-184.49199999999999</v>
      </c>
      <c r="AD395" s="24">
        <f>IF(D395="M",IF(AG395&lt;78,BMILMS!$D$5*AG395^3+BMILMS!$E$5*AG395^2+BMILMS!$F$5*AG395+BMILMS!$G$5,IF(AG395&lt;150,BMILMS!$D$6*AG395^3+BMILMS!$E$6*AG395^2+BMILMS!$F$6*AG395+BMILMS!$G$6,BMILMS!$D$7*AG395^3+BMILMS!$E$7*AG395^2+BMILMS!$F$7*AG395+BMILMS!$G$7)),IF(AG395&lt;69,BMILMS!$D$9*AG395^3+BMILMS!$E$9*AG395^2+BMILMS!$F$9*AG395+BMILMS!$G$9,IF(AG395&lt;150,BMILMS!$D$10*AG395^3+BMILMS!$E$10*AG395^2+BMILMS!$F$10*AG395+BMILMS!$G$10,BMILMS!$D$11*AG395^3+BMILMS!$E$11*AG395^2+BMILMS!$F$11*AG395+BMILMS!$G$11)))</f>
        <v>0.79584630099999998</v>
      </c>
      <c r="AE395" s="24">
        <f>IF(D395="M",(IF(AG395&lt;2.5,BMILMS!$D$21*AG395^3+BMILMS!$E$21*AG395^2+BMILMS!$F$21*AG395+BMILMS!$G$21,IF(AG395&lt;9.5,BMILMS!$D$22*AG395^3+BMILMS!$E$22*AG395^2+BMILMS!$F$22*AG395+BMILMS!$G$22,IF(AG395&lt;26.75,BMILMS!$D$23*AG395^3+BMILMS!$E$23*AG395^2+BMILMS!$F$23*AG395+BMILMS!$G$23,IF(AG395&lt;90,BMILMS!$D$24*AG395^3+BMILMS!$E$24*AG395^2+BMILMS!$F$24*AG395+BMILMS!$G$24,BMILMS!$D$25*AG395^3+BMILMS!$E$25*AG395^2+BMILMS!$F$25*AG395+BMILMS!$G$25))))),(IF(AG395&lt;2.5,BMILMS!$D$27*AG395^3+BMILMS!$E$27*AG395^2+BMILMS!$F$27*AG395+BMILMS!$G$27,IF(AG395&lt;9.5,BMILMS!$D$28*AG395^3+BMILMS!$E$28*AG395^2+BMILMS!$F$28*AG395+BMILMS!$G$28,IF(AG395&lt;26.75,BMILMS!$D$29*AG395^3+BMILMS!$E$29*AG395^2+BMILMS!$F$29*AG395+BMILMS!$G$29,IF(AG395&lt;90,BMILMS!$D$30*AG395^3+BMILMS!$E$30*AG395^2+BMILMS!$F$30*AG395+BMILMS!$G$30,IF(AG395&lt;150,BMILMS!$D$31*AG395^3+BMILMS!$E$31*AG395^2+BMILMS!$F$31*AG395+BMILMS!$G$31,BMILMS!$D$32*AG395^3+BMILMS!$E$32*AG395^2+BMILMS!$F$32*AG395+BMILMS!$G$32)))))))</f>
        <v>12.568967990000001</v>
      </c>
      <c r="AF395" s="24">
        <f>IF(D395="M",(IF(AG395&lt;90,BMILMS!$D$14*AG395^3+BMILMS!$E$14*AG395^2+BMILMS!$F$14*AG395+BMILMS!$G$14,BMILMS!$D$15*AG395^3+BMILMS!$E$15*AG395^2+BMILMS!$F$15*AG395+BMILMS!$G$15)),(IF(AG395&lt;90,BMILMS!$D$17*AG395^3+BMILMS!$E$17*AG395^2+BMILMS!$F$17*AG395+BMILMS!$G$17,BMILMS!$D$18*AG395^3+BMILMS!$E$18*AG395^2+BMILMS!$F$18*AG395+BMILMS!$G$18)))</f>
        <v>8.8969350000000003E-2</v>
      </c>
      <c r="AG395" s="24">
        <f t="shared" si="112"/>
        <v>0</v>
      </c>
      <c r="AI395" s="38">
        <f>IF(D395="M",WeightSDS!P$5*$AG395^7+WeightSDS!Q$5*$AG395^6+WeightSDS!R$5*$AG395^5+WeightSDS!S$5*$AG395^4+WeightSDS!T$5*$AG395^3+WeightSDS!U$5*$AG395^2+WeightSDS!V$5*$AG395+WeightSDS!W$5,IF($AG395&lt;186,WeightSDS!P$8*$AG395^7+WeightSDS!Q$8*$AG395^6+WeightSDS!R$8*$AG395^5+WeightSDS!S$8*$AG395^4+WeightSDS!T$8*$AG395^3+WeightSDS!U$8*$AG395^2+WeightSDS!V$8*$AG395+WeightSDS!W$8,WeightSDS!$U$9-WeightSDS!$V$9*($AG395-WeightSDS!$W$9)))</f>
        <v>0.75407122999999998</v>
      </c>
      <c r="AJ395" s="24">
        <f>IF(D395="M",IF($AG395&lt;45,WeightSDS!M$23*$AG395^10+WeightSDS!N$23*$AG395^9+WeightSDS!O$23*$AG395^8+WeightSDS!P$23*$AG395^7+WeightSDS!Q$23*$AG395^6+WeightSDS!R$23*$AG395^5+WeightSDS!S$23*$AG395^4+WeightSDS!T$23*$AG395^3+WeightSDS!U$23*$AG395^2+WeightSDS!V$23*$AG395+WeightSDS!W$23,IF($AG395&lt;153,WeightSDS!M$25*$AG395^10+WeightSDS!N$25*$AG395^9+WeightSDS!O$25*$AG395^8+WeightSDS!P$25*$AG395^7+WeightSDS!Q$25*$AG395^6+WeightSDS!R$25*$AG395^5+WeightSDS!S$25*$AG395^4+WeightSDS!T$25*$AG395^3+WeightSDS!U$25*$AG395^2+WeightSDS!V$25*$AG395+WeightSDS!W$25,WeightSDS!M$27+WeightSDS!N$27/(1+EXP(WeightSDS!O$27+WeightSDS!P$27*$AG395)))),IF($AG395&lt;43.8,WeightSDS!M$29*$AG395^10+WeightSDS!N$29*$AG395^9+WeightSDS!O$29*$AG395^8+WeightSDS!P$29*$AG395^7+WeightSDS!Q$29*$AG395^6+WeightSDS!R$29*$AG395^5+WeightSDS!S$29*$AG395^4+WeightSDS!T$29*$AG395^3+WeightSDS!U$29*$AG395^2+WeightSDS!V$29*$AG395+WeightSDS!W$29-0.010431*(1-$AG395/210),IF($AG395&lt;123,WeightSDS!M$30*$AG395^10+WeightSDS!N$30*$AG395^9+WeightSDS!O$30*$AG395^8+WeightSDS!P$30*$AG395^7+WeightSDS!Q$30*$AG395^6+WeightSDS!R$30*$AG395^5+WeightSDS!S$30*$AG395^4+WeightSDS!T$30*$AG395^3+WeightSDS!U$30*$AG395^2+WeightSDS!V$30*$AG395+WeightSDS!W$30-0.010431*(1-1/$AG395),WeightSDS!M$32+WeightSDS!N$32/(1+EXP(WeightSDS!O$32+WeightSDS!P$32*$AG395))-0.010431*(1-$AG395/210))))</f>
        <v>2.9500001032655536</v>
      </c>
      <c r="AK395" s="24">
        <f>IF(D395="M",IF($AG395&lt;162,WeightSDS!P$12*$AG395^7+WeightSDS!Q$12*$AG395^6+WeightSDS!R$12*$AG395^5+WeightSDS!S$12*$AG395^4+WeightSDS!T$12*$AG395^3+WeightSDS!U$12*$AG395^2+WeightSDS!V$12*$AG395+WeightSDS!W$12,WeightSDS!P$14*$AG395^7+WeightSDS!Q$14*$AG395^6+WeightSDS!R$14*$AG395^5+WeightSDS!S$14*$AG395^4+WeightSDS!T$14*$AG395^3+WeightSDS!U$14*$AG395^2+WeightSDS!V$14*$AG395+WeightSDS!W$14),IF($AG395&lt;156,WeightSDS!O$17*$AG395^8+WeightSDS!P$17*$AG395^7+WeightSDS!Q$17*$AG395^6+WeightSDS!R$17*$AG395^5+WeightSDS!S$17*$AG395^4+WeightSDS!T$17*$AG395^3+WeightSDS!U$17*$AG395^2+WeightSDS!V$17*$AG395+WeightSDS!W$17,IF($AG395&lt;186,WeightSDS!$U$18+(WeightSDS!$V$18-WeightSDS!$U$18)/24*($AG395-186)+WeightSDS!$W$18*(-$AG395+186)^2-0.005,WeightSDS!$U$18+(WeightSDS!$V$18-WeightSDS!$U$18)/24*($AG395-186)-0.005)))</f>
        <v>0.14604529399999999</v>
      </c>
    </row>
    <row r="396" spans="1:37">
      <c r="A396" s="4"/>
      <c r="B396" s="21"/>
      <c r="C396" s="21"/>
      <c r="D396" s="21"/>
      <c r="E396" s="22"/>
      <c r="F396" s="22"/>
      <c r="G396" s="23"/>
      <c r="H396" s="23"/>
      <c r="I396" s="8" t="str">
        <f t="shared" si="98"/>
        <v/>
      </c>
      <c r="J396" s="2" t="str">
        <f t="shared" si="105"/>
        <v/>
      </c>
      <c r="K396" s="2" t="str">
        <f t="shared" si="99"/>
        <v/>
      </c>
      <c r="L396" s="2" t="str">
        <f t="shared" si="106"/>
        <v/>
      </c>
      <c r="M396" s="2" t="str">
        <f t="shared" si="111"/>
        <v/>
      </c>
      <c r="N396" s="2" t="str">
        <f t="shared" si="107"/>
        <v/>
      </c>
      <c r="O396" s="8" t="str">
        <f t="shared" si="108"/>
        <v/>
      </c>
      <c r="P396" s="8" t="str">
        <f t="shared" si="109"/>
        <v/>
      </c>
      <c r="Q396" s="40" t="str">
        <f t="shared" si="100"/>
        <v/>
      </c>
      <c r="R396" s="48" t="str">
        <f t="shared" si="110"/>
        <v/>
      </c>
      <c r="S396" s="8"/>
      <c r="U396" s="35">
        <f t="shared" si="101"/>
        <v>0</v>
      </c>
      <c r="V396" s="24">
        <f t="shared" si="102"/>
        <v>0</v>
      </c>
      <c r="W396" s="41">
        <f t="shared" si="97"/>
        <v>0</v>
      </c>
      <c r="X396" s="31"/>
      <c r="Y396" s="31"/>
      <c r="Z396" s="31"/>
      <c r="AA396" s="25">
        <f t="shared" si="103"/>
        <v>9.0359999999999996</v>
      </c>
      <c r="AB396" s="25">
        <f t="shared" si="104"/>
        <v>-184.49199999999999</v>
      </c>
      <c r="AD396" s="24">
        <f>IF(D396="M",IF(AG396&lt;78,BMILMS!$D$5*AG396^3+BMILMS!$E$5*AG396^2+BMILMS!$F$5*AG396+BMILMS!$G$5,IF(AG396&lt;150,BMILMS!$D$6*AG396^3+BMILMS!$E$6*AG396^2+BMILMS!$F$6*AG396+BMILMS!$G$6,BMILMS!$D$7*AG396^3+BMILMS!$E$7*AG396^2+BMILMS!$F$7*AG396+BMILMS!$G$7)),IF(AG396&lt;69,BMILMS!$D$9*AG396^3+BMILMS!$E$9*AG396^2+BMILMS!$F$9*AG396+BMILMS!$G$9,IF(AG396&lt;150,BMILMS!$D$10*AG396^3+BMILMS!$E$10*AG396^2+BMILMS!$F$10*AG396+BMILMS!$G$10,BMILMS!$D$11*AG396^3+BMILMS!$E$11*AG396^2+BMILMS!$F$11*AG396+BMILMS!$G$11)))</f>
        <v>0.79584630099999998</v>
      </c>
      <c r="AE396" s="24">
        <f>IF(D396="M",(IF(AG396&lt;2.5,BMILMS!$D$21*AG396^3+BMILMS!$E$21*AG396^2+BMILMS!$F$21*AG396+BMILMS!$G$21,IF(AG396&lt;9.5,BMILMS!$D$22*AG396^3+BMILMS!$E$22*AG396^2+BMILMS!$F$22*AG396+BMILMS!$G$22,IF(AG396&lt;26.75,BMILMS!$D$23*AG396^3+BMILMS!$E$23*AG396^2+BMILMS!$F$23*AG396+BMILMS!$G$23,IF(AG396&lt;90,BMILMS!$D$24*AG396^3+BMILMS!$E$24*AG396^2+BMILMS!$F$24*AG396+BMILMS!$G$24,BMILMS!$D$25*AG396^3+BMILMS!$E$25*AG396^2+BMILMS!$F$25*AG396+BMILMS!$G$25))))),(IF(AG396&lt;2.5,BMILMS!$D$27*AG396^3+BMILMS!$E$27*AG396^2+BMILMS!$F$27*AG396+BMILMS!$G$27,IF(AG396&lt;9.5,BMILMS!$D$28*AG396^3+BMILMS!$E$28*AG396^2+BMILMS!$F$28*AG396+BMILMS!$G$28,IF(AG396&lt;26.75,BMILMS!$D$29*AG396^3+BMILMS!$E$29*AG396^2+BMILMS!$F$29*AG396+BMILMS!$G$29,IF(AG396&lt;90,BMILMS!$D$30*AG396^3+BMILMS!$E$30*AG396^2+BMILMS!$F$30*AG396+BMILMS!$G$30,IF(AG396&lt;150,BMILMS!$D$31*AG396^3+BMILMS!$E$31*AG396^2+BMILMS!$F$31*AG396+BMILMS!$G$31,BMILMS!$D$32*AG396^3+BMILMS!$E$32*AG396^2+BMILMS!$F$32*AG396+BMILMS!$G$32)))))))</f>
        <v>12.568967990000001</v>
      </c>
      <c r="AF396" s="24">
        <f>IF(D396="M",(IF(AG396&lt;90,BMILMS!$D$14*AG396^3+BMILMS!$E$14*AG396^2+BMILMS!$F$14*AG396+BMILMS!$G$14,BMILMS!$D$15*AG396^3+BMILMS!$E$15*AG396^2+BMILMS!$F$15*AG396+BMILMS!$G$15)),(IF(AG396&lt;90,BMILMS!$D$17*AG396^3+BMILMS!$E$17*AG396^2+BMILMS!$F$17*AG396+BMILMS!$G$17,BMILMS!$D$18*AG396^3+BMILMS!$E$18*AG396^2+BMILMS!$F$18*AG396+BMILMS!$G$18)))</f>
        <v>8.8969350000000003E-2</v>
      </c>
      <c r="AG396" s="24">
        <f t="shared" si="112"/>
        <v>0</v>
      </c>
      <c r="AI396" s="38">
        <f>IF(D396="M",WeightSDS!P$5*$AG396^7+WeightSDS!Q$5*$AG396^6+WeightSDS!R$5*$AG396^5+WeightSDS!S$5*$AG396^4+WeightSDS!T$5*$AG396^3+WeightSDS!U$5*$AG396^2+WeightSDS!V$5*$AG396+WeightSDS!W$5,IF($AG396&lt;186,WeightSDS!P$8*$AG396^7+WeightSDS!Q$8*$AG396^6+WeightSDS!R$8*$AG396^5+WeightSDS!S$8*$AG396^4+WeightSDS!T$8*$AG396^3+WeightSDS!U$8*$AG396^2+WeightSDS!V$8*$AG396+WeightSDS!W$8,WeightSDS!$U$9-WeightSDS!$V$9*($AG396-WeightSDS!$W$9)))</f>
        <v>0.75407122999999998</v>
      </c>
      <c r="AJ396" s="24">
        <f>IF(D396="M",IF($AG396&lt;45,WeightSDS!M$23*$AG396^10+WeightSDS!N$23*$AG396^9+WeightSDS!O$23*$AG396^8+WeightSDS!P$23*$AG396^7+WeightSDS!Q$23*$AG396^6+WeightSDS!R$23*$AG396^5+WeightSDS!S$23*$AG396^4+WeightSDS!T$23*$AG396^3+WeightSDS!U$23*$AG396^2+WeightSDS!V$23*$AG396+WeightSDS!W$23,IF($AG396&lt;153,WeightSDS!M$25*$AG396^10+WeightSDS!N$25*$AG396^9+WeightSDS!O$25*$AG396^8+WeightSDS!P$25*$AG396^7+WeightSDS!Q$25*$AG396^6+WeightSDS!R$25*$AG396^5+WeightSDS!S$25*$AG396^4+WeightSDS!T$25*$AG396^3+WeightSDS!U$25*$AG396^2+WeightSDS!V$25*$AG396+WeightSDS!W$25,WeightSDS!M$27+WeightSDS!N$27/(1+EXP(WeightSDS!O$27+WeightSDS!P$27*$AG396)))),IF($AG396&lt;43.8,WeightSDS!M$29*$AG396^10+WeightSDS!N$29*$AG396^9+WeightSDS!O$29*$AG396^8+WeightSDS!P$29*$AG396^7+WeightSDS!Q$29*$AG396^6+WeightSDS!R$29*$AG396^5+WeightSDS!S$29*$AG396^4+WeightSDS!T$29*$AG396^3+WeightSDS!U$29*$AG396^2+WeightSDS!V$29*$AG396+WeightSDS!W$29-0.010431*(1-$AG396/210),IF($AG396&lt;123,WeightSDS!M$30*$AG396^10+WeightSDS!N$30*$AG396^9+WeightSDS!O$30*$AG396^8+WeightSDS!P$30*$AG396^7+WeightSDS!Q$30*$AG396^6+WeightSDS!R$30*$AG396^5+WeightSDS!S$30*$AG396^4+WeightSDS!T$30*$AG396^3+WeightSDS!U$30*$AG396^2+WeightSDS!V$30*$AG396+WeightSDS!W$30-0.010431*(1-1/$AG396),WeightSDS!M$32+WeightSDS!N$32/(1+EXP(WeightSDS!O$32+WeightSDS!P$32*$AG396))-0.010431*(1-$AG396/210))))</f>
        <v>2.9500001032655536</v>
      </c>
      <c r="AK396" s="24">
        <f>IF(D396="M",IF($AG396&lt;162,WeightSDS!P$12*$AG396^7+WeightSDS!Q$12*$AG396^6+WeightSDS!R$12*$AG396^5+WeightSDS!S$12*$AG396^4+WeightSDS!T$12*$AG396^3+WeightSDS!U$12*$AG396^2+WeightSDS!V$12*$AG396+WeightSDS!W$12,WeightSDS!P$14*$AG396^7+WeightSDS!Q$14*$AG396^6+WeightSDS!R$14*$AG396^5+WeightSDS!S$14*$AG396^4+WeightSDS!T$14*$AG396^3+WeightSDS!U$14*$AG396^2+WeightSDS!V$14*$AG396+WeightSDS!W$14),IF($AG396&lt;156,WeightSDS!O$17*$AG396^8+WeightSDS!P$17*$AG396^7+WeightSDS!Q$17*$AG396^6+WeightSDS!R$17*$AG396^5+WeightSDS!S$17*$AG396^4+WeightSDS!T$17*$AG396^3+WeightSDS!U$17*$AG396^2+WeightSDS!V$17*$AG396+WeightSDS!W$17,IF($AG396&lt;186,WeightSDS!$U$18+(WeightSDS!$V$18-WeightSDS!$U$18)/24*($AG396-186)+WeightSDS!$W$18*(-$AG396+186)^2-0.005,WeightSDS!$U$18+(WeightSDS!$V$18-WeightSDS!$U$18)/24*($AG396-186)-0.005)))</f>
        <v>0.14604529399999999</v>
      </c>
    </row>
    <row r="397" spans="1:37">
      <c r="A397" s="4"/>
      <c r="B397" s="21"/>
      <c r="C397" s="21"/>
      <c r="D397" s="21"/>
      <c r="E397" s="22"/>
      <c r="F397" s="22"/>
      <c r="G397" s="23"/>
      <c r="H397" s="23"/>
      <c r="I397" s="8" t="str">
        <f t="shared" si="98"/>
        <v/>
      </c>
      <c r="J397" s="2" t="str">
        <f t="shared" si="105"/>
        <v/>
      </c>
      <c r="K397" s="2" t="str">
        <f t="shared" si="99"/>
        <v/>
      </c>
      <c r="L397" s="2" t="str">
        <f t="shared" si="106"/>
        <v/>
      </c>
      <c r="M397" s="2" t="str">
        <f t="shared" si="111"/>
        <v/>
      </c>
      <c r="N397" s="2" t="str">
        <f t="shared" si="107"/>
        <v/>
      </c>
      <c r="O397" s="8" t="str">
        <f t="shared" si="108"/>
        <v/>
      </c>
      <c r="P397" s="8" t="str">
        <f t="shared" si="109"/>
        <v/>
      </c>
      <c r="Q397" s="40" t="str">
        <f t="shared" si="100"/>
        <v/>
      </c>
      <c r="R397" s="48" t="str">
        <f t="shared" si="110"/>
        <v/>
      </c>
      <c r="S397" s="8"/>
      <c r="U397" s="35">
        <f t="shared" si="101"/>
        <v>0</v>
      </c>
      <c r="V397" s="24">
        <f t="shared" si="102"/>
        <v>0</v>
      </c>
      <c r="W397" s="41">
        <f t="shared" si="97"/>
        <v>0</v>
      </c>
      <c r="X397" s="31"/>
      <c r="Y397" s="31"/>
      <c r="Z397" s="31"/>
      <c r="AA397" s="25">
        <f t="shared" si="103"/>
        <v>9.0359999999999996</v>
      </c>
      <c r="AB397" s="25">
        <f t="shared" si="104"/>
        <v>-184.49199999999999</v>
      </c>
      <c r="AD397" s="24">
        <f>IF(D397="M",IF(AG397&lt;78,BMILMS!$D$5*AG397^3+BMILMS!$E$5*AG397^2+BMILMS!$F$5*AG397+BMILMS!$G$5,IF(AG397&lt;150,BMILMS!$D$6*AG397^3+BMILMS!$E$6*AG397^2+BMILMS!$F$6*AG397+BMILMS!$G$6,BMILMS!$D$7*AG397^3+BMILMS!$E$7*AG397^2+BMILMS!$F$7*AG397+BMILMS!$G$7)),IF(AG397&lt;69,BMILMS!$D$9*AG397^3+BMILMS!$E$9*AG397^2+BMILMS!$F$9*AG397+BMILMS!$G$9,IF(AG397&lt;150,BMILMS!$D$10*AG397^3+BMILMS!$E$10*AG397^2+BMILMS!$F$10*AG397+BMILMS!$G$10,BMILMS!$D$11*AG397^3+BMILMS!$E$11*AG397^2+BMILMS!$F$11*AG397+BMILMS!$G$11)))</f>
        <v>0.79584630099999998</v>
      </c>
      <c r="AE397" s="24">
        <f>IF(D397="M",(IF(AG397&lt;2.5,BMILMS!$D$21*AG397^3+BMILMS!$E$21*AG397^2+BMILMS!$F$21*AG397+BMILMS!$G$21,IF(AG397&lt;9.5,BMILMS!$D$22*AG397^3+BMILMS!$E$22*AG397^2+BMILMS!$F$22*AG397+BMILMS!$G$22,IF(AG397&lt;26.75,BMILMS!$D$23*AG397^3+BMILMS!$E$23*AG397^2+BMILMS!$F$23*AG397+BMILMS!$G$23,IF(AG397&lt;90,BMILMS!$D$24*AG397^3+BMILMS!$E$24*AG397^2+BMILMS!$F$24*AG397+BMILMS!$G$24,BMILMS!$D$25*AG397^3+BMILMS!$E$25*AG397^2+BMILMS!$F$25*AG397+BMILMS!$G$25))))),(IF(AG397&lt;2.5,BMILMS!$D$27*AG397^3+BMILMS!$E$27*AG397^2+BMILMS!$F$27*AG397+BMILMS!$G$27,IF(AG397&lt;9.5,BMILMS!$D$28*AG397^3+BMILMS!$E$28*AG397^2+BMILMS!$F$28*AG397+BMILMS!$G$28,IF(AG397&lt;26.75,BMILMS!$D$29*AG397^3+BMILMS!$E$29*AG397^2+BMILMS!$F$29*AG397+BMILMS!$G$29,IF(AG397&lt;90,BMILMS!$D$30*AG397^3+BMILMS!$E$30*AG397^2+BMILMS!$F$30*AG397+BMILMS!$G$30,IF(AG397&lt;150,BMILMS!$D$31*AG397^3+BMILMS!$E$31*AG397^2+BMILMS!$F$31*AG397+BMILMS!$G$31,BMILMS!$D$32*AG397^3+BMILMS!$E$32*AG397^2+BMILMS!$F$32*AG397+BMILMS!$G$32)))))))</f>
        <v>12.568967990000001</v>
      </c>
      <c r="AF397" s="24">
        <f>IF(D397="M",(IF(AG397&lt;90,BMILMS!$D$14*AG397^3+BMILMS!$E$14*AG397^2+BMILMS!$F$14*AG397+BMILMS!$G$14,BMILMS!$D$15*AG397^3+BMILMS!$E$15*AG397^2+BMILMS!$F$15*AG397+BMILMS!$G$15)),(IF(AG397&lt;90,BMILMS!$D$17*AG397^3+BMILMS!$E$17*AG397^2+BMILMS!$F$17*AG397+BMILMS!$G$17,BMILMS!$D$18*AG397^3+BMILMS!$E$18*AG397^2+BMILMS!$F$18*AG397+BMILMS!$G$18)))</f>
        <v>8.8969350000000003E-2</v>
      </c>
      <c r="AG397" s="24">
        <f t="shared" si="112"/>
        <v>0</v>
      </c>
      <c r="AI397" s="38">
        <f>IF(D397="M",WeightSDS!P$5*$AG397^7+WeightSDS!Q$5*$AG397^6+WeightSDS!R$5*$AG397^5+WeightSDS!S$5*$AG397^4+WeightSDS!T$5*$AG397^3+WeightSDS!U$5*$AG397^2+WeightSDS!V$5*$AG397+WeightSDS!W$5,IF($AG397&lt;186,WeightSDS!P$8*$AG397^7+WeightSDS!Q$8*$AG397^6+WeightSDS!R$8*$AG397^5+WeightSDS!S$8*$AG397^4+WeightSDS!T$8*$AG397^3+WeightSDS!U$8*$AG397^2+WeightSDS!V$8*$AG397+WeightSDS!W$8,WeightSDS!$U$9-WeightSDS!$V$9*($AG397-WeightSDS!$W$9)))</f>
        <v>0.75407122999999998</v>
      </c>
      <c r="AJ397" s="24">
        <f>IF(D397="M",IF($AG397&lt;45,WeightSDS!M$23*$AG397^10+WeightSDS!N$23*$AG397^9+WeightSDS!O$23*$AG397^8+WeightSDS!P$23*$AG397^7+WeightSDS!Q$23*$AG397^6+WeightSDS!R$23*$AG397^5+WeightSDS!S$23*$AG397^4+WeightSDS!T$23*$AG397^3+WeightSDS!U$23*$AG397^2+WeightSDS!V$23*$AG397+WeightSDS!W$23,IF($AG397&lt;153,WeightSDS!M$25*$AG397^10+WeightSDS!N$25*$AG397^9+WeightSDS!O$25*$AG397^8+WeightSDS!P$25*$AG397^7+WeightSDS!Q$25*$AG397^6+WeightSDS!R$25*$AG397^5+WeightSDS!S$25*$AG397^4+WeightSDS!T$25*$AG397^3+WeightSDS!U$25*$AG397^2+WeightSDS!V$25*$AG397+WeightSDS!W$25,WeightSDS!M$27+WeightSDS!N$27/(1+EXP(WeightSDS!O$27+WeightSDS!P$27*$AG397)))),IF($AG397&lt;43.8,WeightSDS!M$29*$AG397^10+WeightSDS!N$29*$AG397^9+WeightSDS!O$29*$AG397^8+WeightSDS!P$29*$AG397^7+WeightSDS!Q$29*$AG397^6+WeightSDS!R$29*$AG397^5+WeightSDS!S$29*$AG397^4+WeightSDS!T$29*$AG397^3+WeightSDS!U$29*$AG397^2+WeightSDS!V$29*$AG397+WeightSDS!W$29-0.010431*(1-$AG397/210),IF($AG397&lt;123,WeightSDS!M$30*$AG397^10+WeightSDS!N$30*$AG397^9+WeightSDS!O$30*$AG397^8+WeightSDS!P$30*$AG397^7+WeightSDS!Q$30*$AG397^6+WeightSDS!R$30*$AG397^5+WeightSDS!S$30*$AG397^4+WeightSDS!T$30*$AG397^3+WeightSDS!U$30*$AG397^2+WeightSDS!V$30*$AG397+WeightSDS!W$30-0.010431*(1-1/$AG397),WeightSDS!M$32+WeightSDS!N$32/(1+EXP(WeightSDS!O$32+WeightSDS!P$32*$AG397))-0.010431*(1-$AG397/210))))</f>
        <v>2.9500001032655536</v>
      </c>
      <c r="AK397" s="24">
        <f>IF(D397="M",IF($AG397&lt;162,WeightSDS!P$12*$AG397^7+WeightSDS!Q$12*$AG397^6+WeightSDS!R$12*$AG397^5+WeightSDS!S$12*$AG397^4+WeightSDS!T$12*$AG397^3+WeightSDS!U$12*$AG397^2+WeightSDS!V$12*$AG397+WeightSDS!W$12,WeightSDS!P$14*$AG397^7+WeightSDS!Q$14*$AG397^6+WeightSDS!R$14*$AG397^5+WeightSDS!S$14*$AG397^4+WeightSDS!T$14*$AG397^3+WeightSDS!U$14*$AG397^2+WeightSDS!V$14*$AG397+WeightSDS!W$14),IF($AG397&lt;156,WeightSDS!O$17*$AG397^8+WeightSDS!P$17*$AG397^7+WeightSDS!Q$17*$AG397^6+WeightSDS!R$17*$AG397^5+WeightSDS!S$17*$AG397^4+WeightSDS!T$17*$AG397^3+WeightSDS!U$17*$AG397^2+WeightSDS!V$17*$AG397+WeightSDS!W$17,IF($AG397&lt;186,WeightSDS!$U$18+(WeightSDS!$V$18-WeightSDS!$U$18)/24*($AG397-186)+WeightSDS!$W$18*(-$AG397+186)^2-0.005,WeightSDS!$U$18+(WeightSDS!$V$18-WeightSDS!$U$18)/24*($AG397-186)-0.005)))</f>
        <v>0.14604529399999999</v>
      </c>
    </row>
    <row r="398" spans="1:37">
      <c r="A398" s="4"/>
      <c r="B398" s="21"/>
      <c r="C398" s="21"/>
      <c r="D398" s="21"/>
      <c r="E398" s="22"/>
      <c r="F398" s="22"/>
      <c r="G398" s="23"/>
      <c r="H398" s="23"/>
      <c r="I398" s="8" t="str">
        <f t="shared" si="98"/>
        <v/>
      </c>
      <c r="J398" s="2" t="str">
        <f t="shared" si="105"/>
        <v/>
      </c>
      <c r="K398" s="2" t="str">
        <f t="shared" si="99"/>
        <v/>
      </c>
      <c r="L398" s="2" t="str">
        <f t="shared" si="106"/>
        <v/>
      </c>
      <c r="M398" s="2" t="str">
        <f t="shared" si="111"/>
        <v/>
      </c>
      <c r="N398" s="2" t="str">
        <f t="shared" si="107"/>
        <v/>
      </c>
      <c r="O398" s="8" t="str">
        <f t="shared" si="108"/>
        <v/>
      </c>
      <c r="P398" s="8" t="str">
        <f t="shared" si="109"/>
        <v/>
      </c>
      <c r="Q398" s="40" t="str">
        <f t="shared" si="100"/>
        <v/>
      </c>
      <c r="R398" s="48" t="str">
        <f t="shared" si="110"/>
        <v/>
      </c>
      <c r="S398" s="8"/>
      <c r="U398" s="35">
        <f t="shared" si="101"/>
        <v>0</v>
      </c>
      <c r="V398" s="24">
        <f t="shared" si="102"/>
        <v>0</v>
      </c>
      <c r="W398" s="41">
        <f t="shared" si="97"/>
        <v>0</v>
      </c>
      <c r="X398" s="31"/>
      <c r="Y398" s="31"/>
      <c r="Z398" s="31"/>
      <c r="AA398" s="25">
        <f t="shared" si="103"/>
        <v>9.0359999999999996</v>
      </c>
      <c r="AB398" s="25">
        <f t="shared" si="104"/>
        <v>-184.49199999999999</v>
      </c>
      <c r="AD398" s="24">
        <f>IF(D398="M",IF(AG398&lt;78,BMILMS!$D$5*AG398^3+BMILMS!$E$5*AG398^2+BMILMS!$F$5*AG398+BMILMS!$G$5,IF(AG398&lt;150,BMILMS!$D$6*AG398^3+BMILMS!$E$6*AG398^2+BMILMS!$F$6*AG398+BMILMS!$G$6,BMILMS!$D$7*AG398^3+BMILMS!$E$7*AG398^2+BMILMS!$F$7*AG398+BMILMS!$G$7)),IF(AG398&lt;69,BMILMS!$D$9*AG398^3+BMILMS!$E$9*AG398^2+BMILMS!$F$9*AG398+BMILMS!$G$9,IF(AG398&lt;150,BMILMS!$D$10*AG398^3+BMILMS!$E$10*AG398^2+BMILMS!$F$10*AG398+BMILMS!$G$10,BMILMS!$D$11*AG398^3+BMILMS!$E$11*AG398^2+BMILMS!$F$11*AG398+BMILMS!$G$11)))</f>
        <v>0.79584630099999998</v>
      </c>
      <c r="AE398" s="24">
        <f>IF(D398="M",(IF(AG398&lt;2.5,BMILMS!$D$21*AG398^3+BMILMS!$E$21*AG398^2+BMILMS!$F$21*AG398+BMILMS!$G$21,IF(AG398&lt;9.5,BMILMS!$D$22*AG398^3+BMILMS!$E$22*AG398^2+BMILMS!$F$22*AG398+BMILMS!$G$22,IF(AG398&lt;26.75,BMILMS!$D$23*AG398^3+BMILMS!$E$23*AG398^2+BMILMS!$F$23*AG398+BMILMS!$G$23,IF(AG398&lt;90,BMILMS!$D$24*AG398^3+BMILMS!$E$24*AG398^2+BMILMS!$F$24*AG398+BMILMS!$G$24,BMILMS!$D$25*AG398^3+BMILMS!$E$25*AG398^2+BMILMS!$F$25*AG398+BMILMS!$G$25))))),(IF(AG398&lt;2.5,BMILMS!$D$27*AG398^3+BMILMS!$E$27*AG398^2+BMILMS!$F$27*AG398+BMILMS!$G$27,IF(AG398&lt;9.5,BMILMS!$D$28*AG398^3+BMILMS!$E$28*AG398^2+BMILMS!$F$28*AG398+BMILMS!$G$28,IF(AG398&lt;26.75,BMILMS!$D$29*AG398^3+BMILMS!$E$29*AG398^2+BMILMS!$F$29*AG398+BMILMS!$G$29,IF(AG398&lt;90,BMILMS!$D$30*AG398^3+BMILMS!$E$30*AG398^2+BMILMS!$F$30*AG398+BMILMS!$G$30,IF(AG398&lt;150,BMILMS!$D$31*AG398^3+BMILMS!$E$31*AG398^2+BMILMS!$F$31*AG398+BMILMS!$G$31,BMILMS!$D$32*AG398^3+BMILMS!$E$32*AG398^2+BMILMS!$F$32*AG398+BMILMS!$G$32)))))))</f>
        <v>12.568967990000001</v>
      </c>
      <c r="AF398" s="24">
        <f>IF(D398="M",(IF(AG398&lt;90,BMILMS!$D$14*AG398^3+BMILMS!$E$14*AG398^2+BMILMS!$F$14*AG398+BMILMS!$G$14,BMILMS!$D$15*AG398^3+BMILMS!$E$15*AG398^2+BMILMS!$F$15*AG398+BMILMS!$G$15)),(IF(AG398&lt;90,BMILMS!$D$17*AG398^3+BMILMS!$E$17*AG398^2+BMILMS!$F$17*AG398+BMILMS!$G$17,BMILMS!$D$18*AG398^3+BMILMS!$E$18*AG398^2+BMILMS!$F$18*AG398+BMILMS!$G$18)))</f>
        <v>8.8969350000000003E-2</v>
      </c>
      <c r="AG398" s="24">
        <f t="shared" si="112"/>
        <v>0</v>
      </c>
      <c r="AI398" s="38">
        <f>IF(D398="M",WeightSDS!P$5*$AG398^7+WeightSDS!Q$5*$AG398^6+WeightSDS!R$5*$AG398^5+WeightSDS!S$5*$AG398^4+WeightSDS!T$5*$AG398^3+WeightSDS!U$5*$AG398^2+WeightSDS!V$5*$AG398+WeightSDS!W$5,IF($AG398&lt;186,WeightSDS!P$8*$AG398^7+WeightSDS!Q$8*$AG398^6+WeightSDS!R$8*$AG398^5+WeightSDS!S$8*$AG398^4+WeightSDS!T$8*$AG398^3+WeightSDS!U$8*$AG398^2+WeightSDS!V$8*$AG398+WeightSDS!W$8,WeightSDS!$U$9-WeightSDS!$V$9*($AG398-WeightSDS!$W$9)))</f>
        <v>0.75407122999999998</v>
      </c>
      <c r="AJ398" s="24">
        <f>IF(D398="M",IF($AG398&lt;45,WeightSDS!M$23*$AG398^10+WeightSDS!N$23*$AG398^9+WeightSDS!O$23*$AG398^8+WeightSDS!P$23*$AG398^7+WeightSDS!Q$23*$AG398^6+WeightSDS!R$23*$AG398^5+WeightSDS!S$23*$AG398^4+WeightSDS!T$23*$AG398^3+WeightSDS!U$23*$AG398^2+WeightSDS!V$23*$AG398+WeightSDS!W$23,IF($AG398&lt;153,WeightSDS!M$25*$AG398^10+WeightSDS!N$25*$AG398^9+WeightSDS!O$25*$AG398^8+WeightSDS!P$25*$AG398^7+WeightSDS!Q$25*$AG398^6+WeightSDS!R$25*$AG398^5+WeightSDS!S$25*$AG398^4+WeightSDS!T$25*$AG398^3+WeightSDS!U$25*$AG398^2+WeightSDS!V$25*$AG398+WeightSDS!W$25,WeightSDS!M$27+WeightSDS!N$27/(1+EXP(WeightSDS!O$27+WeightSDS!P$27*$AG398)))),IF($AG398&lt;43.8,WeightSDS!M$29*$AG398^10+WeightSDS!N$29*$AG398^9+WeightSDS!O$29*$AG398^8+WeightSDS!P$29*$AG398^7+WeightSDS!Q$29*$AG398^6+WeightSDS!R$29*$AG398^5+WeightSDS!S$29*$AG398^4+WeightSDS!T$29*$AG398^3+WeightSDS!U$29*$AG398^2+WeightSDS!V$29*$AG398+WeightSDS!W$29-0.010431*(1-$AG398/210),IF($AG398&lt;123,WeightSDS!M$30*$AG398^10+WeightSDS!N$30*$AG398^9+WeightSDS!O$30*$AG398^8+WeightSDS!P$30*$AG398^7+WeightSDS!Q$30*$AG398^6+WeightSDS!R$30*$AG398^5+WeightSDS!S$30*$AG398^4+WeightSDS!T$30*$AG398^3+WeightSDS!U$30*$AG398^2+WeightSDS!V$30*$AG398+WeightSDS!W$30-0.010431*(1-1/$AG398),WeightSDS!M$32+WeightSDS!N$32/(1+EXP(WeightSDS!O$32+WeightSDS!P$32*$AG398))-0.010431*(1-$AG398/210))))</f>
        <v>2.9500001032655536</v>
      </c>
      <c r="AK398" s="24">
        <f>IF(D398="M",IF($AG398&lt;162,WeightSDS!P$12*$AG398^7+WeightSDS!Q$12*$AG398^6+WeightSDS!R$12*$AG398^5+WeightSDS!S$12*$AG398^4+WeightSDS!T$12*$AG398^3+WeightSDS!U$12*$AG398^2+WeightSDS!V$12*$AG398+WeightSDS!W$12,WeightSDS!P$14*$AG398^7+WeightSDS!Q$14*$AG398^6+WeightSDS!R$14*$AG398^5+WeightSDS!S$14*$AG398^4+WeightSDS!T$14*$AG398^3+WeightSDS!U$14*$AG398^2+WeightSDS!V$14*$AG398+WeightSDS!W$14),IF($AG398&lt;156,WeightSDS!O$17*$AG398^8+WeightSDS!P$17*$AG398^7+WeightSDS!Q$17*$AG398^6+WeightSDS!R$17*$AG398^5+WeightSDS!S$17*$AG398^4+WeightSDS!T$17*$AG398^3+WeightSDS!U$17*$AG398^2+WeightSDS!V$17*$AG398+WeightSDS!W$17,IF($AG398&lt;186,WeightSDS!$U$18+(WeightSDS!$V$18-WeightSDS!$U$18)/24*($AG398-186)+WeightSDS!$W$18*(-$AG398+186)^2-0.005,WeightSDS!$U$18+(WeightSDS!$V$18-WeightSDS!$U$18)/24*($AG398-186)-0.005)))</f>
        <v>0.14604529399999999</v>
      </c>
    </row>
    <row r="399" spans="1:37">
      <c r="A399" s="4"/>
      <c r="B399" s="21"/>
      <c r="C399" s="21"/>
      <c r="D399" s="21"/>
      <c r="E399" s="22"/>
      <c r="F399" s="22"/>
      <c r="G399" s="23"/>
      <c r="H399" s="23"/>
      <c r="I399" s="8" t="str">
        <f t="shared" si="98"/>
        <v/>
      </c>
      <c r="J399" s="2" t="str">
        <f t="shared" si="105"/>
        <v/>
      </c>
      <c r="K399" s="2" t="str">
        <f t="shared" si="99"/>
        <v/>
      </c>
      <c r="L399" s="2" t="str">
        <f t="shared" si="106"/>
        <v/>
      </c>
      <c r="M399" s="2" t="str">
        <f t="shared" si="111"/>
        <v/>
      </c>
      <c r="N399" s="2" t="str">
        <f t="shared" si="107"/>
        <v/>
      </c>
      <c r="O399" s="8" t="str">
        <f t="shared" si="108"/>
        <v/>
      </c>
      <c r="P399" s="8" t="str">
        <f t="shared" si="109"/>
        <v/>
      </c>
      <c r="Q399" s="40" t="str">
        <f t="shared" si="100"/>
        <v/>
      </c>
      <c r="R399" s="48" t="str">
        <f t="shared" si="110"/>
        <v/>
      </c>
      <c r="S399" s="8"/>
      <c r="U399" s="35">
        <f t="shared" si="101"/>
        <v>0</v>
      </c>
      <c r="V399" s="24">
        <f t="shared" si="102"/>
        <v>0</v>
      </c>
      <c r="W399" s="41">
        <f t="shared" si="97"/>
        <v>0</v>
      </c>
      <c r="X399" s="31"/>
      <c r="Y399" s="31"/>
      <c r="Z399" s="31"/>
      <c r="AA399" s="25">
        <f t="shared" si="103"/>
        <v>9.0359999999999996</v>
      </c>
      <c r="AB399" s="25">
        <f t="shared" si="104"/>
        <v>-184.49199999999999</v>
      </c>
      <c r="AD399" s="24">
        <f>IF(D399="M",IF(AG399&lt;78,BMILMS!$D$5*AG399^3+BMILMS!$E$5*AG399^2+BMILMS!$F$5*AG399+BMILMS!$G$5,IF(AG399&lt;150,BMILMS!$D$6*AG399^3+BMILMS!$E$6*AG399^2+BMILMS!$F$6*AG399+BMILMS!$G$6,BMILMS!$D$7*AG399^3+BMILMS!$E$7*AG399^2+BMILMS!$F$7*AG399+BMILMS!$G$7)),IF(AG399&lt;69,BMILMS!$D$9*AG399^3+BMILMS!$E$9*AG399^2+BMILMS!$F$9*AG399+BMILMS!$G$9,IF(AG399&lt;150,BMILMS!$D$10*AG399^3+BMILMS!$E$10*AG399^2+BMILMS!$F$10*AG399+BMILMS!$G$10,BMILMS!$D$11*AG399^3+BMILMS!$E$11*AG399^2+BMILMS!$F$11*AG399+BMILMS!$G$11)))</f>
        <v>0.79584630099999998</v>
      </c>
      <c r="AE399" s="24">
        <f>IF(D399="M",(IF(AG399&lt;2.5,BMILMS!$D$21*AG399^3+BMILMS!$E$21*AG399^2+BMILMS!$F$21*AG399+BMILMS!$G$21,IF(AG399&lt;9.5,BMILMS!$D$22*AG399^3+BMILMS!$E$22*AG399^2+BMILMS!$F$22*AG399+BMILMS!$G$22,IF(AG399&lt;26.75,BMILMS!$D$23*AG399^3+BMILMS!$E$23*AG399^2+BMILMS!$F$23*AG399+BMILMS!$G$23,IF(AG399&lt;90,BMILMS!$D$24*AG399^3+BMILMS!$E$24*AG399^2+BMILMS!$F$24*AG399+BMILMS!$G$24,BMILMS!$D$25*AG399^3+BMILMS!$E$25*AG399^2+BMILMS!$F$25*AG399+BMILMS!$G$25))))),(IF(AG399&lt;2.5,BMILMS!$D$27*AG399^3+BMILMS!$E$27*AG399^2+BMILMS!$F$27*AG399+BMILMS!$G$27,IF(AG399&lt;9.5,BMILMS!$D$28*AG399^3+BMILMS!$E$28*AG399^2+BMILMS!$F$28*AG399+BMILMS!$G$28,IF(AG399&lt;26.75,BMILMS!$D$29*AG399^3+BMILMS!$E$29*AG399^2+BMILMS!$F$29*AG399+BMILMS!$G$29,IF(AG399&lt;90,BMILMS!$D$30*AG399^3+BMILMS!$E$30*AG399^2+BMILMS!$F$30*AG399+BMILMS!$G$30,IF(AG399&lt;150,BMILMS!$D$31*AG399^3+BMILMS!$E$31*AG399^2+BMILMS!$F$31*AG399+BMILMS!$G$31,BMILMS!$D$32*AG399^3+BMILMS!$E$32*AG399^2+BMILMS!$F$32*AG399+BMILMS!$G$32)))))))</f>
        <v>12.568967990000001</v>
      </c>
      <c r="AF399" s="24">
        <f>IF(D399="M",(IF(AG399&lt;90,BMILMS!$D$14*AG399^3+BMILMS!$E$14*AG399^2+BMILMS!$F$14*AG399+BMILMS!$G$14,BMILMS!$D$15*AG399^3+BMILMS!$E$15*AG399^2+BMILMS!$F$15*AG399+BMILMS!$G$15)),(IF(AG399&lt;90,BMILMS!$D$17*AG399^3+BMILMS!$E$17*AG399^2+BMILMS!$F$17*AG399+BMILMS!$G$17,BMILMS!$D$18*AG399^3+BMILMS!$E$18*AG399^2+BMILMS!$F$18*AG399+BMILMS!$G$18)))</f>
        <v>8.8969350000000003E-2</v>
      </c>
      <c r="AG399" s="24">
        <f t="shared" si="112"/>
        <v>0</v>
      </c>
      <c r="AI399" s="38">
        <f>IF(D399="M",WeightSDS!P$5*$AG399^7+WeightSDS!Q$5*$AG399^6+WeightSDS!R$5*$AG399^5+WeightSDS!S$5*$AG399^4+WeightSDS!T$5*$AG399^3+WeightSDS!U$5*$AG399^2+WeightSDS!V$5*$AG399+WeightSDS!W$5,IF($AG399&lt;186,WeightSDS!P$8*$AG399^7+WeightSDS!Q$8*$AG399^6+WeightSDS!R$8*$AG399^5+WeightSDS!S$8*$AG399^4+WeightSDS!T$8*$AG399^3+WeightSDS!U$8*$AG399^2+WeightSDS!V$8*$AG399+WeightSDS!W$8,WeightSDS!$U$9-WeightSDS!$V$9*($AG399-WeightSDS!$W$9)))</f>
        <v>0.75407122999999998</v>
      </c>
      <c r="AJ399" s="24">
        <f>IF(D399="M",IF($AG399&lt;45,WeightSDS!M$23*$AG399^10+WeightSDS!N$23*$AG399^9+WeightSDS!O$23*$AG399^8+WeightSDS!P$23*$AG399^7+WeightSDS!Q$23*$AG399^6+WeightSDS!R$23*$AG399^5+WeightSDS!S$23*$AG399^4+WeightSDS!T$23*$AG399^3+WeightSDS!U$23*$AG399^2+WeightSDS!V$23*$AG399+WeightSDS!W$23,IF($AG399&lt;153,WeightSDS!M$25*$AG399^10+WeightSDS!N$25*$AG399^9+WeightSDS!O$25*$AG399^8+WeightSDS!P$25*$AG399^7+WeightSDS!Q$25*$AG399^6+WeightSDS!R$25*$AG399^5+WeightSDS!S$25*$AG399^4+WeightSDS!T$25*$AG399^3+WeightSDS!U$25*$AG399^2+WeightSDS!V$25*$AG399+WeightSDS!W$25,WeightSDS!M$27+WeightSDS!N$27/(1+EXP(WeightSDS!O$27+WeightSDS!P$27*$AG399)))),IF($AG399&lt;43.8,WeightSDS!M$29*$AG399^10+WeightSDS!N$29*$AG399^9+WeightSDS!O$29*$AG399^8+WeightSDS!P$29*$AG399^7+WeightSDS!Q$29*$AG399^6+WeightSDS!R$29*$AG399^5+WeightSDS!S$29*$AG399^4+WeightSDS!T$29*$AG399^3+WeightSDS!U$29*$AG399^2+WeightSDS!V$29*$AG399+WeightSDS!W$29-0.010431*(1-$AG399/210),IF($AG399&lt;123,WeightSDS!M$30*$AG399^10+WeightSDS!N$30*$AG399^9+WeightSDS!O$30*$AG399^8+WeightSDS!P$30*$AG399^7+WeightSDS!Q$30*$AG399^6+WeightSDS!R$30*$AG399^5+WeightSDS!S$30*$AG399^4+WeightSDS!T$30*$AG399^3+WeightSDS!U$30*$AG399^2+WeightSDS!V$30*$AG399+WeightSDS!W$30-0.010431*(1-1/$AG399),WeightSDS!M$32+WeightSDS!N$32/(1+EXP(WeightSDS!O$32+WeightSDS!P$32*$AG399))-0.010431*(1-$AG399/210))))</f>
        <v>2.9500001032655536</v>
      </c>
      <c r="AK399" s="24">
        <f>IF(D399="M",IF($AG399&lt;162,WeightSDS!P$12*$AG399^7+WeightSDS!Q$12*$AG399^6+WeightSDS!R$12*$AG399^5+WeightSDS!S$12*$AG399^4+WeightSDS!T$12*$AG399^3+WeightSDS!U$12*$AG399^2+WeightSDS!V$12*$AG399+WeightSDS!W$12,WeightSDS!P$14*$AG399^7+WeightSDS!Q$14*$AG399^6+WeightSDS!R$14*$AG399^5+WeightSDS!S$14*$AG399^4+WeightSDS!T$14*$AG399^3+WeightSDS!U$14*$AG399^2+WeightSDS!V$14*$AG399+WeightSDS!W$14),IF($AG399&lt;156,WeightSDS!O$17*$AG399^8+WeightSDS!P$17*$AG399^7+WeightSDS!Q$17*$AG399^6+WeightSDS!R$17*$AG399^5+WeightSDS!S$17*$AG399^4+WeightSDS!T$17*$AG399^3+WeightSDS!U$17*$AG399^2+WeightSDS!V$17*$AG399+WeightSDS!W$17,IF($AG399&lt;186,WeightSDS!$U$18+(WeightSDS!$V$18-WeightSDS!$U$18)/24*($AG399-186)+WeightSDS!$W$18*(-$AG399+186)^2-0.005,WeightSDS!$U$18+(WeightSDS!$V$18-WeightSDS!$U$18)/24*($AG399-186)-0.005)))</f>
        <v>0.14604529399999999</v>
      </c>
    </row>
    <row r="400" spans="1:37">
      <c r="A400" s="4"/>
      <c r="B400" s="21"/>
      <c r="C400" s="21"/>
      <c r="D400" s="21"/>
      <c r="E400" s="22"/>
      <c r="F400" s="22"/>
      <c r="G400" s="23"/>
      <c r="H400" s="23"/>
      <c r="I400" s="8" t="str">
        <f t="shared" si="98"/>
        <v/>
      </c>
      <c r="J400" s="2" t="str">
        <f t="shared" si="105"/>
        <v/>
      </c>
      <c r="K400" s="2" t="str">
        <f t="shared" si="99"/>
        <v/>
      </c>
      <c r="L400" s="2" t="str">
        <f t="shared" si="106"/>
        <v/>
      </c>
      <c r="M400" s="2" t="str">
        <f t="shared" si="111"/>
        <v/>
      </c>
      <c r="N400" s="2" t="str">
        <f t="shared" si="107"/>
        <v/>
      </c>
      <c r="O400" s="8" t="str">
        <f t="shared" si="108"/>
        <v/>
      </c>
      <c r="P400" s="8" t="str">
        <f t="shared" si="109"/>
        <v/>
      </c>
      <c r="Q400" s="40" t="str">
        <f t="shared" si="100"/>
        <v/>
      </c>
      <c r="R400" s="48" t="str">
        <f t="shared" si="110"/>
        <v/>
      </c>
      <c r="S400" s="8"/>
      <c r="U400" s="35">
        <f t="shared" si="101"/>
        <v>0</v>
      </c>
      <c r="V400" s="24">
        <f t="shared" si="102"/>
        <v>0</v>
      </c>
      <c r="W400" s="41">
        <f t="shared" si="97"/>
        <v>0</v>
      </c>
      <c r="X400" s="31"/>
      <c r="Y400" s="31"/>
      <c r="Z400" s="31"/>
      <c r="AA400" s="25">
        <f t="shared" si="103"/>
        <v>9.0359999999999996</v>
      </c>
      <c r="AB400" s="25">
        <f t="shared" si="104"/>
        <v>-184.49199999999999</v>
      </c>
      <c r="AD400" s="24">
        <f>IF(D400="M",IF(AG400&lt;78,BMILMS!$D$5*AG400^3+BMILMS!$E$5*AG400^2+BMILMS!$F$5*AG400+BMILMS!$G$5,IF(AG400&lt;150,BMILMS!$D$6*AG400^3+BMILMS!$E$6*AG400^2+BMILMS!$F$6*AG400+BMILMS!$G$6,BMILMS!$D$7*AG400^3+BMILMS!$E$7*AG400^2+BMILMS!$F$7*AG400+BMILMS!$G$7)),IF(AG400&lt;69,BMILMS!$D$9*AG400^3+BMILMS!$E$9*AG400^2+BMILMS!$F$9*AG400+BMILMS!$G$9,IF(AG400&lt;150,BMILMS!$D$10*AG400^3+BMILMS!$E$10*AG400^2+BMILMS!$F$10*AG400+BMILMS!$G$10,BMILMS!$D$11*AG400^3+BMILMS!$E$11*AG400^2+BMILMS!$F$11*AG400+BMILMS!$G$11)))</f>
        <v>0.79584630099999998</v>
      </c>
      <c r="AE400" s="24">
        <f>IF(D400="M",(IF(AG400&lt;2.5,BMILMS!$D$21*AG400^3+BMILMS!$E$21*AG400^2+BMILMS!$F$21*AG400+BMILMS!$G$21,IF(AG400&lt;9.5,BMILMS!$D$22*AG400^3+BMILMS!$E$22*AG400^2+BMILMS!$F$22*AG400+BMILMS!$G$22,IF(AG400&lt;26.75,BMILMS!$D$23*AG400^3+BMILMS!$E$23*AG400^2+BMILMS!$F$23*AG400+BMILMS!$G$23,IF(AG400&lt;90,BMILMS!$D$24*AG400^3+BMILMS!$E$24*AG400^2+BMILMS!$F$24*AG400+BMILMS!$G$24,BMILMS!$D$25*AG400^3+BMILMS!$E$25*AG400^2+BMILMS!$F$25*AG400+BMILMS!$G$25))))),(IF(AG400&lt;2.5,BMILMS!$D$27*AG400^3+BMILMS!$E$27*AG400^2+BMILMS!$F$27*AG400+BMILMS!$G$27,IF(AG400&lt;9.5,BMILMS!$D$28*AG400^3+BMILMS!$E$28*AG400^2+BMILMS!$F$28*AG400+BMILMS!$G$28,IF(AG400&lt;26.75,BMILMS!$D$29*AG400^3+BMILMS!$E$29*AG400^2+BMILMS!$F$29*AG400+BMILMS!$G$29,IF(AG400&lt;90,BMILMS!$D$30*AG400^3+BMILMS!$E$30*AG400^2+BMILMS!$F$30*AG400+BMILMS!$G$30,IF(AG400&lt;150,BMILMS!$D$31*AG400^3+BMILMS!$E$31*AG400^2+BMILMS!$F$31*AG400+BMILMS!$G$31,BMILMS!$D$32*AG400^3+BMILMS!$E$32*AG400^2+BMILMS!$F$32*AG400+BMILMS!$G$32)))))))</f>
        <v>12.568967990000001</v>
      </c>
      <c r="AF400" s="24">
        <f>IF(D400="M",(IF(AG400&lt;90,BMILMS!$D$14*AG400^3+BMILMS!$E$14*AG400^2+BMILMS!$F$14*AG400+BMILMS!$G$14,BMILMS!$D$15*AG400^3+BMILMS!$E$15*AG400^2+BMILMS!$F$15*AG400+BMILMS!$G$15)),(IF(AG400&lt;90,BMILMS!$D$17*AG400^3+BMILMS!$E$17*AG400^2+BMILMS!$F$17*AG400+BMILMS!$G$17,BMILMS!$D$18*AG400^3+BMILMS!$E$18*AG400^2+BMILMS!$F$18*AG400+BMILMS!$G$18)))</f>
        <v>8.8969350000000003E-2</v>
      </c>
      <c r="AG400" s="24">
        <f t="shared" si="112"/>
        <v>0</v>
      </c>
      <c r="AI400" s="38">
        <f>IF(D400="M",WeightSDS!P$5*$AG400^7+WeightSDS!Q$5*$AG400^6+WeightSDS!R$5*$AG400^5+WeightSDS!S$5*$AG400^4+WeightSDS!T$5*$AG400^3+WeightSDS!U$5*$AG400^2+WeightSDS!V$5*$AG400+WeightSDS!W$5,IF($AG400&lt;186,WeightSDS!P$8*$AG400^7+WeightSDS!Q$8*$AG400^6+WeightSDS!R$8*$AG400^5+WeightSDS!S$8*$AG400^4+WeightSDS!T$8*$AG400^3+WeightSDS!U$8*$AG400^2+WeightSDS!V$8*$AG400+WeightSDS!W$8,WeightSDS!$U$9-WeightSDS!$V$9*($AG400-WeightSDS!$W$9)))</f>
        <v>0.75407122999999998</v>
      </c>
      <c r="AJ400" s="24">
        <f>IF(D400="M",IF($AG400&lt;45,WeightSDS!M$23*$AG400^10+WeightSDS!N$23*$AG400^9+WeightSDS!O$23*$AG400^8+WeightSDS!P$23*$AG400^7+WeightSDS!Q$23*$AG400^6+WeightSDS!R$23*$AG400^5+WeightSDS!S$23*$AG400^4+WeightSDS!T$23*$AG400^3+WeightSDS!U$23*$AG400^2+WeightSDS!V$23*$AG400+WeightSDS!W$23,IF($AG400&lt;153,WeightSDS!M$25*$AG400^10+WeightSDS!N$25*$AG400^9+WeightSDS!O$25*$AG400^8+WeightSDS!P$25*$AG400^7+WeightSDS!Q$25*$AG400^6+WeightSDS!R$25*$AG400^5+WeightSDS!S$25*$AG400^4+WeightSDS!T$25*$AG400^3+WeightSDS!U$25*$AG400^2+WeightSDS!V$25*$AG400+WeightSDS!W$25,WeightSDS!M$27+WeightSDS!N$27/(1+EXP(WeightSDS!O$27+WeightSDS!P$27*$AG400)))),IF($AG400&lt;43.8,WeightSDS!M$29*$AG400^10+WeightSDS!N$29*$AG400^9+WeightSDS!O$29*$AG400^8+WeightSDS!P$29*$AG400^7+WeightSDS!Q$29*$AG400^6+WeightSDS!R$29*$AG400^5+WeightSDS!S$29*$AG400^4+WeightSDS!T$29*$AG400^3+WeightSDS!U$29*$AG400^2+WeightSDS!V$29*$AG400+WeightSDS!W$29-0.010431*(1-$AG400/210),IF($AG400&lt;123,WeightSDS!M$30*$AG400^10+WeightSDS!N$30*$AG400^9+WeightSDS!O$30*$AG400^8+WeightSDS!P$30*$AG400^7+WeightSDS!Q$30*$AG400^6+WeightSDS!R$30*$AG400^5+WeightSDS!S$30*$AG400^4+WeightSDS!T$30*$AG400^3+WeightSDS!U$30*$AG400^2+WeightSDS!V$30*$AG400+WeightSDS!W$30-0.010431*(1-1/$AG400),WeightSDS!M$32+WeightSDS!N$32/(1+EXP(WeightSDS!O$32+WeightSDS!P$32*$AG400))-0.010431*(1-$AG400/210))))</f>
        <v>2.9500001032655536</v>
      </c>
      <c r="AK400" s="24">
        <f>IF(D400="M",IF($AG400&lt;162,WeightSDS!P$12*$AG400^7+WeightSDS!Q$12*$AG400^6+WeightSDS!R$12*$AG400^5+WeightSDS!S$12*$AG400^4+WeightSDS!T$12*$AG400^3+WeightSDS!U$12*$AG400^2+WeightSDS!V$12*$AG400+WeightSDS!W$12,WeightSDS!P$14*$AG400^7+WeightSDS!Q$14*$AG400^6+WeightSDS!R$14*$AG400^5+WeightSDS!S$14*$AG400^4+WeightSDS!T$14*$AG400^3+WeightSDS!U$14*$AG400^2+WeightSDS!V$14*$AG400+WeightSDS!W$14),IF($AG400&lt;156,WeightSDS!O$17*$AG400^8+WeightSDS!P$17*$AG400^7+WeightSDS!Q$17*$AG400^6+WeightSDS!R$17*$AG400^5+WeightSDS!S$17*$AG400^4+WeightSDS!T$17*$AG400^3+WeightSDS!U$17*$AG400^2+WeightSDS!V$17*$AG400+WeightSDS!W$17,IF($AG400&lt;186,WeightSDS!$U$18+(WeightSDS!$V$18-WeightSDS!$U$18)/24*($AG400-186)+WeightSDS!$W$18*(-$AG400+186)^2-0.005,WeightSDS!$U$18+(WeightSDS!$V$18-WeightSDS!$U$18)/24*($AG400-186)-0.005)))</f>
        <v>0.14604529399999999</v>
      </c>
    </row>
    <row r="401" spans="1:37">
      <c r="A401" s="4"/>
      <c r="B401" s="21"/>
      <c r="C401" s="21"/>
      <c r="D401" s="21"/>
      <c r="E401" s="22"/>
      <c r="F401" s="22"/>
      <c r="G401" s="23"/>
      <c r="H401" s="23"/>
      <c r="I401" s="8" t="str">
        <f t="shared" si="98"/>
        <v/>
      </c>
      <c r="J401" s="2" t="str">
        <f t="shared" si="105"/>
        <v/>
      </c>
      <c r="K401" s="2" t="str">
        <f t="shared" si="99"/>
        <v/>
      </c>
      <c r="L401" s="2" t="str">
        <f t="shared" si="106"/>
        <v/>
      </c>
      <c r="M401" s="2" t="str">
        <f t="shared" si="111"/>
        <v/>
      </c>
      <c r="N401" s="2" t="str">
        <f t="shared" si="107"/>
        <v/>
      </c>
      <c r="O401" s="8" t="str">
        <f t="shared" si="108"/>
        <v/>
      </c>
      <c r="P401" s="8" t="str">
        <f t="shared" si="109"/>
        <v/>
      </c>
      <c r="Q401" s="40" t="str">
        <f t="shared" si="100"/>
        <v/>
      </c>
      <c r="R401" s="48" t="str">
        <f t="shared" si="110"/>
        <v/>
      </c>
      <c r="S401" s="8"/>
      <c r="U401" s="35">
        <f t="shared" si="101"/>
        <v>0</v>
      </c>
      <c r="V401" s="24">
        <f t="shared" si="102"/>
        <v>0</v>
      </c>
      <c r="W401" s="41">
        <f t="shared" si="97"/>
        <v>0</v>
      </c>
      <c r="X401" s="31"/>
      <c r="Y401" s="31"/>
      <c r="Z401" s="31"/>
      <c r="AA401" s="25">
        <f t="shared" si="103"/>
        <v>9.0359999999999996</v>
      </c>
      <c r="AB401" s="25">
        <f t="shared" si="104"/>
        <v>-184.49199999999999</v>
      </c>
      <c r="AD401" s="24">
        <f>IF(D401="M",IF(AG401&lt;78,BMILMS!$D$5*AG401^3+BMILMS!$E$5*AG401^2+BMILMS!$F$5*AG401+BMILMS!$G$5,IF(AG401&lt;150,BMILMS!$D$6*AG401^3+BMILMS!$E$6*AG401^2+BMILMS!$F$6*AG401+BMILMS!$G$6,BMILMS!$D$7*AG401^3+BMILMS!$E$7*AG401^2+BMILMS!$F$7*AG401+BMILMS!$G$7)),IF(AG401&lt;69,BMILMS!$D$9*AG401^3+BMILMS!$E$9*AG401^2+BMILMS!$F$9*AG401+BMILMS!$G$9,IF(AG401&lt;150,BMILMS!$D$10*AG401^3+BMILMS!$E$10*AG401^2+BMILMS!$F$10*AG401+BMILMS!$G$10,BMILMS!$D$11*AG401^3+BMILMS!$E$11*AG401^2+BMILMS!$F$11*AG401+BMILMS!$G$11)))</f>
        <v>0.79584630099999998</v>
      </c>
      <c r="AE401" s="24">
        <f>IF(D401="M",(IF(AG401&lt;2.5,BMILMS!$D$21*AG401^3+BMILMS!$E$21*AG401^2+BMILMS!$F$21*AG401+BMILMS!$G$21,IF(AG401&lt;9.5,BMILMS!$D$22*AG401^3+BMILMS!$E$22*AG401^2+BMILMS!$F$22*AG401+BMILMS!$G$22,IF(AG401&lt;26.75,BMILMS!$D$23*AG401^3+BMILMS!$E$23*AG401^2+BMILMS!$F$23*AG401+BMILMS!$G$23,IF(AG401&lt;90,BMILMS!$D$24*AG401^3+BMILMS!$E$24*AG401^2+BMILMS!$F$24*AG401+BMILMS!$G$24,BMILMS!$D$25*AG401^3+BMILMS!$E$25*AG401^2+BMILMS!$F$25*AG401+BMILMS!$G$25))))),(IF(AG401&lt;2.5,BMILMS!$D$27*AG401^3+BMILMS!$E$27*AG401^2+BMILMS!$F$27*AG401+BMILMS!$G$27,IF(AG401&lt;9.5,BMILMS!$D$28*AG401^3+BMILMS!$E$28*AG401^2+BMILMS!$F$28*AG401+BMILMS!$G$28,IF(AG401&lt;26.75,BMILMS!$D$29*AG401^3+BMILMS!$E$29*AG401^2+BMILMS!$F$29*AG401+BMILMS!$G$29,IF(AG401&lt;90,BMILMS!$D$30*AG401^3+BMILMS!$E$30*AG401^2+BMILMS!$F$30*AG401+BMILMS!$G$30,IF(AG401&lt;150,BMILMS!$D$31*AG401^3+BMILMS!$E$31*AG401^2+BMILMS!$F$31*AG401+BMILMS!$G$31,BMILMS!$D$32*AG401^3+BMILMS!$E$32*AG401^2+BMILMS!$F$32*AG401+BMILMS!$G$32)))))))</f>
        <v>12.568967990000001</v>
      </c>
      <c r="AF401" s="24">
        <f>IF(D401="M",(IF(AG401&lt;90,BMILMS!$D$14*AG401^3+BMILMS!$E$14*AG401^2+BMILMS!$F$14*AG401+BMILMS!$G$14,BMILMS!$D$15*AG401^3+BMILMS!$E$15*AG401^2+BMILMS!$F$15*AG401+BMILMS!$G$15)),(IF(AG401&lt;90,BMILMS!$D$17*AG401^3+BMILMS!$E$17*AG401^2+BMILMS!$F$17*AG401+BMILMS!$G$17,BMILMS!$D$18*AG401^3+BMILMS!$E$18*AG401^2+BMILMS!$F$18*AG401+BMILMS!$G$18)))</f>
        <v>8.8969350000000003E-2</v>
      </c>
      <c r="AG401" s="24">
        <f t="shared" si="112"/>
        <v>0</v>
      </c>
      <c r="AI401" s="38">
        <f>IF(D401="M",WeightSDS!P$5*$AG401^7+WeightSDS!Q$5*$AG401^6+WeightSDS!R$5*$AG401^5+WeightSDS!S$5*$AG401^4+WeightSDS!T$5*$AG401^3+WeightSDS!U$5*$AG401^2+WeightSDS!V$5*$AG401+WeightSDS!W$5,IF($AG401&lt;186,WeightSDS!P$8*$AG401^7+WeightSDS!Q$8*$AG401^6+WeightSDS!R$8*$AG401^5+WeightSDS!S$8*$AG401^4+WeightSDS!T$8*$AG401^3+WeightSDS!U$8*$AG401^2+WeightSDS!V$8*$AG401+WeightSDS!W$8,WeightSDS!$U$9-WeightSDS!$V$9*($AG401-WeightSDS!$W$9)))</f>
        <v>0.75407122999999998</v>
      </c>
      <c r="AJ401" s="24">
        <f>IF(D401="M",IF($AG401&lt;45,WeightSDS!M$23*$AG401^10+WeightSDS!N$23*$AG401^9+WeightSDS!O$23*$AG401^8+WeightSDS!P$23*$AG401^7+WeightSDS!Q$23*$AG401^6+WeightSDS!R$23*$AG401^5+WeightSDS!S$23*$AG401^4+WeightSDS!T$23*$AG401^3+WeightSDS!U$23*$AG401^2+WeightSDS!V$23*$AG401+WeightSDS!W$23,IF($AG401&lt;153,WeightSDS!M$25*$AG401^10+WeightSDS!N$25*$AG401^9+WeightSDS!O$25*$AG401^8+WeightSDS!P$25*$AG401^7+WeightSDS!Q$25*$AG401^6+WeightSDS!R$25*$AG401^5+WeightSDS!S$25*$AG401^4+WeightSDS!T$25*$AG401^3+WeightSDS!U$25*$AG401^2+WeightSDS!V$25*$AG401+WeightSDS!W$25,WeightSDS!M$27+WeightSDS!N$27/(1+EXP(WeightSDS!O$27+WeightSDS!P$27*$AG401)))),IF($AG401&lt;43.8,WeightSDS!M$29*$AG401^10+WeightSDS!N$29*$AG401^9+WeightSDS!O$29*$AG401^8+WeightSDS!P$29*$AG401^7+WeightSDS!Q$29*$AG401^6+WeightSDS!R$29*$AG401^5+WeightSDS!S$29*$AG401^4+WeightSDS!T$29*$AG401^3+WeightSDS!U$29*$AG401^2+WeightSDS!V$29*$AG401+WeightSDS!W$29-0.010431*(1-$AG401/210),IF($AG401&lt;123,WeightSDS!M$30*$AG401^10+WeightSDS!N$30*$AG401^9+WeightSDS!O$30*$AG401^8+WeightSDS!P$30*$AG401^7+WeightSDS!Q$30*$AG401^6+WeightSDS!R$30*$AG401^5+WeightSDS!S$30*$AG401^4+WeightSDS!T$30*$AG401^3+WeightSDS!U$30*$AG401^2+WeightSDS!V$30*$AG401+WeightSDS!W$30-0.010431*(1-1/$AG401),WeightSDS!M$32+WeightSDS!N$32/(1+EXP(WeightSDS!O$32+WeightSDS!P$32*$AG401))-0.010431*(1-$AG401/210))))</f>
        <v>2.9500001032655536</v>
      </c>
      <c r="AK401" s="24">
        <f>IF(D401="M",IF($AG401&lt;162,WeightSDS!P$12*$AG401^7+WeightSDS!Q$12*$AG401^6+WeightSDS!R$12*$AG401^5+WeightSDS!S$12*$AG401^4+WeightSDS!T$12*$AG401^3+WeightSDS!U$12*$AG401^2+WeightSDS!V$12*$AG401+WeightSDS!W$12,WeightSDS!P$14*$AG401^7+WeightSDS!Q$14*$AG401^6+WeightSDS!R$14*$AG401^5+WeightSDS!S$14*$AG401^4+WeightSDS!T$14*$AG401^3+WeightSDS!U$14*$AG401^2+WeightSDS!V$14*$AG401+WeightSDS!W$14),IF($AG401&lt;156,WeightSDS!O$17*$AG401^8+WeightSDS!P$17*$AG401^7+WeightSDS!Q$17*$AG401^6+WeightSDS!R$17*$AG401^5+WeightSDS!S$17*$AG401^4+WeightSDS!T$17*$AG401^3+WeightSDS!U$17*$AG401^2+WeightSDS!V$17*$AG401+WeightSDS!W$17,IF($AG401&lt;186,WeightSDS!$U$18+(WeightSDS!$V$18-WeightSDS!$U$18)/24*($AG401-186)+WeightSDS!$W$18*(-$AG401+186)^2-0.005,WeightSDS!$U$18+(WeightSDS!$V$18-WeightSDS!$U$18)/24*($AG401-186)-0.005)))</f>
        <v>0.14604529399999999</v>
      </c>
    </row>
    <row r="402" spans="1:37">
      <c r="A402" s="4"/>
      <c r="B402" s="21"/>
      <c r="C402" s="21"/>
      <c r="D402" s="21"/>
      <c r="E402" s="22"/>
      <c r="F402" s="22"/>
      <c r="G402" s="23"/>
      <c r="H402" s="23"/>
      <c r="I402" s="8" t="str">
        <f t="shared" si="98"/>
        <v/>
      </c>
      <c r="J402" s="2" t="str">
        <f t="shared" si="105"/>
        <v/>
      </c>
      <c r="K402" s="2" t="str">
        <f t="shared" si="99"/>
        <v/>
      </c>
      <c r="L402" s="2" t="str">
        <f t="shared" si="106"/>
        <v/>
      </c>
      <c r="M402" s="2" t="str">
        <f t="shared" si="111"/>
        <v/>
      </c>
      <c r="N402" s="2" t="str">
        <f t="shared" si="107"/>
        <v/>
      </c>
      <c r="O402" s="8" t="str">
        <f t="shared" si="108"/>
        <v/>
      </c>
      <c r="P402" s="8" t="str">
        <f t="shared" si="109"/>
        <v/>
      </c>
      <c r="Q402" s="40" t="str">
        <f t="shared" si="100"/>
        <v/>
      </c>
      <c r="R402" s="48" t="str">
        <f t="shared" si="110"/>
        <v/>
      </c>
      <c r="S402" s="8"/>
      <c r="U402" s="35">
        <f t="shared" si="101"/>
        <v>0</v>
      </c>
      <c r="V402" s="24">
        <f t="shared" si="102"/>
        <v>0</v>
      </c>
      <c r="W402" s="41">
        <f t="shared" si="97"/>
        <v>0</v>
      </c>
      <c r="X402" s="31"/>
      <c r="Y402" s="31"/>
      <c r="Z402" s="31"/>
      <c r="AA402" s="25">
        <f t="shared" si="103"/>
        <v>9.0359999999999996</v>
      </c>
      <c r="AB402" s="25">
        <f t="shared" si="104"/>
        <v>-184.49199999999999</v>
      </c>
      <c r="AD402" s="24">
        <f>IF(D402="M",IF(AG402&lt;78,BMILMS!$D$5*AG402^3+BMILMS!$E$5*AG402^2+BMILMS!$F$5*AG402+BMILMS!$G$5,IF(AG402&lt;150,BMILMS!$D$6*AG402^3+BMILMS!$E$6*AG402^2+BMILMS!$F$6*AG402+BMILMS!$G$6,BMILMS!$D$7*AG402^3+BMILMS!$E$7*AG402^2+BMILMS!$F$7*AG402+BMILMS!$G$7)),IF(AG402&lt;69,BMILMS!$D$9*AG402^3+BMILMS!$E$9*AG402^2+BMILMS!$F$9*AG402+BMILMS!$G$9,IF(AG402&lt;150,BMILMS!$D$10*AG402^3+BMILMS!$E$10*AG402^2+BMILMS!$F$10*AG402+BMILMS!$G$10,BMILMS!$D$11*AG402^3+BMILMS!$E$11*AG402^2+BMILMS!$F$11*AG402+BMILMS!$G$11)))</f>
        <v>0.79584630099999998</v>
      </c>
      <c r="AE402" s="24">
        <f>IF(D402="M",(IF(AG402&lt;2.5,BMILMS!$D$21*AG402^3+BMILMS!$E$21*AG402^2+BMILMS!$F$21*AG402+BMILMS!$G$21,IF(AG402&lt;9.5,BMILMS!$D$22*AG402^3+BMILMS!$E$22*AG402^2+BMILMS!$F$22*AG402+BMILMS!$G$22,IF(AG402&lt;26.75,BMILMS!$D$23*AG402^3+BMILMS!$E$23*AG402^2+BMILMS!$F$23*AG402+BMILMS!$G$23,IF(AG402&lt;90,BMILMS!$D$24*AG402^3+BMILMS!$E$24*AG402^2+BMILMS!$F$24*AG402+BMILMS!$G$24,BMILMS!$D$25*AG402^3+BMILMS!$E$25*AG402^2+BMILMS!$F$25*AG402+BMILMS!$G$25))))),(IF(AG402&lt;2.5,BMILMS!$D$27*AG402^3+BMILMS!$E$27*AG402^2+BMILMS!$F$27*AG402+BMILMS!$G$27,IF(AG402&lt;9.5,BMILMS!$D$28*AG402^3+BMILMS!$E$28*AG402^2+BMILMS!$F$28*AG402+BMILMS!$G$28,IF(AG402&lt;26.75,BMILMS!$D$29*AG402^3+BMILMS!$E$29*AG402^2+BMILMS!$F$29*AG402+BMILMS!$G$29,IF(AG402&lt;90,BMILMS!$D$30*AG402^3+BMILMS!$E$30*AG402^2+BMILMS!$F$30*AG402+BMILMS!$G$30,IF(AG402&lt;150,BMILMS!$D$31*AG402^3+BMILMS!$E$31*AG402^2+BMILMS!$F$31*AG402+BMILMS!$G$31,BMILMS!$D$32*AG402^3+BMILMS!$E$32*AG402^2+BMILMS!$F$32*AG402+BMILMS!$G$32)))))))</f>
        <v>12.568967990000001</v>
      </c>
      <c r="AF402" s="24">
        <f>IF(D402="M",(IF(AG402&lt;90,BMILMS!$D$14*AG402^3+BMILMS!$E$14*AG402^2+BMILMS!$F$14*AG402+BMILMS!$G$14,BMILMS!$D$15*AG402^3+BMILMS!$E$15*AG402^2+BMILMS!$F$15*AG402+BMILMS!$G$15)),(IF(AG402&lt;90,BMILMS!$D$17*AG402^3+BMILMS!$E$17*AG402^2+BMILMS!$F$17*AG402+BMILMS!$G$17,BMILMS!$D$18*AG402^3+BMILMS!$E$18*AG402^2+BMILMS!$F$18*AG402+BMILMS!$G$18)))</f>
        <v>8.8969350000000003E-2</v>
      </c>
      <c r="AG402" s="24">
        <f t="shared" si="112"/>
        <v>0</v>
      </c>
      <c r="AI402" s="38">
        <f>IF(D402="M",WeightSDS!P$5*$AG402^7+WeightSDS!Q$5*$AG402^6+WeightSDS!R$5*$AG402^5+WeightSDS!S$5*$AG402^4+WeightSDS!T$5*$AG402^3+WeightSDS!U$5*$AG402^2+WeightSDS!V$5*$AG402+WeightSDS!W$5,IF($AG402&lt;186,WeightSDS!P$8*$AG402^7+WeightSDS!Q$8*$AG402^6+WeightSDS!R$8*$AG402^5+WeightSDS!S$8*$AG402^4+WeightSDS!T$8*$AG402^3+WeightSDS!U$8*$AG402^2+WeightSDS!V$8*$AG402+WeightSDS!W$8,WeightSDS!$U$9-WeightSDS!$V$9*($AG402-WeightSDS!$W$9)))</f>
        <v>0.75407122999999998</v>
      </c>
      <c r="AJ402" s="24">
        <f>IF(D402="M",IF($AG402&lt;45,WeightSDS!M$23*$AG402^10+WeightSDS!N$23*$AG402^9+WeightSDS!O$23*$AG402^8+WeightSDS!P$23*$AG402^7+WeightSDS!Q$23*$AG402^6+WeightSDS!R$23*$AG402^5+WeightSDS!S$23*$AG402^4+WeightSDS!T$23*$AG402^3+WeightSDS!U$23*$AG402^2+WeightSDS!V$23*$AG402+WeightSDS!W$23,IF($AG402&lt;153,WeightSDS!M$25*$AG402^10+WeightSDS!N$25*$AG402^9+WeightSDS!O$25*$AG402^8+WeightSDS!P$25*$AG402^7+WeightSDS!Q$25*$AG402^6+WeightSDS!R$25*$AG402^5+WeightSDS!S$25*$AG402^4+WeightSDS!T$25*$AG402^3+WeightSDS!U$25*$AG402^2+WeightSDS!V$25*$AG402+WeightSDS!W$25,WeightSDS!M$27+WeightSDS!N$27/(1+EXP(WeightSDS!O$27+WeightSDS!P$27*$AG402)))),IF($AG402&lt;43.8,WeightSDS!M$29*$AG402^10+WeightSDS!N$29*$AG402^9+WeightSDS!O$29*$AG402^8+WeightSDS!P$29*$AG402^7+WeightSDS!Q$29*$AG402^6+WeightSDS!R$29*$AG402^5+WeightSDS!S$29*$AG402^4+WeightSDS!T$29*$AG402^3+WeightSDS!U$29*$AG402^2+WeightSDS!V$29*$AG402+WeightSDS!W$29-0.010431*(1-$AG402/210),IF($AG402&lt;123,WeightSDS!M$30*$AG402^10+WeightSDS!N$30*$AG402^9+WeightSDS!O$30*$AG402^8+WeightSDS!P$30*$AG402^7+WeightSDS!Q$30*$AG402^6+WeightSDS!R$30*$AG402^5+WeightSDS!S$30*$AG402^4+WeightSDS!T$30*$AG402^3+WeightSDS!U$30*$AG402^2+WeightSDS!V$30*$AG402+WeightSDS!W$30-0.010431*(1-1/$AG402),WeightSDS!M$32+WeightSDS!N$32/(1+EXP(WeightSDS!O$32+WeightSDS!P$32*$AG402))-0.010431*(1-$AG402/210))))</f>
        <v>2.9500001032655536</v>
      </c>
      <c r="AK402" s="24">
        <f>IF(D402="M",IF($AG402&lt;162,WeightSDS!P$12*$AG402^7+WeightSDS!Q$12*$AG402^6+WeightSDS!R$12*$AG402^5+WeightSDS!S$12*$AG402^4+WeightSDS!T$12*$AG402^3+WeightSDS!U$12*$AG402^2+WeightSDS!V$12*$AG402+WeightSDS!W$12,WeightSDS!P$14*$AG402^7+WeightSDS!Q$14*$AG402^6+WeightSDS!R$14*$AG402^5+WeightSDS!S$14*$AG402^4+WeightSDS!T$14*$AG402^3+WeightSDS!U$14*$AG402^2+WeightSDS!V$14*$AG402+WeightSDS!W$14),IF($AG402&lt;156,WeightSDS!O$17*$AG402^8+WeightSDS!P$17*$AG402^7+WeightSDS!Q$17*$AG402^6+WeightSDS!R$17*$AG402^5+WeightSDS!S$17*$AG402^4+WeightSDS!T$17*$AG402^3+WeightSDS!U$17*$AG402^2+WeightSDS!V$17*$AG402+WeightSDS!W$17,IF($AG402&lt;186,WeightSDS!$U$18+(WeightSDS!$V$18-WeightSDS!$U$18)/24*($AG402-186)+WeightSDS!$W$18*(-$AG402+186)^2-0.005,WeightSDS!$U$18+(WeightSDS!$V$18-WeightSDS!$U$18)/24*($AG402-186)-0.005)))</f>
        <v>0.14604529399999999</v>
      </c>
    </row>
    <row r="403" spans="1:37">
      <c r="A403" s="4"/>
      <c r="B403" s="21"/>
      <c r="C403" s="21"/>
      <c r="D403" s="21"/>
      <c r="E403" s="22"/>
      <c r="F403" s="22"/>
      <c r="G403" s="23"/>
      <c r="H403" s="23"/>
      <c r="I403" s="8" t="str">
        <f t="shared" si="98"/>
        <v/>
      </c>
      <c r="J403" s="2" t="str">
        <f t="shared" si="105"/>
        <v/>
      </c>
      <c r="K403" s="2" t="str">
        <f t="shared" si="99"/>
        <v/>
      </c>
      <c r="L403" s="2" t="str">
        <f t="shared" si="106"/>
        <v/>
      </c>
      <c r="M403" s="2" t="str">
        <f t="shared" si="111"/>
        <v/>
      </c>
      <c r="N403" s="2" t="str">
        <f t="shared" si="107"/>
        <v/>
      </c>
      <c r="O403" s="8" t="str">
        <f t="shared" si="108"/>
        <v/>
      </c>
      <c r="P403" s="8" t="str">
        <f t="shared" si="109"/>
        <v/>
      </c>
      <c r="Q403" s="40" t="str">
        <f t="shared" si="100"/>
        <v/>
      </c>
      <c r="R403" s="48" t="str">
        <f t="shared" si="110"/>
        <v/>
      </c>
      <c r="S403" s="8"/>
      <c r="U403" s="35">
        <f t="shared" si="101"/>
        <v>0</v>
      </c>
      <c r="V403" s="24">
        <f t="shared" si="102"/>
        <v>0</v>
      </c>
      <c r="W403" s="41">
        <f t="shared" si="97"/>
        <v>0</v>
      </c>
      <c r="X403" s="31"/>
      <c r="Y403" s="31"/>
      <c r="Z403" s="31"/>
      <c r="AA403" s="25">
        <f t="shared" si="103"/>
        <v>9.0359999999999996</v>
      </c>
      <c r="AB403" s="25">
        <f t="shared" si="104"/>
        <v>-184.49199999999999</v>
      </c>
      <c r="AD403" s="24">
        <f>IF(D403="M",IF(AG403&lt;78,BMILMS!$D$5*AG403^3+BMILMS!$E$5*AG403^2+BMILMS!$F$5*AG403+BMILMS!$G$5,IF(AG403&lt;150,BMILMS!$D$6*AG403^3+BMILMS!$E$6*AG403^2+BMILMS!$F$6*AG403+BMILMS!$G$6,BMILMS!$D$7*AG403^3+BMILMS!$E$7*AG403^2+BMILMS!$F$7*AG403+BMILMS!$G$7)),IF(AG403&lt;69,BMILMS!$D$9*AG403^3+BMILMS!$E$9*AG403^2+BMILMS!$F$9*AG403+BMILMS!$G$9,IF(AG403&lt;150,BMILMS!$D$10*AG403^3+BMILMS!$E$10*AG403^2+BMILMS!$F$10*AG403+BMILMS!$G$10,BMILMS!$D$11*AG403^3+BMILMS!$E$11*AG403^2+BMILMS!$F$11*AG403+BMILMS!$G$11)))</f>
        <v>0.79584630099999998</v>
      </c>
      <c r="AE403" s="24">
        <f>IF(D403="M",(IF(AG403&lt;2.5,BMILMS!$D$21*AG403^3+BMILMS!$E$21*AG403^2+BMILMS!$F$21*AG403+BMILMS!$G$21,IF(AG403&lt;9.5,BMILMS!$D$22*AG403^3+BMILMS!$E$22*AG403^2+BMILMS!$F$22*AG403+BMILMS!$G$22,IF(AG403&lt;26.75,BMILMS!$D$23*AG403^3+BMILMS!$E$23*AG403^2+BMILMS!$F$23*AG403+BMILMS!$G$23,IF(AG403&lt;90,BMILMS!$D$24*AG403^3+BMILMS!$E$24*AG403^2+BMILMS!$F$24*AG403+BMILMS!$G$24,BMILMS!$D$25*AG403^3+BMILMS!$E$25*AG403^2+BMILMS!$F$25*AG403+BMILMS!$G$25))))),(IF(AG403&lt;2.5,BMILMS!$D$27*AG403^3+BMILMS!$E$27*AG403^2+BMILMS!$F$27*AG403+BMILMS!$G$27,IF(AG403&lt;9.5,BMILMS!$D$28*AG403^3+BMILMS!$E$28*AG403^2+BMILMS!$F$28*AG403+BMILMS!$G$28,IF(AG403&lt;26.75,BMILMS!$D$29*AG403^3+BMILMS!$E$29*AG403^2+BMILMS!$F$29*AG403+BMILMS!$G$29,IF(AG403&lt;90,BMILMS!$D$30*AG403^3+BMILMS!$E$30*AG403^2+BMILMS!$F$30*AG403+BMILMS!$G$30,IF(AG403&lt;150,BMILMS!$D$31*AG403^3+BMILMS!$E$31*AG403^2+BMILMS!$F$31*AG403+BMILMS!$G$31,BMILMS!$D$32*AG403^3+BMILMS!$E$32*AG403^2+BMILMS!$F$32*AG403+BMILMS!$G$32)))))))</f>
        <v>12.568967990000001</v>
      </c>
      <c r="AF403" s="24">
        <f>IF(D403="M",(IF(AG403&lt;90,BMILMS!$D$14*AG403^3+BMILMS!$E$14*AG403^2+BMILMS!$F$14*AG403+BMILMS!$G$14,BMILMS!$D$15*AG403^3+BMILMS!$E$15*AG403^2+BMILMS!$F$15*AG403+BMILMS!$G$15)),(IF(AG403&lt;90,BMILMS!$D$17*AG403^3+BMILMS!$E$17*AG403^2+BMILMS!$F$17*AG403+BMILMS!$G$17,BMILMS!$D$18*AG403^3+BMILMS!$E$18*AG403^2+BMILMS!$F$18*AG403+BMILMS!$G$18)))</f>
        <v>8.8969350000000003E-2</v>
      </c>
      <c r="AG403" s="24">
        <f t="shared" si="112"/>
        <v>0</v>
      </c>
      <c r="AI403" s="38">
        <f>IF(D403="M",WeightSDS!P$5*$AG403^7+WeightSDS!Q$5*$AG403^6+WeightSDS!R$5*$AG403^5+WeightSDS!S$5*$AG403^4+WeightSDS!T$5*$AG403^3+WeightSDS!U$5*$AG403^2+WeightSDS!V$5*$AG403+WeightSDS!W$5,IF($AG403&lt;186,WeightSDS!P$8*$AG403^7+WeightSDS!Q$8*$AG403^6+WeightSDS!R$8*$AG403^5+WeightSDS!S$8*$AG403^4+WeightSDS!T$8*$AG403^3+WeightSDS!U$8*$AG403^2+WeightSDS!V$8*$AG403+WeightSDS!W$8,WeightSDS!$U$9-WeightSDS!$V$9*($AG403-WeightSDS!$W$9)))</f>
        <v>0.75407122999999998</v>
      </c>
      <c r="AJ403" s="24">
        <f>IF(D403="M",IF($AG403&lt;45,WeightSDS!M$23*$AG403^10+WeightSDS!N$23*$AG403^9+WeightSDS!O$23*$AG403^8+WeightSDS!P$23*$AG403^7+WeightSDS!Q$23*$AG403^6+WeightSDS!R$23*$AG403^5+WeightSDS!S$23*$AG403^4+WeightSDS!T$23*$AG403^3+WeightSDS!U$23*$AG403^2+WeightSDS!V$23*$AG403+WeightSDS!W$23,IF($AG403&lt;153,WeightSDS!M$25*$AG403^10+WeightSDS!N$25*$AG403^9+WeightSDS!O$25*$AG403^8+WeightSDS!P$25*$AG403^7+WeightSDS!Q$25*$AG403^6+WeightSDS!R$25*$AG403^5+WeightSDS!S$25*$AG403^4+WeightSDS!T$25*$AG403^3+WeightSDS!U$25*$AG403^2+WeightSDS!V$25*$AG403+WeightSDS!W$25,WeightSDS!M$27+WeightSDS!N$27/(1+EXP(WeightSDS!O$27+WeightSDS!P$27*$AG403)))),IF($AG403&lt;43.8,WeightSDS!M$29*$AG403^10+WeightSDS!N$29*$AG403^9+WeightSDS!O$29*$AG403^8+WeightSDS!P$29*$AG403^7+WeightSDS!Q$29*$AG403^6+WeightSDS!R$29*$AG403^5+WeightSDS!S$29*$AG403^4+WeightSDS!T$29*$AG403^3+WeightSDS!U$29*$AG403^2+WeightSDS!V$29*$AG403+WeightSDS!W$29-0.010431*(1-$AG403/210),IF($AG403&lt;123,WeightSDS!M$30*$AG403^10+WeightSDS!N$30*$AG403^9+WeightSDS!O$30*$AG403^8+WeightSDS!P$30*$AG403^7+WeightSDS!Q$30*$AG403^6+WeightSDS!R$30*$AG403^5+WeightSDS!S$30*$AG403^4+WeightSDS!T$30*$AG403^3+WeightSDS!U$30*$AG403^2+WeightSDS!V$30*$AG403+WeightSDS!W$30-0.010431*(1-1/$AG403),WeightSDS!M$32+WeightSDS!N$32/(1+EXP(WeightSDS!O$32+WeightSDS!P$32*$AG403))-0.010431*(1-$AG403/210))))</f>
        <v>2.9500001032655536</v>
      </c>
      <c r="AK403" s="24">
        <f>IF(D403="M",IF($AG403&lt;162,WeightSDS!P$12*$AG403^7+WeightSDS!Q$12*$AG403^6+WeightSDS!R$12*$AG403^5+WeightSDS!S$12*$AG403^4+WeightSDS!T$12*$AG403^3+WeightSDS!U$12*$AG403^2+WeightSDS!V$12*$AG403+WeightSDS!W$12,WeightSDS!P$14*$AG403^7+WeightSDS!Q$14*$AG403^6+WeightSDS!R$14*$AG403^5+WeightSDS!S$14*$AG403^4+WeightSDS!T$14*$AG403^3+WeightSDS!U$14*$AG403^2+WeightSDS!V$14*$AG403+WeightSDS!W$14),IF($AG403&lt;156,WeightSDS!O$17*$AG403^8+WeightSDS!P$17*$AG403^7+WeightSDS!Q$17*$AG403^6+WeightSDS!R$17*$AG403^5+WeightSDS!S$17*$AG403^4+WeightSDS!T$17*$AG403^3+WeightSDS!U$17*$AG403^2+WeightSDS!V$17*$AG403+WeightSDS!W$17,IF($AG403&lt;186,WeightSDS!$U$18+(WeightSDS!$V$18-WeightSDS!$U$18)/24*($AG403-186)+WeightSDS!$W$18*(-$AG403+186)^2-0.005,WeightSDS!$U$18+(WeightSDS!$V$18-WeightSDS!$U$18)/24*($AG403-186)-0.005)))</f>
        <v>0.14604529399999999</v>
      </c>
    </row>
    <row r="404" spans="1:37">
      <c r="A404" s="4"/>
      <c r="B404" s="21"/>
      <c r="C404" s="21"/>
      <c r="D404" s="21"/>
      <c r="E404" s="22"/>
      <c r="F404" s="22"/>
      <c r="G404" s="23"/>
      <c r="H404" s="23"/>
      <c r="I404" s="8" t="str">
        <f t="shared" si="98"/>
        <v/>
      </c>
      <c r="J404" s="2" t="str">
        <f t="shared" si="105"/>
        <v/>
      </c>
      <c r="K404" s="2" t="str">
        <f t="shared" si="99"/>
        <v/>
      </c>
      <c r="L404" s="2" t="str">
        <f t="shared" si="106"/>
        <v/>
      </c>
      <c r="M404" s="2" t="str">
        <f t="shared" si="111"/>
        <v/>
      </c>
      <c r="N404" s="2" t="str">
        <f t="shared" si="107"/>
        <v/>
      </c>
      <c r="O404" s="8" t="str">
        <f t="shared" si="108"/>
        <v/>
      </c>
      <c r="P404" s="8" t="str">
        <f t="shared" si="109"/>
        <v/>
      </c>
      <c r="Q404" s="40" t="str">
        <f t="shared" si="100"/>
        <v/>
      </c>
      <c r="R404" s="48" t="str">
        <f t="shared" si="110"/>
        <v/>
      </c>
      <c r="S404" s="8"/>
      <c r="U404" s="35">
        <f t="shared" si="101"/>
        <v>0</v>
      </c>
      <c r="V404" s="24">
        <f t="shared" si="102"/>
        <v>0</v>
      </c>
      <c r="W404" s="41">
        <f t="shared" si="97"/>
        <v>0</v>
      </c>
      <c r="X404" s="31"/>
      <c r="Y404" s="31"/>
      <c r="Z404" s="31"/>
      <c r="AA404" s="25">
        <f t="shared" si="103"/>
        <v>9.0359999999999996</v>
      </c>
      <c r="AB404" s="25">
        <f t="shared" si="104"/>
        <v>-184.49199999999999</v>
      </c>
      <c r="AD404" s="24">
        <f>IF(D404="M",IF(AG404&lt;78,BMILMS!$D$5*AG404^3+BMILMS!$E$5*AG404^2+BMILMS!$F$5*AG404+BMILMS!$G$5,IF(AG404&lt;150,BMILMS!$D$6*AG404^3+BMILMS!$E$6*AG404^2+BMILMS!$F$6*AG404+BMILMS!$G$6,BMILMS!$D$7*AG404^3+BMILMS!$E$7*AG404^2+BMILMS!$F$7*AG404+BMILMS!$G$7)),IF(AG404&lt;69,BMILMS!$D$9*AG404^3+BMILMS!$E$9*AG404^2+BMILMS!$F$9*AG404+BMILMS!$G$9,IF(AG404&lt;150,BMILMS!$D$10*AG404^3+BMILMS!$E$10*AG404^2+BMILMS!$F$10*AG404+BMILMS!$G$10,BMILMS!$D$11*AG404^3+BMILMS!$E$11*AG404^2+BMILMS!$F$11*AG404+BMILMS!$G$11)))</f>
        <v>0.79584630099999998</v>
      </c>
      <c r="AE404" s="24">
        <f>IF(D404="M",(IF(AG404&lt;2.5,BMILMS!$D$21*AG404^3+BMILMS!$E$21*AG404^2+BMILMS!$F$21*AG404+BMILMS!$G$21,IF(AG404&lt;9.5,BMILMS!$D$22*AG404^3+BMILMS!$E$22*AG404^2+BMILMS!$F$22*AG404+BMILMS!$G$22,IF(AG404&lt;26.75,BMILMS!$D$23*AG404^3+BMILMS!$E$23*AG404^2+BMILMS!$F$23*AG404+BMILMS!$G$23,IF(AG404&lt;90,BMILMS!$D$24*AG404^3+BMILMS!$E$24*AG404^2+BMILMS!$F$24*AG404+BMILMS!$G$24,BMILMS!$D$25*AG404^3+BMILMS!$E$25*AG404^2+BMILMS!$F$25*AG404+BMILMS!$G$25))))),(IF(AG404&lt;2.5,BMILMS!$D$27*AG404^3+BMILMS!$E$27*AG404^2+BMILMS!$F$27*AG404+BMILMS!$G$27,IF(AG404&lt;9.5,BMILMS!$D$28*AG404^3+BMILMS!$E$28*AG404^2+BMILMS!$F$28*AG404+BMILMS!$G$28,IF(AG404&lt;26.75,BMILMS!$D$29*AG404^3+BMILMS!$E$29*AG404^2+BMILMS!$F$29*AG404+BMILMS!$G$29,IF(AG404&lt;90,BMILMS!$D$30*AG404^3+BMILMS!$E$30*AG404^2+BMILMS!$F$30*AG404+BMILMS!$G$30,IF(AG404&lt;150,BMILMS!$D$31*AG404^3+BMILMS!$E$31*AG404^2+BMILMS!$F$31*AG404+BMILMS!$G$31,BMILMS!$D$32*AG404^3+BMILMS!$E$32*AG404^2+BMILMS!$F$32*AG404+BMILMS!$G$32)))))))</f>
        <v>12.568967990000001</v>
      </c>
      <c r="AF404" s="24">
        <f>IF(D404="M",(IF(AG404&lt;90,BMILMS!$D$14*AG404^3+BMILMS!$E$14*AG404^2+BMILMS!$F$14*AG404+BMILMS!$G$14,BMILMS!$D$15*AG404^3+BMILMS!$E$15*AG404^2+BMILMS!$F$15*AG404+BMILMS!$G$15)),(IF(AG404&lt;90,BMILMS!$D$17*AG404^3+BMILMS!$E$17*AG404^2+BMILMS!$F$17*AG404+BMILMS!$G$17,BMILMS!$D$18*AG404^3+BMILMS!$E$18*AG404^2+BMILMS!$F$18*AG404+BMILMS!$G$18)))</f>
        <v>8.8969350000000003E-2</v>
      </c>
      <c r="AG404" s="24">
        <f t="shared" si="112"/>
        <v>0</v>
      </c>
      <c r="AI404" s="38">
        <f>IF(D404="M",WeightSDS!P$5*$AG404^7+WeightSDS!Q$5*$AG404^6+WeightSDS!R$5*$AG404^5+WeightSDS!S$5*$AG404^4+WeightSDS!T$5*$AG404^3+WeightSDS!U$5*$AG404^2+WeightSDS!V$5*$AG404+WeightSDS!W$5,IF($AG404&lt;186,WeightSDS!P$8*$AG404^7+WeightSDS!Q$8*$AG404^6+WeightSDS!R$8*$AG404^5+WeightSDS!S$8*$AG404^4+WeightSDS!T$8*$AG404^3+WeightSDS!U$8*$AG404^2+WeightSDS!V$8*$AG404+WeightSDS!W$8,WeightSDS!$U$9-WeightSDS!$V$9*($AG404-WeightSDS!$W$9)))</f>
        <v>0.75407122999999998</v>
      </c>
      <c r="AJ404" s="24">
        <f>IF(D404="M",IF($AG404&lt;45,WeightSDS!M$23*$AG404^10+WeightSDS!N$23*$AG404^9+WeightSDS!O$23*$AG404^8+WeightSDS!P$23*$AG404^7+WeightSDS!Q$23*$AG404^6+WeightSDS!R$23*$AG404^5+WeightSDS!S$23*$AG404^4+WeightSDS!T$23*$AG404^3+WeightSDS!U$23*$AG404^2+WeightSDS!V$23*$AG404+WeightSDS!W$23,IF($AG404&lt;153,WeightSDS!M$25*$AG404^10+WeightSDS!N$25*$AG404^9+WeightSDS!O$25*$AG404^8+WeightSDS!P$25*$AG404^7+WeightSDS!Q$25*$AG404^6+WeightSDS!R$25*$AG404^5+WeightSDS!S$25*$AG404^4+WeightSDS!T$25*$AG404^3+WeightSDS!U$25*$AG404^2+WeightSDS!V$25*$AG404+WeightSDS!W$25,WeightSDS!M$27+WeightSDS!N$27/(1+EXP(WeightSDS!O$27+WeightSDS!P$27*$AG404)))),IF($AG404&lt;43.8,WeightSDS!M$29*$AG404^10+WeightSDS!N$29*$AG404^9+WeightSDS!O$29*$AG404^8+WeightSDS!P$29*$AG404^7+WeightSDS!Q$29*$AG404^6+WeightSDS!R$29*$AG404^5+WeightSDS!S$29*$AG404^4+WeightSDS!T$29*$AG404^3+WeightSDS!U$29*$AG404^2+WeightSDS!V$29*$AG404+WeightSDS!W$29-0.010431*(1-$AG404/210),IF($AG404&lt;123,WeightSDS!M$30*$AG404^10+WeightSDS!N$30*$AG404^9+WeightSDS!O$30*$AG404^8+WeightSDS!P$30*$AG404^7+WeightSDS!Q$30*$AG404^6+WeightSDS!R$30*$AG404^5+WeightSDS!S$30*$AG404^4+WeightSDS!T$30*$AG404^3+WeightSDS!U$30*$AG404^2+WeightSDS!V$30*$AG404+WeightSDS!W$30-0.010431*(1-1/$AG404),WeightSDS!M$32+WeightSDS!N$32/(1+EXP(WeightSDS!O$32+WeightSDS!P$32*$AG404))-0.010431*(1-$AG404/210))))</f>
        <v>2.9500001032655536</v>
      </c>
      <c r="AK404" s="24">
        <f>IF(D404="M",IF($AG404&lt;162,WeightSDS!P$12*$AG404^7+WeightSDS!Q$12*$AG404^6+WeightSDS!R$12*$AG404^5+WeightSDS!S$12*$AG404^4+WeightSDS!T$12*$AG404^3+WeightSDS!U$12*$AG404^2+WeightSDS!V$12*$AG404+WeightSDS!W$12,WeightSDS!P$14*$AG404^7+WeightSDS!Q$14*$AG404^6+WeightSDS!R$14*$AG404^5+WeightSDS!S$14*$AG404^4+WeightSDS!T$14*$AG404^3+WeightSDS!U$14*$AG404^2+WeightSDS!V$14*$AG404+WeightSDS!W$14),IF($AG404&lt;156,WeightSDS!O$17*$AG404^8+WeightSDS!P$17*$AG404^7+WeightSDS!Q$17*$AG404^6+WeightSDS!R$17*$AG404^5+WeightSDS!S$17*$AG404^4+WeightSDS!T$17*$AG404^3+WeightSDS!U$17*$AG404^2+WeightSDS!V$17*$AG404+WeightSDS!W$17,IF($AG404&lt;186,WeightSDS!$U$18+(WeightSDS!$V$18-WeightSDS!$U$18)/24*($AG404-186)+WeightSDS!$W$18*(-$AG404+186)^2-0.005,WeightSDS!$U$18+(WeightSDS!$V$18-WeightSDS!$U$18)/24*($AG404-186)-0.005)))</f>
        <v>0.14604529399999999</v>
      </c>
    </row>
    <row r="405" spans="1:37">
      <c r="A405" s="4"/>
      <c r="B405" s="21"/>
      <c r="C405" s="21"/>
      <c r="D405" s="21"/>
      <c r="E405" s="22"/>
      <c r="F405" s="22"/>
      <c r="G405" s="23"/>
      <c r="H405" s="23"/>
      <c r="I405" s="8" t="str">
        <f t="shared" si="98"/>
        <v/>
      </c>
      <c r="J405" s="2" t="str">
        <f t="shared" si="105"/>
        <v/>
      </c>
      <c r="K405" s="2" t="str">
        <f t="shared" si="99"/>
        <v/>
      </c>
      <c r="L405" s="2" t="str">
        <f t="shared" si="106"/>
        <v/>
      </c>
      <c r="M405" s="2" t="str">
        <f t="shared" si="111"/>
        <v/>
      </c>
      <c r="N405" s="2" t="str">
        <f t="shared" si="107"/>
        <v/>
      </c>
      <c r="O405" s="8" t="str">
        <f t="shared" si="108"/>
        <v/>
      </c>
      <c r="P405" s="8" t="str">
        <f t="shared" si="109"/>
        <v/>
      </c>
      <c r="Q405" s="40" t="str">
        <f t="shared" si="100"/>
        <v/>
      </c>
      <c r="R405" s="48" t="str">
        <f t="shared" si="110"/>
        <v/>
      </c>
      <c r="S405" s="8"/>
      <c r="U405" s="35">
        <f t="shared" si="101"/>
        <v>0</v>
      </c>
      <c r="V405" s="24">
        <f t="shared" si="102"/>
        <v>0</v>
      </c>
      <c r="W405" s="41">
        <f t="shared" si="97"/>
        <v>0</v>
      </c>
      <c r="X405" s="31"/>
      <c r="Y405" s="31"/>
      <c r="Z405" s="31"/>
      <c r="AA405" s="25">
        <f t="shared" si="103"/>
        <v>9.0359999999999996</v>
      </c>
      <c r="AB405" s="25">
        <f t="shared" si="104"/>
        <v>-184.49199999999999</v>
      </c>
      <c r="AD405" s="24">
        <f>IF(D405="M",IF(AG405&lt;78,BMILMS!$D$5*AG405^3+BMILMS!$E$5*AG405^2+BMILMS!$F$5*AG405+BMILMS!$G$5,IF(AG405&lt;150,BMILMS!$D$6*AG405^3+BMILMS!$E$6*AG405^2+BMILMS!$F$6*AG405+BMILMS!$G$6,BMILMS!$D$7*AG405^3+BMILMS!$E$7*AG405^2+BMILMS!$F$7*AG405+BMILMS!$G$7)),IF(AG405&lt;69,BMILMS!$D$9*AG405^3+BMILMS!$E$9*AG405^2+BMILMS!$F$9*AG405+BMILMS!$G$9,IF(AG405&lt;150,BMILMS!$D$10*AG405^3+BMILMS!$E$10*AG405^2+BMILMS!$F$10*AG405+BMILMS!$G$10,BMILMS!$D$11*AG405^3+BMILMS!$E$11*AG405^2+BMILMS!$F$11*AG405+BMILMS!$G$11)))</f>
        <v>0.79584630099999998</v>
      </c>
      <c r="AE405" s="24">
        <f>IF(D405="M",(IF(AG405&lt;2.5,BMILMS!$D$21*AG405^3+BMILMS!$E$21*AG405^2+BMILMS!$F$21*AG405+BMILMS!$G$21,IF(AG405&lt;9.5,BMILMS!$D$22*AG405^3+BMILMS!$E$22*AG405^2+BMILMS!$F$22*AG405+BMILMS!$G$22,IF(AG405&lt;26.75,BMILMS!$D$23*AG405^3+BMILMS!$E$23*AG405^2+BMILMS!$F$23*AG405+BMILMS!$G$23,IF(AG405&lt;90,BMILMS!$D$24*AG405^3+BMILMS!$E$24*AG405^2+BMILMS!$F$24*AG405+BMILMS!$G$24,BMILMS!$D$25*AG405^3+BMILMS!$E$25*AG405^2+BMILMS!$F$25*AG405+BMILMS!$G$25))))),(IF(AG405&lt;2.5,BMILMS!$D$27*AG405^3+BMILMS!$E$27*AG405^2+BMILMS!$F$27*AG405+BMILMS!$G$27,IF(AG405&lt;9.5,BMILMS!$D$28*AG405^3+BMILMS!$E$28*AG405^2+BMILMS!$F$28*AG405+BMILMS!$G$28,IF(AG405&lt;26.75,BMILMS!$D$29*AG405^3+BMILMS!$E$29*AG405^2+BMILMS!$F$29*AG405+BMILMS!$G$29,IF(AG405&lt;90,BMILMS!$D$30*AG405^3+BMILMS!$E$30*AG405^2+BMILMS!$F$30*AG405+BMILMS!$G$30,IF(AG405&lt;150,BMILMS!$D$31*AG405^3+BMILMS!$E$31*AG405^2+BMILMS!$F$31*AG405+BMILMS!$G$31,BMILMS!$D$32*AG405^3+BMILMS!$E$32*AG405^2+BMILMS!$F$32*AG405+BMILMS!$G$32)))))))</f>
        <v>12.568967990000001</v>
      </c>
      <c r="AF405" s="24">
        <f>IF(D405="M",(IF(AG405&lt;90,BMILMS!$D$14*AG405^3+BMILMS!$E$14*AG405^2+BMILMS!$F$14*AG405+BMILMS!$G$14,BMILMS!$D$15*AG405^3+BMILMS!$E$15*AG405^2+BMILMS!$F$15*AG405+BMILMS!$G$15)),(IF(AG405&lt;90,BMILMS!$D$17*AG405^3+BMILMS!$E$17*AG405^2+BMILMS!$F$17*AG405+BMILMS!$G$17,BMILMS!$D$18*AG405^3+BMILMS!$E$18*AG405^2+BMILMS!$F$18*AG405+BMILMS!$G$18)))</f>
        <v>8.8969350000000003E-2</v>
      </c>
      <c r="AG405" s="24">
        <f t="shared" si="112"/>
        <v>0</v>
      </c>
      <c r="AI405" s="38">
        <f>IF(D405="M",WeightSDS!P$5*$AG405^7+WeightSDS!Q$5*$AG405^6+WeightSDS!R$5*$AG405^5+WeightSDS!S$5*$AG405^4+WeightSDS!T$5*$AG405^3+WeightSDS!U$5*$AG405^2+WeightSDS!V$5*$AG405+WeightSDS!W$5,IF($AG405&lt;186,WeightSDS!P$8*$AG405^7+WeightSDS!Q$8*$AG405^6+WeightSDS!R$8*$AG405^5+WeightSDS!S$8*$AG405^4+WeightSDS!T$8*$AG405^3+WeightSDS!U$8*$AG405^2+WeightSDS!V$8*$AG405+WeightSDS!W$8,WeightSDS!$U$9-WeightSDS!$V$9*($AG405-WeightSDS!$W$9)))</f>
        <v>0.75407122999999998</v>
      </c>
      <c r="AJ405" s="24">
        <f>IF(D405="M",IF($AG405&lt;45,WeightSDS!M$23*$AG405^10+WeightSDS!N$23*$AG405^9+WeightSDS!O$23*$AG405^8+WeightSDS!P$23*$AG405^7+WeightSDS!Q$23*$AG405^6+WeightSDS!R$23*$AG405^5+WeightSDS!S$23*$AG405^4+WeightSDS!T$23*$AG405^3+WeightSDS!U$23*$AG405^2+WeightSDS!V$23*$AG405+WeightSDS!W$23,IF($AG405&lt;153,WeightSDS!M$25*$AG405^10+WeightSDS!N$25*$AG405^9+WeightSDS!O$25*$AG405^8+WeightSDS!P$25*$AG405^7+WeightSDS!Q$25*$AG405^6+WeightSDS!R$25*$AG405^5+WeightSDS!S$25*$AG405^4+WeightSDS!T$25*$AG405^3+WeightSDS!U$25*$AG405^2+WeightSDS!V$25*$AG405+WeightSDS!W$25,WeightSDS!M$27+WeightSDS!N$27/(1+EXP(WeightSDS!O$27+WeightSDS!P$27*$AG405)))),IF($AG405&lt;43.8,WeightSDS!M$29*$AG405^10+WeightSDS!N$29*$AG405^9+WeightSDS!O$29*$AG405^8+WeightSDS!P$29*$AG405^7+WeightSDS!Q$29*$AG405^6+WeightSDS!R$29*$AG405^5+WeightSDS!S$29*$AG405^4+WeightSDS!T$29*$AG405^3+WeightSDS!U$29*$AG405^2+WeightSDS!V$29*$AG405+WeightSDS!W$29-0.010431*(1-$AG405/210),IF($AG405&lt;123,WeightSDS!M$30*$AG405^10+WeightSDS!N$30*$AG405^9+WeightSDS!O$30*$AG405^8+WeightSDS!P$30*$AG405^7+WeightSDS!Q$30*$AG405^6+WeightSDS!R$30*$AG405^5+WeightSDS!S$30*$AG405^4+WeightSDS!T$30*$AG405^3+WeightSDS!U$30*$AG405^2+WeightSDS!V$30*$AG405+WeightSDS!W$30-0.010431*(1-1/$AG405),WeightSDS!M$32+WeightSDS!N$32/(1+EXP(WeightSDS!O$32+WeightSDS!P$32*$AG405))-0.010431*(1-$AG405/210))))</f>
        <v>2.9500001032655536</v>
      </c>
      <c r="AK405" s="24">
        <f>IF(D405="M",IF($AG405&lt;162,WeightSDS!P$12*$AG405^7+WeightSDS!Q$12*$AG405^6+WeightSDS!R$12*$AG405^5+WeightSDS!S$12*$AG405^4+WeightSDS!T$12*$AG405^3+WeightSDS!U$12*$AG405^2+WeightSDS!V$12*$AG405+WeightSDS!W$12,WeightSDS!P$14*$AG405^7+WeightSDS!Q$14*$AG405^6+WeightSDS!R$14*$AG405^5+WeightSDS!S$14*$AG405^4+WeightSDS!T$14*$AG405^3+WeightSDS!U$14*$AG405^2+WeightSDS!V$14*$AG405+WeightSDS!W$14),IF($AG405&lt;156,WeightSDS!O$17*$AG405^8+WeightSDS!P$17*$AG405^7+WeightSDS!Q$17*$AG405^6+WeightSDS!R$17*$AG405^5+WeightSDS!S$17*$AG405^4+WeightSDS!T$17*$AG405^3+WeightSDS!U$17*$AG405^2+WeightSDS!V$17*$AG405+WeightSDS!W$17,IF($AG405&lt;186,WeightSDS!$U$18+(WeightSDS!$V$18-WeightSDS!$U$18)/24*($AG405-186)+WeightSDS!$W$18*(-$AG405+186)^2-0.005,WeightSDS!$U$18+(WeightSDS!$V$18-WeightSDS!$U$18)/24*($AG405-186)-0.005)))</f>
        <v>0.14604529399999999</v>
      </c>
    </row>
    <row r="406" spans="1:37">
      <c r="A406" s="4"/>
      <c r="B406" s="21"/>
      <c r="C406" s="21"/>
      <c r="D406" s="21"/>
      <c r="E406" s="22"/>
      <c r="F406" s="22"/>
      <c r="G406" s="23"/>
      <c r="H406" s="23"/>
      <c r="I406" s="8" t="str">
        <f t="shared" si="98"/>
        <v/>
      </c>
      <c r="J406" s="2" t="str">
        <f t="shared" si="105"/>
        <v/>
      </c>
      <c r="K406" s="2" t="str">
        <f t="shared" si="99"/>
        <v/>
      </c>
      <c r="L406" s="2" t="str">
        <f t="shared" si="106"/>
        <v/>
      </c>
      <c r="M406" s="2" t="str">
        <f t="shared" si="111"/>
        <v/>
      </c>
      <c r="N406" s="2" t="str">
        <f t="shared" si="107"/>
        <v/>
      </c>
      <c r="O406" s="8" t="str">
        <f t="shared" si="108"/>
        <v/>
      </c>
      <c r="P406" s="8" t="str">
        <f t="shared" si="109"/>
        <v/>
      </c>
      <c r="Q406" s="40" t="str">
        <f t="shared" si="100"/>
        <v/>
      </c>
      <c r="R406" s="48" t="str">
        <f t="shared" si="110"/>
        <v/>
      </c>
      <c r="S406" s="8"/>
      <c r="U406" s="35">
        <f t="shared" si="101"/>
        <v>0</v>
      </c>
      <c r="V406" s="24">
        <f t="shared" si="102"/>
        <v>0</v>
      </c>
      <c r="W406" s="41">
        <f t="shared" si="97"/>
        <v>0</v>
      </c>
      <c r="X406" s="31"/>
      <c r="Y406" s="31"/>
      <c r="Z406" s="31"/>
      <c r="AA406" s="25">
        <f t="shared" si="103"/>
        <v>9.0359999999999996</v>
      </c>
      <c r="AB406" s="25">
        <f t="shared" si="104"/>
        <v>-184.49199999999999</v>
      </c>
      <c r="AD406" s="24">
        <f>IF(D406="M",IF(AG406&lt;78,BMILMS!$D$5*AG406^3+BMILMS!$E$5*AG406^2+BMILMS!$F$5*AG406+BMILMS!$G$5,IF(AG406&lt;150,BMILMS!$D$6*AG406^3+BMILMS!$E$6*AG406^2+BMILMS!$F$6*AG406+BMILMS!$G$6,BMILMS!$D$7*AG406^3+BMILMS!$E$7*AG406^2+BMILMS!$F$7*AG406+BMILMS!$G$7)),IF(AG406&lt;69,BMILMS!$D$9*AG406^3+BMILMS!$E$9*AG406^2+BMILMS!$F$9*AG406+BMILMS!$G$9,IF(AG406&lt;150,BMILMS!$D$10*AG406^3+BMILMS!$E$10*AG406^2+BMILMS!$F$10*AG406+BMILMS!$G$10,BMILMS!$D$11*AG406^3+BMILMS!$E$11*AG406^2+BMILMS!$F$11*AG406+BMILMS!$G$11)))</f>
        <v>0.79584630099999998</v>
      </c>
      <c r="AE406" s="24">
        <f>IF(D406="M",(IF(AG406&lt;2.5,BMILMS!$D$21*AG406^3+BMILMS!$E$21*AG406^2+BMILMS!$F$21*AG406+BMILMS!$G$21,IF(AG406&lt;9.5,BMILMS!$D$22*AG406^3+BMILMS!$E$22*AG406^2+BMILMS!$F$22*AG406+BMILMS!$G$22,IF(AG406&lt;26.75,BMILMS!$D$23*AG406^3+BMILMS!$E$23*AG406^2+BMILMS!$F$23*AG406+BMILMS!$G$23,IF(AG406&lt;90,BMILMS!$D$24*AG406^3+BMILMS!$E$24*AG406^2+BMILMS!$F$24*AG406+BMILMS!$G$24,BMILMS!$D$25*AG406^3+BMILMS!$E$25*AG406^2+BMILMS!$F$25*AG406+BMILMS!$G$25))))),(IF(AG406&lt;2.5,BMILMS!$D$27*AG406^3+BMILMS!$E$27*AG406^2+BMILMS!$F$27*AG406+BMILMS!$G$27,IF(AG406&lt;9.5,BMILMS!$D$28*AG406^3+BMILMS!$E$28*AG406^2+BMILMS!$F$28*AG406+BMILMS!$G$28,IF(AG406&lt;26.75,BMILMS!$D$29*AG406^3+BMILMS!$E$29*AG406^2+BMILMS!$F$29*AG406+BMILMS!$G$29,IF(AG406&lt;90,BMILMS!$D$30*AG406^3+BMILMS!$E$30*AG406^2+BMILMS!$F$30*AG406+BMILMS!$G$30,IF(AG406&lt;150,BMILMS!$D$31*AG406^3+BMILMS!$E$31*AG406^2+BMILMS!$F$31*AG406+BMILMS!$G$31,BMILMS!$D$32*AG406^3+BMILMS!$E$32*AG406^2+BMILMS!$F$32*AG406+BMILMS!$G$32)))))))</f>
        <v>12.568967990000001</v>
      </c>
      <c r="AF406" s="24">
        <f>IF(D406="M",(IF(AG406&lt;90,BMILMS!$D$14*AG406^3+BMILMS!$E$14*AG406^2+BMILMS!$F$14*AG406+BMILMS!$G$14,BMILMS!$D$15*AG406^3+BMILMS!$E$15*AG406^2+BMILMS!$F$15*AG406+BMILMS!$G$15)),(IF(AG406&lt;90,BMILMS!$D$17*AG406^3+BMILMS!$E$17*AG406^2+BMILMS!$F$17*AG406+BMILMS!$G$17,BMILMS!$D$18*AG406^3+BMILMS!$E$18*AG406^2+BMILMS!$F$18*AG406+BMILMS!$G$18)))</f>
        <v>8.8969350000000003E-2</v>
      </c>
      <c r="AG406" s="24">
        <f t="shared" si="112"/>
        <v>0</v>
      </c>
      <c r="AI406" s="38">
        <f>IF(D406="M",WeightSDS!P$5*$AG406^7+WeightSDS!Q$5*$AG406^6+WeightSDS!R$5*$AG406^5+WeightSDS!S$5*$AG406^4+WeightSDS!T$5*$AG406^3+WeightSDS!U$5*$AG406^2+WeightSDS!V$5*$AG406+WeightSDS!W$5,IF($AG406&lt;186,WeightSDS!P$8*$AG406^7+WeightSDS!Q$8*$AG406^6+WeightSDS!R$8*$AG406^5+WeightSDS!S$8*$AG406^4+WeightSDS!T$8*$AG406^3+WeightSDS!U$8*$AG406^2+WeightSDS!V$8*$AG406+WeightSDS!W$8,WeightSDS!$U$9-WeightSDS!$V$9*($AG406-WeightSDS!$W$9)))</f>
        <v>0.75407122999999998</v>
      </c>
      <c r="AJ406" s="24">
        <f>IF(D406="M",IF($AG406&lt;45,WeightSDS!M$23*$AG406^10+WeightSDS!N$23*$AG406^9+WeightSDS!O$23*$AG406^8+WeightSDS!P$23*$AG406^7+WeightSDS!Q$23*$AG406^6+WeightSDS!R$23*$AG406^5+WeightSDS!S$23*$AG406^4+WeightSDS!T$23*$AG406^3+WeightSDS!U$23*$AG406^2+WeightSDS!V$23*$AG406+WeightSDS!W$23,IF($AG406&lt;153,WeightSDS!M$25*$AG406^10+WeightSDS!N$25*$AG406^9+WeightSDS!O$25*$AG406^8+WeightSDS!P$25*$AG406^7+WeightSDS!Q$25*$AG406^6+WeightSDS!R$25*$AG406^5+WeightSDS!S$25*$AG406^4+WeightSDS!T$25*$AG406^3+WeightSDS!U$25*$AG406^2+WeightSDS!V$25*$AG406+WeightSDS!W$25,WeightSDS!M$27+WeightSDS!N$27/(1+EXP(WeightSDS!O$27+WeightSDS!P$27*$AG406)))),IF($AG406&lt;43.8,WeightSDS!M$29*$AG406^10+WeightSDS!N$29*$AG406^9+WeightSDS!O$29*$AG406^8+WeightSDS!P$29*$AG406^7+WeightSDS!Q$29*$AG406^6+WeightSDS!R$29*$AG406^5+WeightSDS!S$29*$AG406^4+WeightSDS!T$29*$AG406^3+WeightSDS!U$29*$AG406^2+WeightSDS!V$29*$AG406+WeightSDS!W$29-0.010431*(1-$AG406/210),IF($AG406&lt;123,WeightSDS!M$30*$AG406^10+WeightSDS!N$30*$AG406^9+WeightSDS!O$30*$AG406^8+WeightSDS!P$30*$AG406^7+WeightSDS!Q$30*$AG406^6+WeightSDS!R$30*$AG406^5+WeightSDS!S$30*$AG406^4+WeightSDS!T$30*$AG406^3+WeightSDS!U$30*$AG406^2+WeightSDS!V$30*$AG406+WeightSDS!W$30-0.010431*(1-1/$AG406),WeightSDS!M$32+WeightSDS!N$32/(1+EXP(WeightSDS!O$32+WeightSDS!P$32*$AG406))-0.010431*(1-$AG406/210))))</f>
        <v>2.9500001032655536</v>
      </c>
      <c r="AK406" s="24">
        <f>IF(D406="M",IF($AG406&lt;162,WeightSDS!P$12*$AG406^7+WeightSDS!Q$12*$AG406^6+WeightSDS!R$12*$AG406^5+WeightSDS!S$12*$AG406^4+WeightSDS!T$12*$AG406^3+WeightSDS!U$12*$AG406^2+WeightSDS!V$12*$AG406+WeightSDS!W$12,WeightSDS!P$14*$AG406^7+WeightSDS!Q$14*$AG406^6+WeightSDS!R$14*$AG406^5+WeightSDS!S$14*$AG406^4+WeightSDS!T$14*$AG406^3+WeightSDS!U$14*$AG406^2+WeightSDS!V$14*$AG406+WeightSDS!W$14),IF($AG406&lt;156,WeightSDS!O$17*$AG406^8+WeightSDS!P$17*$AG406^7+WeightSDS!Q$17*$AG406^6+WeightSDS!R$17*$AG406^5+WeightSDS!S$17*$AG406^4+WeightSDS!T$17*$AG406^3+WeightSDS!U$17*$AG406^2+WeightSDS!V$17*$AG406+WeightSDS!W$17,IF($AG406&lt;186,WeightSDS!$U$18+(WeightSDS!$V$18-WeightSDS!$U$18)/24*($AG406-186)+WeightSDS!$W$18*(-$AG406+186)^2-0.005,WeightSDS!$U$18+(WeightSDS!$V$18-WeightSDS!$U$18)/24*($AG406-186)-0.005)))</f>
        <v>0.14604529399999999</v>
      </c>
    </row>
    <row r="407" spans="1:37">
      <c r="A407" s="4"/>
      <c r="B407" s="21"/>
      <c r="C407" s="21"/>
      <c r="D407" s="21"/>
      <c r="E407" s="22"/>
      <c r="F407" s="22"/>
      <c r="G407" s="23"/>
      <c r="H407" s="23"/>
      <c r="I407" s="8" t="str">
        <f t="shared" si="98"/>
        <v/>
      </c>
      <c r="J407" s="2" t="str">
        <f t="shared" si="105"/>
        <v/>
      </c>
      <c r="K407" s="2" t="str">
        <f t="shared" si="99"/>
        <v/>
      </c>
      <c r="L407" s="2" t="str">
        <f t="shared" si="106"/>
        <v/>
      </c>
      <c r="M407" s="2" t="str">
        <f t="shared" si="111"/>
        <v/>
      </c>
      <c r="N407" s="2" t="str">
        <f t="shared" si="107"/>
        <v/>
      </c>
      <c r="O407" s="8" t="str">
        <f t="shared" si="108"/>
        <v/>
      </c>
      <c r="P407" s="8" t="str">
        <f t="shared" si="109"/>
        <v/>
      </c>
      <c r="Q407" s="40" t="str">
        <f t="shared" si="100"/>
        <v/>
      </c>
      <c r="R407" s="48" t="str">
        <f t="shared" si="110"/>
        <v/>
      </c>
      <c r="S407" s="8"/>
      <c r="U407" s="35">
        <f t="shared" si="101"/>
        <v>0</v>
      </c>
      <c r="V407" s="24">
        <f t="shared" si="102"/>
        <v>0</v>
      </c>
      <c r="W407" s="41">
        <f t="shared" si="97"/>
        <v>0</v>
      </c>
      <c r="X407" s="31"/>
      <c r="Y407" s="31"/>
      <c r="Z407" s="31"/>
      <c r="AA407" s="25">
        <f t="shared" si="103"/>
        <v>9.0359999999999996</v>
      </c>
      <c r="AB407" s="25">
        <f t="shared" si="104"/>
        <v>-184.49199999999999</v>
      </c>
      <c r="AD407" s="24">
        <f>IF(D407="M",IF(AG407&lt;78,BMILMS!$D$5*AG407^3+BMILMS!$E$5*AG407^2+BMILMS!$F$5*AG407+BMILMS!$G$5,IF(AG407&lt;150,BMILMS!$D$6*AG407^3+BMILMS!$E$6*AG407^2+BMILMS!$F$6*AG407+BMILMS!$G$6,BMILMS!$D$7*AG407^3+BMILMS!$E$7*AG407^2+BMILMS!$F$7*AG407+BMILMS!$G$7)),IF(AG407&lt;69,BMILMS!$D$9*AG407^3+BMILMS!$E$9*AG407^2+BMILMS!$F$9*AG407+BMILMS!$G$9,IF(AG407&lt;150,BMILMS!$D$10*AG407^3+BMILMS!$E$10*AG407^2+BMILMS!$F$10*AG407+BMILMS!$G$10,BMILMS!$D$11*AG407^3+BMILMS!$E$11*AG407^2+BMILMS!$F$11*AG407+BMILMS!$G$11)))</f>
        <v>0.79584630099999998</v>
      </c>
      <c r="AE407" s="24">
        <f>IF(D407="M",(IF(AG407&lt;2.5,BMILMS!$D$21*AG407^3+BMILMS!$E$21*AG407^2+BMILMS!$F$21*AG407+BMILMS!$G$21,IF(AG407&lt;9.5,BMILMS!$D$22*AG407^3+BMILMS!$E$22*AG407^2+BMILMS!$F$22*AG407+BMILMS!$G$22,IF(AG407&lt;26.75,BMILMS!$D$23*AG407^3+BMILMS!$E$23*AG407^2+BMILMS!$F$23*AG407+BMILMS!$G$23,IF(AG407&lt;90,BMILMS!$D$24*AG407^3+BMILMS!$E$24*AG407^2+BMILMS!$F$24*AG407+BMILMS!$G$24,BMILMS!$D$25*AG407^3+BMILMS!$E$25*AG407^2+BMILMS!$F$25*AG407+BMILMS!$G$25))))),(IF(AG407&lt;2.5,BMILMS!$D$27*AG407^3+BMILMS!$E$27*AG407^2+BMILMS!$F$27*AG407+BMILMS!$G$27,IF(AG407&lt;9.5,BMILMS!$D$28*AG407^3+BMILMS!$E$28*AG407^2+BMILMS!$F$28*AG407+BMILMS!$G$28,IF(AG407&lt;26.75,BMILMS!$D$29*AG407^3+BMILMS!$E$29*AG407^2+BMILMS!$F$29*AG407+BMILMS!$G$29,IF(AG407&lt;90,BMILMS!$D$30*AG407^3+BMILMS!$E$30*AG407^2+BMILMS!$F$30*AG407+BMILMS!$G$30,IF(AG407&lt;150,BMILMS!$D$31*AG407^3+BMILMS!$E$31*AG407^2+BMILMS!$F$31*AG407+BMILMS!$G$31,BMILMS!$D$32*AG407^3+BMILMS!$E$32*AG407^2+BMILMS!$F$32*AG407+BMILMS!$G$32)))))))</f>
        <v>12.568967990000001</v>
      </c>
      <c r="AF407" s="24">
        <f>IF(D407="M",(IF(AG407&lt;90,BMILMS!$D$14*AG407^3+BMILMS!$E$14*AG407^2+BMILMS!$F$14*AG407+BMILMS!$G$14,BMILMS!$D$15*AG407^3+BMILMS!$E$15*AG407^2+BMILMS!$F$15*AG407+BMILMS!$G$15)),(IF(AG407&lt;90,BMILMS!$D$17*AG407^3+BMILMS!$E$17*AG407^2+BMILMS!$F$17*AG407+BMILMS!$G$17,BMILMS!$D$18*AG407^3+BMILMS!$E$18*AG407^2+BMILMS!$F$18*AG407+BMILMS!$G$18)))</f>
        <v>8.8969350000000003E-2</v>
      </c>
      <c r="AG407" s="24">
        <f t="shared" si="112"/>
        <v>0</v>
      </c>
      <c r="AI407" s="38">
        <f>IF(D407="M",WeightSDS!P$5*$AG407^7+WeightSDS!Q$5*$AG407^6+WeightSDS!R$5*$AG407^5+WeightSDS!S$5*$AG407^4+WeightSDS!T$5*$AG407^3+WeightSDS!U$5*$AG407^2+WeightSDS!V$5*$AG407+WeightSDS!W$5,IF($AG407&lt;186,WeightSDS!P$8*$AG407^7+WeightSDS!Q$8*$AG407^6+WeightSDS!R$8*$AG407^5+WeightSDS!S$8*$AG407^4+WeightSDS!T$8*$AG407^3+WeightSDS!U$8*$AG407^2+WeightSDS!V$8*$AG407+WeightSDS!W$8,WeightSDS!$U$9-WeightSDS!$V$9*($AG407-WeightSDS!$W$9)))</f>
        <v>0.75407122999999998</v>
      </c>
      <c r="AJ407" s="24">
        <f>IF(D407="M",IF($AG407&lt;45,WeightSDS!M$23*$AG407^10+WeightSDS!N$23*$AG407^9+WeightSDS!O$23*$AG407^8+WeightSDS!P$23*$AG407^7+WeightSDS!Q$23*$AG407^6+WeightSDS!R$23*$AG407^5+WeightSDS!S$23*$AG407^4+WeightSDS!T$23*$AG407^3+WeightSDS!U$23*$AG407^2+WeightSDS!V$23*$AG407+WeightSDS!W$23,IF($AG407&lt;153,WeightSDS!M$25*$AG407^10+WeightSDS!N$25*$AG407^9+WeightSDS!O$25*$AG407^8+WeightSDS!P$25*$AG407^7+WeightSDS!Q$25*$AG407^6+WeightSDS!R$25*$AG407^5+WeightSDS!S$25*$AG407^4+WeightSDS!T$25*$AG407^3+WeightSDS!U$25*$AG407^2+WeightSDS!V$25*$AG407+WeightSDS!W$25,WeightSDS!M$27+WeightSDS!N$27/(1+EXP(WeightSDS!O$27+WeightSDS!P$27*$AG407)))),IF($AG407&lt;43.8,WeightSDS!M$29*$AG407^10+WeightSDS!N$29*$AG407^9+WeightSDS!O$29*$AG407^8+WeightSDS!P$29*$AG407^7+WeightSDS!Q$29*$AG407^6+WeightSDS!R$29*$AG407^5+WeightSDS!S$29*$AG407^4+WeightSDS!T$29*$AG407^3+WeightSDS!U$29*$AG407^2+WeightSDS!V$29*$AG407+WeightSDS!W$29-0.010431*(1-$AG407/210),IF($AG407&lt;123,WeightSDS!M$30*$AG407^10+WeightSDS!N$30*$AG407^9+WeightSDS!O$30*$AG407^8+WeightSDS!P$30*$AG407^7+WeightSDS!Q$30*$AG407^6+WeightSDS!R$30*$AG407^5+WeightSDS!S$30*$AG407^4+WeightSDS!T$30*$AG407^3+WeightSDS!U$30*$AG407^2+WeightSDS!V$30*$AG407+WeightSDS!W$30-0.010431*(1-1/$AG407),WeightSDS!M$32+WeightSDS!N$32/(1+EXP(WeightSDS!O$32+WeightSDS!P$32*$AG407))-0.010431*(1-$AG407/210))))</f>
        <v>2.9500001032655536</v>
      </c>
      <c r="AK407" s="24">
        <f>IF(D407="M",IF($AG407&lt;162,WeightSDS!P$12*$AG407^7+WeightSDS!Q$12*$AG407^6+WeightSDS!R$12*$AG407^5+WeightSDS!S$12*$AG407^4+WeightSDS!T$12*$AG407^3+WeightSDS!U$12*$AG407^2+WeightSDS!V$12*$AG407+WeightSDS!W$12,WeightSDS!P$14*$AG407^7+WeightSDS!Q$14*$AG407^6+WeightSDS!R$14*$AG407^5+WeightSDS!S$14*$AG407^4+WeightSDS!T$14*$AG407^3+WeightSDS!U$14*$AG407^2+WeightSDS!V$14*$AG407+WeightSDS!W$14),IF($AG407&lt;156,WeightSDS!O$17*$AG407^8+WeightSDS!P$17*$AG407^7+WeightSDS!Q$17*$AG407^6+WeightSDS!R$17*$AG407^5+WeightSDS!S$17*$AG407^4+WeightSDS!T$17*$AG407^3+WeightSDS!U$17*$AG407^2+WeightSDS!V$17*$AG407+WeightSDS!W$17,IF($AG407&lt;186,WeightSDS!$U$18+(WeightSDS!$V$18-WeightSDS!$U$18)/24*($AG407-186)+WeightSDS!$W$18*(-$AG407+186)^2-0.005,WeightSDS!$U$18+(WeightSDS!$V$18-WeightSDS!$U$18)/24*($AG407-186)-0.005)))</f>
        <v>0.14604529399999999</v>
      </c>
    </row>
    <row r="408" spans="1:37">
      <c r="A408" s="4"/>
      <c r="B408" s="21"/>
      <c r="C408" s="21"/>
      <c r="D408" s="21"/>
      <c r="E408" s="22"/>
      <c r="F408" s="22"/>
      <c r="G408" s="23"/>
      <c r="H408" s="23"/>
      <c r="I408" s="8" t="str">
        <f t="shared" si="98"/>
        <v/>
      </c>
      <c r="J408" s="2" t="str">
        <f t="shared" si="105"/>
        <v/>
      </c>
      <c r="K408" s="2" t="str">
        <f t="shared" si="99"/>
        <v/>
      </c>
      <c r="L408" s="2" t="str">
        <f t="shared" si="106"/>
        <v/>
      </c>
      <c r="M408" s="2" t="str">
        <f t="shared" si="111"/>
        <v/>
      </c>
      <c r="N408" s="2" t="str">
        <f t="shared" si="107"/>
        <v/>
      </c>
      <c r="O408" s="8" t="str">
        <f t="shared" si="108"/>
        <v/>
      </c>
      <c r="P408" s="8" t="str">
        <f t="shared" si="109"/>
        <v/>
      </c>
      <c r="Q408" s="40" t="str">
        <f t="shared" si="100"/>
        <v/>
      </c>
      <c r="R408" s="48" t="str">
        <f t="shared" si="110"/>
        <v/>
      </c>
      <c r="S408" s="8"/>
      <c r="U408" s="35">
        <f t="shared" si="101"/>
        <v>0</v>
      </c>
      <c r="V408" s="24">
        <f t="shared" si="102"/>
        <v>0</v>
      </c>
      <c r="W408" s="41">
        <f t="shared" si="97"/>
        <v>0</v>
      </c>
      <c r="X408" s="31"/>
      <c r="Y408" s="31"/>
      <c r="Z408" s="31"/>
      <c r="AA408" s="25">
        <f t="shared" si="103"/>
        <v>9.0359999999999996</v>
      </c>
      <c r="AB408" s="25">
        <f t="shared" si="104"/>
        <v>-184.49199999999999</v>
      </c>
      <c r="AD408" s="24">
        <f>IF(D408="M",IF(AG408&lt;78,BMILMS!$D$5*AG408^3+BMILMS!$E$5*AG408^2+BMILMS!$F$5*AG408+BMILMS!$G$5,IF(AG408&lt;150,BMILMS!$D$6*AG408^3+BMILMS!$E$6*AG408^2+BMILMS!$F$6*AG408+BMILMS!$G$6,BMILMS!$D$7*AG408^3+BMILMS!$E$7*AG408^2+BMILMS!$F$7*AG408+BMILMS!$G$7)),IF(AG408&lt;69,BMILMS!$D$9*AG408^3+BMILMS!$E$9*AG408^2+BMILMS!$F$9*AG408+BMILMS!$G$9,IF(AG408&lt;150,BMILMS!$D$10*AG408^3+BMILMS!$E$10*AG408^2+BMILMS!$F$10*AG408+BMILMS!$G$10,BMILMS!$D$11*AG408^3+BMILMS!$E$11*AG408^2+BMILMS!$F$11*AG408+BMILMS!$G$11)))</f>
        <v>0.79584630099999998</v>
      </c>
      <c r="AE408" s="24">
        <f>IF(D408="M",(IF(AG408&lt;2.5,BMILMS!$D$21*AG408^3+BMILMS!$E$21*AG408^2+BMILMS!$F$21*AG408+BMILMS!$G$21,IF(AG408&lt;9.5,BMILMS!$D$22*AG408^3+BMILMS!$E$22*AG408^2+BMILMS!$F$22*AG408+BMILMS!$G$22,IF(AG408&lt;26.75,BMILMS!$D$23*AG408^3+BMILMS!$E$23*AG408^2+BMILMS!$F$23*AG408+BMILMS!$G$23,IF(AG408&lt;90,BMILMS!$D$24*AG408^3+BMILMS!$E$24*AG408^2+BMILMS!$F$24*AG408+BMILMS!$G$24,BMILMS!$D$25*AG408^3+BMILMS!$E$25*AG408^2+BMILMS!$F$25*AG408+BMILMS!$G$25))))),(IF(AG408&lt;2.5,BMILMS!$D$27*AG408^3+BMILMS!$E$27*AG408^2+BMILMS!$F$27*AG408+BMILMS!$G$27,IF(AG408&lt;9.5,BMILMS!$D$28*AG408^3+BMILMS!$E$28*AG408^2+BMILMS!$F$28*AG408+BMILMS!$G$28,IF(AG408&lt;26.75,BMILMS!$D$29*AG408^3+BMILMS!$E$29*AG408^2+BMILMS!$F$29*AG408+BMILMS!$G$29,IF(AG408&lt;90,BMILMS!$D$30*AG408^3+BMILMS!$E$30*AG408^2+BMILMS!$F$30*AG408+BMILMS!$G$30,IF(AG408&lt;150,BMILMS!$D$31*AG408^3+BMILMS!$E$31*AG408^2+BMILMS!$F$31*AG408+BMILMS!$G$31,BMILMS!$D$32*AG408^3+BMILMS!$E$32*AG408^2+BMILMS!$F$32*AG408+BMILMS!$G$32)))))))</f>
        <v>12.568967990000001</v>
      </c>
      <c r="AF408" s="24">
        <f>IF(D408="M",(IF(AG408&lt;90,BMILMS!$D$14*AG408^3+BMILMS!$E$14*AG408^2+BMILMS!$F$14*AG408+BMILMS!$G$14,BMILMS!$D$15*AG408^3+BMILMS!$E$15*AG408^2+BMILMS!$F$15*AG408+BMILMS!$G$15)),(IF(AG408&lt;90,BMILMS!$D$17*AG408^3+BMILMS!$E$17*AG408^2+BMILMS!$F$17*AG408+BMILMS!$G$17,BMILMS!$D$18*AG408^3+BMILMS!$E$18*AG408^2+BMILMS!$F$18*AG408+BMILMS!$G$18)))</f>
        <v>8.8969350000000003E-2</v>
      </c>
      <c r="AG408" s="24">
        <f t="shared" si="112"/>
        <v>0</v>
      </c>
      <c r="AI408" s="38">
        <f>IF(D408="M",WeightSDS!P$5*$AG408^7+WeightSDS!Q$5*$AG408^6+WeightSDS!R$5*$AG408^5+WeightSDS!S$5*$AG408^4+WeightSDS!T$5*$AG408^3+WeightSDS!U$5*$AG408^2+WeightSDS!V$5*$AG408+WeightSDS!W$5,IF($AG408&lt;186,WeightSDS!P$8*$AG408^7+WeightSDS!Q$8*$AG408^6+WeightSDS!R$8*$AG408^5+WeightSDS!S$8*$AG408^4+WeightSDS!T$8*$AG408^3+WeightSDS!U$8*$AG408^2+WeightSDS!V$8*$AG408+WeightSDS!W$8,WeightSDS!$U$9-WeightSDS!$V$9*($AG408-WeightSDS!$W$9)))</f>
        <v>0.75407122999999998</v>
      </c>
      <c r="AJ408" s="24">
        <f>IF(D408="M",IF($AG408&lt;45,WeightSDS!M$23*$AG408^10+WeightSDS!N$23*$AG408^9+WeightSDS!O$23*$AG408^8+WeightSDS!P$23*$AG408^7+WeightSDS!Q$23*$AG408^6+WeightSDS!R$23*$AG408^5+WeightSDS!S$23*$AG408^4+WeightSDS!T$23*$AG408^3+WeightSDS!U$23*$AG408^2+WeightSDS!V$23*$AG408+WeightSDS!W$23,IF($AG408&lt;153,WeightSDS!M$25*$AG408^10+WeightSDS!N$25*$AG408^9+WeightSDS!O$25*$AG408^8+WeightSDS!P$25*$AG408^7+WeightSDS!Q$25*$AG408^6+WeightSDS!R$25*$AG408^5+WeightSDS!S$25*$AG408^4+WeightSDS!T$25*$AG408^3+WeightSDS!U$25*$AG408^2+WeightSDS!V$25*$AG408+WeightSDS!W$25,WeightSDS!M$27+WeightSDS!N$27/(1+EXP(WeightSDS!O$27+WeightSDS!P$27*$AG408)))),IF($AG408&lt;43.8,WeightSDS!M$29*$AG408^10+WeightSDS!N$29*$AG408^9+WeightSDS!O$29*$AG408^8+WeightSDS!P$29*$AG408^7+WeightSDS!Q$29*$AG408^6+WeightSDS!R$29*$AG408^5+WeightSDS!S$29*$AG408^4+WeightSDS!T$29*$AG408^3+WeightSDS!U$29*$AG408^2+WeightSDS!V$29*$AG408+WeightSDS!W$29-0.010431*(1-$AG408/210),IF($AG408&lt;123,WeightSDS!M$30*$AG408^10+WeightSDS!N$30*$AG408^9+WeightSDS!O$30*$AG408^8+WeightSDS!P$30*$AG408^7+WeightSDS!Q$30*$AG408^6+WeightSDS!R$30*$AG408^5+WeightSDS!S$30*$AG408^4+WeightSDS!T$30*$AG408^3+WeightSDS!U$30*$AG408^2+WeightSDS!V$30*$AG408+WeightSDS!W$30-0.010431*(1-1/$AG408),WeightSDS!M$32+WeightSDS!N$32/(1+EXP(WeightSDS!O$32+WeightSDS!P$32*$AG408))-0.010431*(1-$AG408/210))))</f>
        <v>2.9500001032655536</v>
      </c>
      <c r="AK408" s="24">
        <f>IF(D408="M",IF($AG408&lt;162,WeightSDS!P$12*$AG408^7+WeightSDS!Q$12*$AG408^6+WeightSDS!R$12*$AG408^5+WeightSDS!S$12*$AG408^4+WeightSDS!T$12*$AG408^3+WeightSDS!U$12*$AG408^2+WeightSDS!V$12*$AG408+WeightSDS!W$12,WeightSDS!P$14*$AG408^7+WeightSDS!Q$14*$AG408^6+WeightSDS!R$14*$AG408^5+WeightSDS!S$14*$AG408^4+WeightSDS!T$14*$AG408^3+WeightSDS!U$14*$AG408^2+WeightSDS!V$14*$AG408+WeightSDS!W$14),IF($AG408&lt;156,WeightSDS!O$17*$AG408^8+WeightSDS!P$17*$AG408^7+WeightSDS!Q$17*$AG408^6+WeightSDS!R$17*$AG408^5+WeightSDS!S$17*$AG408^4+WeightSDS!T$17*$AG408^3+WeightSDS!U$17*$AG408^2+WeightSDS!V$17*$AG408+WeightSDS!W$17,IF($AG408&lt;186,WeightSDS!$U$18+(WeightSDS!$V$18-WeightSDS!$U$18)/24*($AG408-186)+WeightSDS!$W$18*(-$AG408+186)^2-0.005,WeightSDS!$U$18+(WeightSDS!$V$18-WeightSDS!$U$18)/24*($AG408-186)-0.005)))</f>
        <v>0.14604529399999999</v>
      </c>
    </row>
    <row r="409" spans="1:37">
      <c r="A409" s="4"/>
      <c r="B409" s="21"/>
      <c r="C409" s="21"/>
      <c r="D409" s="21"/>
      <c r="E409" s="22"/>
      <c r="F409" s="22"/>
      <c r="G409" s="23"/>
      <c r="H409" s="23"/>
      <c r="I409" s="8" t="str">
        <f t="shared" si="98"/>
        <v/>
      </c>
      <c r="J409" s="2" t="str">
        <f t="shared" si="105"/>
        <v/>
      </c>
      <c r="K409" s="2" t="str">
        <f t="shared" si="99"/>
        <v/>
      </c>
      <c r="L409" s="2" t="str">
        <f t="shared" si="106"/>
        <v/>
      </c>
      <c r="M409" s="2" t="str">
        <f t="shared" si="111"/>
        <v/>
      </c>
      <c r="N409" s="2" t="str">
        <f t="shared" si="107"/>
        <v/>
      </c>
      <c r="O409" s="8" t="str">
        <f t="shared" si="108"/>
        <v/>
      </c>
      <c r="P409" s="8" t="str">
        <f t="shared" si="109"/>
        <v/>
      </c>
      <c r="Q409" s="40" t="str">
        <f t="shared" si="100"/>
        <v/>
      </c>
      <c r="R409" s="48" t="str">
        <f t="shared" si="110"/>
        <v/>
      </c>
      <c r="S409" s="8"/>
      <c r="U409" s="35">
        <f t="shared" si="101"/>
        <v>0</v>
      </c>
      <c r="V409" s="24">
        <f t="shared" si="102"/>
        <v>0</v>
      </c>
      <c r="W409" s="41">
        <f t="shared" si="97"/>
        <v>0</v>
      </c>
      <c r="X409" s="31"/>
      <c r="Y409" s="31"/>
      <c r="Z409" s="31"/>
      <c r="AA409" s="25">
        <f t="shared" si="103"/>
        <v>9.0359999999999996</v>
      </c>
      <c r="AB409" s="25">
        <f t="shared" si="104"/>
        <v>-184.49199999999999</v>
      </c>
      <c r="AD409" s="24">
        <f>IF(D409="M",IF(AG409&lt;78,BMILMS!$D$5*AG409^3+BMILMS!$E$5*AG409^2+BMILMS!$F$5*AG409+BMILMS!$G$5,IF(AG409&lt;150,BMILMS!$D$6*AG409^3+BMILMS!$E$6*AG409^2+BMILMS!$F$6*AG409+BMILMS!$G$6,BMILMS!$D$7*AG409^3+BMILMS!$E$7*AG409^2+BMILMS!$F$7*AG409+BMILMS!$G$7)),IF(AG409&lt;69,BMILMS!$D$9*AG409^3+BMILMS!$E$9*AG409^2+BMILMS!$F$9*AG409+BMILMS!$G$9,IF(AG409&lt;150,BMILMS!$D$10*AG409^3+BMILMS!$E$10*AG409^2+BMILMS!$F$10*AG409+BMILMS!$G$10,BMILMS!$D$11*AG409^3+BMILMS!$E$11*AG409^2+BMILMS!$F$11*AG409+BMILMS!$G$11)))</f>
        <v>0.79584630099999998</v>
      </c>
      <c r="AE409" s="24">
        <f>IF(D409="M",(IF(AG409&lt;2.5,BMILMS!$D$21*AG409^3+BMILMS!$E$21*AG409^2+BMILMS!$F$21*AG409+BMILMS!$G$21,IF(AG409&lt;9.5,BMILMS!$D$22*AG409^3+BMILMS!$E$22*AG409^2+BMILMS!$F$22*AG409+BMILMS!$G$22,IF(AG409&lt;26.75,BMILMS!$D$23*AG409^3+BMILMS!$E$23*AG409^2+BMILMS!$F$23*AG409+BMILMS!$G$23,IF(AG409&lt;90,BMILMS!$D$24*AG409^3+BMILMS!$E$24*AG409^2+BMILMS!$F$24*AG409+BMILMS!$G$24,BMILMS!$D$25*AG409^3+BMILMS!$E$25*AG409^2+BMILMS!$F$25*AG409+BMILMS!$G$25))))),(IF(AG409&lt;2.5,BMILMS!$D$27*AG409^3+BMILMS!$E$27*AG409^2+BMILMS!$F$27*AG409+BMILMS!$G$27,IF(AG409&lt;9.5,BMILMS!$D$28*AG409^3+BMILMS!$E$28*AG409^2+BMILMS!$F$28*AG409+BMILMS!$G$28,IF(AG409&lt;26.75,BMILMS!$D$29*AG409^3+BMILMS!$E$29*AG409^2+BMILMS!$F$29*AG409+BMILMS!$G$29,IF(AG409&lt;90,BMILMS!$D$30*AG409^3+BMILMS!$E$30*AG409^2+BMILMS!$F$30*AG409+BMILMS!$G$30,IF(AG409&lt;150,BMILMS!$D$31*AG409^3+BMILMS!$E$31*AG409^2+BMILMS!$F$31*AG409+BMILMS!$G$31,BMILMS!$D$32*AG409^3+BMILMS!$E$32*AG409^2+BMILMS!$F$32*AG409+BMILMS!$G$32)))))))</f>
        <v>12.568967990000001</v>
      </c>
      <c r="AF409" s="24">
        <f>IF(D409="M",(IF(AG409&lt;90,BMILMS!$D$14*AG409^3+BMILMS!$E$14*AG409^2+BMILMS!$F$14*AG409+BMILMS!$G$14,BMILMS!$D$15*AG409^3+BMILMS!$E$15*AG409^2+BMILMS!$F$15*AG409+BMILMS!$G$15)),(IF(AG409&lt;90,BMILMS!$D$17*AG409^3+BMILMS!$E$17*AG409^2+BMILMS!$F$17*AG409+BMILMS!$G$17,BMILMS!$D$18*AG409^3+BMILMS!$E$18*AG409^2+BMILMS!$F$18*AG409+BMILMS!$G$18)))</f>
        <v>8.8969350000000003E-2</v>
      </c>
      <c r="AG409" s="24">
        <f t="shared" si="112"/>
        <v>0</v>
      </c>
      <c r="AI409" s="38">
        <f>IF(D409="M",WeightSDS!P$5*$AG409^7+WeightSDS!Q$5*$AG409^6+WeightSDS!R$5*$AG409^5+WeightSDS!S$5*$AG409^4+WeightSDS!T$5*$AG409^3+WeightSDS!U$5*$AG409^2+WeightSDS!V$5*$AG409+WeightSDS!W$5,IF($AG409&lt;186,WeightSDS!P$8*$AG409^7+WeightSDS!Q$8*$AG409^6+WeightSDS!R$8*$AG409^5+WeightSDS!S$8*$AG409^4+WeightSDS!T$8*$AG409^3+WeightSDS!U$8*$AG409^2+WeightSDS!V$8*$AG409+WeightSDS!W$8,WeightSDS!$U$9-WeightSDS!$V$9*($AG409-WeightSDS!$W$9)))</f>
        <v>0.75407122999999998</v>
      </c>
      <c r="AJ409" s="24">
        <f>IF(D409="M",IF($AG409&lt;45,WeightSDS!M$23*$AG409^10+WeightSDS!N$23*$AG409^9+WeightSDS!O$23*$AG409^8+WeightSDS!P$23*$AG409^7+WeightSDS!Q$23*$AG409^6+WeightSDS!R$23*$AG409^5+WeightSDS!S$23*$AG409^4+WeightSDS!T$23*$AG409^3+WeightSDS!U$23*$AG409^2+WeightSDS!V$23*$AG409+WeightSDS!W$23,IF($AG409&lt;153,WeightSDS!M$25*$AG409^10+WeightSDS!N$25*$AG409^9+WeightSDS!O$25*$AG409^8+WeightSDS!P$25*$AG409^7+WeightSDS!Q$25*$AG409^6+WeightSDS!R$25*$AG409^5+WeightSDS!S$25*$AG409^4+WeightSDS!T$25*$AG409^3+WeightSDS!U$25*$AG409^2+WeightSDS!V$25*$AG409+WeightSDS!W$25,WeightSDS!M$27+WeightSDS!N$27/(1+EXP(WeightSDS!O$27+WeightSDS!P$27*$AG409)))),IF($AG409&lt;43.8,WeightSDS!M$29*$AG409^10+WeightSDS!N$29*$AG409^9+WeightSDS!O$29*$AG409^8+WeightSDS!P$29*$AG409^7+WeightSDS!Q$29*$AG409^6+WeightSDS!R$29*$AG409^5+WeightSDS!S$29*$AG409^4+WeightSDS!T$29*$AG409^3+WeightSDS!U$29*$AG409^2+WeightSDS!V$29*$AG409+WeightSDS!W$29-0.010431*(1-$AG409/210),IF($AG409&lt;123,WeightSDS!M$30*$AG409^10+WeightSDS!N$30*$AG409^9+WeightSDS!O$30*$AG409^8+WeightSDS!P$30*$AG409^7+WeightSDS!Q$30*$AG409^6+WeightSDS!R$30*$AG409^5+WeightSDS!S$30*$AG409^4+WeightSDS!T$30*$AG409^3+WeightSDS!U$30*$AG409^2+WeightSDS!V$30*$AG409+WeightSDS!W$30-0.010431*(1-1/$AG409),WeightSDS!M$32+WeightSDS!N$32/(1+EXP(WeightSDS!O$32+WeightSDS!P$32*$AG409))-0.010431*(1-$AG409/210))))</f>
        <v>2.9500001032655536</v>
      </c>
      <c r="AK409" s="24">
        <f>IF(D409="M",IF($AG409&lt;162,WeightSDS!P$12*$AG409^7+WeightSDS!Q$12*$AG409^6+WeightSDS!R$12*$AG409^5+WeightSDS!S$12*$AG409^4+WeightSDS!T$12*$AG409^3+WeightSDS!U$12*$AG409^2+WeightSDS!V$12*$AG409+WeightSDS!W$12,WeightSDS!P$14*$AG409^7+WeightSDS!Q$14*$AG409^6+WeightSDS!R$14*$AG409^5+WeightSDS!S$14*$AG409^4+WeightSDS!T$14*$AG409^3+WeightSDS!U$14*$AG409^2+WeightSDS!V$14*$AG409+WeightSDS!W$14),IF($AG409&lt;156,WeightSDS!O$17*$AG409^8+WeightSDS!P$17*$AG409^7+WeightSDS!Q$17*$AG409^6+WeightSDS!R$17*$AG409^5+WeightSDS!S$17*$AG409^4+WeightSDS!T$17*$AG409^3+WeightSDS!U$17*$AG409^2+WeightSDS!V$17*$AG409+WeightSDS!W$17,IF($AG409&lt;186,WeightSDS!$U$18+(WeightSDS!$V$18-WeightSDS!$U$18)/24*($AG409-186)+WeightSDS!$W$18*(-$AG409+186)^2-0.005,WeightSDS!$U$18+(WeightSDS!$V$18-WeightSDS!$U$18)/24*($AG409-186)-0.005)))</f>
        <v>0.14604529399999999</v>
      </c>
    </row>
    <row r="410" spans="1:37">
      <c r="A410" s="4"/>
      <c r="B410" s="21"/>
      <c r="C410" s="21"/>
      <c r="D410" s="21"/>
      <c r="E410" s="22"/>
      <c r="F410" s="22"/>
      <c r="G410" s="23"/>
      <c r="H410" s="23"/>
      <c r="I410" s="8" t="str">
        <f t="shared" si="98"/>
        <v/>
      </c>
      <c r="J410" s="2" t="str">
        <f t="shared" si="105"/>
        <v/>
      </c>
      <c r="K410" s="2" t="str">
        <f t="shared" si="99"/>
        <v/>
      </c>
      <c r="L410" s="2" t="str">
        <f t="shared" si="106"/>
        <v/>
      </c>
      <c r="M410" s="2" t="str">
        <f t="shared" si="111"/>
        <v/>
      </c>
      <c r="N410" s="2" t="str">
        <f t="shared" si="107"/>
        <v/>
      </c>
      <c r="O410" s="8" t="str">
        <f t="shared" si="108"/>
        <v/>
      </c>
      <c r="P410" s="8" t="str">
        <f t="shared" si="109"/>
        <v/>
      </c>
      <c r="Q410" s="40" t="str">
        <f t="shared" si="100"/>
        <v/>
      </c>
      <c r="R410" s="48" t="str">
        <f t="shared" si="110"/>
        <v/>
      </c>
      <c r="S410" s="8"/>
      <c r="U410" s="35">
        <f t="shared" si="101"/>
        <v>0</v>
      </c>
      <c r="V410" s="24">
        <f t="shared" si="102"/>
        <v>0</v>
      </c>
      <c r="W410" s="41">
        <f t="shared" si="97"/>
        <v>0</v>
      </c>
      <c r="X410" s="31"/>
      <c r="Y410" s="31"/>
      <c r="Z410" s="31"/>
      <c r="AA410" s="25">
        <f t="shared" si="103"/>
        <v>9.0359999999999996</v>
      </c>
      <c r="AB410" s="25">
        <f t="shared" si="104"/>
        <v>-184.49199999999999</v>
      </c>
      <c r="AD410" s="24">
        <f>IF(D410="M",IF(AG410&lt;78,BMILMS!$D$5*AG410^3+BMILMS!$E$5*AG410^2+BMILMS!$F$5*AG410+BMILMS!$G$5,IF(AG410&lt;150,BMILMS!$D$6*AG410^3+BMILMS!$E$6*AG410^2+BMILMS!$F$6*AG410+BMILMS!$G$6,BMILMS!$D$7*AG410^3+BMILMS!$E$7*AG410^2+BMILMS!$F$7*AG410+BMILMS!$G$7)),IF(AG410&lt;69,BMILMS!$D$9*AG410^3+BMILMS!$E$9*AG410^2+BMILMS!$F$9*AG410+BMILMS!$G$9,IF(AG410&lt;150,BMILMS!$D$10*AG410^3+BMILMS!$E$10*AG410^2+BMILMS!$F$10*AG410+BMILMS!$G$10,BMILMS!$D$11*AG410^3+BMILMS!$E$11*AG410^2+BMILMS!$F$11*AG410+BMILMS!$G$11)))</f>
        <v>0.79584630099999998</v>
      </c>
      <c r="AE410" s="24">
        <f>IF(D410="M",(IF(AG410&lt;2.5,BMILMS!$D$21*AG410^3+BMILMS!$E$21*AG410^2+BMILMS!$F$21*AG410+BMILMS!$G$21,IF(AG410&lt;9.5,BMILMS!$D$22*AG410^3+BMILMS!$E$22*AG410^2+BMILMS!$F$22*AG410+BMILMS!$G$22,IF(AG410&lt;26.75,BMILMS!$D$23*AG410^3+BMILMS!$E$23*AG410^2+BMILMS!$F$23*AG410+BMILMS!$G$23,IF(AG410&lt;90,BMILMS!$D$24*AG410^3+BMILMS!$E$24*AG410^2+BMILMS!$F$24*AG410+BMILMS!$G$24,BMILMS!$D$25*AG410^3+BMILMS!$E$25*AG410^2+BMILMS!$F$25*AG410+BMILMS!$G$25))))),(IF(AG410&lt;2.5,BMILMS!$D$27*AG410^3+BMILMS!$E$27*AG410^2+BMILMS!$F$27*AG410+BMILMS!$G$27,IF(AG410&lt;9.5,BMILMS!$D$28*AG410^3+BMILMS!$E$28*AG410^2+BMILMS!$F$28*AG410+BMILMS!$G$28,IF(AG410&lt;26.75,BMILMS!$D$29*AG410^3+BMILMS!$E$29*AG410^2+BMILMS!$F$29*AG410+BMILMS!$G$29,IF(AG410&lt;90,BMILMS!$D$30*AG410^3+BMILMS!$E$30*AG410^2+BMILMS!$F$30*AG410+BMILMS!$G$30,IF(AG410&lt;150,BMILMS!$D$31*AG410^3+BMILMS!$E$31*AG410^2+BMILMS!$F$31*AG410+BMILMS!$G$31,BMILMS!$D$32*AG410^3+BMILMS!$E$32*AG410^2+BMILMS!$F$32*AG410+BMILMS!$G$32)))))))</f>
        <v>12.568967990000001</v>
      </c>
      <c r="AF410" s="24">
        <f>IF(D410="M",(IF(AG410&lt;90,BMILMS!$D$14*AG410^3+BMILMS!$E$14*AG410^2+BMILMS!$F$14*AG410+BMILMS!$G$14,BMILMS!$D$15*AG410^3+BMILMS!$E$15*AG410^2+BMILMS!$F$15*AG410+BMILMS!$G$15)),(IF(AG410&lt;90,BMILMS!$D$17*AG410^3+BMILMS!$E$17*AG410^2+BMILMS!$F$17*AG410+BMILMS!$G$17,BMILMS!$D$18*AG410^3+BMILMS!$E$18*AG410^2+BMILMS!$F$18*AG410+BMILMS!$G$18)))</f>
        <v>8.8969350000000003E-2</v>
      </c>
      <c r="AG410" s="24">
        <f t="shared" si="112"/>
        <v>0</v>
      </c>
      <c r="AI410" s="38">
        <f>IF(D410="M",WeightSDS!P$5*$AG410^7+WeightSDS!Q$5*$AG410^6+WeightSDS!R$5*$AG410^5+WeightSDS!S$5*$AG410^4+WeightSDS!T$5*$AG410^3+WeightSDS!U$5*$AG410^2+WeightSDS!V$5*$AG410+WeightSDS!W$5,IF($AG410&lt;186,WeightSDS!P$8*$AG410^7+WeightSDS!Q$8*$AG410^6+WeightSDS!R$8*$AG410^5+WeightSDS!S$8*$AG410^4+WeightSDS!T$8*$AG410^3+WeightSDS!U$8*$AG410^2+WeightSDS!V$8*$AG410+WeightSDS!W$8,WeightSDS!$U$9-WeightSDS!$V$9*($AG410-WeightSDS!$W$9)))</f>
        <v>0.75407122999999998</v>
      </c>
      <c r="AJ410" s="24">
        <f>IF(D410="M",IF($AG410&lt;45,WeightSDS!M$23*$AG410^10+WeightSDS!N$23*$AG410^9+WeightSDS!O$23*$AG410^8+WeightSDS!P$23*$AG410^7+WeightSDS!Q$23*$AG410^6+WeightSDS!R$23*$AG410^5+WeightSDS!S$23*$AG410^4+WeightSDS!T$23*$AG410^3+WeightSDS!U$23*$AG410^2+WeightSDS!V$23*$AG410+WeightSDS!W$23,IF($AG410&lt;153,WeightSDS!M$25*$AG410^10+WeightSDS!N$25*$AG410^9+WeightSDS!O$25*$AG410^8+WeightSDS!P$25*$AG410^7+WeightSDS!Q$25*$AG410^6+WeightSDS!R$25*$AG410^5+WeightSDS!S$25*$AG410^4+WeightSDS!T$25*$AG410^3+WeightSDS!U$25*$AG410^2+WeightSDS!V$25*$AG410+WeightSDS!W$25,WeightSDS!M$27+WeightSDS!N$27/(1+EXP(WeightSDS!O$27+WeightSDS!P$27*$AG410)))),IF($AG410&lt;43.8,WeightSDS!M$29*$AG410^10+WeightSDS!N$29*$AG410^9+WeightSDS!O$29*$AG410^8+WeightSDS!P$29*$AG410^7+WeightSDS!Q$29*$AG410^6+WeightSDS!R$29*$AG410^5+WeightSDS!S$29*$AG410^4+WeightSDS!T$29*$AG410^3+WeightSDS!U$29*$AG410^2+WeightSDS!V$29*$AG410+WeightSDS!W$29-0.010431*(1-$AG410/210),IF($AG410&lt;123,WeightSDS!M$30*$AG410^10+WeightSDS!N$30*$AG410^9+WeightSDS!O$30*$AG410^8+WeightSDS!P$30*$AG410^7+WeightSDS!Q$30*$AG410^6+WeightSDS!R$30*$AG410^5+WeightSDS!S$30*$AG410^4+WeightSDS!T$30*$AG410^3+WeightSDS!U$30*$AG410^2+WeightSDS!V$30*$AG410+WeightSDS!W$30-0.010431*(1-1/$AG410),WeightSDS!M$32+WeightSDS!N$32/(1+EXP(WeightSDS!O$32+WeightSDS!P$32*$AG410))-0.010431*(1-$AG410/210))))</f>
        <v>2.9500001032655536</v>
      </c>
      <c r="AK410" s="24">
        <f>IF(D410="M",IF($AG410&lt;162,WeightSDS!P$12*$AG410^7+WeightSDS!Q$12*$AG410^6+WeightSDS!R$12*$AG410^5+WeightSDS!S$12*$AG410^4+WeightSDS!T$12*$AG410^3+WeightSDS!U$12*$AG410^2+WeightSDS!V$12*$AG410+WeightSDS!W$12,WeightSDS!P$14*$AG410^7+WeightSDS!Q$14*$AG410^6+WeightSDS!R$14*$AG410^5+WeightSDS!S$14*$AG410^4+WeightSDS!T$14*$AG410^3+WeightSDS!U$14*$AG410^2+WeightSDS!V$14*$AG410+WeightSDS!W$14),IF($AG410&lt;156,WeightSDS!O$17*$AG410^8+WeightSDS!P$17*$AG410^7+WeightSDS!Q$17*$AG410^6+WeightSDS!R$17*$AG410^5+WeightSDS!S$17*$AG410^4+WeightSDS!T$17*$AG410^3+WeightSDS!U$17*$AG410^2+WeightSDS!V$17*$AG410+WeightSDS!W$17,IF($AG410&lt;186,WeightSDS!$U$18+(WeightSDS!$V$18-WeightSDS!$U$18)/24*($AG410-186)+WeightSDS!$W$18*(-$AG410+186)^2-0.005,WeightSDS!$U$18+(WeightSDS!$V$18-WeightSDS!$U$18)/24*($AG410-186)-0.005)))</f>
        <v>0.14604529399999999</v>
      </c>
    </row>
    <row r="411" spans="1:37">
      <c r="A411" s="4"/>
      <c r="B411" s="21"/>
      <c r="C411" s="21"/>
      <c r="D411" s="21"/>
      <c r="E411" s="22"/>
      <c r="F411" s="22"/>
      <c r="G411" s="23"/>
      <c r="H411" s="23"/>
      <c r="I411" s="8" t="str">
        <f t="shared" si="98"/>
        <v/>
      </c>
      <c r="J411" s="2" t="str">
        <f t="shared" si="105"/>
        <v/>
      </c>
      <c r="K411" s="2" t="str">
        <f t="shared" si="99"/>
        <v/>
      </c>
      <c r="L411" s="2" t="str">
        <f t="shared" si="106"/>
        <v/>
      </c>
      <c r="M411" s="2" t="str">
        <f t="shared" si="111"/>
        <v/>
      </c>
      <c r="N411" s="2" t="str">
        <f t="shared" si="107"/>
        <v/>
      </c>
      <c r="O411" s="8" t="str">
        <f t="shared" si="108"/>
        <v/>
      </c>
      <c r="P411" s="8" t="str">
        <f t="shared" si="109"/>
        <v/>
      </c>
      <c r="Q411" s="40" t="str">
        <f t="shared" si="100"/>
        <v/>
      </c>
      <c r="R411" s="48" t="str">
        <f t="shared" si="110"/>
        <v/>
      </c>
      <c r="S411" s="8"/>
      <c r="U411" s="35">
        <f t="shared" si="101"/>
        <v>0</v>
      </c>
      <c r="V411" s="24">
        <f t="shared" si="102"/>
        <v>0</v>
      </c>
      <c r="W411" s="41">
        <f t="shared" si="97"/>
        <v>0</v>
      </c>
      <c r="X411" s="31"/>
      <c r="Y411" s="31"/>
      <c r="Z411" s="31"/>
      <c r="AA411" s="25">
        <f t="shared" si="103"/>
        <v>9.0359999999999996</v>
      </c>
      <c r="AB411" s="25">
        <f t="shared" si="104"/>
        <v>-184.49199999999999</v>
      </c>
      <c r="AD411" s="24">
        <f>IF(D411="M",IF(AG411&lt;78,BMILMS!$D$5*AG411^3+BMILMS!$E$5*AG411^2+BMILMS!$F$5*AG411+BMILMS!$G$5,IF(AG411&lt;150,BMILMS!$D$6*AG411^3+BMILMS!$E$6*AG411^2+BMILMS!$F$6*AG411+BMILMS!$G$6,BMILMS!$D$7*AG411^3+BMILMS!$E$7*AG411^2+BMILMS!$F$7*AG411+BMILMS!$G$7)),IF(AG411&lt;69,BMILMS!$D$9*AG411^3+BMILMS!$E$9*AG411^2+BMILMS!$F$9*AG411+BMILMS!$G$9,IF(AG411&lt;150,BMILMS!$D$10*AG411^3+BMILMS!$E$10*AG411^2+BMILMS!$F$10*AG411+BMILMS!$G$10,BMILMS!$D$11*AG411^3+BMILMS!$E$11*AG411^2+BMILMS!$F$11*AG411+BMILMS!$G$11)))</f>
        <v>0.79584630099999998</v>
      </c>
      <c r="AE411" s="24">
        <f>IF(D411="M",(IF(AG411&lt;2.5,BMILMS!$D$21*AG411^3+BMILMS!$E$21*AG411^2+BMILMS!$F$21*AG411+BMILMS!$G$21,IF(AG411&lt;9.5,BMILMS!$D$22*AG411^3+BMILMS!$E$22*AG411^2+BMILMS!$F$22*AG411+BMILMS!$G$22,IF(AG411&lt;26.75,BMILMS!$D$23*AG411^3+BMILMS!$E$23*AG411^2+BMILMS!$F$23*AG411+BMILMS!$G$23,IF(AG411&lt;90,BMILMS!$D$24*AG411^3+BMILMS!$E$24*AG411^2+BMILMS!$F$24*AG411+BMILMS!$G$24,BMILMS!$D$25*AG411^3+BMILMS!$E$25*AG411^2+BMILMS!$F$25*AG411+BMILMS!$G$25))))),(IF(AG411&lt;2.5,BMILMS!$D$27*AG411^3+BMILMS!$E$27*AG411^2+BMILMS!$F$27*AG411+BMILMS!$G$27,IF(AG411&lt;9.5,BMILMS!$D$28*AG411^3+BMILMS!$E$28*AG411^2+BMILMS!$F$28*AG411+BMILMS!$G$28,IF(AG411&lt;26.75,BMILMS!$D$29*AG411^3+BMILMS!$E$29*AG411^2+BMILMS!$F$29*AG411+BMILMS!$G$29,IF(AG411&lt;90,BMILMS!$D$30*AG411^3+BMILMS!$E$30*AG411^2+BMILMS!$F$30*AG411+BMILMS!$G$30,IF(AG411&lt;150,BMILMS!$D$31*AG411^3+BMILMS!$E$31*AG411^2+BMILMS!$F$31*AG411+BMILMS!$G$31,BMILMS!$D$32*AG411^3+BMILMS!$E$32*AG411^2+BMILMS!$F$32*AG411+BMILMS!$G$32)))))))</f>
        <v>12.568967990000001</v>
      </c>
      <c r="AF411" s="24">
        <f>IF(D411="M",(IF(AG411&lt;90,BMILMS!$D$14*AG411^3+BMILMS!$E$14*AG411^2+BMILMS!$F$14*AG411+BMILMS!$G$14,BMILMS!$D$15*AG411^3+BMILMS!$E$15*AG411^2+BMILMS!$F$15*AG411+BMILMS!$G$15)),(IF(AG411&lt;90,BMILMS!$D$17*AG411^3+BMILMS!$E$17*AG411^2+BMILMS!$F$17*AG411+BMILMS!$G$17,BMILMS!$D$18*AG411^3+BMILMS!$E$18*AG411^2+BMILMS!$F$18*AG411+BMILMS!$G$18)))</f>
        <v>8.8969350000000003E-2</v>
      </c>
      <c r="AG411" s="24">
        <f t="shared" si="112"/>
        <v>0</v>
      </c>
      <c r="AI411" s="38">
        <f>IF(D411="M",WeightSDS!P$5*$AG411^7+WeightSDS!Q$5*$AG411^6+WeightSDS!R$5*$AG411^5+WeightSDS!S$5*$AG411^4+WeightSDS!T$5*$AG411^3+WeightSDS!U$5*$AG411^2+WeightSDS!V$5*$AG411+WeightSDS!W$5,IF($AG411&lt;186,WeightSDS!P$8*$AG411^7+WeightSDS!Q$8*$AG411^6+WeightSDS!R$8*$AG411^5+WeightSDS!S$8*$AG411^4+WeightSDS!T$8*$AG411^3+WeightSDS!U$8*$AG411^2+WeightSDS!V$8*$AG411+WeightSDS!W$8,WeightSDS!$U$9-WeightSDS!$V$9*($AG411-WeightSDS!$W$9)))</f>
        <v>0.75407122999999998</v>
      </c>
      <c r="AJ411" s="24">
        <f>IF(D411="M",IF($AG411&lt;45,WeightSDS!M$23*$AG411^10+WeightSDS!N$23*$AG411^9+WeightSDS!O$23*$AG411^8+WeightSDS!P$23*$AG411^7+WeightSDS!Q$23*$AG411^6+WeightSDS!R$23*$AG411^5+WeightSDS!S$23*$AG411^4+WeightSDS!T$23*$AG411^3+WeightSDS!U$23*$AG411^2+WeightSDS!V$23*$AG411+WeightSDS!W$23,IF($AG411&lt;153,WeightSDS!M$25*$AG411^10+WeightSDS!N$25*$AG411^9+WeightSDS!O$25*$AG411^8+WeightSDS!P$25*$AG411^7+WeightSDS!Q$25*$AG411^6+WeightSDS!R$25*$AG411^5+WeightSDS!S$25*$AG411^4+WeightSDS!T$25*$AG411^3+WeightSDS!U$25*$AG411^2+WeightSDS!V$25*$AG411+WeightSDS!W$25,WeightSDS!M$27+WeightSDS!N$27/(1+EXP(WeightSDS!O$27+WeightSDS!P$27*$AG411)))),IF($AG411&lt;43.8,WeightSDS!M$29*$AG411^10+WeightSDS!N$29*$AG411^9+WeightSDS!O$29*$AG411^8+WeightSDS!P$29*$AG411^7+WeightSDS!Q$29*$AG411^6+WeightSDS!R$29*$AG411^5+WeightSDS!S$29*$AG411^4+WeightSDS!T$29*$AG411^3+WeightSDS!U$29*$AG411^2+WeightSDS!V$29*$AG411+WeightSDS!W$29-0.010431*(1-$AG411/210),IF($AG411&lt;123,WeightSDS!M$30*$AG411^10+WeightSDS!N$30*$AG411^9+WeightSDS!O$30*$AG411^8+WeightSDS!P$30*$AG411^7+WeightSDS!Q$30*$AG411^6+WeightSDS!R$30*$AG411^5+WeightSDS!S$30*$AG411^4+WeightSDS!T$30*$AG411^3+WeightSDS!U$30*$AG411^2+WeightSDS!V$30*$AG411+WeightSDS!W$30-0.010431*(1-1/$AG411),WeightSDS!M$32+WeightSDS!N$32/(1+EXP(WeightSDS!O$32+WeightSDS!P$32*$AG411))-0.010431*(1-$AG411/210))))</f>
        <v>2.9500001032655536</v>
      </c>
      <c r="AK411" s="24">
        <f>IF(D411="M",IF($AG411&lt;162,WeightSDS!P$12*$AG411^7+WeightSDS!Q$12*$AG411^6+WeightSDS!R$12*$AG411^5+WeightSDS!S$12*$AG411^4+WeightSDS!T$12*$AG411^3+WeightSDS!U$12*$AG411^2+WeightSDS!V$12*$AG411+WeightSDS!W$12,WeightSDS!P$14*$AG411^7+WeightSDS!Q$14*$AG411^6+WeightSDS!R$14*$AG411^5+WeightSDS!S$14*$AG411^4+WeightSDS!T$14*$AG411^3+WeightSDS!U$14*$AG411^2+WeightSDS!V$14*$AG411+WeightSDS!W$14),IF($AG411&lt;156,WeightSDS!O$17*$AG411^8+WeightSDS!P$17*$AG411^7+WeightSDS!Q$17*$AG411^6+WeightSDS!R$17*$AG411^5+WeightSDS!S$17*$AG411^4+WeightSDS!T$17*$AG411^3+WeightSDS!U$17*$AG411^2+WeightSDS!V$17*$AG411+WeightSDS!W$17,IF($AG411&lt;186,WeightSDS!$U$18+(WeightSDS!$V$18-WeightSDS!$U$18)/24*($AG411-186)+WeightSDS!$W$18*(-$AG411+186)^2-0.005,WeightSDS!$U$18+(WeightSDS!$V$18-WeightSDS!$U$18)/24*($AG411-186)-0.005)))</f>
        <v>0.14604529399999999</v>
      </c>
    </row>
    <row r="412" spans="1:37">
      <c r="A412" s="4"/>
      <c r="B412" s="21"/>
      <c r="C412" s="21"/>
      <c r="D412" s="21"/>
      <c r="E412" s="22"/>
      <c r="F412" s="22"/>
      <c r="G412" s="23"/>
      <c r="H412" s="23"/>
      <c r="I412" s="8" t="str">
        <f t="shared" si="98"/>
        <v/>
      </c>
      <c r="J412" s="2" t="str">
        <f t="shared" si="105"/>
        <v/>
      </c>
      <c r="K412" s="2" t="str">
        <f t="shared" si="99"/>
        <v/>
      </c>
      <c r="L412" s="2" t="str">
        <f t="shared" si="106"/>
        <v/>
      </c>
      <c r="M412" s="2" t="str">
        <f t="shared" si="111"/>
        <v/>
      </c>
      <c r="N412" s="2" t="str">
        <f t="shared" si="107"/>
        <v/>
      </c>
      <c r="O412" s="8" t="str">
        <f t="shared" si="108"/>
        <v/>
      </c>
      <c r="P412" s="8" t="str">
        <f t="shared" si="109"/>
        <v/>
      </c>
      <c r="Q412" s="40" t="str">
        <f t="shared" si="100"/>
        <v/>
      </c>
      <c r="R412" s="48" t="str">
        <f t="shared" si="110"/>
        <v/>
      </c>
      <c r="S412" s="8"/>
      <c r="U412" s="35">
        <f t="shared" si="101"/>
        <v>0</v>
      </c>
      <c r="V412" s="24">
        <f t="shared" si="102"/>
        <v>0</v>
      </c>
      <c r="W412" s="41">
        <f t="shared" si="97"/>
        <v>0</v>
      </c>
      <c r="X412" s="31"/>
      <c r="Y412" s="31"/>
      <c r="Z412" s="31"/>
      <c r="AA412" s="25">
        <f t="shared" si="103"/>
        <v>9.0359999999999996</v>
      </c>
      <c r="AB412" s="25">
        <f t="shared" si="104"/>
        <v>-184.49199999999999</v>
      </c>
      <c r="AD412" s="24">
        <f>IF(D412="M",IF(AG412&lt;78,BMILMS!$D$5*AG412^3+BMILMS!$E$5*AG412^2+BMILMS!$F$5*AG412+BMILMS!$G$5,IF(AG412&lt;150,BMILMS!$D$6*AG412^3+BMILMS!$E$6*AG412^2+BMILMS!$F$6*AG412+BMILMS!$G$6,BMILMS!$D$7*AG412^3+BMILMS!$E$7*AG412^2+BMILMS!$F$7*AG412+BMILMS!$G$7)),IF(AG412&lt;69,BMILMS!$D$9*AG412^3+BMILMS!$E$9*AG412^2+BMILMS!$F$9*AG412+BMILMS!$G$9,IF(AG412&lt;150,BMILMS!$D$10*AG412^3+BMILMS!$E$10*AG412^2+BMILMS!$F$10*AG412+BMILMS!$G$10,BMILMS!$D$11*AG412^3+BMILMS!$E$11*AG412^2+BMILMS!$F$11*AG412+BMILMS!$G$11)))</f>
        <v>0.79584630099999998</v>
      </c>
      <c r="AE412" s="24">
        <f>IF(D412="M",(IF(AG412&lt;2.5,BMILMS!$D$21*AG412^3+BMILMS!$E$21*AG412^2+BMILMS!$F$21*AG412+BMILMS!$G$21,IF(AG412&lt;9.5,BMILMS!$D$22*AG412^3+BMILMS!$E$22*AG412^2+BMILMS!$F$22*AG412+BMILMS!$G$22,IF(AG412&lt;26.75,BMILMS!$D$23*AG412^3+BMILMS!$E$23*AG412^2+BMILMS!$F$23*AG412+BMILMS!$G$23,IF(AG412&lt;90,BMILMS!$D$24*AG412^3+BMILMS!$E$24*AG412^2+BMILMS!$F$24*AG412+BMILMS!$G$24,BMILMS!$D$25*AG412^3+BMILMS!$E$25*AG412^2+BMILMS!$F$25*AG412+BMILMS!$G$25))))),(IF(AG412&lt;2.5,BMILMS!$D$27*AG412^3+BMILMS!$E$27*AG412^2+BMILMS!$F$27*AG412+BMILMS!$G$27,IF(AG412&lt;9.5,BMILMS!$D$28*AG412^3+BMILMS!$E$28*AG412^2+BMILMS!$F$28*AG412+BMILMS!$G$28,IF(AG412&lt;26.75,BMILMS!$D$29*AG412^3+BMILMS!$E$29*AG412^2+BMILMS!$F$29*AG412+BMILMS!$G$29,IF(AG412&lt;90,BMILMS!$D$30*AG412^3+BMILMS!$E$30*AG412^2+BMILMS!$F$30*AG412+BMILMS!$G$30,IF(AG412&lt;150,BMILMS!$D$31*AG412^3+BMILMS!$E$31*AG412^2+BMILMS!$F$31*AG412+BMILMS!$G$31,BMILMS!$D$32*AG412^3+BMILMS!$E$32*AG412^2+BMILMS!$F$32*AG412+BMILMS!$G$32)))))))</f>
        <v>12.568967990000001</v>
      </c>
      <c r="AF412" s="24">
        <f>IF(D412="M",(IF(AG412&lt;90,BMILMS!$D$14*AG412^3+BMILMS!$E$14*AG412^2+BMILMS!$F$14*AG412+BMILMS!$G$14,BMILMS!$D$15*AG412^3+BMILMS!$E$15*AG412^2+BMILMS!$F$15*AG412+BMILMS!$G$15)),(IF(AG412&lt;90,BMILMS!$D$17*AG412^3+BMILMS!$E$17*AG412^2+BMILMS!$F$17*AG412+BMILMS!$G$17,BMILMS!$D$18*AG412^3+BMILMS!$E$18*AG412^2+BMILMS!$F$18*AG412+BMILMS!$G$18)))</f>
        <v>8.8969350000000003E-2</v>
      </c>
      <c r="AG412" s="24">
        <f t="shared" si="112"/>
        <v>0</v>
      </c>
      <c r="AI412" s="38">
        <f>IF(D412="M",WeightSDS!P$5*$AG412^7+WeightSDS!Q$5*$AG412^6+WeightSDS!R$5*$AG412^5+WeightSDS!S$5*$AG412^4+WeightSDS!T$5*$AG412^3+WeightSDS!U$5*$AG412^2+WeightSDS!V$5*$AG412+WeightSDS!W$5,IF($AG412&lt;186,WeightSDS!P$8*$AG412^7+WeightSDS!Q$8*$AG412^6+WeightSDS!R$8*$AG412^5+WeightSDS!S$8*$AG412^4+WeightSDS!T$8*$AG412^3+WeightSDS!U$8*$AG412^2+WeightSDS!V$8*$AG412+WeightSDS!W$8,WeightSDS!$U$9-WeightSDS!$V$9*($AG412-WeightSDS!$W$9)))</f>
        <v>0.75407122999999998</v>
      </c>
      <c r="AJ412" s="24">
        <f>IF(D412="M",IF($AG412&lt;45,WeightSDS!M$23*$AG412^10+WeightSDS!N$23*$AG412^9+WeightSDS!O$23*$AG412^8+WeightSDS!P$23*$AG412^7+WeightSDS!Q$23*$AG412^6+WeightSDS!R$23*$AG412^5+WeightSDS!S$23*$AG412^4+WeightSDS!T$23*$AG412^3+WeightSDS!U$23*$AG412^2+WeightSDS!V$23*$AG412+WeightSDS!W$23,IF($AG412&lt;153,WeightSDS!M$25*$AG412^10+WeightSDS!N$25*$AG412^9+WeightSDS!O$25*$AG412^8+WeightSDS!P$25*$AG412^7+WeightSDS!Q$25*$AG412^6+WeightSDS!R$25*$AG412^5+WeightSDS!S$25*$AG412^4+WeightSDS!T$25*$AG412^3+WeightSDS!U$25*$AG412^2+WeightSDS!V$25*$AG412+WeightSDS!W$25,WeightSDS!M$27+WeightSDS!N$27/(1+EXP(WeightSDS!O$27+WeightSDS!P$27*$AG412)))),IF($AG412&lt;43.8,WeightSDS!M$29*$AG412^10+WeightSDS!N$29*$AG412^9+WeightSDS!O$29*$AG412^8+WeightSDS!P$29*$AG412^7+WeightSDS!Q$29*$AG412^6+WeightSDS!R$29*$AG412^5+WeightSDS!S$29*$AG412^4+WeightSDS!T$29*$AG412^3+WeightSDS!U$29*$AG412^2+WeightSDS!V$29*$AG412+WeightSDS!W$29-0.010431*(1-$AG412/210),IF($AG412&lt;123,WeightSDS!M$30*$AG412^10+WeightSDS!N$30*$AG412^9+WeightSDS!O$30*$AG412^8+WeightSDS!P$30*$AG412^7+WeightSDS!Q$30*$AG412^6+WeightSDS!R$30*$AG412^5+WeightSDS!S$30*$AG412^4+WeightSDS!T$30*$AG412^3+WeightSDS!U$30*$AG412^2+WeightSDS!V$30*$AG412+WeightSDS!W$30-0.010431*(1-1/$AG412),WeightSDS!M$32+WeightSDS!N$32/(1+EXP(WeightSDS!O$32+WeightSDS!P$32*$AG412))-0.010431*(1-$AG412/210))))</f>
        <v>2.9500001032655536</v>
      </c>
      <c r="AK412" s="24">
        <f>IF(D412="M",IF($AG412&lt;162,WeightSDS!P$12*$AG412^7+WeightSDS!Q$12*$AG412^6+WeightSDS!R$12*$AG412^5+WeightSDS!S$12*$AG412^4+WeightSDS!T$12*$AG412^3+WeightSDS!U$12*$AG412^2+WeightSDS!V$12*$AG412+WeightSDS!W$12,WeightSDS!P$14*$AG412^7+WeightSDS!Q$14*$AG412^6+WeightSDS!R$14*$AG412^5+WeightSDS!S$14*$AG412^4+WeightSDS!T$14*$AG412^3+WeightSDS!U$14*$AG412^2+WeightSDS!V$14*$AG412+WeightSDS!W$14),IF($AG412&lt;156,WeightSDS!O$17*$AG412^8+WeightSDS!P$17*$AG412^7+WeightSDS!Q$17*$AG412^6+WeightSDS!R$17*$AG412^5+WeightSDS!S$17*$AG412^4+WeightSDS!T$17*$AG412^3+WeightSDS!U$17*$AG412^2+WeightSDS!V$17*$AG412+WeightSDS!W$17,IF($AG412&lt;186,WeightSDS!$U$18+(WeightSDS!$V$18-WeightSDS!$U$18)/24*($AG412-186)+WeightSDS!$W$18*(-$AG412+186)^2-0.005,WeightSDS!$U$18+(WeightSDS!$V$18-WeightSDS!$U$18)/24*($AG412-186)-0.005)))</f>
        <v>0.14604529399999999</v>
      </c>
    </row>
    <row r="413" spans="1:37">
      <c r="A413" s="4"/>
      <c r="B413" s="21"/>
      <c r="C413" s="21"/>
      <c r="D413" s="21"/>
      <c r="E413" s="22"/>
      <c r="F413" s="22"/>
      <c r="G413" s="23"/>
      <c r="H413" s="23"/>
      <c r="I413" s="8" t="str">
        <f t="shared" si="98"/>
        <v/>
      </c>
      <c r="J413" s="2" t="str">
        <f t="shared" si="105"/>
        <v/>
      </c>
      <c r="K413" s="2" t="str">
        <f t="shared" si="99"/>
        <v/>
      </c>
      <c r="L413" s="2" t="str">
        <f t="shared" si="106"/>
        <v/>
      </c>
      <c r="M413" s="2" t="str">
        <f t="shared" si="111"/>
        <v/>
      </c>
      <c r="N413" s="2" t="str">
        <f t="shared" si="107"/>
        <v/>
      </c>
      <c r="O413" s="8" t="str">
        <f t="shared" si="108"/>
        <v/>
      </c>
      <c r="P413" s="8" t="str">
        <f t="shared" si="109"/>
        <v/>
      </c>
      <c r="Q413" s="40" t="str">
        <f t="shared" si="100"/>
        <v/>
      </c>
      <c r="R413" s="48" t="str">
        <f t="shared" si="110"/>
        <v/>
      </c>
      <c r="S413" s="8"/>
      <c r="U413" s="35">
        <f t="shared" si="101"/>
        <v>0</v>
      </c>
      <c r="V413" s="24">
        <f t="shared" si="102"/>
        <v>0</v>
      </c>
      <c r="W413" s="41">
        <f t="shared" si="97"/>
        <v>0</v>
      </c>
      <c r="X413" s="31"/>
      <c r="Y413" s="31"/>
      <c r="Z413" s="31"/>
      <c r="AA413" s="25">
        <f t="shared" si="103"/>
        <v>9.0359999999999996</v>
      </c>
      <c r="AB413" s="25">
        <f t="shared" si="104"/>
        <v>-184.49199999999999</v>
      </c>
      <c r="AD413" s="24">
        <f>IF(D413="M",IF(AG413&lt;78,BMILMS!$D$5*AG413^3+BMILMS!$E$5*AG413^2+BMILMS!$F$5*AG413+BMILMS!$G$5,IF(AG413&lt;150,BMILMS!$D$6*AG413^3+BMILMS!$E$6*AG413^2+BMILMS!$F$6*AG413+BMILMS!$G$6,BMILMS!$D$7*AG413^3+BMILMS!$E$7*AG413^2+BMILMS!$F$7*AG413+BMILMS!$G$7)),IF(AG413&lt;69,BMILMS!$D$9*AG413^3+BMILMS!$E$9*AG413^2+BMILMS!$F$9*AG413+BMILMS!$G$9,IF(AG413&lt;150,BMILMS!$D$10*AG413^3+BMILMS!$E$10*AG413^2+BMILMS!$F$10*AG413+BMILMS!$G$10,BMILMS!$D$11*AG413^3+BMILMS!$E$11*AG413^2+BMILMS!$F$11*AG413+BMILMS!$G$11)))</f>
        <v>0.79584630099999998</v>
      </c>
      <c r="AE413" s="24">
        <f>IF(D413="M",(IF(AG413&lt;2.5,BMILMS!$D$21*AG413^3+BMILMS!$E$21*AG413^2+BMILMS!$F$21*AG413+BMILMS!$G$21,IF(AG413&lt;9.5,BMILMS!$D$22*AG413^3+BMILMS!$E$22*AG413^2+BMILMS!$F$22*AG413+BMILMS!$G$22,IF(AG413&lt;26.75,BMILMS!$D$23*AG413^3+BMILMS!$E$23*AG413^2+BMILMS!$F$23*AG413+BMILMS!$G$23,IF(AG413&lt;90,BMILMS!$D$24*AG413^3+BMILMS!$E$24*AG413^2+BMILMS!$F$24*AG413+BMILMS!$G$24,BMILMS!$D$25*AG413^3+BMILMS!$E$25*AG413^2+BMILMS!$F$25*AG413+BMILMS!$G$25))))),(IF(AG413&lt;2.5,BMILMS!$D$27*AG413^3+BMILMS!$E$27*AG413^2+BMILMS!$F$27*AG413+BMILMS!$G$27,IF(AG413&lt;9.5,BMILMS!$D$28*AG413^3+BMILMS!$E$28*AG413^2+BMILMS!$F$28*AG413+BMILMS!$G$28,IF(AG413&lt;26.75,BMILMS!$D$29*AG413^3+BMILMS!$E$29*AG413^2+BMILMS!$F$29*AG413+BMILMS!$G$29,IF(AG413&lt;90,BMILMS!$D$30*AG413^3+BMILMS!$E$30*AG413^2+BMILMS!$F$30*AG413+BMILMS!$G$30,IF(AG413&lt;150,BMILMS!$D$31*AG413^3+BMILMS!$E$31*AG413^2+BMILMS!$F$31*AG413+BMILMS!$G$31,BMILMS!$D$32*AG413^3+BMILMS!$E$32*AG413^2+BMILMS!$F$32*AG413+BMILMS!$G$32)))))))</f>
        <v>12.568967990000001</v>
      </c>
      <c r="AF413" s="24">
        <f>IF(D413="M",(IF(AG413&lt;90,BMILMS!$D$14*AG413^3+BMILMS!$E$14*AG413^2+BMILMS!$F$14*AG413+BMILMS!$G$14,BMILMS!$D$15*AG413^3+BMILMS!$E$15*AG413^2+BMILMS!$F$15*AG413+BMILMS!$G$15)),(IF(AG413&lt;90,BMILMS!$D$17*AG413^3+BMILMS!$E$17*AG413^2+BMILMS!$F$17*AG413+BMILMS!$G$17,BMILMS!$D$18*AG413^3+BMILMS!$E$18*AG413^2+BMILMS!$F$18*AG413+BMILMS!$G$18)))</f>
        <v>8.8969350000000003E-2</v>
      </c>
      <c r="AG413" s="24">
        <f t="shared" si="112"/>
        <v>0</v>
      </c>
      <c r="AI413" s="38">
        <f>IF(D413="M",WeightSDS!P$5*$AG413^7+WeightSDS!Q$5*$AG413^6+WeightSDS!R$5*$AG413^5+WeightSDS!S$5*$AG413^4+WeightSDS!T$5*$AG413^3+WeightSDS!U$5*$AG413^2+WeightSDS!V$5*$AG413+WeightSDS!W$5,IF($AG413&lt;186,WeightSDS!P$8*$AG413^7+WeightSDS!Q$8*$AG413^6+WeightSDS!R$8*$AG413^5+WeightSDS!S$8*$AG413^4+WeightSDS!T$8*$AG413^3+WeightSDS!U$8*$AG413^2+WeightSDS!V$8*$AG413+WeightSDS!W$8,WeightSDS!$U$9-WeightSDS!$V$9*($AG413-WeightSDS!$W$9)))</f>
        <v>0.75407122999999998</v>
      </c>
      <c r="AJ413" s="24">
        <f>IF(D413="M",IF($AG413&lt;45,WeightSDS!M$23*$AG413^10+WeightSDS!N$23*$AG413^9+WeightSDS!O$23*$AG413^8+WeightSDS!P$23*$AG413^7+WeightSDS!Q$23*$AG413^6+WeightSDS!R$23*$AG413^5+WeightSDS!S$23*$AG413^4+WeightSDS!T$23*$AG413^3+WeightSDS!U$23*$AG413^2+WeightSDS!V$23*$AG413+WeightSDS!W$23,IF($AG413&lt;153,WeightSDS!M$25*$AG413^10+WeightSDS!N$25*$AG413^9+WeightSDS!O$25*$AG413^8+WeightSDS!P$25*$AG413^7+WeightSDS!Q$25*$AG413^6+WeightSDS!R$25*$AG413^5+WeightSDS!S$25*$AG413^4+WeightSDS!T$25*$AG413^3+WeightSDS!U$25*$AG413^2+WeightSDS!V$25*$AG413+WeightSDS!W$25,WeightSDS!M$27+WeightSDS!N$27/(1+EXP(WeightSDS!O$27+WeightSDS!P$27*$AG413)))),IF($AG413&lt;43.8,WeightSDS!M$29*$AG413^10+WeightSDS!N$29*$AG413^9+WeightSDS!O$29*$AG413^8+WeightSDS!P$29*$AG413^7+WeightSDS!Q$29*$AG413^6+WeightSDS!R$29*$AG413^5+WeightSDS!S$29*$AG413^4+WeightSDS!T$29*$AG413^3+WeightSDS!U$29*$AG413^2+WeightSDS!V$29*$AG413+WeightSDS!W$29-0.010431*(1-$AG413/210),IF($AG413&lt;123,WeightSDS!M$30*$AG413^10+WeightSDS!N$30*$AG413^9+WeightSDS!O$30*$AG413^8+WeightSDS!P$30*$AG413^7+WeightSDS!Q$30*$AG413^6+WeightSDS!R$30*$AG413^5+WeightSDS!S$30*$AG413^4+WeightSDS!T$30*$AG413^3+WeightSDS!U$30*$AG413^2+WeightSDS!V$30*$AG413+WeightSDS!W$30-0.010431*(1-1/$AG413),WeightSDS!M$32+WeightSDS!N$32/(1+EXP(WeightSDS!O$32+WeightSDS!P$32*$AG413))-0.010431*(1-$AG413/210))))</f>
        <v>2.9500001032655536</v>
      </c>
      <c r="AK413" s="24">
        <f>IF(D413="M",IF($AG413&lt;162,WeightSDS!P$12*$AG413^7+WeightSDS!Q$12*$AG413^6+WeightSDS!R$12*$AG413^5+WeightSDS!S$12*$AG413^4+WeightSDS!T$12*$AG413^3+WeightSDS!U$12*$AG413^2+WeightSDS!V$12*$AG413+WeightSDS!W$12,WeightSDS!P$14*$AG413^7+WeightSDS!Q$14*$AG413^6+WeightSDS!R$14*$AG413^5+WeightSDS!S$14*$AG413^4+WeightSDS!T$14*$AG413^3+WeightSDS!U$14*$AG413^2+WeightSDS!V$14*$AG413+WeightSDS!W$14),IF($AG413&lt;156,WeightSDS!O$17*$AG413^8+WeightSDS!P$17*$AG413^7+WeightSDS!Q$17*$AG413^6+WeightSDS!R$17*$AG413^5+WeightSDS!S$17*$AG413^4+WeightSDS!T$17*$AG413^3+WeightSDS!U$17*$AG413^2+WeightSDS!V$17*$AG413+WeightSDS!W$17,IF($AG413&lt;186,WeightSDS!$U$18+(WeightSDS!$V$18-WeightSDS!$U$18)/24*($AG413-186)+WeightSDS!$W$18*(-$AG413+186)^2-0.005,WeightSDS!$U$18+(WeightSDS!$V$18-WeightSDS!$U$18)/24*($AG413-186)-0.005)))</f>
        <v>0.14604529399999999</v>
      </c>
    </row>
    <row r="414" spans="1:37">
      <c r="A414" s="4"/>
      <c r="B414" s="21"/>
      <c r="C414" s="21"/>
      <c r="D414" s="21"/>
      <c r="E414" s="22"/>
      <c r="F414" s="22"/>
      <c r="G414" s="23"/>
      <c r="H414" s="23"/>
      <c r="I414" s="8" t="str">
        <f t="shared" si="98"/>
        <v/>
      </c>
      <c r="J414" s="2" t="str">
        <f t="shared" si="105"/>
        <v/>
      </c>
      <c r="K414" s="2" t="str">
        <f t="shared" si="99"/>
        <v/>
      </c>
      <c r="L414" s="2" t="str">
        <f t="shared" si="106"/>
        <v/>
      </c>
      <c r="M414" s="2" t="str">
        <f t="shared" si="111"/>
        <v/>
      </c>
      <c r="N414" s="2" t="str">
        <f t="shared" si="107"/>
        <v/>
      </c>
      <c r="O414" s="8" t="str">
        <f t="shared" si="108"/>
        <v/>
      </c>
      <c r="P414" s="8" t="str">
        <f t="shared" si="109"/>
        <v/>
      </c>
      <c r="Q414" s="40" t="str">
        <f t="shared" si="100"/>
        <v/>
      </c>
      <c r="R414" s="48" t="str">
        <f t="shared" si="110"/>
        <v/>
      </c>
      <c r="S414" s="8"/>
      <c r="U414" s="35">
        <f t="shared" si="101"/>
        <v>0</v>
      </c>
      <c r="V414" s="24">
        <f t="shared" si="102"/>
        <v>0</v>
      </c>
      <c r="W414" s="41">
        <f t="shared" ref="W414:W477" si="113">DATEDIF(E414,F414,"Y")+(F414-(DATE(YEAR(E414)+DATEDIF(E414,F414,"Y"),MONTH(E414),DAY(E414))))/(365+IF(MOD(YEAR((DATE(YEAR(F414)-1,MONTH(E414),DAY(E414)))),4)=0,IF((DATE(YEAR(F414)-1,MONTH(E414),DAY(E414)))&gt;DATE(YEAR((DATE(YEAR(F414)-1,MONTH(E414),DAY(E414)))),2,29),0,1),0)+IF(MOD(YEAR(F414),4)=0,IF(F414&gt;DATE(YEAR(F414),2,29),1,0),0))</f>
        <v>0</v>
      </c>
      <c r="X414" s="31"/>
      <c r="Y414" s="31"/>
      <c r="Z414" s="31"/>
      <c r="AA414" s="25">
        <f t="shared" si="103"/>
        <v>9.0359999999999996</v>
      </c>
      <c r="AB414" s="25">
        <f t="shared" si="104"/>
        <v>-184.49199999999999</v>
      </c>
      <c r="AD414" s="24">
        <f>IF(D414="M",IF(AG414&lt;78,BMILMS!$D$5*AG414^3+BMILMS!$E$5*AG414^2+BMILMS!$F$5*AG414+BMILMS!$G$5,IF(AG414&lt;150,BMILMS!$D$6*AG414^3+BMILMS!$E$6*AG414^2+BMILMS!$F$6*AG414+BMILMS!$G$6,BMILMS!$D$7*AG414^3+BMILMS!$E$7*AG414^2+BMILMS!$F$7*AG414+BMILMS!$G$7)),IF(AG414&lt;69,BMILMS!$D$9*AG414^3+BMILMS!$E$9*AG414^2+BMILMS!$F$9*AG414+BMILMS!$G$9,IF(AG414&lt;150,BMILMS!$D$10*AG414^3+BMILMS!$E$10*AG414^2+BMILMS!$F$10*AG414+BMILMS!$G$10,BMILMS!$D$11*AG414^3+BMILMS!$E$11*AG414^2+BMILMS!$F$11*AG414+BMILMS!$G$11)))</f>
        <v>0.79584630099999998</v>
      </c>
      <c r="AE414" s="24">
        <f>IF(D414="M",(IF(AG414&lt;2.5,BMILMS!$D$21*AG414^3+BMILMS!$E$21*AG414^2+BMILMS!$F$21*AG414+BMILMS!$G$21,IF(AG414&lt;9.5,BMILMS!$D$22*AG414^3+BMILMS!$E$22*AG414^2+BMILMS!$F$22*AG414+BMILMS!$G$22,IF(AG414&lt;26.75,BMILMS!$D$23*AG414^3+BMILMS!$E$23*AG414^2+BMILMS!$F$23*AG414+BMILMS!$G$23,IF(AG414&lt;90,BMILMS!$D$24*AG414^3+BMILMS!$E$24*AG414^2+BMILMS!$F$24*AG414+BMILMS!$G$24,BMILMS!$D$25*AG414^3+BMILMS!$E$25*AG414^2+BMILMS!$F$25*AG414+BMILMS!$G$25))))),(IF(AG414&lt;2.5,BMILMS!$D$27*AG414^3+BMILMS!$E$27*AG414^2+BMILMS!$F$27*AG414+BMILMS!$G$27,IF(AG414&lt;9.5,BMILMS!$D$28*AG414^3+BMILMS!$E$28*AG414^2+BMILMS!$F$28*AG414+BMILMS!$G$28,IF(AG414&lt;26.75,BMILMS!$D$29*AG414^3+BMILMS!$E$29*AG414^2+BMILMS!$F$29*AG414+BMILMS!$G$29,IF(AG414&lt;90,BMILMS!$D$30*AG414^3+BMILMS!$E$30*AG414^2+BMILMS!$F$30*AG414+BMILMS!$G$30,IF(AG414&lt;150,BMILMS!$D$31*AG414^3+BMILMS!$E$31*AG414^2+BMILMS!$F$31*AG414+BMILMS!$G$31,BMILMS!$D$32*AG414^3+BMILMS!$E$32*AG414^2+BMILMS!$F$32*AG414+BMILMS!$G$32)))))))</f>
        <v>12.568967990000001</v>
      </c>
      <c r="AF414" s="24">
        <f>IF(D414="M",(IF(AG414&lt;90,BMILMS!$D$14*AG414^3+BMILMS!$E$14*AG414^2+BMILMS!$F$14*AG414+BMILMS!$G$14,BMILMS!$D$15*AG414^3+BMILMS!$E$15*AG414^2+BMILMS!$F$15*AG414+BMILMS!$G$15)),(IF(AG414&lt;90,BMILMS!$D$17*AG414^3+BMILMS!$E$17*AG414^2+BMILMS!$F$17*AG414+BMILMS!$G$17,BMILMS!$D$18*AG414^3+BMILMS!$E$18*AG414^2+BMILMS!$F$18*AG414+BMILMS!$G$18)))</f>
        <v>8.8969350000000003E-2</v>
      </c>
      <c r="AG414" s="24">
        <f t="shared" si="112"/>
        <v>0</v>
      </c>
      <c r="AI414" s="38">
        <f>IF(D414="M",WeightSDS!P$5*$AG414^7+WeightSDS!Q$5*$AG414^6+WeightSDS!R$5*$AG414^5+WeightSDS!S$5*$AG414^4+WeightSDS!T$5*$AG414^3+WeightSDS!U$5*$AG414^2+WeightSDS!V$5*$AG414+WeightSDS!W$5,IF($AG414&lt;186,WeightSDS!P$8*$AG414^7+WeightSDS!Q$8*$AG414^6+WeightSDS!R$8*$AG414^5+WeightSDS!S$8*$AG414^4+WeightSDS!T$8*$AG414^3+WeightSDS!U$8*$AG414^2+WeightSDS!V$8*$AG414+WeightSDS!W$8,WeightSDS!$U$9-WeightSDS!$V$9*($AG414-WeightSDS!$W$9)))</f>
        <v>0.75407122999999998</v>
      </c>
      <c r="AJ414" s="24">
        <f>IF(D414="M",IF($AG414&lt;45,WeightSDS!M$23*$AG414^10+WeightSDS!N$23*$AG414^9+WeightSDS!O$23*$AG414^8+WeightSDS!P$23*$AG414^7+WeightSDS!Q$23*$AG414^6+WeightSDS!R$23*$AG414^5+WeightSDS!S$23*$AG414^4+WeightSDS!T$23*$AG414^3+WeightSDS!U$23*$AG414^2+WeightSDS!V$23*$AG414+WeightSDS!W$23,IF($AG414&lt;153,WeightSDS!M$25*$AG414^10+WeightSDS!N$25*$AG414^9+WeightSDS!O$25*$AG414^8+WeightSDS!P$25*$AG414^7+WeightSDS!Q$25*$AG414^6+WeightSDS!R$25*$AG414^5+WeightSDS!S$25*$AG414^4+WeightSDS!T$25*$AG414^3+WeightSDS!U$25*$AG414^2+WeightSDS!V$25*$AG414+WeightSDS!W$25,WeightSDS!M$27+WeightSDS!N$27/(1+EXP(WeightSDS!O$27+WeightSDS!P$27*$AG414)))),IF($AG414&lt;43.8,WeightSDS!M$29*$AG414^10+WeightSDS!N$29*$AG414^9+WeightSDS!O$29*$AG414^8+WeightSDS!P$29*$AG414^7+WeightSDS!Q$29*$AG414^6+WeightSDS!R$29*$AG414^5+WeightSDS!S$29*$AG414^4+WeightSDS!T$29*$AG414^3+WeightSDS!U$29*$AG414^2+WeightSDS!V$29*$AG414+WeightSDS!W$29-0.010431*(1-$AG414/210),IF($AG414&lt;123,WeightSDS!M$30*$AG414^10+WeightSDS!N$30*$AG414^9+WeightSDS!O$30*$AG414^8+WeightSDS!P$30*$AG414^7+WeightSDS!Q$30*$AG414^6+WeightSDS!R$30*$AG414^5+WeightSDS!S$30*$AG414^4+WeightSDS!T$30*$AG414^3+WeightSDS!U$30*$AG414^2+WeightSDS!V$30*$AG414+WeightSDS!W$30-0.010431*(1-1/$AG414),WeightSDS!M$32+WeightSDS!N$32/(1+EXP(WeightSDS!O$32+WeightSDS!P$32*$AG414))-0.010431*(1-$AG414/210))))</f>
        <v>2.9500001032655536</v>
      </c>
      <c r="AK414" s="24">
        <f>IF(D414="M",IF($AG414&lt;162,WeightSDS!P$12*$AG414^7+WeightSDS!Q$12*$AG414^6+WeightSDS!R$12*$AG414^5+WeightSDS!S$12*$AG414^4+WeightSDS!T$12*$AG414^3+WeightSDS!U$12*$AG414^2+WeightSDS!V$12*$AG414+WeightSDS!W$12,WeightSDS!P$14*$AG414^7+WeightSDS!Q$14*$AG414^6+WeightSDS!R$14*$AG414^5+WeightSDS!S$14*$AG414^4+WeightSDS!T$14*$AG414^3+WeightSDS!U$14*$AG414^2+WeightSDS!V$14*$AG414+WeightSDS!W$14),IF($AG414&lt;156,WeightSDS!O$17*$AG414^8+WeightSDS!P$17*$AG414^7+WeightSDS!Q$17*$AG414^6+WeightSDS!R$17*$AG414^5+WeightSDS!S$17*$AG414^4+WeightSDS!T$17*$AG414^3+WeightSDS!U$17*$AG414^2+WeightSDS!V$17*$AG414+WeightSDS!W$17,IF($AG414&lt;186,WeightSDS!$U$18+(WeightSDS!$V$18-WeightSDS!$U$18)/24*($AG414-186)+WeightSDS!$W$18*(-$AG414+186)^2-0.005,WeightSDS!$U$18+(WeightSDS!$V$18-WeightSDS!$U$18)/24*($AG414-186)-0.005)))</f>
        <v>0.14604529399999999</v>
      </c>
    </row>
    <row r="415" spans="1:37">
      <c r="A415" s="4"/>
      <c r="B415" s="21"/>
      <c r="C415" s="21"/>
      <c r="D415" s="21"/>
      <c r="E415" s="22"/>
      <c r="F415" s="22"/>
      <c r="G415" s="23"/>
      <c r="H415" s="23"/>
      <c r="I415" s="8" t="str">
        <f t="shared" si="98"/>
        <v/>
      </c>
      <c r="J415" s="2" t="str">
        <f t="shared" si="105"/>
        <v/>
      </c>
      <c r="K415" s="2" t="str">
        <f t="shared" si="99"/>
        <v/>
      </c>
      <c r="L415" s="2" t="str">
        <f t="shared" si="106"/>
        <v/>
      </c>
      <c r="M415" s="2" t="str">
        <f t="shared" si="111"/>
        <v/>
      </c>
      <c r="N415" s="2" t="str">
        <f t="shared" si="107"/>
        <v/>
      </c>
      <c r="O415" s="8" t="str">
        <f t="shared" si="108"/>
        <v/>
      </c>
      <c r="P415" s="8" t="str">
        <f t="shared" si="109"/>
        <v/>
      </c>
      <c r="Q415" s="40" t="str">
        <f t="shared" si="100"/>
        <v/>
      </c>
      <c r="R415" s="48" t="str">
        <f t="shared" si="110"/>
        <v/>
      </c>
      <c r="S415" s="8"/>
      <c r="U415" s="35">
        <f t="shared" si="101"/>
        <v>0</v>
      </c>
      <c r="V415" s="24">
        <f t="shared" si="102"/>
        <v>0</v>
      </c>
      <c r="W415" s="41">
        <f t="shared" si="113"/>
        <v>0</v>
      </c>
      <c r="X415" s="31"/>
      <c r="Y415" s="31"/>
      <c r="Z415" s="31"/>
      <c r="AA415" s="25">
        <f t="shared" si="103"/>
        <v>9.0359999999999996</v>
      </c>
      <c r="AB415" s="25">
        <f t="shared" si="104"/>
        <v>-184.49199999999999</v>
      </c>
      <c r="AD415" s="24">
        <f>IF(D415="M",IF(AG415&lt;78,BMILMS!$D$5*AG415^3+BMILMS!$E$5*AG415^2+BMILMS!$F$5*AG415+BMILMS!$G$5,IF(AG415&lt;150,BMILMS!$D$6*AG415^3+BMILMS!$E$6*AG415^2+BMILMS!$F$6*AG415+BMILMS!$G$6,BMILMS!$D$7*AG415^3+BMILMS!$E$7*AG415^2+BMILMS!$F$7*AG415+BMILMS!$G$7)),IF(AG415&lt;69,BMILMS!$D$9*AG415^3+BMILMS!$E$9*AG415^2+BMILMS!$F$9*AG415+BMILMS!$G$9,IF(AG415&lt;150,BMILMS!$D$10*AG415^3+BMILMS!$E$10*AG415^2+BMILMS!$F$10*AG415+BMILMS!$G$10,BMILMS!$D$11*AG415^3+BMILMS!$E$11*AG415^2+BMILMS!$F$11*AG415+BMILMS!$G$11)))</f>
        <v>0.79584630099999998</v>
      </c>
      <c r="AE415" s="24">
        <f>IF(D415="M",(IF(AG415&lt;2.5,BMILMS!$D$21*AG415^3+BMILMS!$E$21*AG415^2+BMILMS!$F$21*AG415+BMILMS!$G$21,IF(AG415&lt;9.5,BMILMS!$D$22*AG415^3+BMILMS!$E$22*AG415^2+BMILMS!$F$22*AG415+BMILMS!$G$22,IF(AG415&lt;26.75,BMILMS!$D$23*AG415^3+BMILMS!$E$23*AG415^2+BMILMS!$F$23*AG415+BMILMS!$G$23,IF(AG415&lt;90,BMILMS!$D$24*AG415^3+BMILMS!$E$24*AG415^2+BMILMS!$F$24*AG415+BMILMS!$G$24,BMILMS!$D$25*AG415^3+BMILMS!$E$25*AG415^2+BMILMS!$F$25*AG415+BMILMS!$G$25))))),(IF(AG415&lt;2.5,BMILMS!$D$27*AG415^3+BMILMS!$E$27*AG415^2+BMILMS!$F$27*AG415+BMILMS!$G$27,IF(AG415&lt;9.5,BMILMS!$D$28*AG415^3+BMILMS!$E$28*AG415^2+BMILMS!$F$28*AG415+BMILMS!$G$28,IF(AG415&lt;26.75,BMILMS!$D$29*AG415^3+BMILMS!$E$29*AG415^2+BMILMS!$F$29*AG415+BMILMS!$G$29,IF(AG415&lt;90,BMILMS!$D$30*AG415^3+BMILMS!$E$30*AG415^2+BMILMS!$F$30*AG415+BMILMS!$G$30,IF(AG415&lt;150,BMILMS!$D$31*AG415^3+BMILMS!$E$31*AG415^2+BMILMS!$F$31*AG415+BMILMS!$G$31,BMILMS!$D$32*AG415^3+BMILMS!$E$32*AG415^2+BMILMS!$F$32*AG415+BMILMS!$G$32)))))))</f>
        <v>12.568967990000001</v>
      </c>
      <c r="AF415" s="24">
        <f>IF(D415="M",(IF(AG415&lt;90,BMILMS!$D$14*AG415^3+BMILMS!$E$14*AG415^2+BMILMS!$F$14*AG415+BMILMS!$G$14,BMILMS!$D$15*AG415^3+BMILMS!$E$15*AG415^2+BMILMS!$F$15*AG415+BMILMS!$G$15)),(IF(AG415&lt;90,BMILMS!$D$17*AG415^3+BMILMS!$E$17*AG415^2+BMILMS!$F$17*AG415+BMILMS!$G$17,BMILMS!$D$18*AG415^3+BMILMS!$E$18*AG415^2+BMILMS!$F$18*AG415+BMILMS!$G$18)))</f>
        <v>8.8969350000000003E-2</v>
      </c>
      <c r="AG415" s="24">
        <f t="shared" si="112"/>
        <v>0</v>
      </c>
      <c r="AI415" s="38">
        <f>IF(D415="M",WeightSDS!P$5*$AG415^7+WeightSDS!Q$5*$AG415^6+WeightSDS!R$5*$AG415^5+WeightSDS!S$5*$AG415^4+WeightSDS!T$5*$AG415^3+WeightSDS!U$5*$AG415^2+WeightSDS!V$5*$AG415+WeightSDS!W$5,IF($AG415&lt;186,WeightSDS!P$8*$AG415^7+WeightSDS!Q$8*$AG415^6+WeightSDS!R$8*$AG415^5+WeightSDS!S$8*$AG415^4+WeightSDS!T$8*$AG415^3+WeightSDS!U$8*$AG415^2+WeightSDS!V$8*$AG415+WeightSDS!W$8,WeightSDS!$U$9-WeightSDS!$V$9*($AG415-WeightSDS!$W$9)))</f>
        <v>0.75407122999999998</v>
      </c>
      <c r="AJ415" s="24">
        <f>IF(D415="M",IF($AG415&lt;45,WeightSDS!M$23*$AG415^10+WeightSDS!N$23*$AG415^9+WeightSDS!O$23*$AG415^8+WeightSDS!P$23*$AG415^7+WeightSDS!Q$23*$AG415^6+WeightSDS!R$23*$AG415^5+WeightSDS!S$23*$AG415^4+WeightSDS!T$23*$AG415^3+WeightSDS!U$23*$AG415^2+WeightSDS!V$23*$AG415+WeightSDS!W$23,IF($AG415&lt;153,WeightSDS!M$25*$AG415^10+WeightSDS!N$25*$AG415^9+WeightSDS!O$25*$AG415^8+WeightSDS!P$25*$AG415^7+WeightSDS!Q$25*$AG415^6+WeightSDS!R$25*$AG415^5+WeightSDS!S$25*$AG415^4+WeightSDS!T$25*$AG415^3+WeightSDS!U$25*$AG415^2+WeightSDS!V$25*$AG415+WeightSDS!W$25,WeightSDS!M$27+WeightSDS!N$27/(1+EXP(WeightSDS!O$27+WeightSDS!P$27*$AG415)))),IF($AG415&lt;43.8,WeightSDS!M$29*$AG415^10+WeightSDS!N$29*$AG415^9+WeightSDS!O$29*$AG415^8+WeightSDS!P$29*$AG415^7+WeightSDS!Q$29*$AG415^6+WeightSDS!R$29*$AG415^5+WeightSDS!S$29*$AG415^4+WeightSDS!T$29*$AG415^3+WeightSDS!U$29*$AG415^2+WeightSDS!V$29*$AG415+WeightSDS!W$29-0.010431*(1-$AG415/210),IF($AG415&lt;123,WeightSDS!M$30*$AG415^10+WeightSDS!N$30*$AG415^9+WeightSDS!O$30*$AG415^8+WeightSDS!P$30*$AG415^7+WeightSDS!Q$30*$AG415^6+WeightSDS!R$30*$AG415^5+WeightSDS!S$30*$AG415^4+WeightSDS!T$30*$AG415^3+WeightSDS!U$30*$AG415^2+WeightSDS!V$30*$AG415+WeightSDS!W$30-0.010431*(1-1/$AG415),WeightSDS!M$32+WeightSDS!N$32/(1+EXP(WeightSDS!O$32+WeightSDS!P$32*$AG415))-0.010431*(1-$AG415/210))))</f>
        <v>2.9500001032655536</v>
      </c>
      <c r="AK415" s="24">
        <f>IF(D415="M",IF($AG415&lt;162,WeightSDS!P$12*$AG415^7+WeightSDS!Q$12*$AG415^6+WeightSDS!R$12*$AG415^5+WeightSDS!S$12*$AG415^4+WeightSDS!T$12*$AG415^3+WeightSDS!U$12*$AG415^2+WeightSDS!V$12*$AG415+WeightSDS!W$12,WeightSDS!P$14*$AG415^7+WeightSDS!Q$14*$AG415^6+WeightSDS!R$14*$AG415^5+WeightSDS!S$14*$AG415^4+WeightSDS!T$14*$AG415^3+WeightSDS!U$14*$AG415^2+WeightSDS!V$14*$AG415+WeightSDS!W$14),IF($AG415&lt;156,WeightSDS!O$17*$AG415^8+WeightSDS!P$17*$AG415^7+WeightSDS!Q$17*$AG415^6+WeightSDS!R$17*$AG415^5+WeightSDS!S$17*$AG415^4+WeightSDS!T$17*$AG415^3+WeightSDS!U$17*$AG415^2+WeightSDS!V$17*$AG415+WeightSDS!W$17,IF($AG415&lt;186,WeightSDS!$U$18+(WeightSDS!$V$18-WeightSDS!$U$18)/24*($AG415-186)+WeightSDS!$W$18*(-$AG415+186)^2-0.005,WeightSDS!$U$18+(WeightSDS!$V$18-WeightSDS!$U$18)/24*($AG415-186)-0.005)))</f>
        <v>0.14604529399999999</v>
      </c>
    </row>
    <row r="416" spans="1:37">
      <c r="A416" s="4"/>
      <c r="B416" s="21"/>
      <c r="C416" s="21"/>
      <c r="D416" s="21"/>
      <c r="E416" s="22"/>
      <c r="F416" s="22"/>
      <c r="G416" s="23"/>
      <c r="H416" s="23"/>
      <c r="I416" s="8" t="str">
        <f t="shared" si="98"/>
        <v/>
      </c>
      <c r="J416" s="2" t="str">
        <f t="shared" si="105"/>
        <v/>
      </c>
      <c r="K416" s="2" t="str">
        <f t="shared" si="99"/>
        <v/>
      </c>
      <c r="L416" s="2" t="str">
        <f t="shared" si="106"/>
        <v/>
      </c>
      <c r="M416" s="2" t="str">
        <f t="shared" si="111"/>
        <v/>
      </c>
      <c r="N416" s="2" t="str">
        <f t="shared" si="107"/>
        <v/>
      </c>
      <c r="O416" s="8" t="str">
        <f t="shared" si="108"/>
        <v/>
      </c>
      <c r="P416" s="8" t="str">
        <f t="shared" si="109"/>
        <v/>
      </c>
      <c r="Q416" s="40" t="str">
        <f t="shared" si="100"/>
        <v/>
      </c>
      <c r="R416" s="48" t="str">
        <f t="shared" si="110"/>
        <v/>
      </c>
      <c r="S416" s="8"/>
      <c r="U416" s="35">
        <f t="shared" si="101"/>
        <v>0</v>
      </c>
      <c r="V416" s="24">
        <f t="shared" si="102"/>
        <v>0</v>
      </c>
      <c r="W416" s="41">
        <f t="shared" si="113"/>
        <v>0</v>
      </c>
      <c r="X416" s="31"/>
      <c r="Y416" s="31"/>
      <c r="Z416" s="31"/>
      <c r="AA416" s="25">
        <f t="shared" si="103"/>
        <v>9.0359999999999996</v>
      </c>
      <c r="AB416" s="25">
        <f t="shared" si="104"/>
        <v>-184.49199999999999</v>
      </c>
      <c r="AD416" s="24">
        <f>IF(D416="M",IF(AG416&lt;78,BMILMS!$D$5*AG416^3+BMILMS!$E$5*AG416^2+BMILMS!$F$5*AG416+BMILMS!$G$5,IF(AG416&lt;150,BMILMS!$D$6*AG416^3+BMILMS!$E$6*AG416^2+BMILMS!$F$6*AG416+BMILMS!$G$6,BMILMS!$D$7*AG416^3+BMILMS!$E$7*AG416^2+BMILMS!$F$7*AG416+BMILMS!$G$7)),IF(AG416&lt;69,BMILMS!$D$9*AG416^3+BMILMS!$E$9*AG416^2+BMILMS!$F$9*AG416+BMILMS!$G$9,IF(AG416&lt;150,BMILMS!$D$10*AG416^3+BMILMS!$E$10*AG416^2+BMILMS!$F$10*AG416+BMILMS!$G$10,BMILMS!$D$11*AG416^3+BMILMS!$E$11*AG416^2+BMILMS!$F$11*AG416+BMILMS!$G$11)))</f>
        <v>0.79584630099999998</v>
      </c>
      <c r="AE416" s="24">
        <f>IF(D416="M",(IF(AG416&lt;2.5,BMILMS!$D$21*AG416^3+BMILMS!$E$21*AG416^2+BMILMS!$F$21*AG416+BMILMS!$G$21,IF(AG416&lt;9.5,BMILMS!$D$22*AG416^3+BMILMS!$E$22*AG416^2+BMILMS!$F$22*AG416+BMILMS!$G$22,IF(AG416&lt;26.75,BMILMS!$D$23*AG416^3+BMILMS!$E$23*AG416^2+BMILMS!$F$23*AG416+BMILMS!$G$23,IF(AG416&lt;90,BMILMS!$D$24*AG416^3+BMILMS!$E$24*AG416^2+BMILMS!$F$24*AG416+BMILMS!$G$24,BMILMS!$D$25*AG416^3+BMILMS!$E$25*AG416^2+BMILMS!$F$25*AG416+BMILMS!$G$25))))),(IF(AG416&lt;2.5,BMILMS!$D$27*AG416^3+BMILMS!$E$27*AG416^2+BMILMS!$F$27*AG416+BMILMS!$G$27,IF(AG416&lt;9.5,BMILMS!$D$28*AG416^3+BMILMS!$E$28*AG416^2+BMILMS!$F$28*AG416+BMILMS!$G$28,IF(AG416&lt;26.75,BMILMS!$D$29*AG416^3+BMILMS!$E$29*AG416^2+BMILMS!$F$29*AG416+BMILMS!$G$29,IF(AG416&lt;90,BMILMS!$D$30*AG416^3+BMILMS!$E$30*AG416^2+BMILMS!$F$30*AG416+BMILMS!$G$30,IF(AG416&lt;150,BMILMS!$D$31*AG416^3+BMILMS!$E$31*AG416^2+BMILMS!$F$31*AG416+BMILMS!$G$31,BMILMS!$D$32*AG416^3+BMILMS!$E$32*AG416^2+BMILMS!$F$32*AG416+BMILMS!$G$32)))))))</f>
        <v>12.568967990000001</v>
      </c>
      <c r="AF416" s="24">
        <f>IF(D416="M",(IF(AG416&lt;90,BMILMS!$D$14*AG416^3+BMILMS!$E$14*AG416^2+BMILMS!$F$14*AG416+BMILMS!$G$14,BMILMS!$D$15*AG416^3+BMILMS!$E$15*AG416^2+BMILMS!$F$15*AG416+BMILMS!$G$15)),(IF(AG416&lt;90,BMILMS!$D$17*AG416^3+BMILMS!$E$17*AG416^2+BMILMS!$F$17*AG416+BMILMS!$G$17,BMILMS!$D$18*AG416^3+BMILMS!$E$18*AG416^2+BMILMS!$F$18*AG416+BMILMS!$G$18)))</f>
        <v>8.8969350000000003E-2</v>
      </c>
      <c r="AG416" s="24">
        <f t="shared" si="112"/>
        <v>0</v>
      </c>
      <c r="AI416" s="38">
        <f>IF(D416="M",WeightSDS!P$5*$AG416^7+WeightSDS!Q$5*$AG416^6+WeightSDS!R$5*$AG416^5+WeightSDS!S$5*$AG416^4+WeightSDS!T$5*$AG416^3+WeightSDS!U$5*$AG416^2+WeightSDS!V$5*$AG416+WeightSDS!W$5,IF($AG416&lt;186,WeightSDS!P$8*$AG416^7+WeightSDS!Q$8*$AG416^6+WeightSDS!R$8*$AG416^5+WeightSDS!S$8*$AG416^4+WeightSDS!T$8*$AG416^3+WeightSDS!U$8*$AG416^2+WeightSDS!V$8*$AG416+WeightSDS!W$8,WeightSDS!$U$9-WeightSDS!$V$9*($AG416-WeightSDS!$W$9)))</f>
        <v>0.75407122999999998</v>
      </c>
      <c r="AJ416" s="24">
        <f>IF(D416="M",IF($AG416&lt;45,WeightSDS!M$23*$AG416^10+WeightSDS!N$23*$AG416^9+WeightSDS!O$23*$AG416^8+WeightSDS!P$23*$AG416^7+WeightSDS!Q$23*$AG416^6+WeightSDS!R$23*$AG416^5+WeightSDS!S$23*$AG416^4+WeightSDS!T$23*$AG416^3+WeightSDS!U$23*$AG416^2+WeightSDS!V$23*$AG416+WeightSDS!W$23,IF($AG416&lt;153,WeightSDS!M$25*$AG416^10+WeightSDS!N$25*$AG416^9+WeightSDS!O$25*$AG416^8+WeightSDS!P$25*$AG416^7+WeightSDS!Q$25*$AG416^6+WeightSDS!R$25*$AG416^5+WeightSDS!S$25*$AG416^4+WeightSDS!T$25*$AG416^3+WeightSDS!U$25*$AG416^2+WeightSDS!V$25*$AG416+WeightSDS!W$25,WeightSDS!M$27+WeightSDS!N$27/(1+EXP(WeightSDS!O$27+WeightSDS!P$27*$AG416)))),IF($AG416&lt;43.8,WeightSDS!M$29*$AG416^10+WeightSDS!N$29*$AG416^9+WeightSDS!O$29*$AG416^8+WeightSDS!P$29*$AG416^7+WeightSDS!Q$29*$AG416^6+WeightSDS!R$29*$AG416^5+WeightSDS!S$29*$AG416^4+WeightSDS!T$29*$AG416^3+WeightSDS!U$29*$AG416^2+WeightSDS!V$29*$AG416+WeightSDS!W$29-0.010431*(1-$AG416/210),IF($AG416&lt;123,WeightSDS!M$30*$AG416^10+WeightSDS!N$30*$AG416^9+WeightSDS!O$30*$AG416^8+WeightSDS!P$30*$AG416^7+WeightSDS!Q$30*$AG416^6+WeightSDS!R$30*$AG416^5+WeightSDS!S$30*$AG416^4+WeightSDS!T$30*$AG416^3+WeightSDS!U$30*$AG416^2+WeightSDS!V$30*$AG416+WeightSDS!W$30-0.010431*(1-1/$AG416),WeightSDS!M$32+WeightSDS!N$32/(1+EXP(WeightSDS!O$32+WeightSDS!P$32*$AG416))-0.010431*(1-$AG416/210))))</f>
        <v>2.9500001032655536</v>
      </c>
      <c r="AK416" s="24">
        <f>IF(D416="M",IF($AG416&lt;162,WeightSDS!P$12*$AG416^7+WeightSDS!Q$12*$AG416^6+WeightSDS!R$12*$AG416^5+WeightSDS!S$12*$AG416^4+WeightSDS!T$12*$AG416^3+WeightSDS!U$12*$AG416^2+WeightSDS!V$12*$AG416+WeightSDS!W$12,WeightSDS!P$14*$AG416^7+WeightSDS!Q$14*$AG416^6+WeightSDS!R$14*$AG416^5+WeightSDS!S$14*$AG416^4+WeightSDS!T$14*$AG416^3+WeightSDS!U$14*$AG416^2+WeightSDS!V$14*$AG416+WeightSDS!W$14),IF($AG416&lt;156,WeightSDS!O$17*$AG416^8+WeightSDS!P$17*$AG416^7+WeightSDS!Q$17*$AG416^6+WeightSDS!R$17*$AG416^5+WeightSDS!S$17*$AG416^4+WeightSDS!T$17*$AG416^3+WeightSDS!U$17*$AG416^2+WeightSDS!V$17*$AG416+WeightSDS!W$17,IF($AG416&lt;186,WeightSDS!$U$18+(WeightSDS!$V$18-WeightSDS!$U$18)/24*($AG416-186)+WeightSDS!$W$18*(-$AG416+186)^2-0.005,WeightSDS!$U$18+(WeightSDS!$V$18-WeightSDS!$U$18)/24*($AG416-186)-0.005)))</f>
        <v>0.14604529399999999</v>
      </c>
    </row>
    <row r="417" spans="1:37">
      <c r="A417" s="4"/>
      <c r="B417" s="21"/>
      <c r="C417" s="21"/>
      <c r="D417" s="21"/>
      <c r="E417" s="22"/>
      <c r="F417" s="22"/>
      <c r="G417" s="23"/>
      <c r="H417" s="23"/>
      <c r="I417" s="8" t="str">
        <f t="shared" si="98"/>
        <v/>
      </c>
      <c r="J417" s="2" t="str">
        <f t="shared" si="105"/>
        <v/>
      </c>
      <c r="K417" s="2" t="str">
        <f t="shared" si="99"/>
        <v/>
      </c>
      <c r="L417" s="2" t="str">
        <f t="shared" si="106"/>
        <v/>
      </c>
      <c r="M417" s="2" t="str">
        <f t="shared" si="111"/>
        <v/>
      </c>
      <c r="N417" s="2" t="str">
        <f t="shared" si="107"/>
        <v/>
      </c>
      <c r="O417" s="8" t="str">
        <f t="shared" si="108"/>
        <v/>
      </c>
      <c r="P417" s="8" t="str">
        <f t="shared" si="109"/>
        <v/>
      </c>
      <c r="Q417" s="40" t="str">
        <f t="shared" si="100"/>
        <v/>
      </c>
      <c r="R417" s="48" t="str">
        <f t="shared" si="110"/>
        <v/>
      </c>
      <c r="S417" s="8"/>
      <c r="U417" s="35">
        <f t="shared" si="101"/>
        <v>0</v>
      </c>
      <c r="V417" s="24">
        <f t="shared" si="102"/>
        <v>0</v>
      </c>
      <c r="W417" s="41">
        <f t="shared" si="113"/>
        <v>0</v>
      </c>
      <c r="X417" s="31"/>
      <c r="Y417" s="31"/>
      <c r="Z417" s="31"/>
      <c r="AA417" s="25">
        <f t="shared" si="103"/>
        <v>9.0359999999999996</v>
      </c>
      <c r="AB417" s="25">
        <f t="shared" si="104"/>
        <v>-184.49199999999999</v>
      </c>
      <c r="AD417" s="24">
        <f>IF(D417="M",IF(AG417&lt;78,BMILMS!$D$5*AG417^3+BMILMS!$E$5*AG417^2+BMILMS!$F$5*AG417+BMILMS!$G$5,IF(AG417&lt;150,BMILMS!$D$6*AG417^3+BMILMS!$E$6*AG417^2+BMILMS!$F$6*AG417+BMILMS!$G$6,BMILMS!$D$7*AG417^3+BMILMS!$E$7*AG417^2+BMILMS!$F$7*AG417+BMILMS!$G$7)),IF(AG417&lt;69,BMILMS!$D$9*AG417^3+BMILMS!$E$9*AG417^2+BMILMS!$F$9*AG417+BMILMS!$G$9,IF(AG417&lt;150,BMILMS!$D$10*AG417^3+BMILMS!$E$10*AG417^2+BMILMS!$F$10*AG417+BMILMS!$G$10,BMILMS!$D$11*AG417^3+BMILMS!$E$11*AG417^2+BMILMS!$F$11*AG417+BMILMS!$G$11)))</f>
        <v>0.79584630099999998</v>
      </c>
      <c r="AE417" s="24">
        <f>IF(D417="M",(IF(AG417&lt;2.5,BMILMS!$D$21*AG417^3+BMILMS!$E$21*AG417^2+BMILMS!$F$21*AG417+BMILMS!$G$21,IF(AG417&lt;9.5,BMILMS!$D$22*AG417^3+BMILMS!$E$22*AG417^2+BMILMS!$F$22*AG417+BMILMS!$G$22,IF(AG417&lt;26.75,BMILMS!$D$23*AG417^3+BMILMS!$E$23*AG417^2+BMILMS!$F$23*AG417+BMILMS!$G$23,IF(AG417&lt;90,BMILMS!$D$24*AG417^3+BMILMS!$E$24*AG417^2+BMILMS!$F$24*AG417+BMILMS!$G$24,BMILMS!$D$25*AG417^3+BMILMS!$E$25*AG417^2+BMILMS!$F$25*AG417+BMILMS!$G$25))))),(IF(AG417&lt;2.5,BMILMS!$D$27*AG417^3+BMILMS!$E$27*AG417^2+BMILMS!$F$27*AG417+BMILMS!$G$27,IF(AG417&lt;9.5,BMILMS!$D$28*AG417^3+BMILMS!$E$28*AG417^2+BMILMS!$F$28*AG417+BMILMS!$G$28,IF(AG417&lt;26.75,BMILMS!$D$29*AG417^3+BMILMS!$E$29*AG417^2+BMILMS!$F$29*AG417+BMILMS!$G$29,IF(AG417&lt;90,BMILMS!$D$30*AG417^3+BMILMS!$E$30*AG417^2+BMILMS!$F$30*AG417+BMILMS!$G$30,IF(AG417&lt;150,BMILMS!$D$31*AG417^3+BMILMS!$E$31*AG417^2+BMILMS!$F$31*AG417+BMILMS!$G$31,BMILMS!$D$32*AG417^3+BMILMS!$E$32*AG417^2+BMILMS!$F$32*AG417+BMILMS!$G$32)))))))</f>
        <v>12.568967990000001</v>
      </c>
      <c r="AF417" s="24">
        <f>IF(D417="M",(IF(AG417&lt;90,BMILMS!$D$14*AG417^3+BMILMS!$E$14*AG417^2+BMILMS!$F$14*AG417+BMILMS!$G$14,BMILMS!$D$15*AG417^3+BMILMS!$E$15*AG417^2+BMILMS!$F$15*AG417+BMILMS!$G$15)),(IF(AG417&lt;90,BMILMS!$D$17*AG417^3+BMILMS!$E$17*AG417^2+BMILMS!$F$17*AG417+BMILMS!$G$17,BMILMS!$D$18*AG417^3+BMILMS!$E$18*AG417^2+BMILMS!$F$18*AG417+BMILMS!$G$18)))</f>
        <v>8.8969350000000003E-2</v>
      </c>
      <c r="AG417" s="24">
        <f t="shared" si="112"/>
        <v>0</v>
      </c>
      <c r="AI417" s="38">
        <f>IF(D417="M",WeightSDS!P$5*$AG417^7+WeightSDS!Q$5*$AG417^6+WeightSDS!R$5*$AG417^5+WeightSDS!S$5*$AG417^4+WeightSDS!T$5*$AG417^3+WeightSDS!U$5*$AG417^2+WeightSDS!V$5*$AG417+WeightSDS!W$5,IF($AG417&lt;186,WeightSDS!P$8*$AG417^7+WeightSDS!Q$8*$AG417^6+WeightSDS!R$8*$AG417^5+WeightSDS!S$8*$AG417^4+WeightSDS!T$8*$AG417^3+WeightSDS!U$8*$AG417^2+WeightSDS!V$8*$AG417+WeightSDS!W$8,WeightSDS!$U$9-WeightSDS!$V$9*($AG417-WeightSDS!$W$9)))</f>
        <v>0.75407122999999998</v>
      </c>
      <c r="AJ417" s="24">
        <f>IF(D417="M",IF($AG417&lt;45,WeightSDS!M$23*$AG417^10+WeightSDS!N$23*$AG417^9+WeightSDS!O$23*$AG417^8+WeightSDS!P$23*$AG417^7+WeightSDS!Q$23*$AG417^6+WeightSDS!R$23*$AG417^5+WeightSDS!S$23*$AG417^4+WeightSDS!T$23*$AG417^3+WeightSDS!U$23*$AG417^2+WeightSDS!V$23*$AG417+WeightSDS!W$23,IF($AG417&lt;153,WeightSDS!M$25*$AG417^10+WeightSDS!N$25*$AG417^9+WeightSDS!O$25*$AG417^8+WeightSDS!P$25*$AG417^7+WeightSDS!Q$25*$AG417^6+WeightSDS!R$25*$AG417^5+WeightSDS!S$25*$AG417^4+WeightSDS!T$25*$AG417^3+WeightSDS!U$25*$AG417^2+WeightSDS!V$25*$AG417+WeightSDS!W$25,WeightSDS!M$27+WeightSDS!N$27/(1+EXP(WeightSDS!O$27+WeightSDS!P$27*$AG417)))),IF($AG417&lt;43.8,WeightSDS!M$29*$AG417^10+WeightSDS!N$29*$AG417^9+WeightSDS!O$29*$AG417^8+WeightSDS!P$29*$AG417^7+WeightSDS!Q$29*$AG417^6+WeightSDS!R$29*$AG417^5+WeightSDS!S$29*$AG417^4+WeightSDS!T$29*$AG417^3+WeightSDS!U$29*$AG417^2+WeightSDS!V$29*$AG417+WeightSDS!W$29-0.010431*(1-$AG417/210),IF($AG417&lt;123,WeightSDS!M$30*$AG417^10+WeightSDS!N$30*$AG417^9+WeightSDS!O$30*$AG417^8+WeightSDS!P$30*$AG417^7+WeightSDS!Q$30*$AG417^6+WeightSDS!R$30*$AG417^5+WeightSDS!S$30*$AG417^4+WeightSDS!T$30*$AG417^3+WeightSDS!U$30*$AG417^2+WeightSDS!V$30*$AG417+WeightSDS!W$30-0.010431*(1-1/$AG417),WeightSDS!M$32+WeightSDS!N$32/(1+EXP(WeightSDS!O$32+WeightSDS!P$32*$AG417))-0.010431*(1-$AG417/210))))</f>
        <v>2.9500001032655536</v>
      </c>
      <c r="AK417" s="24">
        <f>IF(D417="M",IF($AG417&lt;162,WeightSDS!P$12*$AG417^7+WeightSDS!Q$12*$AG417^6+WeightSDS!R$12*$AG417^5+WeightSDS!S$12*$AG417^4+WeightSDS!T$12*$AG417^3+WeightSDS!U$12*$AG417^2+WeightSDS!V$12*$AG417+WeightSDS!W$12,WeightSDS!P$14*$AG417^7+WeightSDS!Q$14*$AG417^6+WeightSDS!R$14*$AG417^5+WeightSDS!S$14*$AG417^4+WeightSDS!T$14*$AG417^3+WeightSDS!U$14*$AG417^2+WeightSDS!V$14*$AG417+WeightSDS!W$14),IF($AG417&lt;156,WeightSDS!O$17*$AG417^8+WeightSDS!P$17*$AG417^7+WeightSDS!Q$17*$AG417^6+WeightSDS!R$17*$AG417^5+WeightSDS!S$17*$AG417^4+WeightSDS!T$17*$AG417^3+WeightSDS!U$17*$AG417^2+WeightSDS!V$17*$AG417+WeightSDS!W$17,IF($AG417&lt;186,WeightSDS!$U$18+(WeightSDS!$V$18-WeightSDS!$U$18)/24*($AG417-186)+WeightSDS!$W$18*(-$AG417+186)^2-0.005,WeightSDS!$U$18+(WeightSDS!$V$18-WeightSDS!$U$18)/24*($AG417-186)-0.005)))</f>
        <v>0.14604529399999999</v>
      </c>
    </row>
    <row r="418" spans="1:37">
      <c r="A418" s="4"/>
      <c r="B418" s="21"/>
      <c r="C418" s="21"/>
      <c r="D418" s="21"/>
      <c r="E418" s="22"/>
      <c r="F418" s="22"/>
      <c r="G418" s="23"/>
      <c r="H418" s="23"/>
      <c r="I418" s="8" t="str">
        <f t="shared" si="98"/>
        <v/>
      </c>
      <c r="J418" s="2" t="str">
        <f t="shared" si="105"/>
        <v/>
      </c>
      <c r="K418" s="2" t="str">
        <f t="shared" si="99"/>
        <v/>
      </c>
      <c r="L418" s="2" t="str">
        <f t="shared" si="106"/>
        <v/>
      </c>
      <c r="M418" s="2" t="str">
        <f t="shared" si="111"/>
        <v/>
      </c>
      <c r="N418" s="2" t="str">
        <f t="shared" si="107"/>
        <v/>
      </c>
      <c r="O418" s="8" t="str">
        <f t="shared" si="108"/>
        <v/>
      </c>
      <c r="P418" s="8" t="str">
        <f t="shared" si="109"/>
        <v/>
      </c>
      <c r="Q418" s="40" t="str">
        <f t="shared" si="100"/>
        <v/>
      </c>
      <c r="R418" s="48" t="str">
        <f t="shared" si="110"/>
        <v/>
      </c>
      <c r="S418" s="8"/>
      <c r="U418" s="35">
        <f t="shared" si="101"/>
        <v>0</v>
      </c>
      <c r="V418" s="24">
        <f t="shared" si="102"/>
        <v>0</v>
      </c>
      <c r="W418" s="41">
        <f t="shared" si="113"/>
        <v>0</v>
      </c>
      <c r="X418" s="31"/>
      <c r="Y418" s="31"/>
      <c r="Z418" s="31"/>
      <c r="AA418" s="25">
        <f t="shared" si="103"/>
        <v>9.0359999999999996</v>
      </c>
      <c r="AB418" s="25">
        <f t="shared" si="104"/>
        <v>-184.49199999999999</v>
      </c>
      <c r="AD418" s="24">
        <f>IF(D418="M",IF(AG418&lt;78,BMILMS!$D$5*AG418^3+BMILMS!$E$5*AG418^2+BMILMS!$F$5*AG418+BMILMS!$G$5,IF(AG418&lt;150,BMILMS!$D$6*AG418^3+BMILMS!$E$6*AG418^2+BMILMS!$F$6*AG418+BMILMS!$G$6,BMILMS!$D$7*AG418^3+BMILMS!$E$7*AG418^2+BMILMS!$F$7*AG418+BMILMS!$G$7)),IF(AG418&lt;69,BMILMS!$D$9*AG418^3+BMILMS!$E$9*AG418^2+BMILMS!$F$9*AG418+BMILMS!$G$9,IF(AG418&lt;150,BMILMS!$D$10*AG418^3+BMILMS!$E$10*AG418^2+BMILMS!$F$10*AG418+BMILMS!$G$10,BMILMS!$D$11*AG418^3+BMILMS!$E$11*AG418^2+BMILMS!$F$11*AG418+BMILMS!$G$11)))</f>
        <v>0.79584630099999998</v>
      </c>
      <c r="AE418" s="24">
        <f>IF(D418="M",(IF(AG418&lt;2.5,BMILMS!$D$21*AG418^3+BMILMS!$E$21*AG418^2+BMILMS!$F$21*AG418+BMILMS!$G$21,IF(AG418&lt;9.5,BMILMS!$D$22*AG418^3+BMILMS!$E$22*AG418^2+BMILMS!$F$22*AG418+BMILMS!$G$22,IF(AG418&lt;26.75,BMILMS!$D$23*AG418^3+BMILMS!$E$23*AG418^2+BMILMS!$F$23*AG418+BMILMS!$G$23,IF(AG418&lt;90,BMILMS!$D$24*AG418^3+BMILMS!$E$24*AG418^2+BMILMS!$F$24*AG418+BMILMS!$G$24,BMILMS!$D$25*AG418^3+BMILMS!$E$25*AG418^2+BMILMS!$F$25*AG418+BMILMS!$G$25))))),(IF(AG418&lt;2.5,BMILMS!$D$27*AG418^3+BMILMS!$E$27*AG418^2+BMILMS!$F$27*AG418+BMILMS!$G$27,IF(AG418&lt;9.5,BMILMS!$D$28*AG418^3+BMILMS!$E$28*AG418^2+BMILMS!$F$28*AG418+BMILMS!$G$28,IF(AG418&lt;26.75,BMILMS!$D$29*AG418^3+BMILMS!$E$29*AG418^2+BMILMS!$F$29*AG418+BMILMS!$G$29,IF(AG418&lt;90,BMILMS!$D$30*AG418^3+BMILMS!$E$30*AG418^2+BMILMS!$F$30*AG418+BMILMS!$G$30,IF(AG418&lt;150,BMILMS!$D$31*AG418^3+BMILMS!$E$31*AG418^2+BMILMS!$F$31*AG418+BMILMS!$G$31,BMILMS!$D$32*AG418^3+BMILMS!$E$32*AG418^2+BMILMS!$F$32*AG418+BMILMS!$G$32)))))))</f>
        <v>12.568967990000001</v>
      </c>
      <c r="AF418" s="24">
        <f>IF(D418="M",(IF(AG418&lt;90,BMILMS!$D$14*AG418^3+BMILMS!$E$14*AG418^2+BMILMS!$F$14*AG418+BMILMS!$G$14,BMILMS!$D$15*AG418^3+BMILMS!$E$15*AG418^2+BMILMS!$F$15*AG418+BMILMS!$G$15)),(IF(AG418&lt;90,BMILMS!$D$17*AG418^3+BMILMS!$E$17*AG418^2+BMILMS!$F$17*AG418+BMILMS!$G$17,BMILMS!$D$18*AG418^3+BMILMS!$E$18*AG418^2+BMILMS!$F$18*AG418+BMILMS!$G$18)))</f>
        <v>8.8969350000000003E-2</v>
      </c>
      <c r="AG418" s="24">
        <f t="shared" si="112"/>
        <v>0</v>
      </c>
      <c r="AI418" s="38">
        <f>IF(D418="M",WeightSDS!P$5*$AG418^7+WeightSDS!Q$5*$AG418^6+WeightSDS!R$5*$AG418^5+WeightSDS!S$5*$AG418^4+WeightSDS!T$5*$AG418^3+WeightSDS!U$5*$AG418^2+WeightSDS!V$5*$AG418+WeightSDS!W$5,IF($AG418&lt;186,WeightSDS!P$8*$AG418^7+WeightSDS!Q$8*$AG418^6+WeightSDS!R$8*$AG418^5+WeightSDS!S$8*$AG418^4+WeightSDS!T$8*$AG418^3+WeightSDS!U$8*$AG418^2+WeightSDS!V$8*$AG418+WeightSDS!W$8,WeightSDS!$U$9-WeightSDS!$V$9*($AG418-WeightSDS!$W$9)))</f>
        <v>0.75407122999999998</v>
      </c>
      <c r="AJ418" s="24">
        <f>IF(D418="M",IF($AG418&lt;45,WeightSDS!M$23*$AG418^10+WeightSDS!N$23*$AG418^9+WeightSDS!O$23*$AG418^8+WeightSDS!P$23*$AG418^7+WeightSDS!Q$23*$AG418^6+WeightSDS!R$23*$AG418^5+WeightSDS!S$23*$AG418^4+WeightSDS!T$23*$AG418^3+WeightSDS!U$23*$AG418^2+WeightSDS!V$23*$AG418+WeightSDS!W$23,IF($AG418&lt;153,WeightSDS!M$25*$AG418^10+WeightSDS!N$25*$AG418^9+WeightSDS!O$25*$AG418^8+WeightSDS!P$25*$AG418^7+WeightSDS!Q$25*$AG418^6+WeightSDS!R$25*$AG418^5+WeightSDS!S$25*$AG418^4+WeightSDS!T$25*$AG418^3+WeightSDS!U$25*$AG418^2+WeightSDS!V$25*$AG418+WeightSDS!W$25,WeightSDS!M$27+WeightSDS!N$27/(1+EXP(WeightSDS!O$27+WeightSDS!P$27*$AG418)))),IF($AG418&lt;43.8,WeightSDS!M$29*$AG418^10+WeightSDS!N$29*$AG418^9+WeightSDS!O$29*$AG418^8+WeightSDS!P$29*$AG418^7+WeightSDS!Q$29*$AG418^6+WeightSDS!R$29*$AG418^5+WeightSDS!S$29*$AG418^4+WeightSDS!T$29*$AG418^3+WeightSDS!U$29*$AG418^2+WeightSDS!V$29*$AG418+WeightSDS!W$29-0.010431*(1-$AG418/210),IF($AG418&lt;123,WeightSDS!M$30*$AG418^10+WeightSDS!N$30*$AG418^9+WeightSDS!O$30*$AG418^8+WeightSDS!P$30*$AG418^7+WeightSDS!Q$30*$AG418^6+WeightSDS!R$30*$AG418^5+WeightSDS!S$30*$AG418^4+WeightSDS!T$30*$AG418^3+WeightSDS!U$30*$AG418^2+WeightSDS!V$30*$AG418+WeightSDS!W$30-0.010431*(1-1/$AG418),WeightSDS!M$32+WeightSDS!N$32/(1+EXP(WeightSDS!O$32+WeightSDS!P$32*$AG418))-0.010431*(1-$AG418/210))))</f>
        <v>2.9500001032655536</v>
      </c>
      <c r="AK418" s="24">
        <f>IF(D418="M",IF($AG418&lt;162,WeightSDS!P$12*$AG418^7+WeightSDS!Q$12*$AG418^6+WeightSDS!R$12*$AG418^5+WeightSDS!S$12*$AG418^4+WeightSDS!T$12*$AG418^3+WeightSDS!U$12*$AG418^2+WeightSDS!V$12*$AG418+WeightSDS!W$12,WeightSDS!P$14*$AG418^7+WeightSDS!Q$14*$AG418^6+WeightSDS!R$14*$AG418^5+WeightSDS!S$14*$AG418^4+WeightSDS!T$14*$AG418^3+WeightSDS!U$14*$AG418^2+WeightSDS!V$14*$AG418+WeightSDS!W$14),IF($AG418&lt;156,WeightSDS!O$17*$AG418^8+WeightSDS!P$17*$AG418^7+WeightSDS!Q$17*$AG418^6+WeightSDS!R$17*$AG418^5+WeightSDS!S$17*$AG418^4+WeightSDS!T$17*$AG418^3+WeightSDS!U$17*$AG418^2+WeightSDS!V$17*$AG418+WeightSDS!W$17,IF($AG418&lt;186,WeightSDS!$U$18+(WeightSDS!$V$18-WeightSDS!$U$18)/24*($AG418-186)+WeightSDS!$W$18*(-$AG418+186)^2-0.005,WeightSDS!$U$18+(WeightSDS!$V$18-WeightSDS!$U$18)/24*($AG418-186)-0.005)))</f>
        <v>0.14604529399999999</v>
      </c>
    </row>
    <row r="419" spans="1:37">
      <c r="A419" s="4"/>
      <c r="B419" s="21"/>
      <c r="C419" s="21"/>
      <c r="D419" s="21"/>
      <c r="E419" s="22"/>
      <c r="F419" s="22"/>
      <c r="G419" s="23"/>
      <c r="H419" s="23"/>
      <c r="I419" s="8" t="str">
        <f t="shared" si="98"/>
        <v/>
      </c>
      <c r="J419" s="2" t="str">
        <f t="shared" si="105"/>
        <v/>
      </c>
      <c r="K419" s="2" t="str">
        <f t="shared" si="99"/>
        <v/>
      </c>
      <c r="L419" s="2" t="str">
        <f t="shared" si="106"/>
        <v/>
      </c>
      <c r="M419" s="2" t="str">
        <f t="shared" si="111"/>
        <v/>
      </c>
      <c r="N419" s="2" t="str">
        <f t="shared" si="107"/>
        <v/>
      </c>
      <c r="O419" s="8" t="str">
        <f t="shared" si="108"/>
        <v/>
      </c>
      <c r="P419" s="8" t="str">
        <f t="shared" si="109"/>
        <v/>
      </c>
      <c r="Q419" s="40" t="str">
        <f t="shared" si="100"/>
        <v/>
      </c>
      <c r="R419" s="48" t="str">
        <f t="shared" si="110"/>
        <v/>
      </c>
      <c r="S419" s="8"/>
      <c r="U419" s="35">
        <f t="shared" si="101"/>
        <v>0</v>
      </c>
      <c r="V419" s="24">
        <f t="shared" si="102"/>
        <v>0</v>
      </c>
      <c r="W419" s="41">
        <f t="shared" si="113"/>
        <v>0</v>
      </c>
      <c r="X419" s="31"/>
      <c r="Y419" s="31"/>
      <c r="Z419" s="31"/>
      <c r="AA419" s="25">
        <f t="shared" si="103"/>
        <v>9.0359999999999996</v>
      </c>
      <c r="AB419" s="25">
        <f t="shared" si="104"/>
        <v>-184.49199999999999</v>
      </c>
      <c r="AD419" s="24">
        <f>IF(D419="M",IF(AG419&lt;78,BMILMS!$D$5*AG419^3+BMILMS!$E$5*AG419^2+BMILMS!$F$5*AG419+BMILMS!$G$5,IF(AG419&lt;150,BMILMS!$D$6*AG419^3+BMILMS!$E$6*AG419^2+BMILMS!$F$6*AG419+BMILMS!$G$6,BMILMS!$D$7*AG419^3+BMILMS!$E$7*AG419^2+BMILMS!$F$7*AG419+BMILMS!$G$7)),IF(AG419&lt;69,BMILMS!$D$9*AG419^3+BMILMS!$E$9*AG419^2+BMILMS!$F$9*AG419+BMILMS!$G$9,IF(AG419&lt;150,BMILMS!$D$10*AG419^3+BMILMS!$E$10*AG419^2+BMILMS!$F$10*AG419+BMILMS!$G$10,BMILMS!$D$11*AG419^3+BMILMS!$E$11*AG419^2+BMILMS!$F$11*AG419+BMILMS!$G$11)))</f>
        <v>0.79584630099999998</v>
      </c>
      <c r="AE419" s="24">
        <f>IF(D419="M",(IF(AG419&lt;2.5,BMILMS!$D$21*AG419^3+BMILMS!$E$21*AG419^2+BMILMS!$F$21*AG419+BMILMS!$G$21,IF(AG419&lt;9.5,BMILMS!$D$22*AG419^3+BMILMS!$E$22*AG419^2+BMILMS!$F$22*AG419+BMILMS!$G$22,IF(AG419&lt;26.75,BMILMS!$D$23*AG419^3+BMILMS!$E$23*AG419^2+BMILMS!$F$23*AG419+BMILMS!$G$23,IF(AG419&lt;90,BMILMS!$D$24*AG419^3+BMILMS!$E$24*AG419^2+BMILMS!$F$24*AG419+BMILMS!$G$24,BMILMS!$D$25*AG419^3+BMILMS!$E$25*AG419^2+BMILMS!$F$25*AG419+BMILMS!$G$25))))),(IF(AG419&lt;2.5,BMILMS!$D$27*AG419^3+BMILMS!$E$27*AG419^2+BMILMS!$F$27*AG419+BMILMS!$G$27,IF(AG419&lt;9.5,BMILMS!$D$28*AG419^3+BMILMS!$E$28*AG419^2+BMILMS!$F$28*AG419+BMILMS!$G$28,IF(AG419&lt;26.75,BMILMS!$D$29*AG419^3+BMILMS!$E$29*AG419^2+BMILMS!$F$29*AG419+BMILMS!$G$29,IF(AG419&lt;90,BMILMS!$D$30*AG419^3+BMILMS!$E$30*AG419^2+BMILMS!$F$30*AG419+BMILMS!$G$30,IF(AG419&lt;150,BMILMS!$D$31*AG419^3+BMILMS!$E$31*AG419^2+BMILMS!$F$31*AG419+BMILMS!$G$31,BMILMS!$D$32*AG419^3+BMILMS!$E$32*AG419^2+BMILMS!$F$32*AG419+BMILMS!$G$32)))))))</f>
        <v>12.568967990000001</v>
      </c>
      <c r="AF419" s="24">
        <f>IF(D419="M",(IF(AG419&lt;90,BMILMS!$D$14*AG419^3+BMILMS!$E$14*AG419^2+BMILMS!$F$14*AG419+BMILMS!$G$14,BMILMS!$D$15*AG419^3+BMILMS!$E$15*AG419^2+BMILMS!$F$15*AG419+BMILMS!$G$15)),(IF(AG419&lt;90,BMILMS!$D$17*AG419^3+BMILMS!$E$17*AG419^2+BMILMS!$F$17*AG419+BMILMS!$G$17,BMILMS!$D$18*AG419^3+BMILMS!$E$18*AG419^2+BMILMS!$F$18*AG419+BMILMS!$G$18)))</f>
        <v>8.8969350000000003E-2</v>
      </c>
      <c r="AG419" s="24">
        <f t="shared" si="112"/>
        <v>0</v>
      </c>
      <c r="AI419" s="38">
        <f>IF(D419="M",WeightSDS!P$5*$AG419^7+WeightSDS!Q$5*$AG419^6+WeightSDS!R$5*$AG419^5+WeightSDS!S$5*$AG419^4+WeightSDS!T$5*$AG419^3+WeightSDS!U$5*$AG419^2+WeightSDS!V$5*$AG419+WeightSDS!W$5,IF($AG419&lt;186,WeightSDS!P$8*$AG419^7+WeightSDS!Q$8*$AG419^6+WeightSDS!R$8*$AG419^5+WeightSDS!S$8*$AG419^4+WeightSDS!T$8*$AG419^3+WeightSDS!U$8*$AG419^2+WeightSDS!V$8*$AG419+WeightSDS!W$8,WeightSDS!$U$9-WeightSDS!$V$9*($AG419-WeightSDS!$W$9)))</f>
        <v>0.75407122999999998</v>
      </c>
      <c r="AJ419" s="24">
        <f>IF(D419="M",IF($AG419&lt;45,WeightSDS!M$23*$AG419^10+WeightSDS!N$23*$AG419^9+WeightSDS!O$23*$AG419^8+WeightSDS!P$23*$AG419^7+WeightSDS!Q$23*$AG419^6+WeightSDS!R$23*$AG419^5+WeightSDS!S$23*$AG419^4+WeightSDS!T$23*$AG419^3+WeightSDS!U$23*$AG419^2+WeightSDS!V$23*$AG419+WeightSDS!W$23,IF($AG419&lt;153,WeightSDS!M$25*$AG419^10+WeightSDS!N$25*$AG419^9+WeightSDS!O$25*$AG419^8+WeightSDS!P$25*$AG419^7+WeightSDS!Q$25*$AG419^6+WeightSDS!R$25*$AG419^5+WeightSDS!S$25*$AG419^4+WeightSDS!T$25*$AG419^3+WeightSDS!U$25*$AG419^2+WeightSDS!V$25*$AG419+WeightSDS!W$25,WeightSDS!M$27+WeightSDS!N$27/(1+EXP(WeightSDS!O$27+WeightSDS!P$27*$AG419)))),IF($AG419&lt;43.8,WeightSDS!M$29*$AG419^10+WeightSDS!N$29*$AG419^9+WeightSDS!O$29*$AG419^8+WeightSDS!P$29*$AG419^7+WeightSDS!Q$29*$AG419^6+WeightSDS!R$29*$AG419^5+WeightSDS!S$29*$AG419^4+WeightSDS!T$29*$AG419^3+WeightSDS!U$29*$AG419^2+WeightSDS!V$29*$AG419+WeightSDS!W$29-0.010431*(1-$AG419/210),IF($AG419&lt;123,WeightSDS!M$30*$AG419^10+WeightSDS!N$30*$AG419^9+WeightSDS!O$30*$AG419^8+WeightSDS!P$30*$AG419^7+WeightSDS!Q$30*$AG419^6+WeightSDS!R$30*$AG419^5+WeightSDS!S$30*$AG419^4+WeightSDS!T$30*$AG419^3+WeightSDS!U$30*$AG419^2+WeightSDS!V$30*$AG419+WeightSDS!W$30-0.010431*(1-1/$AG419),WeightSDS!M$32+WeightSDS!N$32/(1+EXP(WeightSDS!O$32+WeightSDS!P$32*$AG419))-0.010431*(1-$AG419/210))))</f>
        <v>2.9500001032655536</v>
      </c>
      <c r="AK419" s="24">
        <f>IF(D419="M",IF($AG419&lt;162,WeightSDS!P$12*$AG419^7+WeightSDS!Q$12*$AG419^6+WeightSDS!R$12*$AG419^5+WeightSDS!S$12*$AG419^4+WeightSDS!T$12*$AG419^3+WeightSDS!U$12*$AG419^2+WeightSDS!V$12*$AG419+WeightSDS!W$12,WeightSDS!P$14*$AG419^7+WeightSDS!Q$14*$AG419^6+WeightSDS!R$14*$AG419^5+WeightSDS!S$14*$AG419^4+WeightSDS!T$14*$AG419^3+WeightSDS!U$14*$AG419^2+WeightSDS!V$14*$AG419+WeightSDS!W$14),IF($AG419&lt;156,WeightSDS!O$17*$AG419^8+WeightSDS!P$17*$AG419^7+WeightSDS!Q$17*$AG419^6+WeightSDS!R$17*$AG419^5+WeightSDS!S$17*$AG419^4+WeightSDS!T$17*$AG419^3+WeightSDS!U$17*$AG419^2+WeightSDS!V$17*$AG419+WeightSDS!W$17,IF($AG419&lt;186,WeightSDS!$U$18+(WeightSDS!$V$18-WeightSDS!$U$18)/24*($AG419-186)+WeightSDS!$W$18*(-$AG419+186)^2-0.005,WeightSDS!$U$18+(WeightSDS!$V$18-WeightSDS!$U$18)/24*($AG419-186)-0.005)))</f>
        <v>0.14604529399999999</v>
      </c>
    </row>
    <row r="420" spans="1:37">
      <c r="A420" s="4"/>
      <c r="B420" s="21"/>
      <c r="C420" s="21"/>
      <c r="D420" s="21"/>
      <c r="E420" s="22"/>
      <c r="F420" s="22"/>
      <c r="G420" s="23"/>
      <c r="H420" s="23"/>
      <c r="I420" s="8" t="str">
        <f t="shared" si="98"/>
        <v/>
      </c>
      <c r="J420" s="2" t="str">
        <f t="shared" si="105"/>
        <v/>
      </c>
      <c r="K420" s="2" t="str">
        <f t="shared" si="99"/>
        <v/>
      </c>
      <c r="L420" s="2" t="str">
        <f t="shared" si="106"/>
        <v/>
      </c>
      <c r="M420" s="2" t="str">
        <f t="shared" si="111"/>
        <v/>
      </c>
      <c r="N420" s="2" t="str">
        <f t="shared" si="107"/>
        <v/>
      </c>
      <c r="O420" s="8" t="str">
        <f t="shared" si="108"/>
        <v/>
      </c>
      <c r="P420" s="8" t="str">
        <f t="shared" si="109"/>
        <v/>
      </c>
      <c r="Q420" s="40" t="str">
        <f t="shared" si="100"/>
        <v/>
      </c>
      <c r="R420" s="48" t="str">
        <f t="shared" si="110"/>
        <v/>
      </c>
      <c r="S420" s="8"/>
      <c r="U420" s="35">
        <f t="shared" si="101"/>
        <v>0</v>
      </c>
      <c r="V420" s="24">
        <f t="shared" si="102"/>
        <v>0</v>
      </c>
      <c r="W420" s="41">
        <f t="shared" si="113"/>
        <v>0</v>
      </c>
      <c r="X420" s="31"/>
      <c r="Y420" s="31"/>
      <c r="Z420" s="31"/>
      <c r="AA420" s="25">
        <f t="shared" si="103"/>
        <v>9.0359999999999996</v>
      </c>
      <c r="AB420" s="25">
        <f t="shared" si="104"/>
        <v>-184.49199999999999</v>
      </c>
      <c r="AD420" s="24">
        <f>IF(D420="M",IF(AG420&lt;78,BMILMS!$D$5*AG420^3+BMILMS!$E$5*AG420^2+BMILMS!$F$5*AG420+BMILMS!$G$5,IF(AG420&lt;150,BMILMS!$D$6*AG420^3+BMILMS!$E$6*AG420^2+BMILMS!$F$6*AG420+BMILMS!$G$6,BMILMS!$D$7*AG420^3+BMILMS!$E$7*AG420^2+BMILMS!$F$7*AG420+BMILMS!$G$7)),IF(AG420&lt;69,BMILMS!$D$9*AG420^3+BMILMS!$E$9*AG420^2+BMILMS!$F$9*AG420+BMILMS!$G$9,IF(AG420&lt;150,BMILMS!$D$10*AG420^3+BMILMS!$E$10*AG420^2+BMILMS!$F$10*AG420+BMILMS!$G$10,BMILMS!$D$11*AG420^3+BMILMS!$E$11*AG420^2+BMILMS!$F$11*AG420+BMILMS!$G$11)))</f>
        <v>0.79584630099999998</v>
      </c>
      <c r="AE420" s="24">
        <f>IF(D420="M",(IF(AG420&lt;2.5,BMILMS!$D$21*AG420^3+BMILMS!$E$21*AG420^2+BMILMS!$F$21*AG420+BMILMS!$G$21,IF(AG420&lt;9.5,BMILMS!$D$22*AG420^3+BMILMS!$E$22*AG420^2+BMILMS!$F$22*AG420+BMILMS!$G$22,IF(AG420&lt;26.75,BMILMS!$D$23*AG420^3+BMILMS!$E$23*AG420^2+BMILMS!$F$23*AG420+BMILMS!$G$23,IF(AG420&lt;90,BMILMS!$D$24*AG420^3+BMILMS!$E$24*AG420^2+BMILMS!$F$24*AG420+BMILMS!$G$24,BMILMS!$D$25*AG420^3+BMILMS!$E$25*AG420^2+BMILMS!$F$25*AG420+BMILMS!$G$25))))),(IF(AG420&lt;2.5,BMILMS!$D$27*AG420^3+BMILMS!$E$27*AG420^2+BMILMS!$F$27*AG420+BMILMS!$G$27,IF(AG420&lt;9.5,BMILMS!$D$28*AG420^3+BMILMS!$E$28*AG420^2+BMILMS!$F$28*AG420+BMILMS!$G$28,IF(AG420&lt;26.75,BMILMS!$D$29*AG420^3+BMILMS!$E$29*AG420^2+BMILMS!$F$29*AG420+BMILMS!$G$29,IF(AG420&lt;90,BMILMS!$D$30*AG420^3+BMILMS!$E$30*AG420^2+BMILMS!$F$30*AG420+BMILMS!$G$30,IF(AG420&lt;150,BMILMS!$D$31*AG420^3+BMILMS!$E$31*AG420^2+BMILMS!$F$31*AG420+BMILMS!$G$31,BMILMS!$D$32*AG420^3+BMILMS!$E$32*AG420^2+BMILMS!$F$32*AG420+BMILMS!$G$32)))))))</f>
        <v>12.568967990000001</v>
      </c>
      <c r="AF420" s="24">
        <f>IF(D420="M",(IF(AG420&lt;90,BMILMS!$D$14*AG420^3+BMILMS!$E$14*AG420^2+BMILMS!$F$14*AG420+BMILMS!$G$14,BMILMS!$D$15*AG420^3+BMILMS!$E$15*AG420^2+BMILMS!$F$15*AG420+BMILMS!$G$15)),(IF(AG420&lt;90,BMILMS!$D$17*AG420^3+BMILMS!$E$17*AG420^2+BMILMS!$F$17*AG420+BMILMS!$G$17,BMILMS!$D$18*AG420^3+BMILMS!$E$18*AG420^2+BMILMS!$F$18*AG420+BMILMS!$G$18)))</f>
        <v>8.8969350000000003E-2</v>
      </c>
      <c r="AG420" s="24">
        <f t="shared" si="112"/>
        <v>0</v>
      </c>
      <c r="AI420" s="38">
        <f>IF(D420="M",WeightSDS!P$5*$AG420^7+WeightSDS!Q$5*$AG420^6+WeightSDS!R$5*$AG420^5+WeightSDS!S$5*$AG420^4+WeightSDS!T$5*$AG420^3+WeightSDS!U$5*$AG420^2+WeightSDS!V$5*$AG420+WeightSDS!W$5,IF($AG420&lt;186,WeightSDS!P$8*$AG420^7+WeightSDS!Q$8*$AG420^6+WeightSDS!R$8*$AG420^5+WeightSDS!S$8*$AG420^4+WeightSDS!T$8*$AG420^3+WeightSDS!U$8*$AG420^2+WeightSDS!V$8*$AG420+WeightSDS!W$8,WeightSDS!$U$9-WeightSDS!$V$9*($AG420-WeightSDS!$W$9)))</f>
        <v>0.75407122999999998</v>
      </c>
      <c r="AJ420" s="24">
        <f>IF(D420="M",IF($AG420&lt;45,WeightSDS!M$23*$AG420^10+WeightSDS!N$23*$AG420^9+WeightSDS!O$23*$AG420^8+WeightSDS!P$23*$AG420^7+WeightSDS!Q$23*$AG420^6+WeightSDS!R$23*$AG420^5+WeightSDS!S$23*$AG420^4+WeightSDS!T$23*$AG420^3+WeightSDS!U$23*$AG420^2+WeightSDS!V$23*$AG420+WeightSDS!W$23,IF($AG420&lt;153,WeightSDS!M$25*$AG420^10+WeightSDS!N$25*$AG420^9+WeightSDS!O$25*$AG420^8+WeightSDS!P$25*$AG420^7+WeightSDS!Q$25*$AG420^6+WeightSDS!R$25*$AG420^5+WeightSDS!S$25*$AG420^4+WeightSDS!T$25*$AG420^3+WeightSDS!U$25*$AG420^2+WeightSDS!V$25*$AG420+WeightSDS!W$25,WeightSDS!M$27+WeightSDS!N$27/(1+EXP(WeightSDS!O$27+WeightSDS!P$27*$AG420)))),IF($AG420&lt;43.8,WeightSDS!M$29*$AG420^10+WeightSDS!N$29*$AG420^9+WeightSDS!O$29*$AG420^8+WeightSDS!P$29*$AG420^7+WeightSDS!Q$29*$AG420^6+WeightSDS!R$29*$AG420^5+WeightSDS!S$29*$AG420^4+WeightSDS!T$29*$AG420^3+WeightSDS!U$29*$AG420^2+WeightSDS!V$29*$AG420+WeightSDS!W$29-0.010431*(1-$AG420/210),IF($AG420&lt;123,WeightSDS!M$30*$AG420^10+WeightSDS!N$30*$AG420^9+WeightSDS!O$30*$AG420^8+WeightSDS!P$30*$AG420^7+WeightSDS!Q$30*$AG420^6+WeightSDS!R$30*$AG420^5+WeightSDS!S$30*$AG420^4+WeightSDS!T$30*$AG420^3+WeightSDS!U$30*$AG420^2+WeightSDS!V$30*$AG420+WeightSDS!W$30-0.010431*(1-1/$AG420),WeightSDS!M$32+WeightSDS!N$32/(1+EXP(WeightSDS!O$32+WeightSDS!P$32*$AG420))-0.010431*(1-$AG420/210))))</f>
        <v>2.9500001032655536</v>
      </c>
      <c r="AK420" s="24">
        <f>IF(D420="M",IF($AG420&lt;162,WeightSDS!P$12*$AG420^7+WeightSDS!Q$12*$AG420^6+WeightSDS!R$12*$AG420^5+WeightSDS!S$12*$AG420^4+WeightSDS!T$12*$AG420^3+WeightSDS!U$12*$AG420^2+WeightSDS!V$12*$AG420+WeightSDS!W$12,WeightSDS!P$14*$AG420^7+WeightSDS!Q$14*$AG420^6+WeightSDS!R$14*$AG420^5+WeightSDS!S$14*$AG420^4+WeightSDS!T$14*$AG420^3+WeightSDS!U$14*$AG420^2+WeightSDS!V$14*$AG420+WeightSDS!W$14),IF($AG420&lt;156,WeightSDS!O$17*$AG420^8+WeightSDS!P$17*$AG420^7+WeightSDS!Q$17*$AG420^6+WeightSDS!R$17*$AG420^5+WeightSDS!S$17*$AG420^4+WeightSDS!T$17*$AG420^3+WeightSDS!U$17*$AG420^2+WeightSDS!V$17*$AG420+WeightSDS!W$17,IF($AG420&lt;186,WeightSDS!$U$18+(WeightSDS!$V$18-WeightSDS!$U$18)/24*($AG420-186)+WeightSDS!$W$18*(-$AG420+186)^2-0.005,WeightSDS!$U$18+(WeightSDS!$V$18-WeightSDS!$U$18)/24*($AG420-186)-0.005)))</f>
        <v>0.14604529399999999</v>
      </c>
    </row>
    <row r="421" spans="1:37">
      <c r="A421" s="4"/>
      <c r="B421" s="21"/>
      <c r="C421" s="21"/>
      <c r="D421" s="21"/>
      <c r="E421" s="22"/>
      <c r="F421" s="22"/>
      <c r="G421" s="23"/>
      <c r="H421" s="23"/>
      <c r="I421" s="8" t="str">
        <f t="shared" si="98"/>
        <v/>
      </c>
      <c r="J421" s="2" t="str">
        <f t="shared" si="105"/>
        <v/>
      </c>
      <c r="K421" s="2" t="str">
        <f t="shared" si="99"/>
        <v/>
      </c>
      <c r="L421" s="2" t="str">
        <f t="shared" si="106"/>
        <v/>
      </c>
      <c r="M421" s="2" t="str">
        <f t="shared" si="111"/>
        <v/>
      </c>
      <c r="N421" s="2" t="str">
        <f t="shared" si="107"/>
        <v/>
      </c>
      <c r="O421" s="8" t="str">
        <f t="shared" si="108"/>
        <v/>
      </c>
      <c r="P421" s="8" t="str">
        <f t="shared" si="109"/>
        <v/>
      </c>
      <c r="Q421" s="40" t="str">
        <f t="shared" si="100"/>
        <v/>
      </c>
      <c r="R421" s="48" t="str">
        <f t="shared" si="110"/>
        <v/>
      </c>
      <c r="S421" s="8"/>
      <c r="U421" s="35">
        <f t="shared" si="101"/>
        <v>0</v>
      </c>
      <c r="V421" s="24">
        <f t="shared" si="102"/>
        <v>0</v>
      </c>
      <c r="W421" s="41">
        <f t="shared" si="113"/>
        <v>0</v>
      </c>
      <c r="X421" s="31"/>
      <c r="Y421" s="31"/>
      <c r="Z421" s="31"/>
      <c r="AA421" s="25">
        <f t="shared" si="103"/>
        <v>9.0359999999999996</v>
      </c>
      <c r="AB421" s="25">
        <f t="shared" si="104"/>
        <v>-184.49199999999999</v>
      </c>
      <c r="AD421" s="24">
        <f>IF(D421="M",IF(AG421&lt;78,BMILMS!$D$5*AG421^3+BMILMS!$E$5*AG421^2+BMILMS!$F$5*AG421+BMILMS!$G$5,IF(AG421&lt;150,BMILMS!$D$6*AG421^3+BMILMS!$E$6*AG421^2+BMILMS!$F$6*AG421+BMILMS!$G$6,BMILMS!$D$7*AG421^3+BMILMS!$E$7*AG421^2+BMILMS!$F$7*AG421+BMILMS!$G$7)),IF(AG421&lt;69,BMILMS!$D$9*AG421^3+BMILMS!$E$9*AG421^2+BMILMS!$F$9*AG421+BMILMS!$G$9,IF(AG421&lt;150,BMILMS!$D$10*AG421^3+BMILMS!$E$10*AG421^2+BMILMS!$F$10*AG421+BMILMS!$G$10,BMILMS!$D$11*AG421^3+BMILMS!$E$11*AG421^2+BMILMS!$F$11*AG421+BMILMS!$G$11)))</f>
        <v>0.79584630099999998</v>
      </c>
      <c r="AE421" s="24">
        <f>IF(D421="M",(IF(AG421&lt;2.5,BMILMS!$D$21*AG421^3+BMILMS!$E$21*AG421^2+BMILMS!$F$21*AG421+BMILMS!$G$21,IF(AG421&lt;9.5,BMILMS!$D$22*AG421^3+BMILMS!$E$22*AG421^2+BMILMS!$F$22*AG421+BMILMS!$G$22,IF(AG421&lt;26.75,BMILMS!$D$23*AG421^3+BMILMS!$E$23*AG421^2+BMILMS!$F$23*AG421+BMILMS!$G$23,IF(AG421&lt;90,BMILMS!$D$24*AG421^3+BMILMS!$E$24*AG421^2+BMILMS!$F$24*AG421+BMILMS!$G$24,BMILMS!$D$25*AG421^3+BMILMS!$E$25*AG421^2+BMILMS!$F$25*AG421+BMILMS!$G$25))))),(IF(AG421&lt;2.5,BMILMS!$D$27*AG421^3+BMILMS!$E$27*AG421^2+BMILMS!$F$27*AG421+BMILMS!$G$27,IF(AG421&lt;9.5,BMILMS!$D$28*AG421^3+BMILMS!$E$28*AG421^2+BMILMS!$F$28*AG421+BMILMS!$G$28,IF(AG421&lt;26.75,BMILMS!$D$29*AG421^3+BMILMS!$E$29*AG421^2+BMILMS!$F$29*AG421+BMILMS!$G$29,IF(AG421&lt;90,BMILMS!$D$30*AG421^3+BMILMS!$E$30*AG421^2+BMILMS!$F$30*AG421+BMILMS!$G$30,IF(AG421&lt;150,BMILMS!$D$31*AG421^3+BMILMS!$E$31*AG421^2+BMILMS!$F$31*AG421+BMILMS!$G$31,BMILMS!$D$32*AG421^3+BMILMS!$E$32*AG421^2+BMILMS!$F$32*AG421+BMILMS!$G$32)))))))</f>
        <v>12.568967990000001</v>
      </c>
      <c r="AF421" s="24">
        <f>IF(D421="M",(IF(AG421&lt;90,BMILMS!$D$14*AG421^3+BMILMS!$E$14*AG421^2+BMILMS!$F$14*AG421+BMILMS!$G$14,BMILMS!$D$15*AG421^3+BMILMS!$E$15*AG421^2+BMILMS!$F$15*AG421+BMILMS!$G$15)),(IF(AG421&lt;90,BMILMS!$D$17*AG421^3+BMILMS!$E$17*AG421^2+BMILMS!$F$17*AG421+BMILMS!$G$17,BMILMS!$D$18*AG421^3+BMILMS!$E$18*AG421^2+BMILMS!$F$18*AG421+BMILMS!$G$18)))</f>
        <v>8.8969350000000003E-2</v>
      </c>
      <c r="AG421" s="24">
        <f t="shared" si="112"/>
        <v>0</v>
      </c>
      <c r="AI421" s="38">
        <f>IF(D421="M",WeightSDS!P$5*$AG421^7+WeightSDS!Q$5*$AG421^6+WeightSDS!R$5*$AG421^5+WeightSDS!S$5*$AG421^4+WeightSDS!T$5*$AG421^3+WeightSDS!U$5*$AG421^2+WeightSDS!V$5*$AG421+WeightSDS!W$5,IF($AG421&lt;186,WeightSDS!P$8*$AG421^7+WeightSDS!Q$8*$AG421^6+WeightSDS!R$8*$AG421^5+WeightSDS!S$8*$AG421^4+WeightSDS!T$8*$AG421^3+WeightSDS!U$8*$AG421^2+WeightSDS!V$8*$AG421+WeightSDS!W$8,WeightSDS!$U$9-WeightSDS!$V$9*($AG421-WeightSDS!$W$9)))</f>
        <v>0.75407122999999998</v>
      </c>
      <c r="AJ421" s="24">
        <f>IF(D421="M",IF($AG421&lt;45,WeightSDS!M$23*$AG421^10+WeightSDS!N$23*$AG421^9+WeightSDS!O$23*$AG421^8+WeightSDS!P$23*$AG421^7+WeightSDS!Q$23*$AG421^6+WeightSDS!R$23*$AG421^5+WeightSDS!S$23*$AG421^4+WeightSDS!T$23*$AG421^3+WeightSDS!U$23*$AG421^2+WeightSDS!V$23*$AG421+WeightSDS!W$23,IF($AG421&lt;153,WeightSDS!M$25*$AG421^10+WeightSDS!N$25*$AG421^9+WeightSDS!O$25*$AG421^8+WeightSDS!P$25*$AG421^7+WeightSDS!Q$25*$AG421^6+WeightSDS!R$25*$AG421^5+WeightSDS!S$25*$AG421^4+WeightSDS!T$25*$AG421^3+WeightSDS!U$25*$AG421^2+WeightSDS!V$25*$AG421+WeightSDS!W$25,WeightSDS!M$27+WeightSDS!N$27/(1+EXP(WeightSDS!O$27+WeightSDS!P$27*$AG421)))),IF($AG421&lt;43.8,WeightSDS!M$29*$AG421^10+WeightSDS!N$29*$AG421^9+WeightSDS!O$29*$AG421^8+WeightSDS!P$29*$AG421^7+WeightSDS!Q$29*$AG421^6+WeightSDS!R$29*$AG421^5+WeightSDS!S$29*$AG421^4+WeightSDS!T$29*$AG421^3+WeightSDS!U$29*$AG421^2+WeightSDS!V$29*$AG421+WeightSDS!W$29-0.010431*(1-$AG421/210),IF($AG421&lt;123,WeightSDS!M$30*$AG421^10+WeightSDS!N$30*$AG421^9+WeightSDS!O$30*$AG421^8+WeightSDS!P$30*$AG421^7+WeightSDS!Q$30*$AG421^6+WeightSDS!R$30*$AG421^5+WeightSDS!S$30*$AG421^4+WeightSDS!T$30*$AG421^3+WeightSDS!U$30*$AG421^2+WeightSDS!V$30*$AG421+WeightSDS!W$30-0.010431*(1-1/$AG421),WeightSDS!M$32+WeightSDS!N$32/(1+EXP(WeightSDS!O$32+WeightSDS!P$32*$AG421))-0.010431*(1-$AG421/210))))</f>
        <v>2.9500001032655536</v>
      </c>
      <c r="AK421" s="24">
        <f>IF(D421="M",IF($AG421&lt;162,WeightSDS!P$12*$AG421^7+WeightSDS!Q$12*$AG421^6+WeightSDS!R$12*$AG421^5+WeightSDS!S$12*$AG421^4+WeightSDS!T$12*$AG421^3+WeightSDS!U$12*$AG421^2+WeightSDS!V$12*$AG421+WeightSDS!W$12,WeightSDS!P$14*$AG421^7+WeightSDS!Q$14*$AG421^6+WeightSDS!R$14*$AG421^5+WeightSDS!S$14*$AG421^4+WeightSDS!T$14*$AG421^3+WeightSDS!U$14*$AG421^2+WeightSDS!V$14*$AG421+WeightSDS!W$14),IF($AG421&lt;156,WeightSDS!O$17*$AG421^8+WeightSDS!P$17*$AG421^7+WeightSDS!Q$17*$AG421^6+WeightSDS!R$17*$AG421^5+WeightSDS!S$17*$AG421^4+WeightSDS!T$17*$AG421^3+WeightSDS!U$17*$AG421^2+WeightSDS!V$17*$AG421+WeightSDS!W$17,IF($AG421&lt;186,WeightSDS!$U$18+(WeightSDS!$V$18-WeightSDS!$U$18)/24*($AG421-186)+WeightSDS!$W$18*(-$AG421+186)^2-0.005,WeightSDS!$U$18+(WeightSDS!$V$18-WeightSDS!$U$18)/24*($AG421-186)-0.005)))</f>
        <v>0.14604529399999999</v>
      </c>
    </row>
    <row r="422" spans="1:37">
      <c r="A422" s="4"/>
      <c r="B422" s="21"/>
      <c r="C422" s="21"/>
      <c r="D422" s="21"/>
      <c r="E422" s="22"/>
      <c r="F422" s="22"/>
      <c r="G422" s="23"/>
      <c r="H422" s="23"/>
      <c r="I422" s="8" t="str">
        <f t="shared" si="98"/>
        <v/>
      </c>
      <c r="J422" s="2" t="str">
        <f t="shared" si="105"/>
        <v/>
      </c>
      <c r="K422" s="2" t="str">
        <f t="shared" si="99"/>
        <v/>
      </c>
      <c r="L422" s="2" t="str">
        <f t="shared" si="106"/>
        <v/>
      </c>
      <c r="M422" s="2" t="str">
        <f t="shared" si="111"/>
        <v/>
      </c>
      <c r="N422" s="2" t="str">
        <f t="shared" si="107"/>
        <v/>
      </c>
      <c r="O422" s="8" t="str">
        <f t="shared" si="108"/>
        <v/>
      </c>
      <c r="P422" s="8" t="str">
        <f t="shared" si="109"/>
        <v/>
      </c>
      <c r="Q422" s="40" t="str">
        <f t="shared" si="100"/>
        <v/>
      </c>
      <c r="R422" s="48" t="str">
        <f t="shared" si="110"/>
        <v/>
      </c>
      <c r="S422" s="8"/>
      <c r="U422" s="35">
        <f t="shared" si="101"/>
        <v>0</v>
      </c>
      <c r="V422" s="24">
        <f t="shared" si="102"/>
        <v>0</v>
      </c>
      <c r="W422" s="41">
        <f t="shared" si="113"/>
        <v>0</v>
      </c>
      <c r="X422" s="31"/>
      <c r="Y422" s="31"/>
      <c r="Z422" s="31"/>
      <c r="AA422" s="25">
        <f t="shared" si="103"/>
        <v>9.0359999999999996</v>
      </c>
      <c r="AB422" s="25">
        <f t="shared" si="104"/>
        <v>-184.49199999999999</v>
      </c>
      <c r="AD422" s="24">
        <f>IF(D422="M",IF(AG422&lt;78,BMILMS!$D$5*AG422^3+BMILMS!$E$5*AG422^2+BMILMS!$F$5*AG422+BMILMS!$G$5,IF(AG422&lt;150,BMILMS!$D$6*AG422^3+BMILMS!$E$6*AG422^2+BMILMS!$F$6*AG422+BMILMS!$G$6,BMILMS!$D$7*AG422^3+BMILMS!$E$7*AG422^2+BMILMS!$F$7*AG422+BMILMS!$G$7)),IF(AG422&lt;69,BMILMS!$D$9*AG422^3+BMILMS!$E$9*AG422^2+BMILMS!$F$9*AG422+BMILMS!$G$9,IF(AG422&lt;150,BMILMS!$D$10*AG422^3+BMILMS!$E$10*AG422^2+BMILMS!$F$10*AG422+BMILMS!$G$10,BMILMS!$D$11*AG422^3+BMILMS!$E$11*AG422^2+BMILMS!$F$11*AG422+BMILMS!$G$11)))</f>
        <v>0.79584630099999998</v>
      </c>
      <c r="AE422" s="24">
        <f>IF(D422="M",(IF(AG422&lt;2.5,BMILMS!$D$21*AG422^3+BMILMS!$E$21*AG422^2+BMILMS!$F$21*AG422+BMILMS!$G$21,IF(AG422&lt;9.5,BMILMS!$D$22*AG422^3+BMILMS!$E$22*AG422^2+BMILMS!$F$22*AG422+BMILMS!$G$22,IF(AG422&lt;26.75,BMILMS!$D$23*AG422^3+BMILMS!$E$23*AG422^2+BMILMS!$F$23*AG422+BMILMS!$G$23,IF(AG422&lt;90,BMILMS!$D$24*AG422^3+BMILMS!$E$24*AG422^2+BMILMS!$F$24*AG422+BMILMS!$G$24,BMILMS!$D$25*AG422^3+BMILMS!$E$25*AG422^2+BMILMS!$F$25*AG422+BMILMS!$G$25))))),(IF(AG422&lt;2.5,BMILMS!$D$27*AG422^3+BMILMS!$E$27*AG422^2+BMILMS!$F$27*AG422+BMILMS!$G$27,IF(AG422&lt;9.5,BMILMS!$D$28*AG422^3+BMILMS!$E$28*AG422^2+BMILMS!$F$28*AG422+BMILMS!$G$28,IF(AG422&lt;26.75,BMILMS!$D$29*AG422^3+BMILMS!$E$29*AG422^2+BMILMS!$F$29*AG422+BMILMS!$G$29,IF(AG422&lt;90,BMILMS!$D$30*AG422^3+BMILMS!$E$30*AG422^2+BMILMS!$F$30*AG422+BMILMS!$G$30,IF(AG422&lt;150,BMILMS!$D$31*AG422^3+BMILMS!$E$31*AG422^2+BMILMS!$F$31*AG422+BMILMS!$G$31,BMILMS!$D$32*AG422^3+BMILMS!$E$32*AG422^2+BMILMS!$F$32*AG422+BMILMS!$G$32)))))))</f>
        <v>12.568967990000001</v>
      </c>
      <c r="AF422" s="24">
        <f>IF(D422="M",(IF(AG422&lt;90,BMILMS!$D$14*AG422^3+BMILMS!$E$14*AG422^2+BMILMS!$F$14*AG422+BMILMS!$G$14,BMILMS!$D$15*AG422^3+BMILMS!$E$15*AG422^2+BMILMS!$F$15*AG422+BMILMS!$G$15)),(IF(AG422&lt;90,BMILMS!$D$17*AG422^3+BMILMS!$E$17*AG422^2+BMILMS!$F$17*AG422+BMILMS!$G$17,BMILMS!$D$18*AG422^3+BMILMS!$E$18*AG422^2+BMILMS!$F$18*AG422+BMILMS!$G$18)))</f>
        <v>8.8969350000000003E-2</v>
      </c>
      <c r="AG422" s="24">
        <f t="shared" si="112"/>
        <v>0</v>
      </c>
      <c r="AI422" s="38">
        <f>IF(D422="M",WeightSDS!P$5*$AG422^7+WeightSDS!Q$5*$AG422^6+WeightSDS!R$5*$AG422^5+WeightSDS!S$5*$AG422^4+WeightSDS!T$5*$AG422^3+WeightSDS!U$5*$AG422^2+WeightSDS!V$5*$AG422+WeightSDS!W$5,IF($AG422&lt;186,WeightSDS!P$8*$AG422^7+WeightSDS!Q$8*$AG422^6+WeightSDS!R$8*$AG422^5+WeightSDS!S$8*$AG422^4+WeightSDS!T$8*$AG422^3+WeightSDS!U$8*$AG422^2+WeightSDS!V$8*$AG422+WeightSDS!W$8,WeightSDS!$U$9-WeightSDS!$V$9*($AG422-WeightSDS!$W$9)))</f>
        <v>0.75407122999999998</v>
      </c>
      <c r="AJ422" s="24">
        <f>IF(D422="M",IF($AG422&lt;45,WeightSDS!M$23*$AG422^10+WeightSDS!N$23*$AG422^9+WeightSDS!O$23*$AG422^8+WeightSDS!P$23*$AG422^7+WeightSDS!Q$23*$AG422^6+WeightSDS!R$23*$AG422^5+WeightSDS!S$23*$AG422^4+WeightSDS!T$23*$AG422^3+WeightSDS!U$23*$AG422^2+WeightSDS!V$23*$AG422+WeightSDS!W$23,IF($AG422&lt;153,WeightSDS!M$25*$AG422^10+WeightSDS!N$25*$AG422^9+WeightSDS!O$25*$AG422^8+WeightSDS!P$25*$AG422^7+WeightSDS!Q$25*$AG422^6+WeightSDS!R$25*$AG422^5+WeightSDS!S$25*$AG422^4+WeightSDS!T$25*$AG422^3+WeightSDS!U$25*$AG422^2+WeightSDS!V$25*$AG422+WeightSDS!W$25,WeightSDS!M$27+WeightSDS!N$27/(1+EXP(WeightSDS!O$27+WeightSDS!P$27*$AG422)))),IF($AG422&lt;43.8,WeightSDS!M$29*$AG422^10+WeightSDS!N$29*$AG422^9+WeightSDS!O$29*$AG422^8+WeightSDS!P$29*$AG422^7+WeightSDS!Q$29*$AG422^6+WeightSDS!R$29*$AG422^5+WeightSDS!S$29*$AG422^4+WeightSDS!T$29*$AG422^3+WeightSDS!U$29*$AG422^2+WeightSDS!V$29*$AG422+WeightSDS!W$29-0.010431*(1-$AG422/210),IF($AG422&lt;123,WeightSDS!M$30*$AG422^10+WeightSDS!N$30*$AG422^9+WeightSDS!O$30*$AG422^8+WeightSDS!P$30*$AG422^7+WeightSDS!Q$30*$AG422^6+WeightSDS!R$30*$AG422^5+WeightSDS!S$30*$AG422^4+WeightSDS!T$30*$AG422^3+WeightSDS!U$30*$AG422^2+WeightSDS!V$30*$AG422+WeightSDS!W$30-0.010431*(1-1/$AG422),WeightSDS!M$32+WeightSDS!N$32/(1+EXP(WeightSDS!O$32+WeightSDS!P$32*$AG422))-0.010431*(1-$AG422/210))))</f>
        <v>2.9500001032655536</v>
      </c>
      <c r="AK422" s="24">
        <f>IF(D422="M",IF($AG422&lt;162,WeightSDS!P$12*$AG422^7+WeightSDS!Q$12*$AG422^6+WeightSDS!R$12*$AG422^5+WeightSDS!S$12*$AG422^4+WeightSDS!T$12*$AG422^3+WeightSDS!U$12*$AG422^2+WeightSDS!V$12*$AG422+WeightSDS!W$12,WeightSDS!P$14*$AG422^7+WeightSDS!Q$14*$AG422^6+WeightSDS!R$14*$AG422^5+WeightSDS!S$14*$AG422^4+WeightSDS!T$14*$AG422^3+WeightSDS!U$14*$AG422^2+WeightSDS!V$14*$AG422+WeightSDS!W$14),IF($AG422&lt;156,WeightSDS!O$17*$AG422^8+WeightSDS!P$17*$AG422^7+WeightSDS!Q$17*$AG422^6+WeightSDS!R$17*$AG422^5+WeightSDS!S$17*$AG422^4+WeightSDS!T$17*$AG422^3+WeightSDS!U$17*$AG422^2+WeightSDS!V$17*$AG422+WeightSDS!W$17,IF($AG422&lt;186,WeightSDS!$U$18+(WeightSDS!$V$18-WeightSDS!$U$18)/24*($AG422-186)+WeightSDS!$W$18*(-$AG422+186)^2-0.005,WeightSDS!$U$18+(WeightSDS!$V$18-WeightSDS!$U$18)/24*($AG422-186)-0.005)))</f>
        <v>0.14604529399999999</v>
      </c>
    </row>
    <row r="423" spans="1:37">
      <c r="A423" s="4"/>
      <c r="B423" s="21"/>
      <c r="C423" s="21"/>
      <c r="D423" s="21"/>
      <c r="E423" s="22"/>
      <c r="F423" s="22"/>
      <c r="G423" s="23"/>
      <c r="H423" s="23"/>
      <c r="I423" s="8" t="str">
        <f t="shared" si="98"/>
        <v/>
      </c>
      <c r="J423" s="2" t="str">
        <f t="shared" si="105"/>
        <v/>
      </c>
      <c r="K423" s="2" t="str">
        <f t="shared" si="99"/>
        <v/>
      </c>
      <c r="L423" s="2" t="str">
        <f t="shared" si="106"/>
        <v/>
      </c>
      <c r="M423" s="2" t="str">
        <f t="shared" si="111"/>
        <v/>
      </c>
      <c r="N423" s="2" t="str">
        <f t="shared" si="107"/>
        <v/>
      </c>
      <c r="O423" s="8" t="str">
        <f t="shared" si="108"/>
        <v/>
      </c>
      <c r="P423" s="8" t="str">
        <f t="shared" si="109"/>
        <v/>
      </c>
      <c r="Q423" s="40" t="str">
        <f t="shared" si="100"/>
        <v/>
      </c>
      <c r="R423" s="48" t="str">
        <f t="shared" si="110"/>
        <v/>
      </c>
      <c r="S423" s="8"/>
      <c r="U423" s="35">
        <f t="shared" si="101"/>
        <v>0</v>
      </c>
      <c r="V423" s="24">
        <f t="shared" si="102"/>
        <v>0</v>
      </c>
      <c r="W423" s="41">
        <f t="shared" si="113"/>
        <v>0</v>
      </c>
      <c r="X423" s="31"/>
      <c r="Y423" s="31"/>
      <c r="Z423" s="31"/>
      <c r="AA423" s="25">
        <f t="shared" si="103"/>
        <v>9.0359999999999996</v>
      </c>
      <c r="AB423" s="25">
        <f t="shared" si="104"/>
        <v>-184.49199999999999</v>
      </c>
      <c r="AD423" s="24">
        <f>IF(D423="M",IF(AG423&lt;78,BMILMS!$D$5*AG423^3+BMILMS!$E$5*AG423^2+BMILMS!$F$5*AG423+BMILMS!$G$5,IF(AG423&lt;150,BMILMS!$D$6*AG423^3+BMILMS!$E$6*AG423^2+BMILMS!$F$6*AG423+BMILMS!$G$6,BMILMS!$D$7*AG423^3+BMILMS!$E$7*AG423^2+BMILMS!$F$7*AG423+BMILMS!$G$7)),IF(AG423&lt;69,BMILMS!$D$9*AG423^3+BMILMS!$E$9*AG423^2+BMILMS!$F$9*AG423+BMILMS!$G$9,IF(AG423&lt;150,BMILMS!$D$10*AG423^3+BMILMS!$E$10*AG423^2+BMILMS!$F$10*AG423+BMILMS!$G$10,BMILMS!$D$11*AG423^3+BMILMS!$E$11*AG423^2+BMILMS!$F$11*AG423+BMILMS!$G$11)))</f>
        <v>0.79584630099999998</v>
      </c>
      <c r="AE423" s="24">
        <f>IF(D423="M",(IF(AG423&lt;2.5,BMILMS!$D$21*AG423^3+BMILMS!$E$21*AG423^2+BMILMS!$F$21*AG423+BMILMS!$G$21,IF(AG423&lt;9.5,BMILMS!$D$22*AG423^3+BMILMS!$E$22*AG423^2+BMILMS!$F$22*AG423+BMILMS!$G$22,IF(AG423&lt;26.75,BMILMS!$D$23*AG423^3+BMILMS!$E$23*AG423^2+BMILMS!$F$23*AG423+BMILMS!$G$23,IF(AG423&lt;90,BMILMS!$D$24*AG423^3+BMILMS!$E$24*AG423^2+BMILMS!$F$24*AG423+BMILMS!$G$24,BMILMS!$D$25*AG423^3+BMILMS!$E$25*AG423^2+BMILMS!$F$25*AG423+BMILMS!$G$25))))),(IF(AG423&lt;2.5,BMILMS!$D$27*AG423^3+BMILMS!$E$27*AG423^2+BMILMS!$F$27*AG423+BMILMS!$G$27,IF(AG423&lt;9.5,BMILMS!$D$28*AG423^3+BMILMS!$E$28*AG423^2+BMILMS!$F$28*AG423+BMILMS!$G$28,IF(AG423&lt;26.75,BMILMS!$D$29*AG423^3+BMILMS!$E$29*AG423^2+BMILMS!$F$29*AG423+BMILMS!$G$29,IF(AG423&lt;90,BMILMS!$D$30*AG423^3+BMILMS!$E$30*AG423^2+BMILMS!$F$30*AG423+BMILMS!$G$30,IF(AG423&lt;150,BMILMS!$D$31*AG423^3+BMILMS!$E$31*AG423^2+BMILMS!$F$31*AG423+BMILMS!$G$31,BMILMS!$D$32*AG423^3+BMILMS!$E$32*AG423^2+BMILMS!$F$32*AG423+BMILMS!$G$32)))))))</f>
        <v>12.568967990000001</v>
      </c>
      <c r="AF423" s="24">
        <f>IF(D423="M",(IF(AG423&lt;90,BMILMS!$D$14*AG423^3+BMILMS!$E$14*AG423^2+BMILMS!$F$14*AG423+BMILMS!$G$14,BMILMS!$D$15*AG423^3+BMILMS!$E$15*AG423^2+BMILMS!$F$15*AG423+BMILMS!$G$15)),(IF(AG423&lt;90,BMILMS!$D$17*AG423^3+BMILMS!$E$17*AG423^2+BMILMS!$F$17*AG423+BMILMS!$G$17,BMILMS!$D$18*AG423^3+BMILMS!$E$18*AG423^2+BMILMS!$F$18*AG423+BMILMS!$G$18)))</f>
        <v>8.8969350000000003E-2</v>
      </c>
      <c r="AG423" s="24">
        <f t="shared" si="112"/>
        <v>0</v>
      </c>
      <c r="AI423" s="38">
        <f>IF(D423="M",WeightSDS!P$5*$AG423^7+WeightSDS!Q$5*$AG423^6+WeightSDS!R$5*$AG423^5+WeightSDS!S$5*$AG423^4+WeightSDS!T$5*$AG423^3+WeightSDS!U$5*$AG423^2+WeightSDS!V$5*$AG423+WeightSDS!W$5,IF($AG423&lt;186,WeightSDS!P$8*$AG423^7+WeightSDS!Q$8*$AG423^6+WeightSDS!R$8*$AG423^5+WeightSDS!S$8*$AG423^4+WeightSDS!T$8*$AG423^3+WeightSDS!U$8*$AG423^2+WeightSDS!V$8*$AG423+WeightSDS!W$8,WeightSDS!$U$9-WeightSDS!$V$9*($AG423-WeightSDS!$W$9)))</f>
        <v>0.75407122999999998</v>
      </c>
      <c r="AJ423" s="24">
        <f>IF(D423="M",IF($AG423&lt;45,WeightSDS!M$23*$AG423^10+WeightSDS!N$23*$AG423^9+WeightSDS!O$23*$AG423^8+WeightSDS!P$23*$AG423^7+WeightSDS!Q$23*$AG423^6+WeightSDS!R$23*$AG423^5+WeightSDS!S$23*$AG423^4+WeightSDS!T$23*$AG423^3+WeightSDS!U$23*$AG423^2+WeightSDS!V$23*$AG423+WeightSDS!W$23,IF($AG423&lt;153,WeightSDS!M$25*$AG423^10+WeightSDS!N$25*$AG423^9+WeightSDS!O$25*$AG423^8+WeightSDS!P$25*$AG423^7+WeightSDS!Q$25*$AG423^6+WeightSDS!R$25*$AG423^5+WeightSDS!S$25*$AG423^4+WeightSDS!T$25*$AG423^3+WeightSDS!U$25*$AG423^2+WeightSDS!V$25*$AG423+WeightSDS!W$25,WeightSDS!M$27+WeightSDS!N$27/(1+EXP(WeightSDS!O$27+WeightSDS!P$27*$AG423)))),IF($AG423&lt;43.8,WeightSDS!M$29*$AG423^10+WeightSDS!N$29*$AG423^9+WeightSDS!O$29*$AG423^8+WeightSDS!P$29*$AG423^7+WeightSDS!Q$29*$AG423^6+WeightSDS!R$29*$AG423^5+WeightSDS!S$29*$AG423^4+WeightSDS!T$29*$AG423^3+WeightSDS!U$29*$AG423^2+WeightSDS!V$29*$AG423+WeightSDS!W$29-0.010431*(1-$AG423/210),IF($AG423&lt;123,WeightSDS!M$30*$AG423^10+WeightSDS!N$30*$AG423^9+WeightSDS!O$30*$AG423^8+WeightSDS!P$30*$AG423^7+WeightSDS!Q$30*$AG423^6+WeightSDS!R$30*$AG423^5+WeightSDS!S$30*$AG423^4+WeightSDS!T$30*$AG423^3+WeightSDS!U$30*$AG423^2+WeightSDS!V$30*$AG423+WeightSDS!W$30-0.010431*(1-1/$AG423),WeightSDS!M$32+WeightSDS!N$32/(1+EXP(WeightSDS!O$32+WeightSDS!P$32*$AG423))-0.010431*(1-$AG423/210))))</f>
        <v>2.9500001032655536</v>
      </c>
      <c r="AK423" s="24">
        <f>IF(D423="M",IF($AG423&lt;162,WeightSDS!P$12*$AG423^7+WeightSDS!Q$12*$AG423^6+WeightSDS!R$12*$AG423^5+WeightSDS!S$12*$AG423^4+WeightSDS!T$12*$AG423^3+WeightSDS!U$12*$AG423^2+WeightSDS!V$12*$AG423+WeightSDS!W$12,WeightSDS!P$14*$AG423^7+WeightSDS!Q$14*$AG423^6+WeightSDS!R$14*$AG423^5+WeightSDS!S$14*$AG423^4+WeightSDS!T$14*$AG423^3+WeightSDS!U$14*$AG423^2+WeightSDS!V$14*$AG423+WeightSDS!W$14),IF($AG423&lt;156,WeightSDS!O$17*$AG423^8+WeightSDS!P$17*$AG423^7+WeightSDS!Q$17*$AG423^6+WeightSDS!R$17*$AG423^5+WeightSDS!S$17*$AG423^4+WeightSDS!T$17*$AG423^3+WeightSDS!U$17*$AG423^2+WeightSDS!V$17*$AG423+WeightSDS!W$17,IF($AG423&lt;186,WeightSDS!$U$18+(WeightSDS!$V$18-WeightSDS!$U$18)/24*($AG423-186)+WeightSDS!$W$18*(-$AG423+186)^2-0.005,WeightSDS!$U$18+(WeightSDS!$V$18-WeightSDS!$U$18)/24*($AG423-186)-0.005)))</f>
        <v>0.14604529399999999</v>
      </c>
    </row>
    <row r="424" spans="1:37">
      <c r="A424" s="4"/>
      <c r="B424" s="21"/>
      <c r="C424" s="21"/>
      <c r="D424" s="21"/>
      <c r="E424" s="22"/>
      <c r="F424" s="22"/>
      <c r="G424" s="23"/>
      <c r="H424" s="23"/>
      <c r="I424" s="8" t="str">
        <f t="shared" si="98"/>
        <v/>
      </c>
      <c r="J424" s="2" t="str">
        <f t="shared" si="105"/>
        <v/>
      </c>
      <c r="K424" s="2" t="str">
        <f t="shared" si="99"/>
        <v/>
      </c>
      <c r="L424" s="2" t="str">
        <f t="shared" si="106"/>
        <v/>
      </c>
      <c r="M424" s="2" t="str">
        <f t="shared" si="111"/>
        <v/>
      </c>
      <c r="N424" s="2" t="str">
        <f t="shared" si="107"/>
        <v/>
      </c>
      <c r="O424" s="8" t="str">
        <f t="shared" si="108"/>
        <v/>
      </c>
      <c r="P424" s="8" t="str">
        <f t="shared" si="109"/>
        <v/>
      </c>
      <c r="Q424" s="40" t="str">
        <f t="shared" si="100"/>
        <v/>
      </c>
      <c r="R424" s="48" t="str">
        <f t="shared" si="110"/>
        <v/>
      </c>
      <c r="S424" s="8"/>
      <c r="U424" s="35">
        <f t="shared" si="101"/>
        <v>0</v>
      </c>
      <c r="V424" s="24">
        <f t="shared" si="102"/>
        <v>0</v>
      </c>
      <c r="W424" s="41">
        <f t="shared" si="113"/>
        <v>0</v>
      </c>
      <c r="X424" s="31"/>
      <c r="Y424" s="31"/>
      <c r="Z424" s="31"/>
      <c r="AA424" s="25">
        <f t="shared" si="103"/>
        <v>9.0359999999999996</v>
      </c>
      <c r="AB424" s="25">
        <f t="shared" si="104"/>
        <v>-184.49199999999999</v>
      </c>
      <c r="AD424" s="24">
        <f>IF(D424="M",IF(AG424&lt;78,BMILMS!$D$5*AG424^3+BMILMS!$E$5*AG424^2+BMILMS!$F$5*AG424+BMILMS!$G$5,IF(AG424&lt;150,BMILMS!$D$6*AG424^3+BMILMS!$E$6*AG424^2+BMILMS!$F$6*AG424+BMILMS!$G$6,BMILMS!$D$7*AG424^3+BMILMS!$E$7*AG424^2+BMILMS!$F$7*AG424+BMILMS!$G$7)),IF(AG424&lt;69,BMILMS!$D$9*AG424^3+BMILMS!$E$9*AG424^2+BMILMS!$F$9*AG424+BMILMS!$G$9,IF(AG424&lt;150,BMILMS!$D$10*AG424^3+BMILMS!$E$10*AG424^2+BMILMS!$F$10*AG424+BMILMS!$G$10,BMILMS!$D$11*AG424^3+BMILMS!$E$11*AG424^2+BMILMS!$F$11*AG424+BMILMS!$G$11)))</f>
        <v>0.79584630099999998</v>
      </c>
      <c r="AE424" s="24">
        <f>IF(D424="M",(IF(AG424&lt;2.5,BMILMS!$D$21*AG424^3+BMILMS!$E$21*AG424^2+BMILMS!$F$21*AG424+BMILMS!$G$21,IF(AG424&lt;9.5,BMILMS!$D$22*AG424^3+BMILMS!$E$22*AG424^2+BMILMS!$F$22*AG424+BMILMS!$G$22,IF(AG424&lt;26.75,BMILMS!$D$23*AG424^3+BMILMS!$E$23*AG424^2+BMILMS!$F$23*AG424+BMILMS!$G$23,IF(AG424&lt;90,BMILMS!$D$24*AG424^3+BMILMS!$E$24*AG424^2+BMILMS!$F$24*AG424+BMILMS!$G$24,BMILMS!$D$25*AG424^3+BMILMS!$E$25*AG424^2+BMILMS!$F$25*AG424+BMILMS!$G$25))))),(IF(AG424&lt;2.5,BMILMS!$D$27*AG424^3+BMILMS!$E$27*AG424^2+BMILMS!$F$27*AG424+BMILMS!$G$27,IF(AG424&lt;9.5,BMILMS!$D$28*AG424^3+BMILMS!$E$28*AG424^2+BMILMS!$F$28*AG424+BMILMS!$G$28,IF(AG424&lt;26.75,BMILMS!$D$29*AG424^3+BMILMS!$E$29*AG424^2+BMILMS!$F$29*AG424+BMILMS!$G$29,IF(AG424&lt;90,BMILMS!$D$30*AG424^3+BMILMS!$E$30*AG424^2+BMILMS!$F$30*AG424+BMILMS!$G$30,IF(AG424&lt;150,BMILMS!$D$31*AG424^3+BMILMS!$E$31*AG424^2+BMILMS!$F$31*AG424+BMILMS!$G$31,BMILMS!$D$32*AG424^3+BMILMS!$E$32*AG424^2+BMILMS!$F$32*AG424+BMILMS!$G$32)))))))</f>
        <v>12.568967990000001</v>
      </c>
      <c r="AF424" s="24">
        <f>IF(D424="M",(IF(AG424&lt;90,BMILMS!$D$14*AG424^3+BMILMS!$E$14*AG424^2+BMILMS!$F$14*AG424+BMILMS!$G$14,BMILMS!$D$15*AG424^3+BMILMS!$E$15*AG424^2+BMILMS!$F$15*AG424+BMILMS!$G$15)),(IF(AG424&lt;90,BMILMS!$D$17*AG424^3+BMILMS!$E$17*AG424^2+BMILMS!$F$17*AG424+BMILMS!$G$17,BMILMS!$D$18*AG424^3+BMILMS!$E$18*AG424^2+BMILMS!$F$18*AG424+BMILMS!$G$18)))</f>
        <v>8.8969350000000003E-2</v>
      </c>
      <c r="AG424" s="24">
        <f t="shared" si="112"/>
        <v>0</v>
      </c>
      <c r="AI424" s="38">
        <f>IF(D424="M",WeightSDS!P$5*$AG424^7+WeightSDS!Q$5*$AG424^6+WeightSDS!R$5*$AG424^5+WeightSDS!S$5*$AG424^4+WeightSDS!T$5*$AG424^3+WeightSDS!U$5*$AG424^2+WeightSDS!V$5*$AG424+WeightSDS!W$5,IF($AG424&lt;186,WeightSDS!P$8*$AG424^7+WeightSDS!Q$8*$AG424^6+WeightSDS!R$8*$AG424^5+WeightSDS!S$8*$AG424^4+WeightSDS!T$8*$AG424^3+WeightSDS!U$8*$AG424^2+WeightSDS!V$8*$AG424+WeightSDS!W$8,WeightSDS!$U$9-WeightSDS!$V$9*($AG424-WeightSDS!$W$9)))</f>
        <v>0.75407122999999998</v>
      </c>
      <c r="AJ424" s="24">
        <f>IF(D424="M",IF($AG424&lt;45,WeightSDS!M$23*$AG424^10+WeightSDS!N$23*$AG424^9+WeightSDS!O$23*$AG424^8+WeightSDS!P$23*$AG424^7+WeightSDS!Q$23*$AG424^6+WeightSDS!R$23*$AG424^5+WeightSDS!S$23*$AG424^4+WeightSDS!T$23*$AG424^3+WeightSDS!U$23*$AG424^2+WeightSDS!V$23*$AG424+WeightSDS!W$23,IF($AG424&lt;153,WeightSDS!M$25*$AG424^10+WeightSDS!N$25*$AG424^9+WeightSDS!O$25*$AG424^8+WeightSDS!P$25*$AG424^7+WeightSDS!Q$25*$AG424^6+WeightSDS!R$25*$AG424^5+WeightSDS!S$25*$AG424^4+WeightSDS!T$25*$AG424^3+WeightSDS!U$25*$AG424^2+WeightSDS!V$25*$AG424+WeightSDS!W$25,WeightSDS!M$27+WeightSDS!N$27/(1+EXP(WeightSDS!O$27+WeightSDS!P$27*$AG424)))),IF($AG424&lt;43.8,WeightSDS!M$29*$AG424^10+WeightSDS!N$29*$AG424^9+WeightSDS!O$29*$AG424^8+WeightSDS!P$29*$AG424^7+WeightSDS!Q$29*$AG424^6+WeightSDS!R$29*$AG424^5+WeightSDS!S$29*$AG424^4+WeightSDS!T$29*$AG424^3+WeightSDS!U$29*$AG424^2+WeightSDS!V$29*$AG424+WeightSDS!W$29-0.010431*(1-$AG424/210),IF($AG424&lt;123,WeightSDS!M$30*$AG424^10+WeightSDS!N$30*$AG424^9+WeightSDS!O$30*$AG424^8+WeightSDS!P$30*$AG424^7+WeightSDS!Q$30*$AG424^6+WeightSDS!R$30*$AG424^5+WeightSDS!S$30*$AG424^4+WeightSDS!T$30*$AG424^3+WeightSDS!U$30*$AG424^2+WeightSDS!V$30*$AG424+WeightSDS!W$30-0.010431*(1-1/$AG424),WeightSDS!M$32+WeightSDS!N$32/(1+EXP(WeightSDS!O$32+WeightSDS!P$32*$AG424))-0.010431*(1-$AG424/210))))</f>
        <v>2.9500001032655536</v>
      </c>
      <c r="AK424" s="24">
        <f>IF(D424="M",IF($AG424&lt;162,WeightSDS!P$12*$AG424^7+WeightSDS!Q$12*$AG424^6+WeightSDS!R$12*$AG424^5+WeightSDS!S$12*$AG424^4+WeightSDS!T$12*$AG424^3+WeightSDS!U$12*$AG424^2+WeightSDS!V$12*$AG424+WeightSDS!W$12,WeightSDS!P$14*$AG424^7+WeightSDS!Q$14*$AG424^6+WeightSDS!R$14*$AG424^5+WeightSDS!S$14*$AG424^4+WeightSDS!T$14*$AG424^3+WeightSDS!U$14*$AG424^2+WeightSDS!V$14*$AG424+WeightSDS!W$14),IF($AG424&lt;156,WeightSDS!O$17*$AG424^8+WeightSDS!P$17*$AG424^7+WeightSDS!Q$17*$AG424^6+WeightSDS!R$17*$AG424^5+WeightSDS!S$17*$AG424^4+WeightSDS!T$17*$AG424^3+WeightSDS!U$17*$AG424^2+WeightSDS!V$17*$AG424+WeightSDS!W$17,IF($AG424&lt;186,WeightSDS!$U$18+(WeightSDS!$V$18-WeightSDS!$U$18)/24*($AG424-186)+WeightSDS!$W$18*(-$AG424+186)^2-0.005,WeightSDS!$U$18+(WeightSDS!$V$18-WeightSDS!$U$18)/24*($AG424-186)-0.005)))</f>
        <v>0.14604529399999999</v>
      </c>
    </row>
    <row r="425" spans="1:37">
      <c r="A425" s="4"/>
      <c r="B425" s="21"/>
      <c r="C425" s="21"/>
      <c r="D425" s="21"/>
      <c r="E425" s="22"/>
      <c r="F425" s="22"/>
      <c r="G425" s="23"/>
      <c r="H425" s="23"/>
      <c r="I425" s="8" t="str">
        <f t="shared" si="98"/>
        <v/>
      </c>
      <c r="J425" s="2" t="str">
        <f t="shared" si="105"/>
        <v/>
      </c>
      <c r="K425" s="2" t="str">
        <f t="shared" si="99"/>
        <v/>
      </c>
      <c r="L425" s="2" t="str">
        <f t="shared" si="106"/>
        <v/>
      </c>
      <c r="M425" s="2" t="str">
        <f t="shared" si="111"/>
        <v/>
      </c>
      <c r="N425" s="2" t="str">
        <f t="shared" si="107"/>
        <v/>
      </c>
      <c r="O425" s="8" t="str">
        <f t="shared" si="108"/>
        <v/>
      </c>
      <c r="P425" s="8" t="str">
        <f t="shared" si="109"/>
        <v/>
      </c>
      <c r="Q425" s="40" t="str">
        <f t="shared" si="100"/>
        <v/>
      </c>
      <c r="R425" s="48" t="str">
        <f t="shared" si="110"/>
        <v/>
      </c>
      <c r="S425" s="8"/>
      <c r="U425" s="35">
        <f t="shared" si="101"/>
        <v>0</v>
      </c>
      <c r="V425" s="24">
        <f t="shared" si="102"/>
        <v>0</v>
      </c>
      <c r="W425" s="41">
        <f t="shared" si="113"/>
        <v>0</v>
      </c>
      <c r="X425" s="31"/>
      <c r="Y425" s="31"/>
      <c r="Z425" s="31"/>
      <c r="AA425" s="25">
        <f t="shared" si="103"/>
        <v>9.0359999999999996</v>
      </c>
      <c r="AB425" s="25">
        <f t="shared" si="104"/>
        <v>-184.49199999999999</v>
      </c>
      <c r="AD425" s="24">
        <f>IF(D425="M",IF(AG425&lt;78,BMILMS!$D$5*AG425^3+BMILMS!$E$5*AG425^2+BMILMS!$F$5*AG425+BMILMS!$G$5,IF(AG425&lt;150,BMILMS!$D$6*AG425^3+BMILMS!$E$6*AG425^2+BMILMS!$F$6*AG425+BMILMS!$G$6,BMILMS!$D$7*AG425^3+BMILMS!$E$7*AG425^2+BMILMS!$F$7*AG425+BMILMS!$G$7)),IF(AG425&lt;69,BMILMS!$D$9*AG425^3+BMILMS!$E$9*AG425^2+BMILMS!$F$9*AG425+BMILMS!$G$9,IF(AG425&lt;150,BMILMS!$D$10*AG425^3+BMILMS!$E$10*AG425^2+BMILMS!$F$10*AG425+BMILMS!$G$10,BMILMS!$D$11*AG425^3+BMILMS!$E$11*AG425^2+BMILMS!$F$11*AG425+BMILMS!$G$11)))</f>
        <v>0.79584630099999998</v>
      </c>
      <c r="AE425" s="24">
        <f>IF(D425="M",(IF(AG425&lt;2.5,BMILMS!$D$21*AG425^3+BMILMS!$E$21*AG425^2+BMILMS!$F$21*AG425+BMILMS!$G$21,IF(AG425&lt;9.5,BMILMS!$D$22*AG425^3+BMILMS!$E$22*AG425^2+BMILMS!$F$22*AG425+BMILMS!$G$22,IF(AG425&lt;26.75,BMILMS!$D$23*AG425^3+BMILMS!$E$23*AG425^2+BMILMS!$F$23*AG425+BMILMS!$G$23,IF(AG425&lt;90,BMILMS!$D$24*AG425^3+BMILMS!$E$24*AG425^2+BMILMS!$F$24*AG425+BMILMS!$G$24,BMILMS!$D$25*AG425^3+BMILMS!$E$25*AG425^2+BMILMS!$F$25*AG425+BMILMS!$G$25))))),(IF(AG425&lt;2.5,BMILMS!$D$27*AG425^3+BMILMS!$E$27*AG425^2+BMILMS!$F$27*AG425+BMILMS!$G$27,IF(AG425&lt;9.5,BMILMS!$D$28*AG425^3+BMILMS!$E$28*AG425^2+BMILMS!$F$28*AG425+BMILMS!$G$28,IF(AG425&lt;26.75,BMILMS!$D$29*AG425^3+BMILMS!$E$29*AG425^2+BMILMS!$F$29*AG425+BMILMS!$G$29,IF(AG425&lt;90,BMILMS!$D$30*AG425^3+BMILMS!$E$30*AG425^2+BMILMS!$F$30*AG425+BMILMS!$G$30,IF(AG425&lt;150,BMILMS!$D$31*AG425^3+BMILMS!$E$31*AG425^2+BMILMS!$F$31*AG425+BMILMS!$G$31,BMILMS!$D$32*AG425^3+BMILMS!$E$32*AG425^2+BMILMS!$F$32*AG425+BMILMS!$G$32)))))))</f>
        <v>12.568967990000001</v>
      </c>
      <c r="AF425" s="24">
        <f>IF(D425="M",(IF(AG425&lt;90,BMILMS!$D$14*AG425^3+BMILMS!$E$14*AG425^2+BMILMS!$F$14*AG425+BMILMS!$G$14,BMILMS!$D$15*AG425^3+BMILMS!$E$15*AG425^2+BMILMS!$F$15*AG425+BMILMS!$G$15)),(IF(AG425&lt;90,BMILMS!$D$17*AG425^3+BMILMS!$E$17*AG425^2+BMILMS!$F$17*AG425+BMILMS!$G$17,BMILMS!$D$18*AG425^3+BMILMS!$E$18*AG425^2+BMILMS!$F$18*AG425+BMILMS!$G$18)))</f>
        <v>8.8969350000000003E-2</v>
      </c>
      <c r="AG425" s="24">
        <f t="shared" si="112"/>
        <v>0</v>
      </c>
      <c r="AI425" s="38">
        <f>IF(D425="M",WeightSDS!P$5*$AG425^7+WeightSDS!Q$5*$AG425^6+WeightSDS!R$5*$AG425^5+WeightSDS!S$5*$AG425^4+WeightSDS!T$5*$AG425^3+WeightSDS!U$5*$AG425^2+WeightSDS!V$5*$AG425+WeightSDS!W$5,IF($AG425&lt;186,WeightSDS!P$8*$AG425^7+WeightSDS!Q$8*$AG425^6+WeightSDS!R$8*$AG425^5+WeightSDS!S$8*$AG425^4+WeightSDS!T$8*$AG425^3+WeightSDS!U$8*$AG425^2+WeightSDS!V$8*$AG425+WeightSDS!W$8,WeightSDS!$U$9-WeightSDS!$V$9*($AG425-WeightSDS!$W$9)))</f>
        <v>0.75407122999999998</v>
      </c>
      <c r="AJ425" s="24">
        <f>IF(D425="M",IF($AG425&lt;45,WeightSDS!M$23*$AG425^10+WeightSDS!N$23*$AG425^9+WeightSDS!O$23*$AG425^8+WeightSDS!P$23*$AG425^7+WeightSDS!Q$23*$AG425^6+WeightSDS!R$23*$AG425^5+WeightSDS!S$23*$AG425^4+WeightSDS!T$23*$AG425^3+WeightSDS!U$23*$AG425^2+WeightSDS!V$23*$AG425+WeightSDS!W$23,IF($AG425&lt;153,WeightSDS!M$25*$AG425^10+WeightSDS!N$25*$AG425^9+WeightSDS!O$25*$AG425^8+WeightSDS!P$25*$AG425^7+WeightSDS!Q$25*$AG425^6+WeightSDS!R$25*$AG425^5+WeightSDS!S$25*$AG425^4+WeightSDS!T$25*$AG425^3+WeightSDS!U$25*$AG425^2+WeightSDS!V$25*$AG425+WeightSDS!W$25,WeightSDS!M$27+WeightSDS!N$27/(1+EXP(WeightSDS!O$27+WeightSDS!P$27*$AG425)))),IF($AG425&lt;43.8,WeightSDS!M$29*$AG425^10+WeightSDS!N$29*$AG425^9+WeightSDS!O$29*$AG425^8+WeightSDS!P$29*$AG425^7+WeightSDS!Q$29*$AG425^6+WeightSDS!R$29*$AG425^5+WeightSDS!S$29*$AG425^4+WeightSDS!T$29*$AG425^3+WeightSDS!U$29*$AG425^2+WeightSDS!V$29*$AG425+WeightSDS!W$29-0.010431*(1-$AG425/210),IF($AG425&lt;123,WeightSDS!M$30*$AG425^10+WeightSDS!N$30*$AG425^9+WeightSDS!O$30*$AG425^8+WeightSDS!P$30*$AG425^7+WeightSDS!Q$30*$AG425^6+WeightSDS!R$30*$AG425^5+WeightSDS!S$30*$AG425^4+WeightSDS!T$30*$AG425^3+WeightSDS!U$30*$AG425^2+WeightSDS!V$30*$AG425+WeightSDS!W$30-0.010431*(1-1/$AG425),WeightSDS!M$32+WeightSDS!N$32/(1+EXP(WeightSDS!O$32+WeightSDS!P$32*$AG425))-0.010431*(1-$AG425/210))))</f>
        <v>2.9500001032655536</v>
      </c>
      <c r="AK425" s="24">
        <f>IF(D425="M",IF($AG425&lt;162,WeightSDS!P$12*$AG425^7+WeightSDS!Q$12*$AG425^6+WeightSDS!R$12*$AG425^5+WeightSDS!S$12*$AG425^4+WeightSDS!T$12*$AG425^3+WeightSDS!U$12*$AG425^2+WeightSDS!V$12*$AG425+WeightSDS!W$12,WeightSDS!P$14*$AG425^7+WeightSDS!Q$14*$AG425^6+WeightSDS!R$14*$AG425^5+WeightSDS!S$14*$AG425^4+WeightSDS!T$14*$AG425^3+WeightSDS!U$14*$AG425^2+WeightSDS!V$14*$AG425+WeightSDS!W$14),IF($AG425&lt;156,WeightSDS!O$17*$AG425^8+WeightSDS!P$17*$AG425^7+WeightSDS!Q$17*$AG425^6+WeightSDS!R$17*$AG425^5+WeightSDS!S$17*$AG425^4+WeightSDS!T$17*$AG425^3+WeightSDS!U$17*$AG425^2+WeightSDS!V$17*$AG425+WeightSDS!W$17,IF($AG425&lt;186,WeightSDS!$U$18+(WeightSDS!$V$18-WeightSDS!$U$18)/24*($AG425-186)+WeightSDS!$W$18*(-$AG425+186)^2-0.005,WeightSDS!$U$18+(WeightSDS!$V$18-WeightSDS!$U$18)/24*($AG425-186)-0.005)))</f>
        <v>0.14604529399999999</v>
      </c>
    </row>
    <row r="426" spans="1:37">
      <c r="A426" s="4"/>
      <c r="B426" s="21"/>
      <c r="C426" s="21"/>
      <c r="D426" s="21"/>
      <c r="E426" s="22"/>
      <c r="F426" s="22"/>
      <c r="G426" s="23"/>
      <c r="H426" s="23"/>
      <c r="I426" s="8" t="str">
        <f t="shared" si="98"/>
        <v/>
      </c>
      <c r="J426" s="2" t="str">
        <f t="shared" si="105"/>
        <v/>
      </c>
      <c r="K426" s="2" t="str">
        <f t="shared" si="99"/>
        <v/>
      </c>
      <c r="L426" s="2" t="str">
        <f t="shared" si="106"/>
        <v/>
      </c>
      <c r="M426" s="2" t="str">
        <f t="shared" si="111"/>
        <v/>
      </c>
      <c r="N426" s="2" t="str">
        <f t="shared" si="107"/>
        <v/>
      </c>
      <c r="O426" s="8" t="str">
        <f t="shared" si="108"/>
        <v/>
      </c>
      <c r="P426" s="8" t="str">
        <f t="shared" si="109"/>
        <v/>
      </c>
      <c r="Q426" s="40" t="str">
        <f t="shared" si="100"/>
        <v/>
      </c>
      <c r="R426" s="48" t="str">
        <f t="shared" si="110"/>
        <v/>
      </c>
      <c r="S426" s="8"/>
      <c r="U426" s="35">
        <f t="shared" si="101"/>
        <v>0</v>
      </c>
      <c r="V426" s="24">
        <f t="shared" si="102"/>
        <v>0</v>
      </c>
      <c r="W426" s="41">
        <f t="shared" si="113"/>
        <v>0</v>
      </c>
      <c r="X426" s="31"/>
      <c r="Y426" s="31"/>
      <c r="Z426" s="31"/>
      <c r="AA426" s="25">
        <f t="shared" si="103"/>
        <v>9.0359999999999996</v>
      </c>
      <c r="AB426" s="25">
        <f t="shared" si="104"/>
        <v>-184.49199999999999</v>
      </c>
      <c r="AD426" s="24">
        <f>IF(D426="M",IF(AG426&lt;78,BMILMS!$D$5*AG426^3+BMILMS!$E$5*AG426^2+BMILMS!$F$5*AG426+BMILMS!$G$5,IF(AG426&lt;150,BMILMS!$D$6*AG426^3+BMILMS!$E$6*AG426^2+BMILMS!$F$6*AG426+BMILMS!$G$6,BMILMS!$D$7*AG426^3+BMILMS!$E$7*AG426^2+BMILMS!$F$7*AG426+BMILMS!$G$7)),IF(AG426&lt;69,BMILMS!$D$9*AG426^3+BMILMS!$E$9*AG426^2+BMILMS!$F$9*AG426+BMILMS!$G$9,IF(AG426&lt;150,BMILMS!$D$10*AG426^3+BMILMS!$E$10*AG426^2+BMILMS!$F$10*AG426+BMILMS!$G$10,BMILMS!$D$11*AG426^3+BMILMS!$E$11*AG426^2+BMILMS!$F$11*AG426+BMILMS!$G$11)))</f>
        <v>0.79584630099999998</v>
      </c>
      <c r="AE426" s="24">
        <f>IF(D426="M",(IF(AG426&lt;2.5,BMILMS!$D$21*AG426^3+BMILMS!$E$21*AG426^2+BMILMS!$F$21*AG426+BMILMS!$G$21,IF(AG426&lt;9.5,BMILMS!$D$22*AG426^3+BMILMS!$E$22*AG426^2+BMILMS!$F$22*AG426+BMILMS!$G$22,IF(AG426&lt;26.75,BMILMS!$D$23*AG426^3+BMILMS!$E$23*AG426^2+BMILMS!$F$23*AG426+BMILMS!$G$23,IF(AG426&lt;90,BMILMS!$D$24*AG426^3+BMILMS!$E$24*AG426^2+BMILMS!$F$24*AG426+BMILMS!$G$24,BMILMS!$D$25*AG426^3+BMILMS!$E$25*AG426^2+BMILMS!$F$25*AG426+BMILMS!$G$25))))),(IF(AG426&lt;2.5,BMILMS!$D$27*AG426^3+BMILMS!$E$27*AG426^2+BMILMS!$F$27*AG426+BMILMS!$G$27,IF(AG426&lt;9.5,BMILMS!$D$28*AG426^3+BMILMS!$E$28*AG426^2+BMILMS!$F$28*AG426+BMILMS!$G$28,IF(AG426&lt;26.75,BMILMS!$D$29*AG426^3+BMILMS!$E$29*AG426^2+BMILMS!$F$29*AG426+BMILMS!$G$29,IF(AG426&lt;90,BMILMS!$D$30*AG426^3+BMILMS!$E$30*AG426^2+BMILMS!$F$30*AG426+BMILMS!$G$30,IF(AG426&lt;150,BMILMS!$D$31*AG426^3+BMILMS!$E$31*AG426^2+BMILMS!$F$31*AG426+BMILMS!$G$31,BMILMS!$D$32*AG426^3+BMILMS!$E$32*AG426^2+BMILMS!$F$32*AG426+BMILMS!$G$32)))))))</f>
        <v>12.568967990000001</v>
      </c>
      <c r="AF426" s="24">
        <f>IF(D426="M",(IF(AG426&lt;90,BMILMS!$D$14*AG426^3+BMILMS!$E$14*AG426^2+BMILMS!$F$14*AG426+BMILMS!$G$14,BMILMS!$D$15*AG426^3+BMILMS!$E$15*AG426^2+BMILMS!$F$15*AG426+BMILMS!$G$15)),(IF(AG426&lt;90,BMILMS!$D$17*AG426^3+BMILMS!$E$17*AG426^2+BMILMS!$F$17*AG426+BMILMS!$G$17,BMILMS!$D$18*AG426^3+BMILMS!$E$18*AG426^2+BMILMS!$F$18*AG426+BMILMS!$G$18)))</f>
        <v>8.8969350000000003E-2</v>
      </c>
      <c r="AG426" s="24">
        <f t="shared" si="112"/>
        <v>0</v>
      </c>
      <c r="AI426" s="38">
        <f>IF(D426="M",WeightSDS!P$5*$AG426^7+WeightSDS!Q$5*$AG426^6+WeightSDS!R$5*$AG426^5+WeightSDS!S$5*$AG426^4+WeightSDS!T$5*$AG426^3+WeightSDS!U$5*$AG426^2+WeightSDS!V$5*$AG426+WeightSDS!W$5,IF($AG426&lt;186,WeightSDS!P$8*$AG426^7+WeightSDS!Q$8*$AG426^6+WeightSDS!R$8*$AG426^5+WeightSDS!S$8*$AG426^4+WeightSDS!T$8*$AG426^3+WeightSDS!U$8*$AG426^2+WeightSDS!V$8*$AG426+WeightSDS!W$8,WeightSDS!$U$9-WeightSDS!$V$9*($AG426-WeightSDS!$W$9)))</f>
        <v>0.75407122999999998</v>
      </c>
      <c r="AJ426" s="24">
        <f>IF(D426="M",IF($AG426&lt;45,WeightSDS!M$23*$AG426^10+WeightSDS!N$23*$AG426^9+WeightSDS!O$23*$AG426^8+WeightSDS!P$23*$AG426^7+WeightSDS!Q$23*$AG426^6+WeightSDS!R$23*$AG426^5+WeightSDS!S$23*$AG426^4+WeightSDS!T$23*$AG426^3+WeightSDS!U$23*$AG426^2+WeightSDS!V$23*$AG426+WeightSDS!W$23,IF($AG426&lt;153,WeightSDS!M$25*$AG426^10+WeightSDS!N$25*$AG426^9+WeightSDS!O$25*$AG426^8+WeightSDS!P$25*$AG426^7+WeightSDS!Q$25*$AG426^6+WeightSDS!R$25*$AG426^5+WeightSDS!S$25*$AG426^4+WeightSDS!T$25*$AG426^3+WeightSDS!U$25*$AG426^2+WeightSDS!V$25*$AG426+WeightSDS!W$25,WeightSDS!M$27+WeightSDS!N$27/(1+EXP(WeightSDS!O$27+WeightSDS!P$27*$AG426)))),IF($AG426&lt;43.8,WeightSDS!M$29*$AG426^10+WeightSDS!N$29*$AG426^9+WeightSDS!O$29*$AG426^8+WeightSDS!P$29*$AG426^7+WeightSDS!Q$29*$AG426^6+WeightSDS!R$29*$AG426^5+WeightSDS!S$29*$AG426^4+WeightSDS!T$29*$AG426^3+WeightSDS!U$29*$AG426^2+WeightSDS!V$29*$AG426+WeightSDS!W$29-0.010431*(1-$AG426/210),IF($AG426&lt;123,WeightSDS!M$30*$AG426^10+WeightSDS!N$30*$AG426^9+WeightSDS!O$30*$AG426^8+WeightSDS!P$30*$AG426^7+WeightSDS!Q$30*$AG426^6+WeightSDS!R$30*$AG426^5+WeightSDS!S$30*$AG426^4+WeightSDS!T$30*$AG426^3+WeightSDS!U$30*$AG426^2+WeightSDS!V$30*$AG426+WeightSDS!W$30-0.010431*(1-1/$AG426),WeightSDS!M$32+WeightSDS!N$32/(1+EXP(WeightSDS!O$32+WeightSDS!P$32*$AG426))-0.010431*(1-$AG426/210))))</f>
        <v>2.9500001032655536</v>
      </c>
      <c r="AK426" s="24">
        <f>IF(D426="M",IF($AG426&lt;162,WeightSDS!P$12*$AG426^7+WeightSDS!Q$12*$AG426^6+WeightSDS!R$12*$AG426^5+WeightSDS!S$12*$AG426^4+WeightSDS!T$12*$AG426^3+WeightSDS!U$12*$AG426^2+WeightSDS!V$12*$AG426+WeightSDS!W$12,WeightSDS!P$14*$AG426^7+WeightSDS!Q$14*$AG426^6+WeightSDS!R$14*$AG426^5+WeightSDS!S$14*$AG426^4+WeightSDS!T$14*$AG426^3+WeightSDS!U$14*$AG426^2+WeightSDS!V$14*$AG426+WeightSDS!W$14),IF($AG426&lt;156,WeightSDS!O$17*$AG426^8+WeightSDS!P$17*$AG426^7+WeightSDS!Q$17*$AG426^6+WeightSDS!R$17*$AG426^5+WeightSDS!S$17*$AG426^4+WeightSDS!T$17*$AG426^3+WeightSDS!U$17*$AG426^2+WeightSDS!V$17*$AG426+WeightSDS!W$17,IF($AG426&lt;186,WeightSDS!$U$18+(WeightSDS!$V$18-WeightSDS!$U$18)/24*($AG426-186)+WeightSDS!$W$18*(-$AG426+186)^2-0.005,WeightSDS!$U$18+(WeightSDS!$V$18-WeightSDS!$U$18)/24*($AG426-186)-0.005)))</f>
        <v>0.14604529399999999</v>
      </c>
    </row>
    <row r="427" spans="1:37">
      <c r="A427" s="4"/>
      <c r="B427" s="21"/>
      <c r="C427" s="21"/>
      <c r="D427" s="21"/>
      <c r="E427" s="22"/>
      <c r="F427" s="22"/>
      <c r="G427" s="23"/>
      <c r="H427" s="23"/>
      <c r="I427" s="8" t="str">
        <f t="shared" si="98"/>
        <v/>
      </c>
      <c r="J427" s="2" t="str">
        <f t="shared" si="105"/>
        <v/>
      </c>
      <c r="K427" s="2" t="str">
        <f t="shared" si="99"/>
        <v/>
      </c>
      <c r="L427" s="2" t="str">
        <f t="shared" si="106"/>
        <v/>
      </c>
      <c r="M427" s="2" t="str">
        <f t="shared" si="111"/>
        <v/>
      </c>
      <c r="N427" s="2" t="str">
        <f t="shared" si="107"/>
        <v/>
      </c>
      <c r="O427" s="8" t="str">
        <f t="shared" si="108"/>
        <v/>
      </c>
      <c r="P427" s="8" t="str">
        <f t="shared" si="109"/>
        <v/>
      </c>
      <c r="Q427" s="40" t="str">
        <f t="shared" si="100"/>
        <v/>
      </c>
      <c r="R427" s="48" t="str">
        <f t="shared" si="110"/>
        <v/>
      </c>
      <c r="S427" s="8"/>
      <c r="U427" s="35">
        <f t="shared" si="101"/>
        <v>0</v>
      </c>
      <c r="V427" s="24">
        <f t="shared" si="102"/>
        <v>0</v>
      </c>
      <c r="W427" s="41">
        <f t="shared" si="113"/>
        <v>0</v>
      </c>
      <c r="X427" s="31"/>
      <c r="Y427" s="31"/>
      <c r="Z427" s="31"/>
      <c r="AA427" s="25">
        <f t="shared" si="103"/>
        <v>9.0359999999999996</v>
      </c>
      <c r="AB427" s="25">
        <f t="shared" si="104"/>
        <v>-184.49199999999999</v>
      </c>
      <c r="AD427" s="24">
        <f>IF(D427="M",IF(AG427&lt;78,BMILMS!$D$5*AG427^3+BMILMS!$E$5*AG427^2+BMILMS!$F$5*AG427+BMILMS!$G$5,IF(AG427&lt;150,BMILMS!$D$6*AG427^3+BMILMS!$E$6*AG427^2+BMILMS!$F$6*AG427+BMILMS!$G$6,BMILMS!$D$7*AG427^3+BMILMS!$E$7*AG427^2+BMILMS!$F$7*AG427+BMILMS!$G$7)),IF(AG427&lt;69,BMILMS!$D$9*AG427^3+BMILMS!$E$9*AG427^2+BMILMS!$F$9*AG427+BMILMS!$G$9,IF(AG427&lt;150,BMILMS!$D$10*AG427^3+BMILMS!$E$10*AG427^2+BMILMS!$F$10*AG427+BMILMS!$G$10,BMILMS!$D$11*AG427^3+BMILMS!$E$11*AG427^2+BMILMS!$F$11*AG427+BMILMS!$G$11)))</f>
        <v>0.79584630099999998</v>
      </c>
      <c r="AE427" s="24">
        <f>IF(D427="M",(IF(AG427&lt;2.5,BMILMS!$D$21*AG427^3+BMILMS!$E$21*AG427^2+BMILMS!$F$21*AG427+BMILMS!$G$21,IF(AG427&lt;9.5,BMILMS!$D$22*AG427^3+BMILMS!$E$22*AG427^2+BMILMS!$F$22*AG427+BMILMS!$G$22,IF(AG427&lt;26.75,BMILMS!$D$23*AG427^3+BMILMS!$E$23*AG427^2+BMILMS!$F$23*AG427+BMILMS!$G$23,IF(AG427&lt;90,BMILMS!$D$24*AG427^3+BMILMS!$E$24*AG427^2+BMILMS!$F$24*AG427+BMILMS!$G$24,BMILMS!$D$25*AG427^3+BMILMS!$E$25*AG427^2+BMILMS!$F$25*AG427+BMILMS!$G$25))))),(IF(AG427&lt;2.5,BMILMS!$D$27*AG427^3+BMILMS!$E$27*AG427^2+BMILMS!$F$27*AG427+BMILMS!$G$27,IF(AG427&lt;9.5,BMILMS!$D$28*AG427^3+BMILMS!$E$28*AG427^2+BMILMS!$F$28*AG427+BMILMS!$G$28,IF(AG427&lt;26.75,BMILMS!$D$29*AG427^3+BMILMS!$E$29*AG427^2+BMILMS!$F$29*AG427+BMILMS!$G$29,IF(AG427&lt;90,BMILMS!$D$30*AG427^3+BMILMS!$E$30*AG427^2+BMILMS!$F$30*AG427+BMILMS!$G$30,IF(AG427&lt;150,BMILMS!$D$31*AG427^3+BMILMS!$E$31*AG427^2+BMILMS!$F$31*AG427+BMILMS!$G$31,BMILMS!$D$32*AG427^3+BMILMS!$E$32*AG427^2+BMILMS!$F$32*AG427+BMILMS!$G$32)))))))</f>
        <v>12.568967990000001</v>
      </c>
      <c r="AF427" s="24">
        <f>IF(D427="M",(IF(AG427&lt;90,BMILMS!$D$14*AG427^3+BMILMS!$E$14*AG427^2+BMILMS!$F$14*AG427+BMILMS!$G$14,BMILMS!$D$15*AG427^3+BMILMS!$E$15*AG427^2+BMILMS!$F$15*AG427+BMILMS!$G$15)),(IF(AG427&lt;90,BMILMS!$D$17*AG427^3+BMILMS!$E$17*AG427^2+BMILMS!$F$17*AG427+BMILMS!$G$17,BMILMS!$D$18*AG427^3+BMILMS!$E$18*AG427^2+BMILMS!$F$18*AG427+BMILMS!$G$18)))</f>
        <v>8.8969350000000003E-2</v>
      </c>
      <c r="AG427" s="24">
        <f t="shared" si="112"/>
        <v>0</v>
      </c>
      <c r="AI427" s="38">
        <f>IF(D427="M",WeightSDS!P$5*$AG427^7+WeightSDS!Q$5*$AG427^6+WeightSDS!R$5*$AG427^5+WeightSDS!S$5*$AG427^4+WeightSDS!T$5*$AG427^3+WeightSDS!U$5*$AG427^2+WeightSDS!V$5*$AG427+WeightSDS!W$5,IF($AG427&lt;186,WeightSDS!P$8*$AG427^7+WeightSDS!Q$8*$AG427^6+WeightSDS!R$8*$AG427^5+WeightSDS!S$8*$AG427^4+WeightSDS!T$8*$AG427^3+WeightSDS!U$8*$AG427^2+WeightSDS!V$8*$AG427+WeightSDS!W$8,WeightSDS!$U$9-WeightSDS!$V$9*($AG427-WeightSDS!$W$9)))</f>
        <v>0.75407122999999998</v>
      </c>
      <c r="AJ427" s="24">
        <f>IF(D427="M",IF($AG427&lt;45,WeightSDS!M$23*$AG427^10+WeightSDS!N$23*$AG427^9+WeightSDS!O$23*$AG427^8+WeightSDS!P$23*$AG427^7+WeightSDS!Q$23*$AG427^6+WeightSDS!R$23*$AG427^5+WeightSDS!S$23*$AG427^4+WeightSDS!T$23*$AG427^3+WeightSDS!U$23*$AG427^2+WeightSDS!V$23*$AG427+WeightSDS!W$23,IF($AG427&lt;153,WeightSDS!M$25*$AG427^10+WeightSDS!N$25*$AG427^9+WeightSDS!O$25*$AG427^8+WeightSDS!P$25*$AG427^7+WeightSDS!Q$25*$AG427^6+WeightSDS!R$25*$AG427^5+WeightSDS!S$25*$AG427^4+WeightSDS!T$25*$AG427^3+WeightSDS!U$25*$AG427^2+WeightSDS!V$25*$AG427+WeightSDS!W$25,WeightSDS!M$27+WeightSDS!N$27/(1+EXP(WeightSDS!O$27+WeightSDS!P$27*$AG427)))),IF($AG427&lt;43.8,WeightSDS!M$29*$AG427^10+WeightSDS!N$29*$AG427^9+WeightSDS!O$29*$AG427^8+WeightSDS!P$29*$AG427^7+WeightSDS!Q$29*$AG427^6+WeightSDS!R$29*$AG427^5+WeightSDS!S$29*$AG427^4+WeightSDS!T$29*$AG427^3+WeightSDS!U$29*$AG427^2+WeightSDS!V$29*$AG427+WeightSDS!W$29-0.010431*(1-$AG427/210),IF($AG427&lt;123,WeightSDS!M$30*$AG427^10+WeightSDS!N$30*$AG427^9+WeightSDS!O$30*$AG427^8+WeightSDS!P$30*$AG427^7+WeightSDS!Q$30*$AG427^6+WeightSDS!R$30*$AG427^5+WeightSDS!S$30*$AG427^4+WeightSDS!T$30*$AG427^3+WeightSDS!U$30*$AG427^2+WeightSDS!V$30*$AG427+WeightSDS!W$30-0.010431*(1-1/$AG427),WeightSDS!M$32+WeightSDS!N$32/(1+EXP(WeightSDS!O$32+WeightSDS!P$32*$AG427))-0.010431*(1-$AG427/210))))</f>
        <v>2.9500001032655536</v>
      </c>
      <c r="AK427" s="24">
        <f>IF(D427="M",IF($AG427&lt;162,WeightSDS!P$12*$AG427^7+WeightSDS!Q$12*$AG427^6+WeightSDS!R$12*$AG427^5+WeightSDS!S$12*$AG427^4+WeightSDS!T$12*$AG427^3+WeightSDS!U$12*$AG427^2+WeightSDS!V$12*$AG427+WeightSDS!W$12,WeightSDS!P$14*$AG427^7+WeightSDS!Q$14*$AG427^6+WeightSDS!R$14*$AG427^5+WeightSDS!S$14*$AG427^4+WeightSDS!T$14*$AG427^3+WeightSDS!U$14*$AG427^2+WeightSDS!V$14*$AG427+WeightSDS!W$14),IF($AG427&lt;156,WeightSDS!O$17*$AG427^8+WeightSDS!P$17*$AG427^7+WeightSDS!Q$17*$AG427^6+WeightSDS!R$17*$AG427^5+WeightSDS!S$17*$AG427^4+WeightSDS!T$17*$AG427^3+WeightSDS!U$17*$AG427^2+WeightSDS!V$17*$AG427+WeightSDS!W$17,IF($AG427&lt;186,WeightSDS!$U$18+(WeightSDS!$V$18-WeightSDS!$U$18)/24*($AG427-186)+WeightSDS!$W$18*(-$AG427+186)^2-0.005,WeightSDS!$U$18+(WeightSDS!$V$18-WeightSDS!$U$18)/24*($AG427-186)-0.005)))</f>
        <v>0.14604529399999999</v>
      </c>
    </row>
    <row r="428" spans="1:37">
      <c r="A428" s="4"/>
      <c r="B428" s="21"/>
      <c r="C428" s="21"/>
      <c r="D428" s="21"/>
      <c r="E428" s="22"/>
      <c r="F428" s="22"/>
      <c r="G428" s="23"/>
      <c r="H428" s="23"/>
      <c r="I428" s="8" t="str">
        <f t="shared" si="98"/>
        <v/>
      </c>
      <c r="J428" s="2" t="str">
        <f t="shared" si="105"/>
        <v/>
      </c>
      <c r="K428" s="2" t="str">
        <f t="shared" si="99"/>
        <v/>
      </c>
      <c r="L428" s="2" t="str">
        <f t="shared" si="106"/>
        <v/>
      </c>
      <c r="M428" s="2" t="str">
        <f t="shared" si="111"/>
        <v/>
      </c>
      <c r="N428" s="2" t="str">
        <f t="shared" si="107"/>
        <v/>
      </c>
      <c r="O428" s="8" t="str">
        <f t="shared" si="108"/>
        <v/>
      </c>
      <c r="P428" s="8" t="str">
        <f t="shared" si="109"/>
        <v/>
      </c>
      <c r="Q428" s="40" t="str">
        <f t="shared" si="100"/>
        <v/>
      </c>
      <c r="R428" s="48" t="str">
        <f t="shared" si="110"/>
        <v/>
      </c>
      <c r="S428" s="8"/>
      <c r="U428" s="35">
        <f t="shared" si="101"/>
        <v>0</v>
      </c>
      <c r="V428" s="24">
        <f t="shared" si="102"/>
        <v>0</v>
      </c>
      <c r="W428" s="41">
        <f t="shared" si="113"/>
        <v>0</v>
      </c>
      <c r="X428" s="31"/>
      <c r="Y428" s="31"/>
      <c r="Z428" s="31"/>
      <c r="AA428" s="25">
        <f t="shared" si="103"/>
        <v>9.0359999999999996</v>
      </c>
      <c r="AB428" s="25">
        <f t="shared" si="104"/>
        <v>-184.49199999999999</v>
      </c>
      <c r="AD428" s="24">
        <f>IF(D428="M",IF(AG428&lt;78,BMILMS!$D$5*AG428^3+BMILMS!$E$5*AG428^2+BMILMS!$F$5*AG428+BMILMS!$G$5,IF(AG428&lt;150,BMILMS!$D$6*AG428^3+BMILMS!$E$6*AG428^2+BMILMS!$F$6*AG428+BMILMS!$G$6,BMILMS!$D$7*AG428^3+BMILMS!$E$7*AG428^2+BMILMS!$F$7*AG428+BMILMS!$G$7)),IF(AG428&lt;69,BMILMS!$D$9*AG428^3+BMILMS!$E$9*AG428^2+BMILMS!$F$9*AG428+BMILMS!$G$9,IF(AG428&lt;150,BMILMS!$D$10*AG428^3+BMILMS!$E$10*AG428^2+BMILMS!$F$10*AG428+BMILMS!$G$10,BMILMS!$D$11*AG428^3+BMILMS!$E$11*AG428^2+BMILMS!$F$11*AG428+BMILMS!$G$11)))</f>
        <v>0.79584630099999998</v>
      </c>
      <c r="AE428" s="24">
        <f>IF(D428="M",(IF(AG428&lt;2.5,BMILMS!$D$21*AG428^3+BMILMS!$E$21*AG428^2+BMILMS!$F$21*AG428+BMILMS!$G$21,IF(AG428&lt;9.5,BMILMS!$D$22*AG428^3+BMILMS!$E$22*AG428^2+BMILMS!$F$22*AG428+BMILMS!$G$22,IF(AG428&lt;26.75,BMILMS!$D$23*AG428^3+BMILMS!$E$23*AG428^2+BMILMS!$F$23*AG428+BMILMS!$G$23,IF(AG428&lt;90,BMILMS!$D$24*AG428^3+BMILMS!$E$24*AG428^2+BMILMS!$F$24*AG428+BMILMS!$G$24,BMILMS!$D$25*AG428^3+BMILMS!$E$25*AG428^2+BMILMS!$F$25*AG428+BMILMS!$G$25))))),(IF(AG428&lt;2.5,BMILMS!$D$27*AG428^3+BMILMS!$E$27*AG428^2+BMILMS!$F$27*AG428+BMILMS!$G$27,IF(AG428&lt;9.5,BMILMS!$D$28*AG428^3+BMILMS!$E$28*AG428^2+BMILMS!$F$28*AG428+BMILMS!$G$28,IF(AG428&lt;26.75,BMILMS!$D$29*AG428^3+BMILMS!$E$29*AG428^2+BMILMS!$F$29*AG428+BMILMS!$G$29,IF(AG428&lt;90,BMILMS!$D$30*AG428^3+BMILMS!$E$30*AG428^2+BMILMS!$F$30*AG428+BMILMS!$G$30,IF(AG428&lt;150,BMILMS!$D$31*AG428^3+BMILMS!$E$31*AG428^2+BMILMS!$F$31*AG428+BMILMS!$G$31,BMILMS!$D$32*AG428^3+BMILMS!$E$32*AG428^2+BMILMS!$F$32*AG428+BMILMS!$G$32)))))))</f>
        <v>12.568967990000001</v>
      </c>
      <c r="AF428" s="24">
        <f>IF(D428="M",(IF(AG428&lt;90,BMILMS!$D$14*AG428^3+BMILMS!$E$14*AG428^2+BMILMS!$F$14*AG428+BMILMS!$G$14,BMILMS!$D$15*AG428^3+BMILMS!$E$15*AG428^2+BMILMS!$F$15*AG428+BMILMS!$G$15)),(IF(AG428&lt;90,BMILMS!$D$17*AG428^3+BMILMS!$E$17*AG428^2+BMILMS!$F$17*AG428+BMILMS!$G$17,BMILMS!$D$18*AG428^3+BMILMS!$E$18*AG428^2+BMILMS!$F$18*AG428+BMILMS!$G$18)))</f>
        <v>8.8969350000000003E-2</v>
      </c>
      <c r="AG428" s="24">
        <f t="shared" si="112"/>
        <v>0</v>
      </c>
      <c r="AI428" s="38">
        <f>IF(D428="M",WeightSDS!P$5*$AG428^7+WeightSDS!Q$5*$AG428^6+WeightSDS!R$5*$AG428^5+WeightSDS!S$5*$AG428^4+WeightSDS!T$5*$AG428^3+WeightSDS!U$5*$AG428^2+WeightSDS!V$5*$AG428+WeightSDS!W$5,IF($AG428&lt;186,WeightSDS!P$8*$AG428^7+WeightSDS!Q$8*$AG428^6+WeightSDS!R$8*$AG428^5+WeightSDS!S$8*$AG428^4+WeightSDS!T$8*$AG428^3+WeightSDS!U$8*$AG428^2+WeightSDS!V$8*$AG428+WeightSDS!W$8,WeightSDS!$U$9-WeightSDS!$V$9*($AG428-WeightSDS!$W$9)))</f>
        <v>0.75407122999999998</v>
      </c>
      <c r="AJ428" s="24">
        <f>IF(D428="M",IF($AG428&lt;45,WeightSDS!M$23*$AG428^10+WeightSDS!N$23*$AG428^9+WeightSDS!O$23*$AG428^8+WeightSDS!P$23*$AG428^7+WeightSDS!Q$23*$AG428^6+WeightSDS!R$23*$AG428^5+WeightSDS!S$23*$AG428^4+WeightSDS!T$23*$AG428^3+WeightSDS!U$23*$AG428^2+WeightSDS!V$23*$AG428+WeightSDS!W$23,IF($AG428&lt;153,WeightSDS!M$25*$AG428^10+WeightSDS!N$25*$AG428^9+WeightSDS!O$25*$AG428^8+WeightSDS!P$25*$AG428^7+WeightSDS!Q$25*$AG428^6+WeightSDS!R$25*$AG428^5+WeightSDS!S$25*$AG428^4+WeightSDS!T$25*$AG428^3+WeightSDS!U$25*$AG428^2+WeightSDS!V$25*$AG428+WeightSDS!W$25,WeightSDS!M$27+WeightSDS!N$27/(1+EXP(WeightSDS!O$27+WeightSDS!P$27*$AG428)))),IF($AG428&lt;43.8,WeightSDS!M$29*$AG428^10+WeightSDS!N$29*$AG428^9+WeightSDS!O$29*$AG428^8+WeightSDS!P$29*$AG428^7+WeightSDS!Q$29*$AG428^6+WeightSDS!R$29*$AG428^5+WeightSDS!S$29*$AG428^4+WeightSDS!T$29*$AG428^3+WeightSDS!U$29*$AG428^2+WeightSDS!V$29*$AG428+WeightSDS!W$29-0.010431*(1-$AG428/210),IF($AG428&lt;123,WeightSDS!M$30*$AG428^10+WeightSDS!N$30*$AG428^9+WeightSDS!O$30*$AG428^8+WeightSDS!P$30*$AG428^7+WeightSDS!Q$30*$AG428^6+WeightSDS!R$30*$AG428^5+WeightSDS!S$30*$AG428^4+WeightSDS!T$30*$AG428^3+WeightSDS!U$30*$AG428^2+WeightSDS!V$30*$AG428+WeightSDS!W$30-0.010431*(1-1/$AG428),WeightSDS!M$32+WeightSDS!N$32/(1+EXP(WeightSDS!O$32+WeightSDS!P$32*$AG428))-0.010431*(1-$AG428/210))))</f>
        <v>2.9500001032655536</v>
      </c>
      <c r="AK428" s="24">
        <f>IF(D428="M",IF($AG428&lt;162,WeightSDS!P$12*$AG428^7+WeightSDS!Q$12*$AG428^6+WeightSDS!R$12*$AG428^5+WeightSDS!S$12*$AG428^4+WeightSDS!T$12*$AG428^3+WeightSDS!U$12*$AG428^2+WeightSDS!V$12*$AG428+WeightSDS!W$12,WeightSDS!P$14*$AG428^7+WeightSDS!Q$14*$AG428^6+WeightSDS!R$14*$AG428^5+WeightSDS!S$14*$AG428^4+WeightSDS!T$14*$AG428^3+WeightSDS!U$14*$AG428^2+WeightSDS!V$14*$AG428+WeightSDS!W$14),IF($AG428&lt;156,WeightSDS!O$17*$AG428^8+WeightSDS!P$17*$AG428^7+WeightSDS!Q$17*$AG428^6+WeightSDS!R$17*$AG428^5+WeightSDS!S$17*$AG428^4+WeightSDS!T$17*$AG428^3+WeightSDS!U$17*$AG428^2+WeightSDS!V$17*$AG428+WeightSDS!W$17,IF($AG428&lt;186,WeightSDS!$U$18+(WeightSDS!$V$18-WeightSDS!$U$18)/24*($AG428-186)+WeightSDS!$W$18*(-$AG428+186)^2-0.005,WeightSDS!$U$18+(WeightSDS!$V$18-WeightSDS!$U$18)/24*($AG428-186)-0.005)))</f>
        <v>0.14604529399999999</v>
      </c>
    </row>
    <row r="429" spans="1:37">
      <c r="A429" s="4"/>
      <c r="B429" s="21"/>
      <c r="C429" s="21"/>
      <c r="D429" s="21"/>
      <c r="E429" s="22"/>
      <c r="F429" s="22"/>
      <c r="G429" s="23"/>
      <c r="H429" s="23"/>
      <c r="I429" s="8" t="str">
        <f t="shared" si="98"/>
        <v/>
      </c>
      <c r="J429" s="2" t="str">
        <f t="shared" si="105"/>
        <v/>
      </c>
      <c r="K429" s="2" t="str">
        <f t="shared" si="99"/>
        <v/>
      </c>
      <c r="L429" s="2" t="str">
        <f t="shared" si="106"/>
        <v/>
      </c>
      <c r="M429" s="2" t="str">
        <f t="shared" si="111"/>
        <v/>
      </c>
      <c r="N429" s="2" t="str">
        <f t="shared" si="107"/>
        <v/>
      </c>
      <c r="O429" s="8" t="str">
        <f t="shared" si="108"/>
        <v/>
      </c>
      <c r="P429" s="8" t="str">
        <f t="shared" si="109"/>
        <v/>
      </c>
      <c r="Q429" s="40" t="str">
        <f t="shared" si="100"/>
        <v/>
      </c>
      <c r="R429" s="48" t="str">
        <f t="shared" si="110"/>
        <v/>
      </c>
      <c r="S429" s="8"/>
      <c r="U429" s="35">
        <f t="shared" si="101"/>
        <v>0</v>
      </c>
      <c r="V429" s="24">
        <f t="shared" si="102"/>
        <v>0</v>
      </c>
      <c r="W429" s="41">
        <f t="shared" si="113"/>
        <v>0</v>
      </c>
      <c r="X429" s="31"/>
      <c r="Y429" s="31"/>
      <c r="Z429" s="31"/>
      <c r="AA429" s="25">
        <f t="shared" si="103"/>
        <v>9.0359999999999996</v>
      </c>
      <c r="AB429" s="25">
        <f t="shared" si="104"/>
        <v>-184.49199999999999</v>
      </c>
      <c r="AD429" s="24">
        <f>IF(D429="M",IF(AG429&lt;78,BMILMS!$D$5*AG429^3+BMILMS!$E$5*AG429^2+BMILMS!$F$5*AG429+BMILMS!$G$5,IF(AG429&lt;150,BMILMS!$D$6*AG429^3+BMILMS!$E$6*AG429^2+BMILMS!$F$6*AG429+BMILMS!$G$6,BMILMS!$D$7*AG429^3+BMILMS!$E$7*AG429^2+BMILMS!$F$7*AG429+BMILMS!$G$7)),IF(AG429&lt;69,BMILMS!$D$9*AG429^3+BMILMS!$E$9*AG429^2+BMILMS!$F$9*AG429+BMILMS!$G$9,IF(AG429&lt;150,BMILMS!$D$10*AG429^3+BMILMS!$E$10*AG429^2+BMILMS!$F$10*AG429+BMILMS!$G$10,BMILMS!$D$11*AG429^3+BMILMS!$E$11*AG429^2+BMILMS!$F$11*AG429+BMILMS!$G$11)))</f>
        <v>0.79584630099999998</v>
      </c>
      <c r="AE429" s="24">
        <f>IF(D429="M",(IF(AG429&lt;2.5,BMILMS!$D$21*AG429^3+BMILMS!$E$21*AG429^2+BMILMS!$F$21*AG429+BMILMS!$G$21,IF(AG429&lt;9.5,BMILMS!$D$22*AG429^3+BMILMS!$E$22*AG429^2+BMILMS!$F$22*AG429+BMILMS!$G$22,IF(AG429&lt;26.75,BMILMS!$D$23*AG429^3+BMILMS!$E$23*AG429^2+BMILMS!$F$23*AG429+BMILMS!$G$23,IF(AG429&lt;90,BMILMS!$D$24*AG429^3+BMILMS!$E$24*AG429^2+BMILMS!$F$24*AG429+BMILMS!$G$24,BMILMS!$D$25*AG429^3+BMILMS!$E$25*AG429^2+BMILMS!$F$25*AG429+BMILMS!$G$25))))),(IF(AG429&lt;2.5,BMILMS!$D$27*AG429^3+BMILMS!$E$27*AG429^2+BMILMS!$F$27*AG429+BMILMS!$G$27,IF(AG429&lt;9.5,BMILMS!$D$28*AG429^3+BMILMS!$E$28*AG429^2+BMILMS!$F$28*AG429+BMILMS!$G$28,IF(AG429&lt;26.75,BMILMS!$D$29*AG429^3+BMILMS!$E$29*AG429^2+BMILMS!$F$29*AG429+BMILMS!$G$29,IF(AG429&lt;90,BMILMS!$D$30*AG429^3+BMILMS!$E$30*AG429^2+BMILMS!$F$30*AG429+BMILMS!$G$30,IF(AG429&lt;150,BMILMS!$D$31*AG429^3+BMILMS!$E$31*AG429^2+BMILMS!$F$31*AG429+BMILMS!$G$31,BMILMS!$D$32*AG429^3+BMILMS!$E$32*AG429^2+BMILMS!$F$32*AG429+BMILMS!$G$32)))))))</f>
        <v>12.568967990000001</v>
      </c>
      <c r="AF429" s="24">
        <f>IF(D429="M",(IF(AG429&lt;90,BMILMS!$D$14*AG429^3+BMILMS!$E$14*AG429^2+BMILMS!$F$14*AG429+BMILMS!$G$14,BMILMS!$D$15*AG429^3+BMILMS!$E$15*AG429^2+BMILMS!$F$15*AG429+BMILMS!$G$15)),(IF(AG429&lt;90,BMILMS!$D$17*AG429^3+BMILMS!$E$17*AG429^2+BMILMS!$F$17*AG429+BMILMS!$G$17,BMILMS!$D$18*AG429^3+BMILMS!$E$18*AG429^2+BMILMS!$F$18*AG429+BMILMS!$G$18)))</f>
        <v>8.8969350000000003E-2</v>
      </c>
      <c r="AG429" s="24">
        <f t="shared" si="112"/>
        <v>0</v>
      </c>
      <c r="AI429" s="38">
        <f>IF(D429="M",WeightSDS!P$5*$AG429^7+WeightSDS!Q$5*$AG429^6+WeightSDS!R$5*$AG429^5+WeightSDS!S$5*$AG429^4+WeightSDS!T$5*$AG429^3+WeightSDS!U$5*$AG429^2+WeightSDS!V$5*$AG429+WeightSDS!W$5,IF($AG429&lt;186,WeightSDS!P$8*$AG429^7+WeightSDS!Q$8*$AG429^6+WeightSDS!R$8*$AG429^5+WeightSDS!S$8*$AG429^4+WeightSDS!T$8*$AG429^3+WeightSDS!U$8*$AG429^2+WeightSDS!V$8*$AG429+WeightSDS!W$8,WeightSDS!$U$9-WeightSDS!$V$9*($AG429-WeightSDS!$W$9)))</f>
        <v>0.75407122999999998</v>
      </c>
      <c r="AJ429" s="24">
        <f>IF(D429="M",IF($AG429&lt;45,WeightSDS!M$23*$AG429^10+WeightSDS!N$23*$AG429^9+WeightSDS!O$23*$AG429^8+WeightSDS!P$23*$AG429^7+WeightSDS!Q$23*$AG429^6+WeightSDS!R$23*$AG429^5+WeightSDS!S$23*$AG429^4+WeightSDS!T$23*$AG429^3+WeightSDS!U$23*$AG429^2+WeightSDS!V$23*$AG429+WeightSDS!W$23,IF($AG429&lt;153,WeightSDS!M$25*$AG429^10+WeightSDS!N$25*$AG429^9+WeightSDS!O$25*$AG429^8+WeightSDS!P$25*$AG429^7+WeightSDS!Q$25*$AG429^6+WeightSDS!R$25*$AG429^5+WeightSDS!S$25*$AG429^4+WeightSDS!T$25*$AG429^3+WeightSDS!U$25*$AG429^2+WeightSDS!V$25*$AG429+WeightSDS!W$25,WeightSDS!M$27+WeightSDS!N$27/(1+EXP(WeightSDS!O$27+WeightSDS!P$27*$AG429)))),IF($AG429&lt;43.8,WeightSDS!M$29*$AG429^10+WeightSDS!N$29*$AG429^9+WeightSDS!O$29*$AG429^8+WeightSDS!P$29*$AG429^7+WeightSDS!Q$29*$AG429^6+WeightSDS!R$29*$AG429^5+WeightSDS!S$29*$AG429^4+WeightSDS!T$29*$AG429^3+WeightSDS!U$29*$AG429^2+WeightSDS!V$29*$AG429+WeightSDS!W$29-0.010431*(1-$AG429/210),IF($AG429&lt;123,WeightSDS!M$30*$AG429^10+WeightSDS!N$30*$AG429^9+WeightSDS!O$30*$AG429^8+WeightSDS!P$30*$AG429^7+WeightSDS!Q$30*$AG429^6+WeightSDS!R$30*$AG429^5+WeightSDS!S$30*$AG429^4+WeightSDS!T$30*$AG429^3+WeightSDS!U$30*$AG429^2+WeightSDS!V$30*$AG429+WeightSDS!W$30-0.010431*(1-1/$AG429),WeightSDS!M$32+WeightSDS!N$32/(1+EXP(WeightSDS!O$32+WeightSDS!P$32*$AG429))-0.010431*(1-$AG429/210))))</f>
        <v>2.9500001032655536</v>
      </c>
      <c r="AK429" s="24">
        <f>IF(D429="M",IF($AG429&lt;162,WeightSDS!P$12*$AG429^7+WeightSDS!Q$12*$AG429^6+WeightSDS!R$12*$AG429^5+WeightSDS!S$12*$AG429^4+WeightSDS!T$12*$AG429^3+WeightSDS!U$12*$AG429^2+WeightSDS!V$12*$AG429+WeightSDS!W$12,WeightSDS!P$14*$AG429^7+WeightSDS!Q$14*$AG429^6+WeightSDS!R$14*$AG429^5+WeightSDS!S$14*$AG429^4+WeightSDS!T$14*$AG429^3+WeightSDS!U$14*$AG429^2+WeightSDS!V$14*$AG429+WeightSDS!W$14),IF($AG429&lt;156,WeightSDS!O$17*$AG429^8+WeightSDS!P$17*$AG429^7+WeightSDS!Q$17*$AG429^6+WeightSDS!R$17*$AG429^5+WeightSDS!S$17*$AG429^4+WeightSDS!T$17*$AG429^3+WeightSDS!U$17*$AG429^2+WeightSDS!V$17*$AG429+WeightSDS!W$17,IF($AG429&lt;186,WeightSDS!$U$18+(WeightSDS!$V$18-WeightSDS!$U$18)/24*($AG429-186)+WeightSDS!$W$18*(-$AG429+186)^2-0.005,WeightSDS!$U$18+(WeightSDS!$V$18-WeightSDS!$U$18)/24*($AG429-186)-0.005)))</f>
        <v>0.14604529399999999</v>
      </c>
    </row>
    <row r="430" spans="1:37">
      <c r="A430" s="4"/>
      <c r="B430" s="21"/>
      <c r="C430" s="21"/>
      <c r="D430" s="21"/>
      <c r="E430" s="22"/>
      <c r="F430" s="22"/>
      <c r="G430" s="23"/>
      <c r="H430" s="23"/>
      <c r="I430" s="8" t="str">
        <f t="shared" si="98"/>
        <v/>
      </c>
      <c r="J430" s="2" t="str">
        <f t="shared" si="105"/>
        <v/>
      </c>
      <c r="K430" s="2" t="str">
        <f t="shared" si="99"/>
        <v/>
      </c>
      <c r="L430" s="2" t="str">
        <f t="shared" si="106"/>
        <v/>
      </c>
      <c r="M430" s="2" t="str">
        <f t="shared" si="111"/>
        <v/>
      </c>
      <c r="N430" s="2" t="str">
        <f t="shared" si="107"/>
        <v/>
      </c>
      <c r="O430" s="8" t="str">
        <f t="shared" si="108"/>
        <v/>
      </c>
      <c r="P430" s="8" t="str">
        <f t="shared" si="109"/>
        <v/>
      </c>
      <c r="Q430" s="40" t="str">
        <f t="shared" si="100"/>
        <v/>
      </c>
      <c r="R430" s="48" t="str">
        <f t="shared" si="110"/>
        <v/>
      </c>
      <c r="S430" s="8"/>
      <c r="U430" s="35">
        <f t="shared" si="101"/>
        <v>0</v>
      </c>
      <c r="V430" s="24">
        <f t="shared" si="102"/>
        <v>0</v>
      </c>
      <c r="W430" s="41">
        <f t="shared" si="113"/>
        <v>0</v>
      </c>
      <c r="X430" s="31"/>
      <c r="Y430" s="31"/>
      <c r="Z430" s="31"/>
      <c r="AA430" s="25">
        <f t="shared" si="103"/>
        <v>9.0359999999999996</v>
      </c>
      <c r="AB430" s="25">
        <f t="shared" si="104"/>
        <v>-184.49199999999999</v>
      </c>
      <c r="AD430" s="24">
        <f>IF(D430="M",IF(AG430&lt;78,BMILMS!$D$5*AG430^3+BMILMS!$E$5*AG430^2+BMILMS!$F$5*AG430+BMILMS!$G$5,IF(AG430&lt;150,BMILMS!$D$6*AG430^3+BMILMS!$E$6*AG430^2+BMILMS!$F$6*AG430+BMILMS!$G$6,BMILMS!$D$7*AG430^3+BMILMS!$E$7*AG430^2+BMILMS!$F$7*AG430+BMILMS!$G$7)),IF(AG430&lt;69,BMILMS!$D$9*AG430^3+BMILMS!$E$9*AG430^2+BMILMS!$F$9*AG430+BMILMS!$G$9,IF(AG430&lt;150,BMILMS!$D$10*AG430^3+BMILMS!$E$10*AG430^2+BMILMS!$F$10*AG430+BMILMS!$G$10,BMILMS!$D$11*AG430^3+BMILMS!$E$11*AG430^2+BMILMS!$F$11*AG430+BMILMS!$G$11)))</f>
        <v>0.79584630099999998</v>
      </c>
      <c r="AE430" s="24">
        <f>IF(D430="M",(IF(AG430&lt;2.5,BMILMS!$D$21*AG430^3+BMILMS!$E$21*AG430^2+BMILMS!$F$21*AG430+BMILMS!$G$21,IF(AG430&lt;9.5,BMILMS!$D$22*AG430^3+BMILMS!$E$22*AG430^2+BMILMS!$F$22*AG430+BMILMS!$G$22,IF(AG430&lt;26.75,BMILMS!$D$23*AG430^3+BMILMS!$E$23*AG430^2+BMILMS!$F$23*AG430+BMILMS!$G$23,IF(AG430&lt;90,BMILMS!$D$24*AG430^3+BMILMS!$E$24*AG430^2+BMILMS!$F$24*AG430+BMILMS!$G$24,BMILMS!$D$25*AG430^3+BMILMS!$E$25*AG430^2+BMILMS!$F$25*AG430+BMILMS!$G$25))))),(IF(AG430&lt;2.5,BMILMS!$D$27*AG430^3+BMILMS!$E$27*AG430^2+BMILMS!$F$27*AG430+BMILMS!$G$27,IF(AG430&lt;9.5,BMILMS!$D$28*AG430^3+BMILMS!$E$28*AG430^2+BMILMS!$F$28*AG430+BMILMS!$G$28,IF(AG430&lt;26.75,BMILMS!$D$29*AG430^3+BMILMS!$E$29*AG430^2+BMILMS!$F$29*AG430+BMILMS!$G$29,IF(AG430&lt;90,BMILMS!$D$30*AG430^3+BMILMS!$E$30*AG430^2+BMILMS!$F$30*AG430+BMILMS!$G$30,IF(AG430&lt;150,BMILMS!$D$31*AG430^3+BMILMS!$E$31*AG430^2+BMILMS!$F$31*AG430+BMILMS!$G$31,BMILMS!$D$32*AG430^3+BMILMS!$E$32*AG430^2+BMILMS!$F$32*AG430+BMILMS!$G$32)))))))</f>
        <v>12.568967990000001</v>
      </c>
      <c r="AF430" s="24">
        <f>IF(D430="M",(IF(AG430&lt;90,BMILMS!$D$14*AG430^3+BMILMS!$E$14*AG430^2+BMILMS!$F$14*AG430+BMILMS!$G$14,BMILMS!$D$15*AG430^3+BMILMS!$E$15*AG430^2+BMILMS!$F$15*AG430+BMILMS!$G$15)),(IF(AG430&lt;90,BMILMS!$D$17*AG430^3+BMILMS!$E$17*AG430^2+BMILMS!$F$17*AG430+BMILMS!$G$17,BMILMS!$D$18*AG430^3+BMILMS!$E$18*AG430^2+BMILMS!$F$18*AG430+BMILMS!$G$18)))</f>
        <v>8.8969350000000003E-2</v>
      </c>
      <c r="AG430" s="24">
        <f t="shared" si="112"/>
        <v>0</v>
      </c>
      <c r="AI430" s="38">
        <f>IF(D430="M",WeightSDS!P$5*$AG430^7+WeightSDS!Q$5*$AG430^6+WeightSDS!R$5*$AG430^5+WeightSDS!S$5*$AG430^4+WeightSDS!T$5*$AG430^3+WeightSDS!U$5*$AG430^2+WeightSDS!V$5*$AG430+WeightSDS!W$5,IF($AG430&lt;186,WeightSDS!P$8*$AG430^7+WeightSDS!Q$8*$AG430^6+WeightSDS!R$8*$AG430^5+WeightSDS!S$8*$AG430^4+WeightSDS!T$8*$AG430^3+WeightSDS!U$8*$AG430^2+WeightSDS!V$8*$AG430+WeightSDS!W$8,WeightSDS!$U$9-WeightSDS!$V$9*($AG430-WeightSDS!$W$9)))</f>
        <v>0.75407122999999998</v>
      </c>
      <c r="AJ430" s="24">
        <f>IF(D430="M",IF($AG430&lt;45,WeightSDS!M$23*$AG430^10+WeightSDS!N$23*$AG430^9+WeightSDS!O$23*$AG430^8+WeightSDS!P$23*$AG430^7+WeightSDS!Q$23*$AG430^6+WeightSDS!R$23*$AG430^5+WeightSDS!S$23*$AG430^4+WeightSDS!T$23*$AG430^3+WeightSDS!U$23*$AG430^2+WeightSDS!V$23*$AG430+WeightSDS!W$23,IF($AG430&lt;153,WeightSDS!M$25*$AG430^10+WeightSDS!N$25*$AG430^9+WeightSDS!O$25*$AG430^8+WeightSDS!P$25*$AG430^7+WeightSDS!Q$25*$AG430^6+WeightSDS!R$25*$AG430^5+WeightSDS!S$25*$AG430^4+WeightSDS!T$25*$AG430^3+WeightSDS!U$25*$AG430^2+WeightSDS!V$25*$AG430+WeightSDS!W$25,WeightSDS!M$27+WeightSDS!N$27/(1+EXP(WeightSDS!O$27+WeightSDS!P$27*$AG430)))),IF($AG430&lt;43.8,WeightSDS!M$29*$AG430^10+WeightSDS!N$29*$AG430^9+WeightSDS!O$29*$AG430^8+WeightSDS!P$29*$AG430^7+WeightSDS!Q$29*$AG430^6+WeightSDS!R$29*$AG430^5+WeightSDS!S$29*$AG430^4+WeightSDS!T$29*$AG430^3+WeightSDS!U$29*$AG430^2+WeightSDS!V$29*$AG430+WeightSDS!W$29-0.010431*(1-$AG430/210),IF($AG430&lt;123,WeightSDS!M$30*$AG430^10+WeightSDS!N$30*$AG430^9+WeightSDS!O$30*$AG430^8+WeightSDS!P$30*$AG430^7+WeightSDS!Q$30*$AG430^6+WeightSDS!R$30*$AG430^5+WeightSDS!S$30*$AG430^4+WeightSDS!T$30*$AG430^3+WeightSDS!U$30*$AG430^2+WeightSDS!V$30*$AG430+WeightSDS!W$30-0.010431*(1-1/$AG430),WeightSDS!M$32+WeightSDS!N$32/(1+EXP(WeightSDS!O$32+WeightSDS!P$32*$AG430))-0.010431*(1-$AG430/210))))</f>
        <v>2.9500001032655536</v>
      </c>
      <c r="AK430" s="24">
        <f>IF(D430="M",IF($AG430&lt;162,WeightSDS!P$12*$AG430^7+WeightSDS!Q$12*$AG430^6+WeightSDS!R$12*$AG430^5+WeightSDS!S$12*$AG430^4+WeightSDS!T$12*$AG430^3+WeightSDS!U$12*$AG430^2+WeightSDS!V$12*$AG430+WeightSDS!W$12,WeightSDS!P$14*$AG430^7+WeightSDS!Q$14*$AG430^6+WeightSDS!R$14*$AG430^5+WeightSDS!S$14*$AG430^4+WeightSDS!T$14*$AG430^3+WeightSDS!U$14*$AG430^2+WeightSDS!V$14*$AG430+WeightSDS!W$14),IF($AG430&lt;156,WeightSDS!O$17*$AG430^8+WeightSDS!P$17*$AG430^7+WeightSDS!Q$17*$AG430^6+WeightSDS!R$17*$AG430^5+WeightSDS!S$17*$AG430^4+WeightSDS!T$17*$AG430^3+WeightSDS!U$17*$AG430^2+WeightSDS!V$17*$AG430+WeightSDS!W$17,IF($AG430&lt;186,WeightSDS!$U$18+(WeightSDS!$V$18-WeightSDS!$U$18)/24*($AG430-186)+WeightSDS!$W$18*(-$AG430+186)^2-0.005,WeightSDS!$U$18+(WeightSDS!$V$18-WeightSDS!$U$18)/24*($AG430-186)-0.005)))</f>
        <v>0.14604529399999999</v>
      </c>
    </row>
    <row r="431" spans="1:37">
      <c r="A431" s="4"/>
      <c r="B431" s="21"/>
      <c r="C431" s="21"/>
      <c r="D431" s="21"/>
      <c r="E431" s="22"/>
      <c r="F431" s="22"/>
      <c r="G431" s="23"/>
      <c r="H431" s="23"/>
      <c r="I431" s="8" t="str">
        <f t="shared" si="98"/>
        <v/>
      </c>
      <c r="J431" s="2" t="str">
        <f t="shared" si="105"/>
        <v/>
      </c>
      <c r="K431" s="2" t="str">
        <f t="shared" si="99"/>
        <v/>
      </c>
      <c r="L431" s="2" t="str">
        <f t="shared" si="106"/>
        <v/>
      </c>
      <c r="M431" s="2" t="str">
        <f t="shared" si="111"/>
        <v/>
      </c>
      <c r="N431" s="2" t="str">
        <f t="shared" si="107"/>
        <v/>
      </c>
      <c r="O431" s="8" t="str">
        <f t="shared" si="108"/>
        <v/>
      </c>
      <c r="P431" s="8" t="str">
        <f t="shared" si="109"/>
        <v/>
      </c>
      <c r="Q431" s="40" t="str">
        <f t="shared" si="100"/>
        <v/>
      </c>
      <c r="R431" s="48" t="str">
        <f t="shared" si="110"/>
        <v/>
      </c>
      <c r="S431" s="8"/>
      <c r="U431" s="35">
        <f t="shared" si="101"/>
        <v>0</v>
      </c>
      <c r="V431" s="24">
        <f t="shared" si="102"/>
        <v>0</v>
      </c>
      <c r="W431" s="41">
        <f t="shared" si="113"/>
        <v>0</v>
      </c>
      <c r="X431" s="31"/>
      <c r="Y431" s="31"/>
      <c r="Z431" s="31"/>
      <c r="AA431" s="25">
        <f t="shared" si="103"/>
        <v>9.0359999999999996</v>
      </c>
      <c r="AB431" s="25">
        <f t="shared" si="104"/>
        <v>-184.49199999999999</v>
      </c>
      <c r="AD431" s="24">
        <f>IF(D431="M",IF(AG431&lt;78,BMILMS!$D$5*AG431^3+BMILMS!$E$5*AG431^2+BMILMS!$F$5*AG431+BMILMS!$G$5,IF(AG431&lt;150,BMILMS!$D$6*AG431^3+BMILMS!$E$6*AG431^2+BMILMS!$F$6*AG431+BMILMS!$G$6,BMILMS!$D$7*AG431^3+BMILMS!$E$7*AG431^2+BMILMS!$F$7*AG431+BMILMS!$G$7)),IF(AG431&lt;69,BMILMS!$D$9*AG431^3+BMILMS!$E$9*AG431^2+BMILMS!$F$9*AG431+BMILMS!$G$9,IF(AG431&lt;150,BMILMS!$D$10*AG431^3+BMILMS!$E$10*AG431^2+BMILMS!$F$10*AG431+BMILMS!$G$10,BMILMS!$D$11*AG431^3+BMILMS!$E$11*AG431^2+BMILMS!$F$11*AG431+BMILMS!$G$11)))</f>
        <v>0.79584630099999998</v>
      </c>
      <c r="AE431" s="24">
        <f>IF(D431="M",(IF(AG431&lt;2.5,BMILMS!$D$21*AG431^3+BMILMS!$E$21*AG431^2+BMILMS!$F$21*AG431+BMILMS!$G$21,IF(AG431&lt;9.5,BMILMS!$D$22*AG431^3+BMILMS!$E$22*AG431^2+BMILMS!$F$22*AG431+BMILMS!$G$22,IF(AG431&lt;26.75,BMILMS!$D$23*AG431^3+BMILMS!$E$23*AG431^2+BMILMS!$F$23*AG431+BMILMS!$G$23,IF(AG431&lt;90,BMILMS!$D$24*AG431^3+BMILMS!$E$24*AG431^2+BMILMS!$F$24*AG431+BMILMS!$G$24,BMILMS!$D$25*AG431^3+BMILMS!$E$25*AG431^2+BMILMS!$F$25*AG431+BMILMS!$G$25))))),(IF(AG431&lt;2.5,BMILMS!$D$27*AG431^3+BMILMS!$E$27*AG431^2+BMILMS!$F$27*AG431+BMILMS!$G$27,IF(AG431&lt;9.5,BMILMS!$D$28*AG431^3+BMILMS!$E$28*AG431^2+BMILMS!$F$28*AG431+BMILMS!$G$28,IF(AG431&lt;26.75,BMILMS!$D$29*AG431^3+BMILMS!$E$29*AG431^2+BMILMS!$F$29*AG431+BMILMS!$G$29,IF(AG431&lt;90,BMILMS!$D$30*AG431^3+BMILMS!$E$30*AG431^2+BMILMS!$F$30*AG431+BMILMS!$G$30,IF(AG431&lt;150,BMILMS!$D$31*AG431^3+BMILMS!$E$31*AG431^2+BMILMS!$F$31*AG431+BMILMS!$G$31,BMILMS!$D$32*AG431^3+BMILMS!$E$32*AG431^2+BMILMS!$F$32*AG431+BMILMS!$G$32)))))))</f>
        <v>12.568967990000001</v>
      </c>
      <c r="AF431" s="24">
        <f>IF(D431="M",(IF(AG431&lt;90,BMILMS!$D$14*AG431^3+BMILMS!$E$14*AG431^2+BMILMS!$F$14*AG431+BMILMS!$G$14,BMILMS!$D$15*AG431^3+BMILMS!$E$15*AG431^2+BMILMS!$F$15*AG431+BMILMS!$G$15)),(IF(AG431&lt;90,BMILMS!$D$17*AG431^3+BMILMS!$E$17*AG431^2+BMILMS!$F$17*AG431+BMILMS!$G$17,BMILMS!$D$18*AG431^3+BMILMS!$E$18*AG431^2+BMILMS!$F$18*AG431+BMILMS!$G$18)))</f>
        <v>8.8969350000000003E-2</v>
      </c>
      <c r="AG431" s="24">
        <f t="shared" si="112"/>
        <v>0</v>
      </c>
      <c r="AI431" s="38">
        <f>IF(D431="M",WeightSDS!P$5*$AG431^7+WeightSDS!Q$5*$AG431^6+WeightSDS!R$5*$AG431^5+WeightSDS!S$5*$AG431^4+WeightSDS!T$5*$AG431^3+WeightSDS!U$5*$AG431^2+WeightSDS!V$5*$AG431+WeightSDS!W$5,IF($AG431&lt;186,WeightSDS!P$8*$AG431^7+WeightSDS!Q$8*$AG431^6+WeightSDS!R$8*$AG431^5+WeightSDS!S$8*$AG431^4+WeightSDS!T$8*$AG431^3+WeightSDS!U$8*$AG431^2+WeightSDS!V$8*$AG431+WeightSDS!W$8,WeightSDS!$U$9-WeightSDS!$V$9*($AG431-WeightSDS!$W$9)))</f>
        <v>0.75407122999999998</v>
      </c>
      <c r="AJ431" s="24">
        <f>IF(D431="M",IF($AG431&lt;45,WeightSDS!M$23*$AG431^10+WeightSDS!N$23*$AG431^9+WeightSDS!O$23*$AG431^8+WeightSDS!P$23*$AG431^7+WeightSDS!Q$23*$AG431^6+WeightSDS!R$23*$AG431^5+WeightSDS!S$23*$AG431^4+WeightSDS!T$23*$AG431^3+WeightSDS!U$23*$AG431^2+WeightSDS!V$23*$AG431+WeightSDS!W$23,IF($AG431&lt;153,WeightSDS!M$25*$AG431^10+WeightSDS!N$25*$AG431^9+WeightSDS!O$25*$AG431^8+WeightSDS!P$25*$AG431^7+WeightSDS!Q$25*$AG431^6+WeightSDS!R$25*$AG431^5+WeightSDS!S$25*$AG431^4+WeightSDS!T$25*$AG431^3+WeightSDS!U$25*$AG431^2+WeightSDS!V$25*$AG431+WeightSDS!W$25,WeightSDS!M$27+WeightSDS!N$27/(1+EXP(WeightSDS!O$27+WeightSDS!P$27*$AG431)))),IF($AG431&lt;43.8,WeightSDS!M$29*$AG431^10+WeightSDS!N$29*$AG431^9+WeightSDS!O$29*$AG431^8+WeightSDS!P$29*$AG431^7+WeightSDS!Q$29*$AG431^6+WeightSDS!R$29*$AG431^5+WeightSDS!S$29*$AG431^4+WeightSDS!T$29*$AG431^3+WeightSDS!U$29*$AG431^2+WeightSDS!V$29*$AG431+WeightSDS!W$29-0.010431*(1-$AG431/210),IF($AG431&lt;123,WeightSDS!M$30*$AG431^10+WeightSDS!N$30*$AG431^9+WeightSDS!O$30*$AG431^8+WeightSDS!P$30*$AG431^7+WeightSDS!Q$30*$AG431^6+WeightSDS!R$30*$AG431^5+WeightSDS!S$30*$AG431^4+WeightSDS!T$30*$AG431^3+WeightSDS!U$30*$AG431^2+WeightSDS!V$30*$AG431+WeightSDS!W$30-0.010431*(1-1/$AG431),WeightSDS!M$32+WeightSDS!N$32/(1+EXP(WeightSDS!O$32+WeightSDS!P$32*$AG431))-0.010431*(1-$AG431/210))))</f>
        <v>2.9500001032655536</v>
      </c>
      <c r="AK431" s="24">
        <f>IF(D431="M",IF($AG431&lt;162,WeightSDS!P$12*$AG431^7+WeightSDS!Q$12*$AG431^6+WeightSDS!R$12*$AG431^5+WeightSDS!S$12*$AG431^4+WeightSDS!T$12*$AG431^3+WeightSDS!U$12*$AG431^2+WeightSDS!V$12*$AG431+WeightSDS!W$12,WeightSDS!P$14*$AG431^7+WeightSDS!Q$14*$AG431^6+WeightSDS!R$14*$AG431^5+WeightSDS!S$14*$AG431^4+WeightSDS!T$14*$AG431^3+WeightSDS!U$14*$AG431^2+WeightSDS!V$14*$AG431+WeightSDS!W$14),IF($AG431&lt;156,WeightSDS!O$17*$AG431^8+WeightSDS!P$17*$AG431^7+WeightSDS!Q$17*$AG431^6+WeightSDS!R$17*$AG431^5+WeightSDS!S$17*$AG431^4+WeightSDS!T$17*$AG431^3+WeightSDS!U$17*$AG431^2+WeightSDS!V$17*$AG431+WeightSDS!W$17,IF($AG431&lt;186,WeightSDS!$U$18+(WeightSDS!$V$18-WeightSDS!$U$18)/24*($AG431-186)+WeightSDS!$W$18*(-$AG431+186)^2-0.005,WeightSDS!$U$18+(WeightSDS!$V$18-WeightSDS!$U$18)/24*($AG431-186)-0.005)))</f>
        <v>0.14604529399999999</v>
      </c>
    </row>
    <row r="432" spans="1:37">
      <c r="A432" s="4"/>
      <c r="B432" s="21"/>
      <c r="C432" s="21"/>
      <c r="D432" s="21"/>
      <c r="E432" s="22"/>
      <c r="F432" s="22"/>
      <c r="G432" s="23"/>
      <c r="H432" s="23"/>
      <c r="I432" s="8" t="str">
        <f t="shared" si="98"/>
        <v/>
      </c>
      <c r="J432" s="2" t="str">
        <f t="shared" si="105"/>
        <v/>
      </c>
      <c r="K432" s="2" t="str">
        <f t="shared" si="99"/>
        <v/>
      </c>
      <c r="L432" s="2" t="str">
        <f t="shared" si="106"/>
        <v/>
      </c>
      <c r="M432" s="2" t="str">
        <f t="shared" si="111"/>
        <v/>
      </c>
      <c r="N432" s="2" t="str">
        <f t="shared" si="107"/>
        <v/>
      </c>
      <c r="O432" s="8" t="str">
        <f t="shared" si="108"/>
        <v/>
      </c>
      <c r="P432" s="8" t="str">
        <f t="shared" si="109"/>
        <v/>
      </c>
      <c r="Q432" s="40" t="str">
        <f t="shared" si="100"/>
        <v/>
      </c>
      <c r="R432" s="48" t="str">
        <f t="shared" si="110"/>
        <v/>
      </c>
      <c r="S432" s="8"/>
      <c r="U432" s="35">
        <f t="shared" si="101"/>
        <v>0</v>
      </c>
      <c r="V432" s="24">
        <f t="shared" si="102"/>
        <v>0</v>
      </c>
      <c r="W432" s="41">
        <f t="shared" si="113"/>
        <v>0</v>
      </c>
      <c r="X432" s="31"/>
      <c r="Y432" s="31"/>
      <c r="Z432" s="31"/>
      <c r="AA432" s="25">
        <f t="shared" si="103"/>
        <v>9.0359999999999996</v>
      </c>
      <c r="AB432" s="25">
        <f t="shared" si="104"/>
        <v>-184.49199999999999</v>
      </c>
      <c r="AD432" s="24">
        <f>IF(D432="M",IF(AG432&lt;78,BMILMS!$D$5*AG432^3+BMILMS!$E$5*AG432^2+BMILMS!$F$5*AG432+BMILMS!$G$5,IF(AG432&lt;150,BMILMS!$D$6*AG432^3+BMILMS!$E$6*AG432^2+BMILMS!$F$6*AG432+BMILMS!$G$6,BMILMS!$D$7*AG432^3+BMILMS!$E$7*AG432^2+BMILMS!$F$7*AG432+BMILMS!$G$7)),IF(AG432&lt;69,BMILMS!$D$9*AG432^3+BMILMS!$E$9*AG432^2+BMILMS!$F$9*AG432+BMILMS!$G$9,IF(AG432&lt;150,BMILMS!$D$10*AG432^3+BMILMS!$E$10*AG432^2+BMILMS!$F$10*AG432+BMILMS!$G$10,BMILMS!$D$11*AG432^3+BMILMS!$E$11*AG432^2+BMILMS!$F$11*AG432+BMILMS!$G$11)))</f>
        <v>0.79584630099999998</v>
      </c>
      <c r="AE432" s="24">
        <f>IF(D432="M",(IF(AG432&lt;2.5,BMILMS!$D$21*AG432^3+BMILMS!$E$21*AG432^2+BMILMS!$F$21*AG432+BMILMS!$G$21,IF(AG432&lt;9.5,BMILMS!$D$22*AG432^3+BMILMS!$E$22*AG432^2+BMILMS!$F$22*AG432+BMILMS!$G$22,IF(AG432&lt;26.75,BMILMS!$D$23*AG432^3+BMILMS!$E$23*AG432^2+BMILMS!$F$23*AG432+BMILMS!$G$23,IF(AG432&lt;90,BMILMS!$D$24*AG432^3+BMILMS!$E$24*AG432^2+BMILMS!$F$24*AG432+BMILMS!$G$24,BMILMS!$D$25*AG432^3+BMILMS!$E$25*AG432^2+BMILMS!$F$25*AG432+BMILMS!$G$25))))),(IF(AG432&lt;2.5,BMILMS!$D$27*AG432^3+BMILMS!$E$27*AG432^2+BMILMS!$F$27*AG432+BMILMS!$G$27,IF(AG432&lt;9.5,BMILMS!$D$28*AG432^3+BMILMS!$E$28*AG432^2+BMILMS!$F$28*AG432+BMILMS!$G$28,IF(AG432&lt;26.75,BMILMS!$D$29*AG432^3+BMILMS!$E$29*AG432^2+BMILMS!$F$29*AG432+BMILMS!$G$29,IF(AG432&lt;90,BMILMS!$D$30*AG432^3+BMILMS!$E$30*AG432^2+BMILMS!$F$30*AG432+BMILMS!$G$30,IF(AG432&lt;150,BMILMS!$D$31*AG432^3+BMILMS!$E$31*AG432^2+BMILMS!$F$31*AG432+BMILMS!$G$31,BMILMS!$D$32*AG432^3+BMILMS!$E$32*AG432^2+BMILMS!$F$32*AG432+BMILMS!$G$32)))))))</f>
        <v>12.568967990000001</v>
      </c>
      <c r="AF432" s="24">
        <f>IF(D432="M",(IF(AG432&lt;90,BMILMS!$D$14*AG432^3+BMILMS!$E$14*AG432^2+BMILMS!$F$14*AG432+BMILMS!$G$14,BMILMS!$D$15*AG432^3+BMILMS!$E$15*AG432^2+BMILMS!$F$15*AG432+BMILMS!$G$15)),(IF(AG432&lt;90,BMILMS!$D$17*AG432^3+BMILMS!$E$17*AG432^2+BMILMS!$F$17*AG432+BMILMS!$G$17,BMILMS!$D$18*AG432^3+BMILMS!$E$18*AG432^2+BMILMS!$F$18*AG432+BMILMS!$G$18)))</f>
        <v>8.8969350000000003E-2</v>
      </c>
      <c r="AG432" s="24">
        <f t="shared" si="112"/>
        <v>0</v>
      </c>
      <c r="AI432" s="38">
        <f>IF(D432="M",WeightSDS!P$5*$AG432^7+WeightSDS!Q$5*$AG432^6+WeightSDS!R$5*$AG432^5+WeightSDS!S$5*$AG432^4+WeightSDS!T$5*$AG432^3+WeightSDS!U$5*$AG432^2+WeightSDS!V$5*$AG432+WeightSDS!W$5,IF($AG432&lt;186,WeightSDS!P$8*$AG432^7+WeightSDS!Q$8*$AG432^6+WeightSDS!R$8*$AG432^5+WeightSDS!S$8*$AG432^4+WeightSDS!T$8*$AG432^3+WeightSDS!U$8*$AG432^2+WeightSDS!V$8*$AG432+WeightSDS!W$8,WeightSDS!$U$9-WeightSDS!$V$9*($AG432-WeightSDS!$W$9)))</f>
        <v>0.75407122999999998</v>
      </c>
      <c r="AJ432" s="24">
        <f>IF(D432="M",IF($AG432&lt;45,WeightSDS!M$23*$AG432^10+WeightSDS!N$23*$AG432^9+WeightSDS!O$23*$AG432^8+WeightSDS!P$23*$AG432^7+WeightSDS!Q$23*$AG432^6+WeightSDS!R$23*$AG432^5+WeightSDS!S$23*$AG432^4+WeightSDS!T$23*$AG432^3+WeightSDS!U$23*$AG432^2+WeightSDS!V$23*$AG432+WeightSDS!W$23,IF($AG432&lt;153,WeightSDS!M$25*$AG432^10+WeightSDS!N$25*$AG432^9+WeightSDS!O$25*$AG432^8+WeightSDS!P$25*$AG432^7+WeightSDS!Q$25*$AG432^6+WeightSDS!R$25*$AG432^5+WeightSDS!S$25*$AG432^4+WeightSDS!T$25*$AG432^3+WeightSDS!U$25*$AG432^2+WeightSDS!V$25*$AG432+WeightSDS!W$25,WeightSDS!M$27+WeightSDS!N$27/(1+EXP(WeightSDS!O$27+WeightSDS!P$27*$AG432)))),IF($AG432&lt;43.8,WeightSDS!M$29*$AG432^10+WeightSDS!N$29*$AG432^9+WeightSDS!O$29*$AG432^8+WeightSDS!P$29*$AG432^7+WeightSDS!Q$29*$AG432^6+WeightSDS!R$29*$AG432^5+WeightSDS!S$29*$AG432^4+WeightSDS!T$29*$AG432^3+WeightSDS!U$29*$AG432^2+WeightSDS!V$29*$AG432+WeightSDS!W$29-0.010431*(1-$AG432/210),IF($AG432&lt;123,WeightSDS!M$30*$AG432^10+WeightSDS!N$30*$AG432^9+WeightSDS!O$30*$AG432^8+WeightSDS!P$30*$AG432^7+WeightSDS!Q$30*$AG432^6+WeightSDS!R$30*$AG432^5+WeightSDS!S$30*$AG432^4+WeightSDS!T$30*$AG432^3+WeightSDS!U$30*$AG432^2+WeightSDS!V$30*$AG432+WeightSDS!W$30-0.010431*(1-1/$AG432),WeightSDS!M$32+WeightSDS!N$32/(1+EXP(WeightSDS!O$32+WeightSDS!P$32*$AG432))-0.010431*(1-$AG432/210))))</f>
        <v>2.9500001032655536</v>
      </c>
      <c r="AK432" s="24">
        <f>IF(D432="M",IF($AG432&lt;162,WeightSDS!P$12*$AG432^7+WeightSDS!Q$12*$AG432^6+WeightSDS!R$12*$AG432^5+WeightSDS!S$12*$AG432^4+WeightSDS!T$12*$AG432^3+WeightSDS!U$12*$AG432^2+WeightSDS!V$12*$AG432+WeightSDS!W$12,WeightSDS!P$14*$AG432^7+WeightSDS!Q$14*$AG432^6+WeightSDS!R$14*$AG432^5+WeightSDS!S$14*$AG432^4+WeightSDS!T$14*$AG432^3+WeightSDS!U$14*$AG432^2+WeightSDS!V$14*$AG432+WeightSDS!W$14),IF($AG432&lt;156,WeightSDS!O$17*$AG432^8+WeightSDS!P$17*$AG432^7+WeightSDS!Q$17*$AG432^6+WeightSDS!R$17*$AG432^5+WeightSDS!S$17*$AG432^4+WeightSDS!T$17*$AG432^3+WeightSDS!U$17*$AG432^2+WeightSDS!V$17*$AG432+WeightSDS!W$17,IF($AG432&lt;186,WeightSDS!$U$18+(WeightSDS!$V$18-WeightSDS!$U$18)/24*($AG432-186)+WeightSDS!$W$18*(-$AG432+186)^2-0.005,WeightSDS!$U$18+(WeightSDS!$V$18-WeightSDS!$U$18)/24*($AG432-186)-0.005)))</f>
        <v>0.14604529399999999</v>
      </c>
    </row>
    <row r="433" spans="1:37">
      <c r="A433" s="4"/>
      <c r="B433" s="21"/>
      <c r="C433" s="21"/>
      <c r="D433" s="21"/>
      <c r="E433" s="22"/>
      <c r="F433" s="22"/>
      <c r="G433" s="23"/>
      <c r="H433" s="23"/>
      <c r="I433" s="8" t="str">
        <f t="shared" si="98"/>
        <v/>
      </c>
      <c r="J433" s="2" t="str">
        <f t="shared" si="105"/>
        <v/>
      </c>
      <c r="K433" s="2" t="str">
        <f t="shared" si="99"/>
        <v/>
      </c>
      <c r="L433" s="2" t="str">
        <f t="shared" si="106"/>
        <v/>
      </c>
      <c r="M433" s="2" t="str">
        <f t="shared" si="111"/>
        <v/>
      </c>
      <c r="N433" s="2" t="str">
        <f t="shared" si="107"/>
        <v/>
      </c>
      <c r="O433" s="8" t="str">
        <f t="shared" si="108"/>
        <v/>
      </c>
      <c r="P433" s="8" t="str">
        <f t="shared" si="109"/>
        <v/>
      </c>
      <c r="Q433" s="40" t="str">
        <f t="shared" si="100"/>
        <v/>
      </c>
      <c r="R433" s="48" t="str">
        <f t="shared" si="110"/>
        <v/>
      </c>
      <c r="S433" s="8"/>
      <c r="U433" s="35">
        <f t="shared" si="101"/>
        <v>0</v>
      </c>
      <c r="V433" s="24">
        <f t="shared" si="102"/>
        <v>0</v>
      </c>
      <c r="W433" s="41">
        <f t="shared" si="113"/>
        <v>0</v>
      </c>
      <c r="X433" s="31"/>
      <c r="Y433" s="31"/>
      <c r="Z433" s="31"/>
      <c r="AA433" s="25">
        <f t="shared" si="103"/>
        <v>9.0359999999999996</v>
      </c>
      <c r="AB433" s="25">
        <f t="shared" si="104"/>
        <v>-184.49199999999999</v>
      </c>
      <c r="AD433" s="24">
        <f>IF(D433="M",IF(AG433&lt;78,BMILMS!$D$5*AG433^3+BMILMS!$E$5*AG433^2+BMILMS!$F$5*AG433+BMILMS!$G$5,IF(AG433&lt;150,BMILMS!$D$6*AG433^3+BMILMS!$E$6*AG433^2+BMILMS!$F$6*AG433+BMILMS!$G$6,BMILMS!$D$7*AG433^3+BMILMS!$E$7*AG433^2+BMILMS!$F$7*AG433+BMILMS!$G$7)),IF(AG433&lt;69,BMILMS!$D$9*AG433^3+BMILMS!$E$9*AG433^2+BMILMS!$F$9*AG433+BMILMS!$G$9,IF(AG433&lt;150,BMILMS!$D$10*AG433^3+BMILMS!$E$10*AG433^2+BMILMS!$F$10*AG433+BMILMS!$G$10,BMILMS!$D$11*AG433^3+BMILMS!$E$11*AG433^2+BMILMS!$F$11*AG433+BMILMS!$G$11)))</f>
        <v>0.79584630099999998</v>
      </c>
      <c r="AE433" s="24">
        <f>IF(D433="M",(IF(AG433&lt;2.5,BMILMS!$D$21*AG433^3+BMILMS!$E$21*AG433^2+BMILMS!$F$21*AG433+BMILMS!$G$21,IF(AG433&lt;9.5,BMILMS!$D$22*AG433^3+BMILMS!$E$22*AG433^2+BMILMS!$F$22*AG433+BMILMS!$G$22,IF(AG433&lt;26.75,BMILMS!$D$23*AG433^3+BMILMS!$E$23*AG433^2+BMILMS!$F$23*AG433+BMILMS!$G$23,IF(AG433&lt;90,BMILMS!$D$24*AG433^3+BMILMS!$E$24*AG433^2+BMILMS!$F$24*AG433+BMILMS!$G$24,BMILMS!$D$25*AG433^3+BMILMS!$E$25*AG433^2+BMILMS!$F$25*AG433+BMILMS!$G$25))))),(IF(AG433&lt;2.5,BMILMS!$D$27*AG433^3+BMILMS!$E$27*AG433^2+BMILMS!$F$27*AG433+BMILMS!$G$27,IF(AG433&lt;9.5,BMILMS!$D$28*AG433^3+BMILMS!$E$28*AG433^2+BMILMS!$F$28*AG433+BMILMS!$G$28,IF(AG433&lt;26.75,BMILMS!$D$29*AG433^3+BMILMS!$E$29*AG433^2+BMILMS!$F$29*AG433+BMILMS!$G$29,IF(AG433&lt;90,BMILMS!$D$30*AG433^3+BMILMS!$E$30*AG433^2+BMILMS!$F$30*AG433+BMILMS!$G$30,IF(AG433&lt;150,BMILMS!$D$31*AG433^3+BMILMS!$E$31*AG433^2+BMILMS!$F$31*AG433+BMILMS!$G$31,BMILMS!$D$32*AG433^3+BMILMS!$E$32*AG433^2+BMILMS!$F$32*AG433+BMILMS!$G$32)))))))</f>
        <v>12.568967990000001</v>
      </c>
      <c r="AF433" s="24">
        <f>IF(D433="M",(IF(AG433&lt;90,BMILMS!$D$14*AG433^3+BMILMS!$E$14*AG433^2+BMILMS!$F$14*AG433+BMILMS!$G$14,BMILMS!$D$15*AG433^3+BMILMS!$E$15*AG433^2+BMILMS!$F$15*AG433+BMILMS!$G$15)),(IF(AG433&lt;90,BMILMS!$D$17*AG433^3+BMILMS!$E$17*AG433^2+BMILMS!$F$17*AG433+BMILMS!$G$17,BMILMS!$D$18*AG433^3+BMILMS!$E$18*AG433^2+BMILMS!$F$18*AG433+BMILMS!$G$18)))</f>
        <v>8.8969350000000003E-2</v>
      </c>
      <c r="AG433" s="24">
        <f t="shared" si="112"/>
        <v>0</v>
      </c>
      <c r="AI433" s="38">
        <f>IF(D433="M",WeightSDS!P$5*$AG433^7+WeightSDS!Q$5*$AG433^6+WeightSDS!R$5*$AG433^5+WeightSDS!S$5*$AG433^4+WeightSDS!T$5*$AG433^3+WeightSDS!U$5*$AG433^2+WeightSDS!V$5*$AG433+WeightSDS!W$5,IF($AG433&lt;186,WeightSDS!P$8*$AG433^7+WeightSDS!Q$8*$AG433^6+WeightSDS!R$8*$AG433^5+WeightSDS!S$8*$AG433^4+WeightSDS!T$8*$AG433^3+WeightSDS!U$8*$AG433^2+WeightSDS!V$8*$AG433+WeightSDS!W$8,WeightSDS!$U$9-WeightSDS!$V$9*($AG433-WeightSDS!$W$9)))</f>
        <v>0.75407122999999998</v>
      </c>
      <c r="AJ433" s="24">
        <f>IF(D433="M",IF($AG433&lt;45,WeightSDS!M$23*$AG433^10+WeightSDS!N$23*$AG433^9+WeightSDS!O$23*$AG433^8+WeightSDS!P$23*$AG433^7+WeightSDS!Q$23*$AG433^6+WeightSDS!R$23*$AG433^5+WeightSDS!S$23*$AG433^4+WeightSDS!T$23*$AG433^3+WeightSDS!U$23*$AG433^2+WeightSDS!V$23*$AG433+WeightSDS!W$23,IF($AG433&lt;153,WeightSDS!M$25*$AG433^10+WeightSDS!N$25*$AG433^9+WeightSDS!O$25*$AG433^8+WeightSDS!P$25*$AG433^7+WeightSDS!Q$25*$AG433^6+WeightSDS!R$25*$AG433^5+WeightSDS!S$25*$AG433^4+WeightSDS!T$25*$AG433^3+WeightSDS!U$25*$AG433^2+WeightSDS!V$25*$AG433+WeightSDS!W$25,WeightSDS!M$27+WeightSDS!N$27/(1+EXP(WeightSDS!O$27+WeightSDS!P$27*$AG433)))),IF($AG433&lt;43.8,WeightSDS!M$29*$AG433^10+WeightSDS!N$29*$AG433^9+WeightSDS!O$29*$AG433^8+WeightSDS!P$29*$AG433^7+WeightSDS!Q$29*$AG433^6+WeightSDS!R$29*$AG433^5+WeightSDS!S$29*$AG433^4+WeightSDS!T$29*$AG433^3+WeightSDS!U$29*$AG433^2+WeightSDS!V$29*$AG433+WeightSDS!W$29-0.010431*(1-$AG433/210),IF($AG433&lt;123,WeightSDS!M$30*$AG433^10+WeightSDS!N$30*$AG433^9+WeightSDS!O$30*$AG433^8+WeightSDS!P$30*$AG433^7+WeightSDS!Q$30*$AG433^6+WeightSDS!R$30*$AG433^5+WeightSDS!S$30*$AG433^4+WeightSDS!T$30*$AG433^3+WeightSDS!U$30*$AG433^2+WeightSDS!V$30*$AG433+WeightSDS!W$30-0.010431*(1-1/$AG433),WeightSDS!M$32+WeightSDS!N$32/(1+EXP(WeightSDS!O$32+WeightSDS!P$32*$AG433))-0.010431*(1-$AG433/210))))</f>
        <v>2.9500001032655536</v>
      </c>
      <c r="AK433" s="24">
        <f>IF(D433="M",IF($AG433&lt;162,WeightSDS!P$12*$AG433^7+WeightSDS!Q$12*$AG433^6+WeightSDS!R$12*$AG433^5+WeightSDS!S$12*$AG433^4+WeightSDS!T$12*$AG433^3+WeightSDS!U$12*$AG433^2+WeightSDS!V$12*$AG433+WeightSDS!W$12,WeightSDS!P$14*$AG433^7+WeightSDS!Q$14*$AG433^6+WeightSDS!R$14*$AG433^5+WeightSDS!S$14*$AG433^4+WeightSDS!T$14*$AG433^3+WeightSDS!U$14*$AG433^2+WeightSDS!V$14*$AG433+WeightSDS!W$14),IF($AG433&lt;156,WeightSDS!O$17*$AG433^8+WeightSDS!P$17*$AG433^7+WeightSDS!Q$17*$AG433^6+WeightSDS!R$17*$AG433^5+WeightSDS!S$17*$AG433^4+WeightSDS!T$17*$AG433^3+WeightSDS!U$17*$AG433^2+WeightSDS!V$17*$AG433+WeightSDS!W$17,IF($AG433&lt;186,WeightSDS!$U$18+(WeightSDS!$V$18-WeightSDS!$U$18)/24*($AG433-186)+WeightSDS!$W$18*(-$AG433+186)^2-0.005,WeightSDS!$U$18+(WeightSDS!$V$18-WeightSDS!$U$18)/24*($AG433-186)-0.005)))</f>
        <v>0.14604529399999999</v>
      </c>
    </row>
    <row r="434" spans="1:37">
      <c r="A434" s="4"/>
      <c r="B434" s="21"/>
      <c r="C434" s="21"/>
      <c r="D434" s="21"/>
      <c r="E434" s="22"/>
      <c r="F434" s="22"/>
      <c r="G434" s="23"/>
      <c r="H434" s="23"/>
      <c r="I434" s="8" t="str">
        <f t="shared" si="98"/>
        <v/>
      </c>
      <c r="J434" s="2" t="str">
        <f t="shared" si="105"/>
        <v/>
      </c>
      <c r="K434" s="2" t="str">
        <f t="shared" si="99"/>
        <v/>
      </c>
      <c r="L434" s="2" t="str">
        <f t="shared" si="106"/>
        <v/>
      </c>
      <c r="M434" s="2" t="str">
        <f t="shared" si="111"/>
        <v/>
      </c>
      <c r="N434" s="2" t="str">
        <f t="shared" si="107"/>
        <v/>
      </c>
      <c r="O434" s="8" t="str">
        <f t="shared" si="108"/>
        <v/>
      </c>
      <c r="P434" s="8" t="str">
        <f t="shared" si="109"/>
        <v/>
      </c>
      <c r="Q434" s="40" t="str">
        <f t="shared" si="100"/>
        <v/>
      </c>
      <c r="R434" s="48" t="str">
        <f t="shared" si="110"/>
        <v/>
      </c>
      <c r="S434" s="8"/>
      <c r="U434" s="35">
        <f t="shared" si="101"/>
        <v>0</v>
      </c>
      <c r="V434" s="24">
        <f t="shared" si="102"/>
        <v>0</v>
      </c>
      <c r="W434" s="41">
        <f t="shared" si="113"/>
        <v>0</v>
      </c>
      <c r="X434" s="31"/>
      <c r="Y434" s="31"/>
      <c r="Z434" s="31"/>
      <c r="AA434" s="25">
        <f t="shared" si="103"/>
        <v>9.0359999999999996</v>
      </c>
      <c r="AB434" s="25">
        <f t="shared" si="104"/>
        <v>-184.49199999999999</v>
      </c>
      <c r="AD434" s="24">
        <f>IF(D434="M",IF(AG434&lt;78,BMILMS!$D$5*AG434^3+BMILMS!$E$5*AG434^2+BMILMS!$F$5*AG434+BMILMS!$G$5,IF(AG434&lt;150,BMILMS!$D$6*AG434^3+BMILMS!$E$6*AG434^2+BMILMS!$F$6*AG434+BMILMS!$G$6,BMILMS!$D$7*AG434^3+BMILMS!$E$7*AG434^2+BMILMS!$F$7*AG434+BMILMS!$G$7)),IF(AG434&lt;69,BMILMS!$D$9*AG434^3+BMILMS!$E$9*AG434^2+BMILMS!$F$9*AG434+BMILMS!$G$9,IF(AG434&lt;150,BMILMS!$D$10*AG434^3+BMILMS!$E$10*AG434^2+BMILMS!$F$10*AG434+BMILMS!$G$10,BMILMS!$D$11*AG434^3+BMILMS!$E$11*AG434^2+BMILMS!$F$11*AG434+BMILMS!$G$11)))</f>
        <v>0.79584630099999998</v>
      </c>
      <c r="AE434" s="24">
        <f>IF(D434="M",(IF(AG434&lt;2.5,BMILMS!$D$21*AG434^3+BMILMS!$E$21*AG434^2+BMILMS!$F$21*AG434+BMILMS!$G$21,IF(AG434&lt;9.5,BMILMS!$D$22*AG434^3+BMILMS!$E$22*AG434^2+BMILMS!$F$22*AG434+BMILMS!$G$22,IF(AG434&lt;26.75,BMILMS!$D$23*AG434^3+BMILMS!$E$23*AG434^2+BMILMS!$F$23*AG434+BMILMS!$G$23,IF(AG434&lt;90,BMILMS!$D$24*AG434^3+BMILMS!$E$24*AG434^2+BMILMS!$F$24*AG434+BMILMS!$G$24,BMILMS!$D$25*AG434^3+BMILMS!$E$25*AG434^2+BMILMS!$F$25*AG434+BMILMS!$G$25))))),(IF(AG434&lt;2.5,BMILMS!$D$27*AG434^3+BMILMS!$E$27*AG434^2+BMILMS!$F$27*AG434+BMILMS!$G$27,IF(AG434&lt;9.5,BMILMS!$D$28*AG434^3+BMILMS!$E$28*AG434^2+BMILMS!$F$28*AG434+BMILMS!$G$28,IF(AG434&lt;26.75,BMILMS!$D$29*AG434^3+BMILMS!$E$29*AG434^2+BMILMS!$F$29*AG434+BMILMS!$G$29,IF(AG434&lt;90,BMILMS!$D$30*AG434^3+BMILMS!$E$30*AG434^2+BMILMS!$F$30*AG434+BMILMS!$G$30,IF(AG434&lt;150,BMILMS!$D$31*AG434^3+BMILMS!$E$31*AG434^2+BMILMS!$F$31*AG434+BMILMS!$G$31,BMILMS!$D$32*AG434^3+BMILMS!$E$32*AG434^2+BMILMS!$F$32*AG434+BMILMS!$G$32)))))))</f>
        <v>12.568967990000001</v>
      </c>
      <c r="AF434" s="24">
        <f>IF(D434="M",(IF(AG434&lt;90,BMILMS!$D$14*AG434^3+BMILMS!$E$14*AG434^2+BMILMS!$F$14*AG434+BMILMS!$G$14,BMILMS!$D$15*AG434^3+BMILMS!$E$15*AG434^2+BMILMS!$F$15*AG434+BMILMS!$G$15)),(IF(AG434&lt;90,BMILMS!$D$17*AG434^3+BMILMS!$E$17*AG434^2+BMILMS!$F$17*AG434+BMILMS!$G$17,BMILMS!$D$18*AG434^3+BMILMS!$E$18*AG434^2+BMILMS!$F$18*AG434+BMILMS!$G$18)))</f>
        <v>8.8969350000000003E-2</v>
      </c>
      <c r="AG434" s="24">
        <f t="shared" si="112"/>
        <v>0</v>
      </c>
      <c r="AI434" s="38">
        <f>IF(D434="M",WeightSDS!P$5*$AG434^7+WeightSDS!Q$5*$AG434^6+WeightSDS!R$5*$AG434^5+WeightSDS!S$5*$AG434^4+WeightSDS!T$5*$AG434^3+WeightSDS!U$5*$AG434^2+WeightSDS!V$5*$AG434+WeightSDS!W$5,IF($AG434&lt;186,WeightSDS!P$8*$AG434^7+WeightSDS!Q$8*$AG434^6+WeightSDS!R$8*$AG434^5+WeightSDS!S$8*$AG434^4+WeightSDS!T$8*$AG434^3+WeightSDS!U$8*$AG434^2+WeightSDS!V$8*$AG434+WeightSDS!W$8,WeightSDS!$U$9-WeightSDS!$V$9*($AG434-WeightSDS!$W$9)))</f>
        <v>0.75407122999999998</v>
      </c>
      <c r="AJ434" s="24">
        <f>IF(D434="M",IF($AG434&lt;45,WeightSDS!M$23*$AG434^10+WeightSDS!N$23*$AG434^9+WeightSDS!O$23*$AG434^8+WeightSDS!P$23*$AG434^7+WeightSDS!Q$23*$AG434^6+WeightSDS!R$23*$AG434^5+WeightSDS!S$23*$AG434^4+WeightSDS!T$23*$AG434^3+WeightSDS!U$23*$AG434^2+WeightSDS!V$23*$AG434+WeightSDS!W$23,IF($AG434&lt;153,WeightSDS!M$25*$AG434^10+WeightSDS!N$25*$AG434^9+WeightSDS!O$25*$AG434^8+WeightSDS!P$25*$AG434^7+WeightSDS!Q$25*$AG434^6+WeightSDS!R$25*$AG434^5+WeightSDS!S$25*$AG434^4+WeightSDS!T$25*$AG434^3+WeightSDS!U$25*$AG434^2+WeightSDS!V$25*$AG434+WeightSDS!W$25,WeightSDS!M$27+WeightSDS!N$27/(1+EXP(WeightSDS!O$27+WeightSDS!P$27*$AG434)))),IF($AG434&lt;43.8,WeightSDS!M$29*$AG434^10+WeightSDS!N$29*$AG434^9+WeightSDS!O$29*$AG434^8+WeightSDS!P$29*$AG434^7+WeightSDS!Q$29*$AG434^6+WeightSDS!R$29*$AG434^5+WeightSDS!S$29*$AG434^4+WeightSDS!T$29*$AG434^3+WeightSDS!U$29*$AG434^2+WeightSDS!V$29*$AG434+WeightSDS!W$29-0.010431*(1-$AG434/210),IF($AG434&lt;123,WeightSDS!M$30*$AG434^10+WeightSDS!N$30*$AG434^9+WeightSDS!O$30*$AG434^8+WeightSDS!P$30*$AG434^7+WeightSDS!Q$30*$AG434^6+WeightSDS!R$30*$AG434^5+WeightSDS!S$30*$AG434^4+WeightSDS!T$30*$AG434^3+WeightSDS!U$30*$AG434^2+WeightSDS!V$30*$AG434+WeightSDS!W$30-0.010431*(1-1/$AG434),WeightSDS!M$32+WeightSDS!N$32/(1+EXP(WeightSDS!O$32+WeightSDS!P$32*$AG434))-0.010431*(1-$AG434/210))))</f>
        <v>2.9500001032655536</v>
      </c>
      <c r="AK434" s="24">
        <f>IF(D434="M",IF($AG434&lt;162,WeightSDS!P$12*$AG434^7+WeightSDS!Q$12*$AG434^6+WeightSDS!R$12*$AG434^5+WeightSDS!S$12*$AG434^4+WeightSDS!T$12*$AG434^3+WeightSDS!U$12*$AG434^2+WeightSDS!V$12*$AG434+WeightSDS!W$12,WeightSDS!P$14*$AG434^7+WeightSDS!Q$14*$AG434^6+WeightSDS!R$14*$AG434^5+WeightSDS!S$14*$AG434^4+WeightSDS!T$14*$AG434^3+WeightSDS!U$14*$AG434^2+WeightSDS!V$14*$AG434+WeightSDS!W$14),IF($AG434&lt;156,WeightSDS!O$17*$AG434^8+WeightSDS!P$17*$AG434^7+WeightSDS!Q$17*$AG434^6+WeightSDS!R$17*$AG434^5+WeightSDS!S$17*$AG434^4+WeightSDS!T$17*$AG434^3+WeightSDS!U$17*$AG434^2+WeightSDS!V$17*$AG434+WeightSDS!W$17,IF($AG434&lt;186,WeightSDS!$U$18+(WeightSDS!$V$18-WeightSDS!$U$18)/24*($AG434-186)+WeightSDS!$W$18*(-$AG434+186)^2-0.005,WeightSDS!$U$18+(WeightSDS!$V$18-WeightSDS!$U$18)/24*($AG434-186)-0.005)))</f>
        <v>0.14604529399999999</v>
      </c>
    </row>
    <row r="435" spans="1:37">
      <c r="A435" s="4"/>
      <c r="B435" s="21"/>
      <c r="C435" s="21"/>
      <c r="D435" s="21"/>
      <c r="E435" s="22"/>
      <c r="F435" s="22"/>
      <c r="G435" s="23"/>
      <c r="H435" s="23"/>
      <c r="I435" s="8" t="str">
        <f t="shared" si="98"/>
        <v/>
      </c>
      <c r="J435" s="2" t="str">
        <f t="shared" si="105"/>
        <v/>
      </c>
      <c r="K435" s="2" t="str">
        <f t="shared" si="99"/>
        <v/>
      </c>
      <c r="L435" s="2" t="str">
        <f t="shared" si="106"/>
        <v/>
      </c>
      <c r="M435" s="2" t="str">
        <f t="shared" si="111"/>
        <v/>
      </c>
      <c r="N435" s="2" t="str">
        <f t="shared" si="107"/>
        <v/>
      </c>
      <c r="O435" s="8" t="str">
        <f t="shared" si="108"/>
        <v/>
      </c>
      <c r="P435" s="8" t="str">
        <f t="shared" si="109"/>
        <v/>
      </c>
      <c r="Q435" s="40" t="str">
        <f t="shared" si="100"/>
        <v/>
      </c>
      <c r="R435" s="48" t="str">
        <f t="shared" si="110"/>
        <v/>
      </c>
      <c r="S435" s="8"/>
      <c r="U435" s="35">
        <f t="shared" si="101"/>
        <v>0</v>
      </c>
      <c r="V435" s="24">
        <f t="shared" si="102"/>
        <v>0</v>
      </c>
      <c r="W435" s="41">
        <f t="shared" si="113"/>
        <v>0</v>
      </c>
      <c r="X435" s="31"/>
      <c r="Y435" s="31"/>
      <c r="Z435" s="31"/>
      <c r="AA435" s="25">
        <f t="shared" si="103"/>
        <v>9.0359999999999996</v>
      </c>
      <c r="AB435" s="25">
        <f t="shared" si="104"/>
        <v>-184.49199999999999</v>
      </c>
      <c r="AD435" s="24">
        <f>IF(D435="M",IF(AG435&lt;78,BMILMS!$D$5*AG435^3+BMILMS!$E$5*AG435^2+BMILMS!$F$5*AG435+BMILMS!$G$5,IF(AG435&lt;150,BMILMS!$D$6*AG435^3+BMILMS!$E$6*AG435^2+BMILMS!$F$6*AG435+BMILMS!$G$6,BMILMS!$D$7*AG435^3+BMILMS!$E$7*AG435^2+BMILMS!$F$7*AG435+BMILMS!$G$7)),IF(AG435&lt;69,BMILMS!$D$9*AG435^3+BMILMS!$E$9*AG435^2+BMILMS!$F$9*AG435+BMILMS!$G$9,IF(AG435&lt;150,BMILMS!$D$10*AG435^3+BMILMS!$E$10*AG435^2+BMILMS!$F$10*AG435+BMILMS!$G$10,BMILMS!$D$11*AG435^3+BMILMS!$E$11*AG435^2+BMILMS!$F$11*AG435+BMILMS!$G$11)))</f>
        <v>0.79584630099999998</v>
      </c>
      <c r="AE435" s="24">
        <f>IF(D435="M",(IF(AG435&lt;2.5,BMILMS!$D$21*AG435^3+BMILMS!$E$21*AG435^2+BMILMS!$F$21*AG435+BMILMS!$G$21,IF(AG435&lt;9.5,BMILMS!$D$22*AG435^3+BMILMS!$E$22*AG435^2+BMILMS!$F$22*AG435+BMILMS!$G$22,IF(AG435&lt;26.75,BMILMS!$D$23*AG435^3+BMILMS!$E$23*AG435^2+BMILMS!$F$23*AG435+BMILMS!$G$23,IF(AG435&lt;90,BMILMS!$D$24*AG435^3+BMILMS!$E$24*AG435^2+BMILMS!$F$24*AG435+BMILMS!$G$24,BMILMS!$D$25*AG435^3+BMILMS!$E$25*AG435^2+BMILMS!$F$25*AG435+BMILMS!$G$25))))),(IF(AG435&lt;2.5,BMILMS!$D$27*AG435^3+BMILMS!$E$27*AG435^2+BMILMS!$F$27*AG435+BMILMS!$G$27,IF(AG435&lt;9.5,BMILMS!$D$28*AG435^3+BMILMS!$E$28*AG435^2+BMILMS!$F$28*AG435+BMILMS!$G$28,IF(AG435&lt;26.75,BMILMS!$D$29*AG435^3+BMILMS!$E$29*AG435^2+BMILMS!$F$29*AG435+BMILMS!$G$29,IF(AG435&lt;90,BMILMS!$D$30*AG435^3+BMILMS!$E$30*AG435^2+BMILMS!$F$30*AG435+BMILMS!$G$30,IF(AG435&lt;150,BMILMS!$D$31*AG435^3+BMILMS!$E$31*AG435^2+BMILMS!$F$31*AG435+BMILMS!$G$31,BMILMS!$D$32*AG435^3+BMILMS!$E$32*AG435^2+BMILMS!$F$32*AG435+BMILMS!$G$32)))))))</f>
        <v>12.568967990000001</v>
      </c>
      <c r="AF435" s="24">
        <f>IF(D435="M",(IF(AG435&lt;90,BMILMS!$D$14*AG435^3+BMILMS!$E$14*AG435^2+BMILMS!$F$14*AG435+BMILMS!$G$14,BMILMS!$D$15*AG435^3+BMILMS!$E$15*AG435^2+BMILMS!$F$15*AG435+BMILMS!$G$15)),(IF(AG435&lt;90,BMILMS!$D$17*AG435^3+BMILMS!$E$17*AG435^2+BMILMS!$F$17*AG435+BMILMS!$G$17,BMILMS!$D$18*AG435^3+BMILMS!$E$18*AG435^2+BMILMS!$F$18*AG435+BMILMS!$G$18)))</f>
        <v>8.8969350000000003E-2</v>
      </c>
      <c r="AG435" s="24">
        <f t="shared" si="112"/>
        <v>0</v>
      </c>
      <c r="AI435" s="38">
        <f>IF(D435="M",WeightSDS!P$5*$AG435^7+WeightSDS!Q$5*$AG435^6+WeightSDS!R$5*$AG435^5+WeightSDS!S$5*$AG435^4+WeightSDS!T$5*$AG435^3+WeightSDS!U$5*$AG435^2+WeightSDS!V$5*$AG435+WeightSDS!W$5,IF($AG435&lt;186,WeightSDS!P$8*$AG435^7+WeightSDS!Q$8*$AG435^6+WeightSDS!R$8*$AG435^5+WeightSDS!S$8*$AG435^4+WeightSDS!T$8*$AG435^3+WeightSDS!U$8*$AG435^2+WeightSDS!V$8*$AG435+WeightSDS!W$8,WeightSDS!$U$9-WeightSDS!$V$9*($AG435-WeightSDS!$W$9)))</f>
        <v>0.75407122999999998</v>
      </c>
      <c r="AJ435" s="24">
        <f>IF(D435="M",IF($AG435&lt;45,WeightSDS!M$23*$AG435^10+WeightSDS!N$23*$AG435^9+WeightSDS!O$23*$AG435^8+WeightSDS!P$23*$AG435^7+WeightSDS!Q$23*$AG435^6+WeightSDS!R$23*$AG435^5+WeightSDS!S$23*$AG435^4+WeightSDS!T$23*$AG435^3+WeightSDS!U$23*$AG435^2+WeightSDS!V$23*$AG435+WeightSDS!W$23,IF($AG435&lt;153,WeightSDS!M$25*$AG435^10+WeightSDS!N$25*$AG435^9+WeightSDS!O$25*$AG435^8+WeightSDS!P$25*$AG435^7+WeightSDS!Q$25*$AG435^6+WeightSDS!R$25*$AG435^5+WeightSDS!S$25*$AG435^4+WeightSDS!T$25*$AG435^3+WeightSDS!U$25*$AG435^2+WeightSDS!V$25*$AG435+WeightSDS!W$25,WeightSDS!M$27+WeightSDS!N$27/(1+EXP(WeightSDS!O$27+WeightSDS!P$27*$AG435)))),IF($AG435&lt;43.8,WeightSDS!M$29*$AG435^10+WeightSDS!N$29*$AG435^9+WeightSDS!O$29*$AG435^8+WeightSDS!P$29*$AG435^7+WeightSDS!Q$29*$AG435^6+WeightSDS!R$29*$AG435^5+WeightSDS!S$29*$AG435^4+WeightSDS!T$29*$AG435^3+WeightSDS!U$29*$AG435^2+WeightSDS!V$29*$AG435+WeightSDS!W$29-0.010431*(1-$AG435/210),IF($AG435&lt;123,WeightSDS!M$30*$AG435^10+WeightSDS!N$30*$AG435^9+WeightSDS!O$30*$AG435^8+WeightSDS!P$30*$AG435^7+WeightSDS!Q$30*$AG435^6+WeightSDS!R$30*$AG435^5+WeightSDS!S$30*$AG435^4+WeightSDS!T$30*$AG435^3+WeightSDS!U$30*$AG435^2+WeightSDS!V$30*$AG435+WeightSDS!W$30-0.010431*(1-1/$AG435),WeightSDS!M$32+WeightSDS!N$32/(1+EXP(WeightSDS!O$32+WeightSDS!P$32*$AG435))-0.010431*(1-$AG435/210))))</f>
        <v>2.9500001032655536</v>
      </c>
      <c r="AK435" s="24">
        <f>IF(D435="M",IF($AG435&lt;162,WeightSDS!P$12*$AG435^7+WeightSDS!Q$12*$AG435^6+WeightSDS!R$12*$AG435^5+WeightSDS!S$12*$AG435^4+WeightSDS!T$12*$AG435^3+WeightSDS!U$12*$AG435^2+WeightSDS!V$12*$AG435+WeightSDS!W$12,WeightSDS!P$14*$AG435^7+WeightSDS!Q$14*$AG435^6+WeightSDS!R$14*$AG435^5+WeightSDS!S$14*$AG435^4+WeightSDS!T$14*$AG435^3+WeightSDS!U$14*$AG435^2+WeightSDS!V$14*$AG435+WeightSDS!W$14),IF($AG435&lt;156,WeightSDS!O$17*$AG435^8+WeightSDS!P$17*$AG435^7+WeightSDS!Q$17*$AG435^6+WeightSDS!R$17*$AG435^5+WeightSDS!S$17*$AG435^4+WeightSDS!T$17*$AG435^3+WeightSDS!U$17*$AG435^2+WeightSDS!V$17*$AG435+WeightSDS!W$17,IF($AG435&lt;186,WeightSDS!$U$18+(WeightSDS!$V$18-WeightSDS!$U$18)/24*($AG435-186)+WeightSDS!$W$18*(-$AG435+186)^2-0.005,WeightSDS!$U$18+(WeightSDS!$V$18-WeightSDS!$U$18)/24*($AG435-186)-0.005)))</f>
        <v>0.14604529399999999</v>
      </c>
    </row>
    <row r="436" spans="1:37">
      <c r="A436" s="4"/>
      <c r="B436" s="21"/>
      <c r="C436" s="21"/>
      <c r="D436" s="21"/>
      <c r="E436" s="22"/>
      <c r="F436" s="22"/>
      <c r="G436" s="23"/>
      <c r="H436" s="23"/>
      <c r="I436" s="8" t="str">
        <f t="shared" si="98"/>
        <v/>
      </c>
      <c r="J436" s="2" t="str">
        <f t="shared" si="105"/>
        <v/>
      </c>
      <c r="K436" s="2" t="str">
        <f t="shared" si="99"/>
        <v/>
      </c>
      <c r="L436" s="2" t="str">
        <f t="shared" si="106"/>
        <v/>
      </c>
      <c r="M436" s="2" t="str">
        <f t="shared" si="111"/>
        <v/>
      </c>
      <c r="N436" s="2" t="str">
        <f t="shared" si="107"/>
        <v/>
      </c>
      <c r="O436" s="8" t="str">
        <f t="shared" si="108"/>
        <v/>
      </c>
      <c r="P436" s="8" t="str">
        <f t="shared" si="109"/>
        <v/>
      </c>
      <c r="Q436" s="40" t="str">
        <f t="shared" si="100"/>
        <v/>
      </c>
      <c r="R436" s="48" t="str">
        <f t="shared" si="110"/>
        <v/>
      </c>
      <c r="S436" s="8"/>
      <c r="U436" s="35">
        <f t="shared" si="101"/>
        <v>0</v>
      </c>
      <c r="V436" s="24">
        <f t="shared" si="102"/>
        <v>0</v>
      </c>
      <c r="W436" s="41">
        <f t="shared" si="113"/>
        <v>0</v>
      </c>
      <c r="X436" s="31"/>
      <c r="Y436" s="31"/>
      <c r="Z436" s="31"/>
      <c r="AA436" s="25">
        <f t="shared" si="103"/>
        <v>9.0359999999999996</v>
      </c>
      <c r="AB436" s="25">
        <f t="shared" si="104"/>
        <v>-184.49199999999999</v>
      </c>
      <c r="AD436" s="24">
        <f>IF(D436="M",IF(AG436&lt;78,BMILMS!$D$5*AG436^3+BMILMS!$E$5*AG436^2+BMILMS!$F$5*AG436+BMILMS!$G$5,IF(AG436&lt;150,BMILMS!$D$6*AG436^3+BMILMS!$E$6*AG436^2+BMILMS!$F$6*AG436+BMILMS!$G$6,BMILMS!$D$7*AG436^3+BMILMS!$E$7*AG436^2+BMILMS!$F$7*AG436+BMILMS!$G$7)),IF(AG436&lt;69,BMILMS!$D$9*AG436^3+BMILMS!$E$9*AG436^2+BMILMS!$F$9*AG436+BMILMS!$G$9,IF(AG436&lt;150,BMILMS!$D$10*AG436^3+BMILMS!$E$10*AG436^2+BMILMS!$F$10*AG436+BMILMS!$G$10,BMILMS!$D$11*AG436^3+BMILMS!$E$11*AG436^2+BMILMS!$F$11*AG436+BMILMS!$G$11)))</f>
        <v>0.79584630099999998</v>
      </c>
      <c r="AE436" s="24">
        <f>IF(D436="M",(IF(AG436&lt;2.5,BMILMS!$D$21*AG436^3+BMILMS!$E$21*AG436^2+BMILMS!$F$21*AG436+BMILMS!$G$21,IF(AG436&lt;9.5,BMILMS!$D$22*AG436^3+BMILMS!$E$22*AG436^2+BMILMS!$F$22*AG436+BMILMS!$G$22,IF(AG436&lt;26.75,BMILMS!$D$23*AG436^3+BMILMS!$E$23*AG436^2+BMILMS!$F$23*AG436+BMILMS!$G$23,IF(AG436&lt;90,BMILMS!$D$24*AG436^3+BMILMS!$E$24*AG436^2+BMILMS!$F$24*AG436+BMILMS!$G$24,BMILMS!$D$25*AG436^3+BMILMS!$E$25*AG436^2+BMILMS!$F$25*AG436+BMILMS!$G$25))))),(IF(AG436&lt;2.5,BMILMS!$D$27*AG436^3+BMILMS!$E$27*AG436^2+BMILMS!$F$27*AG436+BMILMS!$G$27,IF(AG436&lt;9.5,BMILMS!$D$28*AG436^3+BMILMS!$E$28*AG436^2+BMILMS!$F$28*AG436+BMILMS!$G$28,IF(AG436&lt;26.75,BMILMS!$D$29*AG436^3+BMILMS!$E$29*AG436^2+BMILMS!$F$29*AG436+BMILMS!$G$29,IF(AG436&lt;90,BMILMS!$D$30*AG436^3+BMILMS!$E$30*AG436^2+BMILMS!$F$30*AG436+BMILMS!$G$30,IF(AG436&lt;150,BMILMS!$D$31*AG436^3+BMILMS!$E$31*AG436^2+BMILMS!$F$31*AG436+BMILMS!$G$31,BMILMS!$D$32*AG436^3+BMILMS!$E$32*AG436^2+BMILMS!$F$32*AG436+BMILMS!$G$32)))))))</f>
        <v>12.568967990000001</v>
      </c>
      <c r="AF436" s="24">
        <f>IF(D436="M",(IF(AG436&lt;90,BMILMS!$D$14*AG436^3+BMILMS!$E$14*AG436^2+BMILMS!$F$14*AG436+BMILMS!$G$14,BMILMS!$D$15*AG436^3+BMILMS!$E$15*AG436^2+BMILMS!$F$15*AG436+BMILMS!$G$15)),(IF(AG436&lt;90,BMILMS!$D$17*AG436^3+BMILMS!$E$17*AG436^2+BMILMS!$F$17*AG436+BMILMS!$G$17,BMILMS!$D$18*AG436^3+BMILMS!$E$18*AG436^2+BMILMS!$F$18*AG436+BMILMS!$G$18)))</f>
        <v>8.8969350000000003E-2</v>
      </c>
      <c r="AG436" s="24">
        <f t="shared" si="112"/>
        <v>0</v>
      </c>
      <c r="AI436" s="38">
        <f>IF(D436="M",WeightSDS!P$5*$AG436^7+WeightSDS!Q$5*$AG436^6+WeightSDS!R$5*$AG436^5+WeightSDS!S$5*$AG436^4+WeightSDS!T$5*$AG436^3+WeightSDS!U$5*$AG436^2+WeightSDS!V$5*$AG436+WeightSDS!W$5,IF($AG436&lt;186,WeightSDS!P$8*$AG436^7+WeightSDS!Q$8*$AG436^6+WeightSDS!R$8*$AG436^5+WeightSDS!S$8*$AG436^4+WeightSDS!T$8*$AG436^3+WeightSDS!U$8*$AG436^2+WeightSDS!V$8*$AG436+WeightSDS!W$8,WeightSDS!$U$9-WeightSDS!$V$9*($AG436-WeightSDS!$W$9)))</f>
        <v>0.75407122999999998</v>
      </c>
      <c r="AJ436" s="24">
        <f>IF(D436="M",IF($AG436&lt;45,WeightSDS!M$23*$AG436^10+WeightSDS!N$23*$AG436^9+WeightSDS!O$23*$AG436^8+WeightSDS!P$23*$AG436^7+WeightSDS!Q$23*$AG436^6+WeightSDS!R$23*$AG436^5+WeightSDS!S$23*$AG436^4+WeightSDS!T$23*$AG436^3+WeightSDS!U$23*$AG436^2+WeightSDS!V$23*$AG436+WeightSDS!W$23,IF($AG436&lt;153,WeightSDS!M$25*$AG436^10+WeightSDS!N$25*$AG436^9+WeightSDS!O$25*$AG436^8+WeightSDS!P$25*$AG436^7+WeightSDS!Q$25*$AG436^6+WeightSDS!R$25*$AG436^5+WeightSDS!S$25*$AG436^4+WeightSDS!T$25*$AG436^3+WeightSDS!U$25*$AG436^2+WeightSDS!V$25*$AG436+WeightSDS!W$25,WeightSDS!M$27+WeightSDS!N$27/(1+EXP(WeightSDS!O$27+WeightSDS!P$27*$AG436)))),IF($AG436&lt;43.8,WeightSDS!M$29*$AG436^10+WeightSDS!N$29*$AG436^9+WeightSDS!O$29*$AG436^8+WeightSDS!P$29*$AG436^7+WeightSDS!Q$29*$AG436^6+WeightSDS!R$29*$AG436^5+WeightSDS!S$29*$AG436^4+WeightSDS!T$29*$AG436^3+WeightSDS!U$29*$AG436^2+WeightSDS!V$29*$AG436+WeightSDS!W$29-0.010431*(1-$AG436/210),IF($AG436&lt;123,WeightSDS!M$30*$AG436^10+WeightSDS!N$30*$AG436^9+WeightSDS!O$30*$AG436^8+WeightSDS!P$30*$AG436^7+WeightSDS!Q$30*$AG436^6+WeightSDS!R$30*$AG436^5+WeightSDS!S$30*$AG436^4+WeightSDS!T$30*$AG436^3+WeightSDS!U$30*$AG436^2+WeightSDS!V$30*$AG436+WeightSDS!W$30-0.010431*(1-1/$AG436),WeightSDS!M$32+WeightSDS!N$32/(1+EXP(WeightSDS!O$32+WeightSDS!P$32*$AG436))-0.010431*(1-$AG436/210))))</f>
        <v>2.9500001032655536</v>
      </c>
      <c r="AK436" s="24">
        <f>IF(D436="M",IF($AG436&lt;162,WeightSDS!P$12*$AG436^7+WeightSDS!Q$12*$AG436^6+WeightSDS!R$12*$AG436^5+WeightSDS!S$12*$AG436^4+WeightSDS!T$12*$AG436^3+WeightSDS!U$12*$AG436^2+WeightSDS!V$12*$AG436+WeightSDS!W$12,WeightSDS!P$14*$AG436^7+WeightSDS!Q$14*$AG436^6+WeightSDS!R$14*$AG436^5+WeightSDS!S$14*$AG436^4+WeightSDS!T$14*$AG436^3+WeightSDS!U$14*$AG436^2+WeightSDS!V$14*$AG436+WeightSDS!W$14),IF($AG436&lt;156,WeightSDS!O$17*$AG436^8+WeightSDS!P$17*$AG436^7+WeightSDS!Q$17*$AG436^6+WeightSDS!R$17*$AG436^5+WeightSDS!S$17*$AG436^4+WeightSDS!T$17*$AG436^3+WeightSDS!U$17*$AG436^2+WeightSDS!V$17*$AG436+WeightSDS!W$17,IF($AG436&lt;186,WeightSDS!$U$18+(WeightSDS!$V$18-WeightSDS!$U$18)/24*($AG436-186)+WeightSDS!$W$18*(-$AG436+186)^2-0.005,WeightSDS!$U$18+(WeightSDS!$V$18-WeightSDS!$U$18)/24*($AG436-186)-0.005)))</f>
        <v>0.14604529399999999</v>
      </c>
    </row>
    <row r="437" spans="1:37">
      <c r="A437" s="4"/>
      <c r="B437" s="21"/>
      <c r="C437" s="21"/>
      <c r="D437" s="21"/>
      <c r="E437" s="22"/>
      <c r="F437" s="22"/>
      <c r="G437" s="23"/>
      <c r="H437" s="23"/>
      <c r="I437" s="8" t="str">
        <f t="shared" si="98"/>
        <v/>
      </c>
      <c r="J437" s="2" t="str">
        <f t="shared" si="105"/>
        <v/>
      </c>
      <c r="K437" s="2" t="str">
        <f t="shared" si="99"/>
        <v/>
      </c>
      <c r="L437" s="2" t="str">
        <f t="shared" si="106"/>
        <v/>
      </c>
      <c r="M437" s="2" t="str">
        <f t="shared" si="111"/>
        <v/>
      </c>
      <c r="N437" s="2" t="str">
        <f t="shared" si="107"/>
        <v/>
      </c>
      <c r="O437" s="8" t="str">
        <f t="shared" si="108"/>
        <v/>
      </c>
      <c r="P437" s="8" t="str">
        <f t="shared" si="109"/>
        <v/>
      </c>
      <c r="Q437" s="40" t="str">
        <f t="shared" si="100"/>
        <v/>
      </c>
      <c r="R437" s="48" t="str">
        <f t="shared" si="110"/>
        <v/>
      </c>
      <c r="S437" s="8"/>
      <c r="U437" s="35">
        <f t="shared" si="101"/>
        <v>0</v>
      </c>
      <c r="V437" s="24">
        <f t="shared" si="102"/>
        <v>0</v>
      </c>
      <c r="W437" s="41">
        <f t="shared" si="113"/>
        <v>0</v>
      </c>
      <c r="X437" s="31"/>
      <c r="Y437" s="31"/>
      <c r="Z437" s="31"/>
      <c r="AA437" s="25">
        <f t="shared" si="103"/>
        <v>9.0359999999999996</v>
      </c>
      <c r="AB437" s="25">
        <f t="shared" si="104"/>
        <v>-184.49199999999999</v>
      </c>
      <c r="AD437" s="24">
        <f>IF(D437="M",IF(AG437&lt;78,BMILMS!$D$5*AG437^3+BMILMS!$E$5*AG437^2+BMILMS!$F$5*AG437+BMILMS!$G$5,IF(AG437&lt;150,BMILMS!$D$6*AG437^3+BMILMS!$E$6*AG437^2+BMILMS!$F$6*AG437+BMILMS!$G$6,BMILMS!$D$7*AG437^3+BMILMS!$E$7*AG437^2+BMILMS!$F$7*AG437+BMILMS!$G$7)),IF(AG437&lt;69,BMILMS!$D$9*AG437^3+BMILMS!$E$9*AG437^2+BMILMS!$F$9*AG437+BMILMS!$G$9,IF(AG437&lt;150,BMILMS!$D$10*AG437^3+BMILMS!$E$10*AG437^2+BMILMS!$F$10*AG437+BMILMS!$G$10,BMILMS!$D$11*AG437^3+BMILMS!$E$11*AG437^2+BMILMS!$F$11*AG437+BMILMS!$G$11)))</f>
        <v>0.79584630099999998</v>
      </c>
      <c r="AE437" s="24">
        <f>IF(D437="M",(IF(AG437&lt;2.5,BMILMS!$D$21*AG437^3+BMILMS!$E$21*AG437^2+BMILMS!$F$21*AG437+BMILMS!$G$21,IF(AG437&lt;9.5,BMILMS!$D$22*AG437^3+BMILMS!$E$22*AG437^2+BMILMS!$F$22*AG437+BMILMS!$G$22,IF(AG437&lt;26.75,BMILMS!$D$23*AG437^3+BMILMS!$E$23*AG437^2+BMILMS!$F$23*AG437+BMILMS!$G$23,IF(AG437&lt;90,BMILMS!$D$24*AG437^3+BMILMS!$E$24*AG437^2+BMILMS!$F$24*AG437+BMILMS!$G$24,BMILMS!$D$25*AG437^3+BMILMS!$E$25*AG437^2+BMILMS!$F$25*AG437+BMILMS!$G$25))))),(IF(AG437&lt;2.5,BMILMS!$D$27*AG437^3+BMILMS!$E$27*AG437^2+BMILMS!$F$27*AG437+BMILMS!$G$27,IF(AG437&lt;9.5,BMILMS!$D$28*AG437^3+BMILMS!$E$28*AG437^2+BMILMS!$F$28*AG437+BMILMS!$G$28,IF(AG437&lt;26.75,BMILMS!$D$29*AG437^3+BMILMS!$E$29*AG437^2+BMILMS!$F$29*AG437+BMILMS!$G$29,IF(AG437&lt;90,BMILMS!$D$30*AG437^3+BMILMS!$E$30*AG437^2+BMILMS!$F$30*AG437+BMILMS!$G$30,IF(AG437&lt;150,BMILMS!$D$31*AG437^3+BMILMS!$E$31*AG437^2+BMILMS!$F$31*AG437+BMILMS!$G$31,BMILMS!$D$32*AG437^3+BMILMS!$E$32*AG437^2+BMILMS!$F$32*AG437+BMILMS!$G$32)))))))</f>
        <v>12.568967990000001</v>
      </c>
      <c r="AF437" s="24">
        <f>IF(D437="M",(IF(AG437&lt;90,BMILMS!$D$14*AG437^3+BMILMS!$E$14*AG437^2+BMILMS!$F$14*AG437+BMILMS!$G$14,BMILMS!$D$15*AG437^3+BMILMS!$E$15*AG437^2+BMILMS!$F$15*AG437+BMILMS!$G$15)),(IF(AG437&lt;90,BMILMS!$D$17*AG437^3+BMILMS!$E$17*AG437^2+BMILMS!$F$17*AG437+BMILMS!$G$17,BMILMS!$D$18*AG437^3+BMILMS!$E$18*AG437^2+BMILMS!$F$18*AG437+BMILMS!$G$18)))</f>
        <v>8.8969350000000003E-2</v>
      </c>
      <c r="AG437" s="24">
        <f t="shared" si="112"/>
        <v>0</v>
      </c>
      <c r="AI437" s="38">
        <f>IF(D437="M",WeightSDS!P$5*$AG437^7+WeightSDS!Q$5*$AG437^6+WeightSDS!R$5*$AG437^5+WeightSDS!S$5*$AG437^4+WeightSDS!T$5*$AG437^3+WeightSDS!U$5*$AG437^2+WeightSDS!V$5*$AG437+WeightSDS!W$5,IF($AG437&lt;186,WeightSDS!P$8*$AG437^7+WeightSDS!Q$8*$AG437^6+WeightSDS!R$8*$AG437^5+WeightSDS!S$8*$AG437^4+WeightSDS!T$8*$AG437^3+WeightSDS!U$8*$AG437^2+WeightSDS!V$8*$AG437+WeightSDS!W$8,WeightSDS!$U$9-WeightSDS!$V$9*($AG437-WeightSDS!$W$9)))</f>
        <v>0.75407122999999998</v>
      </c>
      <c r="AJ437" s="24">
        <f>IF(D437="M",IF($AG437&lt;45,WeightSDS!M$23*$AG437^10+WeightSDS!N$23*$AG437^9+WeightSDS!O$23*$AG437^8+WeightSDS!P$23*$AG437^7+WeightSDS!Q$23*$AG437^6+WeightSDS!R$23*$AG437^5+WeightSDS!S$23*$AG437^4+WeightSDS!T$23*$AG437^3+WeightSDS!U$23*$AG437^2+WeightSDS!V$23*$AG437+WeightSDS!W$23,IF($AG437&lt;153,WeightSDS!M$25*$AG437^10+WeightSDS!N$25*$AG437^9+WeightSDS!O$25*$AG437^8+WeightSDS!P$25*$AG437^7+WeightSDS!Q$25*$AG437^6+WeightSDS!R$25*$AG437^5+WeightSDS!S$25*$AG437^4+WeightSDS!T$25*$AG437^3+WeightSDS!U$25*$AG437^2+WeightSDS!V$25*$AG437+WeightSDS!W$25,WeightSDS!M$27+WeightSDS!N$27/(1+EXP(WeightSDS!O$27+WeightSDS!P$27*$AG437)))),IF($AG437&lt;43.8,WeightSDS!M$29*$AG437^10+WeightSDS!N$29*$AG437^9+WeightSDS!O$29*$AG437^8+WeightSDS!P$29*$AG437^7+WeightSDS!Q$29*$AG437^6+WeightSDS!R$29*$AG437^5+WeightSDS!S$29*$AG437^4+WeightSDS!T$29*$AG437^3+WeightSDS!U$29*$AG437^2+WeightSDS!V$29*$AG437+WeightSDS!W$29-0.010431*(1-$AG437/210),IF($AG437&lt;123,WeightSDS!M$30*$AG437^10+WeightSDS!N$30*$AG437^9+WeightSDS!O$30*$AG437^8+WeightSDS!P$30*$AG437^7+WeightSDS!Q$30*$AG437^6+WeightSDS!R$30*$AG437^5+WeightSDS!S$30*$AG437^4+WeightSDS!T$30*$AG437^3+WeightSDS!U$30*$AG437^2+WeightSDS!V$30*$AG437+WeightSDS!W$30-0.010431*(1-1/$AG437),WeightSDS!M$32+WeightSDS!N$32/(1+EXP(WeightSDS!O$32+WeightSDS!P$32*$AG437))-0.010431*(1-$AG437/210))))</f>
        <v>2.9500001032655536</v>
      </c>
      <c r="AK437" s="24">
        <f>IF(D437="M",IF($AG437&lt;162,WeightSDS!P$12*$AG437^7+WeightSDS!Q$12*$AG437^6+WeightSDS!R$12*$AG437^5+WeightSDS!S$12*$AG437^4+WeightSDS!T$12*$AG437^3+WeightSDS!U$12*$AG437^2+WeightSDS!V$12*$AG437+WeightSDS!W$12,WeightSDS!P$14*$AG437^7+WeightSDS!Q$14*$AG437^6+WeightSDS!R$14*$AG437^5+WeightSDS!S$14*$AG437^4+WeightSDS!T$14*$AG437^3+WeightSDS!U$14*$AG437^2+WeightSDS!V$14*$AG437+WeightSDS!W$14),IF($AG437&lt;156,WeightSDS!O$17*$AG437^8+WeightSDS!P$17*$AG437^7+WeightSDS!Q$17*$AG437^6+WeightSDS!R$17*$AG437^5+WeightSDS!S$17*$AG437^4+WeightSDS!T$17*$AG437^3+WeightSDS!U$17*$AG437^2+WeightSDS!V$17*$AG437+WeightSDS!W$17,IF($AG437&lt;186,WeightSDS!$U$18+(WeightSDS!$V$18-WeightSDS!$U$18)/24*($AG437-186)+WeightSDS!$W$18*(-$AG437+186)^2-0.005,WeightSDS!$U$18+(WeightSDS!$V$18-WeightSDS!$U$18)/24*($AG437-186)-0.005)))</f>
        <v>0.14604529399999999</v>
      </c>
    </row>
    <row r="438" spans="1:37">
      <c r="A438" s="4"/>
      <c r="B438" s="21"/>
      <c r="C438" s="21"/>
      <c r="D438" s="21"/>
      <c r="E438" s="22"/>
      <c r="F438" s="22"/>
      <c r="G438" s="23"/>
      <c r="H438" s="23"/>
      <c r="I438" s="8" t="str">
        <f t="shared" si="98"/>
        <v/>
      </c>
      <c r="J438" s="2" t="str">
        <f t="shared" si="105"/>
        <v/>
      </c>
      <c r="K438" s="2" t="str">
        <f t="shared" si="99"/>
        <v/>
      </c>
      <c r="L438" s="2" t="str">
        <f t="shared" si="106"/>
        <v/>
      </c>
      <c r="M438" s="2" t="str">
        <f t="shared" si="111"/>
        <v/>
      </c>
      <c r="N438" s="2" t="str">
        <f t="shared" si="107"/>
        <v/>
      </c>
      <c r="O438" s="8" t="str">
        <f t="shared" si="108"/>
        <v/>
      </c>
      <c r="P438" s="8" t="str">
        <f t="shared" si="109"/>
        <v/>
      </c>
      <c r="Q438" s="40" t="str">
        <f t="shared" si="100"/>
        <v/>
      </c>
      <c r="R438" s="48" t="str">
        <f t="shared" si="110"/>
        <v/>
      </c>
      <c r="S438" s="8"/>
      <c r="U438" s="35">
        <f t="shared" si="101"/>
        <v>0</v>
      </c>
      <c r="V438" s="24">
        <f t="shared" si="102"/>
        <v>0</v>
      </c>
      <c r="W438" s="41">
        <f t="shared" si="113"/>
        <v>0</v>
      </c>
      <c r="X438" s="31"/>
      <c r="Y438" s="31"/>
      <c r="Z438" s="31"/>
      <c r="AA438" s="25">
        <f t="shared" si="103"/>
        <v>9.0359999999999996</v>
      </c>
      <c r="AB438" s="25">
        <f t="shared" si="104"/>
        <v>-184.49199999999999</v>
      </c>
      <c r="AD438" s="24">
        <f>IF(D438="M",IF(AG438&lt;78,BMILMS!$D$5*AG438^3+BMILMS!$E$5*AG438^2+BMILMS!$F$5*AG438+BMILMS!$G$5,IF(AG438&lt;150,BMILMS!$D$6*AG438^3+BMILMS!$E$6*AG438^2+BMILMS!$F$6*AG438+BMILMS!$G$6,BMILMS!$D$7*AG438^3+BMILMS!$E$7*AG438^2+BMILMS!$F$7*AG438+BMILMS!$G$7)),IF(AG438&lt;69,BMILMS!$D$9*AG438^3+BMILMS!$E$9*AG438^2+BMILMS!$F$9*AG438+BMILMS!$G$9,IF(AG438&lt;150,BMILMS!$D$10*AG438^3+BMILMS!$E$10*AG438^2+BMILMS!$F$10*AG438+BMILMS!$G$10,BMILMS!$D$11*AG438^3+BMILMS!$E$11*AG438^2+BMILMS!$F$11*AG438+BMILMS!$G$11)))</f>
        <v>0.79584630099999998</v>
      </c>
      <c r="AE438" s="24">
        <f>IF(D438="M",(IF(AG438&lt;2.5,BMILMS!$D$21*AG438^3+BMILMS!$E$21*AG438^2+BMILMS!$F$21*AG438+BMILMS!$G$21,IF(AG438&lt;9.5,BMILMS!$D$22*AG438^3+BMILMS!$E$22*AG438^2+BMILMS!$F$22*AG438+BMILMS!$G$22,IF(AG438&lt;26.75,BMILMS!$D$23*AG438^3+BMILMS!$E$23*AG438^2+BMILMS!$F$23*AG438+BMILMS!$G$23,IF(AG438&lt;90,BMILMS!$D$24*AG438^3+BMILMS!$E$24*AG438^2+BMILMS!$F$24*AG438+BMILMS!$G$24,BMILMS!$D$25*AG438^3+BMILMS!$E$25*AG438^2+BMILMS!$F$25*AG438+BMILMS!$G$25))))),(IF(AG438&lt;2.5,BMILMS!$D$27*AG438^3+BMILMS!$E$27*AG438^2+BMILMS!$F$27*AG438+BMILMS!$G$27,IF(AG438&lt;9.5,BMILMS!$D$28*AG438^3+BMILMS!$E$28*AG438^2+BMILMS!$F$28*AG438+BMILMS!$G$28,IF(AG438&lt;26.75,BMILMS!$D$29*AG438^3+BMILMS!$E$29*AG438^2+BMILMS!$F$29*AG438+BMILMS!$G$29,IF(AG438&lt;90,BMILMS!$D$30*AG438^3+BMILMS!$E$30*AG438^2+BMILMS!$F$30*AG438+BMILMS!$G$30,IF(AG438&lt;150,BMILMS!$D$31*AG438^3+BMILMS!$E$31*AG438^2+BMILMS!$F$31*AG438+BMILMS!$G$31,BMILMS!$D$32*AG438^3+BMILMS!$E$32*AG438^2+BMILMS!$F$32*AG438+BMILMS!$G$32)))))))</f>
        <v>12.568967990000001</v>
      </c>
      <c r="AF438" s="24">
        <f>IF(D438="M",(IF(AG438&lt;90,BMILMS!$D$14*AG438^3+BMILMS!$E$14*AG438^2+BMILMS!$F$14*AG438+BMILMS!$G$14,BMILMS!$D$15*AG438^3+BMILMS!$E$15*AG438^2+BMILMS!$F$15*AG438+BMILMS!$G$15)),(IF(AG438&lt;90,BMILMS!$D$17*AG438^3+BMILMS!$E$17*AG438^2+BMILMS!$F$17*AG438+BMILMS!$G$17,BMILMS!$D$18*AG438^3+BMILMS!$E$18*AG438^2+BMILMS!$F$18*AG438+BMILMS!$G$18)))</f>
        <v>8.8969350000000003E-2</v>
      </c>
      <c r="AG438" s="24">
        <f t="shared" si="112"/>
        <v>0</v>
      </c>
      <c r="AI438" s="38">
        <f>IF(D438="M",WeightSDS!P$5*$AG438^7+WeightSDS!Q$5*$AG438^6+WeightSDS!R$5*$AG438^5+WeightSDS!S$5*$AG438^4+WeightSDS!T$5*$AG438^3+WeightSDS!U$5*$AG438^2+WeightSDS!V$5*$AG438+WeightSDS!W$5,IF($AG438&lt;186,WeightSDS!P$8*$AG438^7+WeightSDS!Q$8*$AG438^6+WeightSDS!R$8*$AG438^5+WeightSDS!S$8*$AG438^4+WeightSDS!T$8*$AG438^3+WeightSDS!U$8*$AG438^2+WeightSDS!V$8*$AG438+WeightSDS!W$8,WeightSDS!$U$9-WeightSDS!$V$9*($AG438-WeightSDS!$W$9)))</f>
        <v>0.75407122999999998</v>
      </c>
      <c r="AJ438" s="24">
        <f>IF(D438="M",IF($AG438&lt;45,WeightSDS!M$23*$AG438^10+WeightSDS!N$23*$AG438^9+WeightSDS!O$23*$AG438^8+WeightSDS!P$23*$AG438^7+WeightSDS!Q$23*$AG438^6+WeightSDS!R$23*$AG438^5+WeightSDS!S$23*$AG438^4+WeightSDS!T$23*$AG438^3+WeightSDS!U$23*$AG438^2+WeightSDS!V$23*$AG438+WeightSDS!W$23,IF($AG438&lt;153,WeightSDS!M$25*$AG438^10+WeightSDS!N$25*$AG438^9+WeightSDS!O$25*$AG438^8+WeightSDS!P$25*$AG438^7+WeightSDS!Q$25*$AG438^6+WeightSDS!R$25*$AG438^5+WeightSDS!S$25*$AG438^4+WeightSDS!T$25*$AG438^3+WeightSDS!U$25*$AG438^2+WeightSDS!V$25*$AG438+WeightSDS!W$25,WeightSDS!M$27+WeightSDS!N$27/(1+EXP(WeightSDS!O$27+WeightSDS!P$27*$AG438)))),IF($AG438&lt;43.8,WeightSDS!M$29*$AG438^10+WeightSDS!N$29*$AG438^9+WeightSDS!O$29*$AG438^8+WeightSDS!P$29*$AG438^7+WeightSDS!Q$29*$AG438^6+WeightSDS!R$29*$AG438^5+WeightSDS!S$29*$AG438^4+WeightSDS!T$29*$AG438^3+WeightSDS!U$29*$AG438^2+WeightSDS!V$29*$AG438+WeightSDS!W$29-0.010431*(1-$AG438/210),IF($AG438&lt;123,WeightSDS!M$30*$AG438^10+WeightSDS!N$30*$AG438^9+WeightSDS!O$30*$AG438^8+WeightSDS!P$30*$AG438^7+WeightSDS!Q$30*$AG438^6+WeightSDS!R$30*$AG438^5+WeightSDS!S$30*$AG438^4+WeightSDS!T$30*$AG438^3+WeightSDS!U$30*$AG438^2+WeightSDS!V$30*$AG438+WeightSDS!W$30-0.010431*(1-1/$AG438),WeightSDS!M$32+WeightSDS!N$32/(1+EXP(WeightSDS!O$32+WeightSDS!P$32*$AG438))-0.010431*(1-$AG438/210))))</f>
        <v>2.9500001032655536</v>
      </c>
      <c r="AK438" s="24">
        <f>IF(D438="M",IF($AG438&lt;162,WeightSDS!P$12*$AG438^7+WeightSDS!Q$12*$AG438^6+WeightSDS!R$12*$AG438^5+WeightSDS!S$12*$AG438^4+WeightSDS!T$12*$AG438^3+WeightSDS!U$12*$AG438^2+WeightSDS!V$12*$AG438+WeightSDS!W$12,WeightSDS!P$14*$AG438^7+WeightSDS!Q$14*$AG438^6+WeightSDS!R$14*$AG438^5+WeightSDS!S$14*$AG438^4+WeightSDS!T$14*$AG438^3+WeightSDS!U$14*$AG438^2+WeightSDS!V$14*$AG438+WeightSDS!W$14),IF($AG438&lt;156,WeightSDS!O$17*$AG438^8+WeightSDS!P$17*$AG438^7+WeightSDS!Q$17*$AG438^6+WeightSDS!R$17*$AG438^5+WeightSDS!S$17*$AG438^4+WeightSDS!T$17*$AG438^3+WeightSDS!U$17*$AG438^2+WeightSDS!V$17*$AG438+WeightSDS!W$17,IF($AG438&lt;186,WeightSDS!$U$18+(WeightSDS!$V$18-WeightSDS!$U$18)/24*($AG438-186)+WeightSDS!$W$18*(-$AG438+186)^2-0.005,WeightSDS!$U$18+(WeightSDS!$V$18-WeightSDS!$U$18)/24*($AG438-186)-0.005)))</f>
        <v>0.14604529399999999</v>
      </c>
    </row>
    <row r="439" spans="1:37">
      <c r="A439" s="4"/>
      <c r="B439" s="21"/>
      <c r="C439" s="21"/>
      <c r="D439" s="21"/>
      <c r="E439" s="22"/>
      <c r="F439" s="22"/>
      <c r="G439" s="23"/>
      <c r="H439" s="23"/>
      <c r="I439" s="8" t="str">
        <f t="shared" si="98"/>
        <v/>
      </c>
      <c r="J439" s="2" t="str">
        <f t="shared" si="105"/>
        <v/>
      </c>
      <c r="K439" s="2" t="str">
        <f t="shared" si="99"/>
        <v/>
      </c>
      <c r="L439" s="2" t="str">
        <f t="shared" si="106"/>
        <v/>
      </c>
      <c r="M439" s="2" t="str">
        <f t="shared" si="111"/>
        <v/>
      </c>
      <c r="N439" s="2" t="str">
        <f t="shared" si="107"/>
        <v/>
      </c>
      <c r="O439" s="8" t="str">
        <f t="shared" si="108"/>
        <v/>
      </c>
      <c r="P439" s="8" t="str">
        <f t="shared" si="109"/>
        <v/>
      </c>
      <c r="Q439" s="40" t="str">
        <f t="shared" si="100"/>
        <v/>
      </c>
      <c r="R439" s="48" t="str">
        <f t="shared" si="110"/>
        <v/>
      </c>
      <c r="S439" s="8"/>
      <c r="U439" s="35">
        <f t="shared" si="101"/>
        <v>0</v>
      </c>
      <c r="V439" s="24">
        <f t="shared" si="102"/>
        <v>0</v>
      </c>
      <c r="W439" s="41">
        <f t="shared" si="113"/>
        <v>0</v>
      </c>
      <c r="X439" s="31"/>
      <c r="Y439" s="31"/>
      <c r="Z439" s="31"/>
      <c r="AA439" s="25">
        <f t="shared" si="103"/>
        <v>9.0359999999999996</v>
      </c>
      <c r="AB439" s="25">
        <f t="shared" si="104"/>
        <v>-184.49199999999999</v>
      </c>
      <c r="AD439" s="24">
        <f>IF(D439="M",IF(AG439&lt;78,BMILMS!$D$5*AG439^3+BMILMS!$E$5*AG439^2+BMILMS!$F$5*AG439+BMILMS!$G$5,IF(AG439&lt;150,BMILMS!$D$6*AG439^3+BMILMS!$E$6*AG439^2+BMILMS!$F$6*AG439+BMILMS!$G$6,BMILMS!$D$7*AG439^3+BMILMS!$E$7*AG439^2+BMILMS!$F$7*AG439+BMILMS!$G$7)),IF(AG439&lt;69,BMILMS!$D$9*AG439^3+BMILMS!$E$9*AG439^2+BMILMS!$F$9*AG439+BMILMS!$G$9,IF(AG439&lt;150,BMILMS!$D$10*AG439^3+BMILMS!$E$10*AG439^2+BMILMS!$F$10*AG439+BMILMS!$G$10,BMILMS!$D$11*AG439^3+BMILMS!$E$11*AG439^2+BMILMS!$F$11*AG439+BMILMS!$G$11)))</f>
        <v>0.79584630099999998</v>
      </c>
      <c r="AE439" s="24">
        <f>IF(D439="M",(IF(AG439&lt;2.5,BMILMS!$D$21*AG439^3+BMILMS!$E$21*AG439^2+BMILMS!$F$21*AG439+BMILMS!$G$21,IF(AG439&lt;9.5,BMILMS!$D$22*AG439^3+BMILMS!$E$22*AG439^2+BMILMS!$F$22*AG439+BMILMS!$G$22,IF(AG439&lt;26.75,BMILMS!$D$23*AG439^3+BMILMS!$E$23*AG439^2+BMILMS!$F$23*AG439+BMILMS!$G$23,IF(AG439&lt;90,BMILMS!$D$24*AG439^3+BMILMS!$E$24*AG439^2+BMILMS!$F$24*AG439+BMILMS!$G$24,BMILMS!$D$25*AG439^3+BMILMS!$E$25*AG439^2+BMILMS!$F$25*AG439+BMILMS!$G$25))))),(IF(AG439&lt;2.5,BMILMS!$D$27*AG439^3+BMILMS!$E$27*AG439^2+BMILMS!$F$27*AG439+BMILMS!$G$27,IF(AG439&lt;9.5,BMILMS!$D$28*AG439^3+BMILMS!$E$28*AG439^2+BMILMS!$F$28*AG439+BMILMS!$G$28,IF(AG439&lt;26.75,BMILMS!$D$29*AG439^3+BMILMS!$E$29*AG439^2+BMILMS!$F$29*AG439+BMILMS!$G$29,IF(AG439&lt;90,BMILMS!$D$30*AG439^3+BMILMS!$E$30*AG439^2+BMILMS!$F$30*AG439+BMILMS!$G$30,IF(AG439&lt;150,BMILMS!$D$31*AG439^3+BMILMS!$E$31*AG439^2+BMILMS!$F$31*AG439+BMILMS!$G$31,BMILMS!$D$32*AG439^3+BMILMS!$E$32*AG439^2+BMILMS!$F$32*AG439+BMILMS!$G$32)))))))</f>
        <v>12.568967990000001</v>
      </c>
      <c r="AF439" s="24">
        <f>IF(D439="M",(IF(AG439&lt;90,BMILMS!$D$14*AG439^3+BMILMS!$E$14*AG439^2+BMILMS!$F$14*AG439+BMILMS!$G$14,BMILMS!$D$15*AG439^3+BMILMS!$E$15*AG439^2+BMILMS!$F$15*AG439+BMILMS!$G$15)),(IF(AG439&lt;90,BMILMS!$D$17*AG439^3+BMILMS!$E$17*AG439^2+BMILMS!$F$17*AG439+BMILMS!$G$17,BMILMS!$D$18*AG439^3+BMILMS!$E$18*AG439^2+BMILMS!$F$18*AG439+BMILMS!$G$18)))</f>
        <v>8.8969350000000003E-2</v>
      </c>
      <c r="AG439" s="24">
        <f t="shared" si="112"/>
        <v>0</v>
      </c>
      <c r="AI439" s="38">
        <f>IF(D439="M",WeightSDS!P$5*$AG439^7+WeightSDS!Q$5*$AG439^6+WeightSDS!R$5*$AG439^5+WeightSDS!S$5*$AG439^4+WeightSDS!T$5*$AG439^3+WeightSDS!U$5*$AG439^2+WeightSDS!V$5*$AG439+WeightSDS!W$5,IF($AG439&lt;186,WeightSDS!P$8*$AG439^7+WeightSDS!Q$8*$AG439^6+WeightSDS!R$8*$AG439^5+WeightSDS!S$8*$AG439^4+WeightSDS!T$8*$AG439^3+WeightSDS!U$8*$AG439^2+WeightSDS!V$8*$AG439+WeightSDS!W$8,WeightSDS!$U$9-WeightSDS!$V$9*($AG439-WeightSDS!$W$9)))</f>
        <v>0.75407122999999998</v>
      </c>
      <c r="AJ439" s="24">
        <f>IF(D439="M",IF($AG439&lt;45,WeightSDS!M$23*$AG439^10+WeightSDS!N$23*$AG439^9+WeightSDS!O$23*$AG439^8+WeightSDS!P$23*$AG439^7+WeightSDS!Q$23*$AG439^6+WeightSDS!R$23*$AG439^5+WeightSDS!S$23*$AG439^4+WeightSDS!T$23*$AG439^3+WeightSDS!U$23*$AG439^2+WeightSDS!V$23*$AG439+WeightSDS!W$23,IF($AG439&lt;153,WeightSDS!M$25*$AG439^10+WeightSDS!N$25*$AG439^9+WeightSDS!O$25*$AG439^8+WeightSDS!P$25*$AG439^7+WeightSDS!Q$25*$AG439^6+WeightSDS!R$25*$AG439^5+WeightSDS!S$25*$AG439^4+WeightSDS!T$25*$AG439^3+WeightSDS!U$25*$AG439^2+WeightSDS!V$25*$AG439+WeightSDS!W$25,WeightSDS!M$27+WeightSDS!N$27/(1+EXP(WeightSDS!O$27+WeightSDS!P$27*$AG439)))),IF($AG439&lt;43.8,WeightSDS!M$29*$AG439^10+WeightSDS!N$29*$AG439^9+WeightSDS!O$29*$AG439^8+WeightSDS!P$29*$AG439^7+WeightSDS!Q$29*$AG439^6+WeightSDS!R$29*$AG439^5+WeightSDS!S$29*$AG439^4+WeightSDS!T$29*$AG439^3+WeightSDS!U$29*$AG439^2+WeightSDS!V$29*$AG439+WeightSDS!W$29-0.010431*(1-$AG439/210),IF($AG439&lt;123,WeightSDS!M$30*$AG439^10+WeightSDS!N$30*$AG439^9+WeightSDS!O$30*$AG439^8+WeightSDS!P$30*$AG439^7+WeightSDS!Q$30*$AG439^6+WeightSDS!R$30*$AG439^5+WeightSDS!S$30*$AG439^4+WeightSDS!T$30*$AG439^3+WeightSDS!U$30*$AG439^2+WeightSDS!V$30*$AG439+WeightSDS!W$30-0.010431*(1-1/$AG439),WeightSDS!M$32+WeightSDS!N$32/(1+EXP(WeightSDS!O$32+WeightSDS!P$32*$AG439))-0.010431*(1-$AG439/210))))</f>
        <v>2.9500001032655536</v>
      </c>
      <c r="AK439" s="24">
        <f>IF(D439="M",IF($AG439&lt;162,WeightSDS!P$12*$AG439^7+WeightSDS!Q$12*$AG439^6+WeightSDS!R$12*$AG439^5+WeightSDS!S$12*$AG439^4+WeightSDS!T$12*$AG439^3+WeightSDS!U$12*$AG439^2+WeightSDS!V$12*$AG439+WeightSDS!W$12,WeightSDS!P$14*$AG439^7+WeightSDS!Q$14*$AG439^6+WeightSDS!R$14*$AG439^5+WeightSDS!S$14*$AG439^4+WeightSDS!T$14*$AG439^3+WeightSDS!U$14*$AG439^2+WeightSDS!V$14*$AG439+WeightSDS!W$14),IF($AG439&lt;156,WeightSDS!O$17*$AG439^8+WeightSDS!P$17*$AG439^7+WeightSDS!Q$17*$AG439^6+WeightSDS!R$17*$AG439^5+WeightSDS!S$17*$AG439^4+WeightSDS!T$17*$AG439^3+WeightSDS!U$17*$AG439^2+WeightSDS!V$17*$AG439+WeightSDS!W$17,IF($AG439&lt;186,WeightSDS!$U$18+(WeightSDS!$V$18-WeightSDS!$U$18)/24*($AG439-186)+WeightSDS!$W$18*(-$AG439+186)^2-0.005,WeightSDS!$U$18+(WeightSDS!$V$18-WeightSDS!$U$18)/24*($AG439-186)-0.005)))</f>
        <v>0.14604529399999999</v>
      </c>
    </row>
    <row r="440" spans="1:37">
      <c r="A440" s="4"/>
      <c r="B440" s="21"/>
      <c r="C440" s="21"/>
      <c r="D440" s="21"/>
      <c r="E440" s="22"/>
      <c r="F440" s="22"/>
      <c r="G440" s="23"/>
      <c r="H440" s="23"/>
      <c r="I440" s="8" t="str">
        <f t="shared" si="98"/>
        <v/>
      </c>
      <c r="J440" s="2" t="str">
        <f t="shared" si="105"/>
        <v/>
      </c>
      <c r="K440" s="2" t="str">
        <f t="shared" si="99"/>
        <v/>
      </c>
      <c r="L440" s="2" t="str">
        <f t="shared" si="106"/>
        <v/>
      </c>
      <c r="M440" s="2" t="str">
        <f t="shared" si="111"/>
        <v/>
      </c>
      <c r="N440" s="2" t="str">
        <f t="shared" si="107"/>
        <v/>
      </c>
      <c r="O440" s="8" t="str">
        <f t="shared" si="108"/>
        <v/>
      </c>
      <c r="P440" s="8" t="str">
        <f t="shared" si="109"/>
        <v/>
      </c>
      <c r="Q440" s="40" t="str">
        <f t="shared" si="100"/>
        <v/>
      </c>
      <c r="R440" s="48" t="str">
        <f t="shared" si="110"/>
        <v/>
      </c>
      <c r="S440" s="8"/>
      <c r="U440" s="35">
        <f t="shared" si="101"/>
        <v>0</v>
      </c>
      <c r="V440" s="24">
        <f t="shared" si="102"/>
        <v>0</v>
      </c>
      <c r="W440" s="41">
        <f t="shared" si="113"/>
        <v>0</v>
      </c>
      <c r="X440" s="31"/>
      <c r="Y440" s="31"/>
      <c r="Z440" s="31"/>
      <c r="AA440" s="25">
        <f t="shared" si="103"/>
        <v>9.0359999999999996</v>
      </c>
      <c r="AB440" s="25">
        <f t="shared" si="104"/>
        <v>-184.49199999999999</v>
      </c>
      <c r="AD440" s="24">
        <f>IF(D440="M",IF(AG440&lt;78,BMILMS!$D$5*AG440^3+BMILMS!$E$5*AG440^2+BMILMS!$F$5*AG440+BMILMS!$G$5,IF(AG440&lt;150,BMILMS!$D$6*AG440^3+BMILMS!$E$6*AG440^2+BMILMS!$F$6*AG440+BMILMS!$G$6,BMILMS!$D$7*AG440^3+BMILMS!$E$7*AG440^2+BMILMS!$F$7*AG440+BMILMS!$G$7)),IF(AG440&lt;69,BMILMS!$D$9*AG440^3+BMILMS!$E$9*AG440^2+BMILMS!$F$9*AG440+BMILMS!$G$9,IF(AG440&lt;150,BMILMS!$D$10*AG440^3+BMILMS!$E$10*AG440^2+BMILMS!$F$10*AG440+BMILMS!$G$10,BMILMS!$D$11*AG440^3+BMILMS!$E$11*AG440^2+BMILMS!$F$11*AG440+BMILMS!$G$11)))</f>
        <v>0.79584630099999998</v>
      </c>
      <c r="AE440" s="24">
        <f>IF(D440="M",(IF(AG440&lt;2.5,BMILMS!$D$21*AG440^3+BMILMS!$E$21*AG440^2+BMILMS!$F$21*AG440+BMILMS!$G$21,IF(AG440&lt;9.5,BMILMS!$D$22*AG440^3+BMILMS!$E$22*AG440^2+BMILMS!$F$22*AG440+BMILMS!$G$22,IF(AG440&lt;26.75,BMILMS!$D$23*AG440^3+BMILMS!$E$23*AG440^2+BMILMS!$F$23*AG440+BMILMS!$G$23,IF(AG440&lt;90,BMILMS!$D$24*AG440^3+BMILMS!$E$24*AG440^2+BMILMS!$F$24*AG440+BMILMS!$G$24,BMILMS!$D$25*AG440^3+BMILMS!$E$25*AG440^2+BMILMS!$F$25*AG440+BMILMS!$G$25))))),(IF(AG440&lt;2.5,BMILMS!$D$27*AG440^3+BMILMS!$E$27*AG440^2+BMILMS!$F$27*AG440+BMILMS!$G$27,IF(AG440&lt;9.5,BMILMS!$D$28*AG440^3+BMILMS!$E$28*AG440^2+BMILMS!$F$28*AG440+BMILMS!$G$28,IF(AG440&lt;26.75,BMILMS!$D$29*AG440^3+BMILMS!$E$29*AG440^2+BMILMS!$F$29*AG440+BMILMS!$G$29,IF(AG440&lt;90,BMILMS!$D$30*AG440^3+BMILMS!$E$30*AG440^2+BMILMS!$F$30*AG440+BMILMS!$G$30,IF(AG440&lt;150,BMILMS!$D$31*AG440^3+BMILMS!$E$31*AG440^2+BMILMS!$F$31*AG440+BMILMS!$G$31,BMILMS!$D$32*AG440^3+BMILMS!$E$32*AG440^2+BMILMS!$F$32*AG440+BMILMS!$G$32)))))))</f>
        <v>12.568967990000001</v>
      </c>
      <c r="AF440" s="24">
        <f>IF(D440="M",(IF(AG440&lt;90,BMILMS!$D$14*AG440^3+BMILMS!$E$14*AG440^2+BMILMS!$F$14*AG440+BMILMS!$G$14,BMILMS!$D$15*AG440^3+BMILMS!$E$15*AG440^2+BMILMS!$F$15*AG440+BMILMS!$G$15)),(IF(AG440&lt;90,BMILMS!$D$17*AG440^3+BMILMS!$E$17*AG440^2+BMILMS!$F$17*AG440+BMILMS!$G$17,BMILMS!$D$18*AG440^3+BMILMS!$E$18*AG440^2+BMILMS!$F$18*AG440+BMILMS!$G$18)))</f>
        <v>8.8969350000000003E-2</v>
      </c>
      <c r="AG440" s="24">
        <f t="shared" si="112"/>
        <v>0</v>
      </c>
      <c r="AI440" s="38">
        <f>IF(D440="M",WeightSDS!P$5*$AG440^7+WeightSDS!Q$5*$AG440^6+WeightSDS!R$5*$AG440^5+WeightSDS!S$5*$AG440^4+WeightSDS!T$5*$AG440^3+WeightSDS!U$5*$AG440^2+WeightSDS!V$5*$AG440+WeightSDS!W$5,IF($AG440&lt;186,WeightSDS!P$8*$AG440^7+WeightSDS!Q$8*$AG440^6+WeightSDS!R$8*$AG440^5+WeightSDS!S$8*$AG440^4+WeightSDS!T$8*$AG440^3+WeightSDS!U$8*$AG440^2+WeightSDS!V$8*$AG440+WeightSDS!W$8,WeightSDS!$U$9-WeightSDS!$V$9*($AG440-WeightSDS!$W$9)))</f>
        <v>0.75407122999999998</v>
      </c>
      <c r="AJ440" s="24">
        <f>IF(D440="M",IF($AG440&lt;45,WeightSDS!M$23*$AG440^10+WeightSDS!N$23*$AG440^9+WeightSDS!O$23*$AG440^8+WeightSDS!P$23*$AG440^7+WeightSDS!Q$23*$AG440^6+WeightSDS!R$23*$AG440^5+WeightSDS!S$23*$AG440^4+WeightSDS!T$23*$AG440^3+WeightSDS!U$23*$AG440^2+WeightSDS!V$23*$AG440+WeightSDS!W$23,IF($AG440&lt;153,WeightSDS!M$25*$AG440^10+WeightSDS!N$25*$AG440^9+WeightSDS!O$25*$AG440^8+WeightSDS!P$25*$AG440^7+WeightSDS!Q$25*$AG440^6+WeightSDS!R$25*$AG440^5+WeightSDS!S$25*$AG440^4+WeightSDS!T$25*$AG440^3+WeightSDS!U$25*$AG440^2+WeightSDS!V$25*$AG440+WeightSDS!W$25,WeightSDS!M$27+WeightSDS!N$27/(1+EXP(WeightSDS!O$27+WeightSDS!P$27*$AG440)))),IF($AG440&lt;43.8,WeightSDS!M$29*$AG440^10+WeightSDS!N$29*$AG440^9+WeightSDS!O$29*$AG440^8+WeightSDS!P$29*$AG440^7+WeightSDS!Q$29*$AG440^6+WeightSDS!R$29*$AG440^5+WeightSDS!S$29*$AG440^4+WeightSDS!T$29*$AG440^3+WeightSDS!U$29*$AG440^2+WeightSDS!V$29*$AG440+WeightSDS!W$29-0.010431*(1-$AG440/210),IF($AG440&lt;123,WeightSDS!M$30*$AG440^10+WeightSDS!N$30*$AG440^9+WeightSDS!O$30*$AG440^8+WeightSDS!P$30*$AG440^7+WeightSDS!Q$30*$AG440^6+WeightSDS!R$30*$AG440^5+WeightSDS!S$30*$AG440^4+WeightSDS!T$30*$AG440^3+WeightSDS!U$30*$AG440^2+WeightSDS!V$30*$AG440+WeightSDS!W$30-0.010431*(1-1/$AG440),WeightSDS!M$32+WeightSDS!N$32/(1+EXP(WeightSDS!O$32+WeightSDS!P$32*$AG440))-0.010431*(1-$AG440/210))))</f>
        <v>2.9500001032655536</v>
      </c>
      <c r="AK440" s="24">
        <f>IF(D440="M",IF($AG440&lt;162,WeightSDS!P$12*$AG440^7+WeightSDS!Q$12*$AG440^6+WeightSDS!R$12*$AG440^5+WeightSDS!S$12*$AG440^4+WeightSDS!T$12*$AG440^3+WeightSDS!U$12*$AG440^2+WeightSDS!V$12*$AG440+WeightSDS!W$12,WeightSDS!P$14*$AG440^7+WeightSDS!Q$14*$AG440^6+WeightSDS!R$14*$AG440^5+WeightSDS!S$14*$AG440^4+WeightSDS!T$14*$AG440^3+WeightSDS!U$14*$AG440^2+WeightSDS!V$14*$AG440+WeightSDS!W$14),IF($AG440&lt;156,WeightSDS!O$17*$AG440^8+WeightSDS!P$17*$AG440^7+WeightSDS!Q$17*$AG440^6+WeightSDS!R$17*$AG440^5+WeightSDS!S$17*$AG440^4+WeightSDS!T$17*$AG440^3+WeightSDS!U$17*$AG440^2+WeightSDS!V$17*$AG440+WeightSDS!W$17,IF($AG440&lt;186,WeightSDS!$U$18+(WeightSDS!$V$18-WeightSDS!$U$18)/24*($AG440-186)+WeightSDS!$W$18*(-$AG440+186)^2-0.005,WeightSDS!$U$18+(WeightSDS!$V$18-WeightSDS!$U$18)/24*($AG440-186)-0.005)))</f>
        <v>0.14604529399999999</v>
      </c>
    </row>
    <row r="441" spans="1:37">
      <c r="A441" s="4"/>
      <c r="B441" s="21"/>
      <c r="C441" s="21"/>
      <c r="D441" s="21"/>
      <c r="E441" s="22"/>
      <c r="F441" s="22"/>
      <c r="G441" s="23"/>
      <c r="H441" s="23"/>
      <c r="I441" s="8" t="str">
        <f t="shared" si="98"/>
        <v/>
      </c>
      <c r="J441" s="2" t="str">
        <f t="shared" si="105"/>
        <v/>
      </c>
      <c r="K441" s="2" t="str">
        <f t="shared" si="99"/>
        <v/>
      </c>
      <c r="L441" s="2" t="str">
        <f t="shared" si="106"/>
        <v/>
      </c>
      <c r="M441" s="2" t="str">
        <f t="shared" si="111"/>
        <v/>
      </c>
      <c r="N441" s="2" t="str">
        <f t="shared" si="107"/>
        <v/>
      </c>
      <c r="O441" s="8" t="str">
        <f t="shared" si="108"/>
        <v/>
      </c>
      <c r="P441" s="8" t="str">
        <f t="shared" si="109"/>
        <v/>
      </c>
      <c r="Q441" s="40" t="str">
        <f t="shared" si="100"/>
        <v/>
      </c>
      <c r="R441" s="48" t="str">
        <f t="shared" si="110"/>
        <v/>
      </c>
      <c r="S441" s="8"/>
      <c r="U441" s="35">
        <f t="shared" si="101"/>
        <v>0</v>
      </c>
      <c r="V441" s="24">
        <f t="shared" si="102"/>
        <v>0</v>
      </c>
      <c r="W441" s="41">
        <f t="shared" si="113"/>
        <v>0</v>
      </c>
      <c r="X441" s="31"/>
      <c r="Y441" s="31"/>
      <c r="Z441" s="31"/>
      <c r="AA441" s="25">
        <f t="shared" si="103"/>
        <v>9.0359999999999996</v>
      </c>
      <c r="AB441" s="25">
        <f t="shared" si="104"/>
        <v>-184.49199999999999</v>
      </c>
      <c r="AD441" s="24">
        <f>IF(D441="M",IF(AG441&lt;78,BMILMS!$D$5*AG441^3+BMILMS!$E$5*AG441^2+BMILMS!$F$5*AG441+BMILMS!$G$5,IF(AG441&lt;150,BMILMS!$D$6*AG441^3+BMILMS!$E$6*AG441^2+BMILMS!$F$6*AG441+BMILMS!$G$6,BMILMS!$D$7*AG441^3+BMILMS!$E$7*AG441^2+BMILMS!$F$7*AG441+BMILMS!$G$7)),IF(AG441&lt;69,BMILMS!$D$9*AG441^3+BMILMS!$E$9*AG441^2+BMILMS!$F$9*AG441+BMILMS!$G$9,IF(AG441&lt;150,BMILMS!$D$10*AG441^3+BMILMS!$E$10*AG441^2+BMILMS!$F$10*AG441+BMILMS!$G$10,BMILMS!$D$11*AG441^3+BMILMS!$E$11*AG441^2+BMILMS!$F$11*AG441+BMILMS!$G$11)))</f>
        <v>0.79584630099999998</v>
      </c>
      <c r="AE441" s="24">
        <f>IF(D441="M",(IF(AG441&lt;2.5,BMILMS!$D$21*AG441^3+BMILMS!$E$21*AG441^2+BMILMS!$F$21*AG441+BMILMS!$G$21,IF(AG441&lt;9.5,BMILMS!$D$22*AG441^3+BMILMS!$E$22*AG441^2+BMILMS!$F$22*AG441+BMILMS!$G$22,IF(AG441&lt;26.75,BMILMS!$D$23*AG441^3+BMILMS!$E$23*AG441^2+BMILMS!$F$23*AG441+BMILMS!$G$23,IF(AG441&lt;90,BMILMS!$D$24*AG441^3+BMILMS!$E$24*AG441^2+BMILMS!$F$24*AG441+BMILMS!$G$24,BMILMS!$D$25*AG441^3+BMILMS!$E$25*AG441^2+BMILMS!$F$25*AG441+BMILMS!$G$25))))),(IF(AG441&lt;2.5,BMILMS!$D$27*AG441^3+BMILMS!$E$27*AG441^2+BMILMS!$F$27*AG441+BMILMS!$G$27,IF(AG441&lt;9.5,BMILMS!$D$28*AG441^3+BMILMS!$E$28*AG441^2+BMILMS!$F$28*AG441+BMILMS!$G$28,IF(AG441&lt;26.75,BMILMS!$D$29*AG441^3+BMILMS!$E$29*AG441^2+BMILMS!$F$29*AG441+BMILMS!$G$29,IF(AG441&lt;90,BMILMS!$D$30*AG441^3+BMILMS!$E$30*AG441^2+BMILMS!$F$30*AG441+BMILMS!$G$30,IF(AG441&lt;150,BMILMS!$D$31*AG441^3+BMILMS!$E$31*AG441^2+BMILMS!$F$31*AG441+BMILMS!$G$31,BMILMS!$D$32*AG441^3+BMILMS!$E$32*AG441^2+BMILMS!$F$32*AG441+BMILMS!$G$32)))))))</f>
        <v>12.568967990000001</v>
      </c>
      <c r="AF441" s="24">
        <f>IF(D441="M",(IF(AG441&lt;90,BMILMS!$D$14*AG441^3+BMILMS!$E$14*AG441^2+BMILMS!$F$14*AG441+BMILMS!$G$14,BMILMS!$D$15*AG441^3+BMILMS!$E$15*AG441^2+BMILMS!$F$15*AG441+BMILMS!$G$15)),(IF(AG441&lt;90,BMILMS!$D$17*AG441^3+BMILMS!$E$17*AG441^2+BMILMS!$F$17*AG441+BMILMS!$G$17,BMILMS!$D$18*AG441^3+BMILMS!$E$18*AG441^2+BMILMS!$F$18*AG441+BMILMS!$G$18)))</f>
        <v>8.8969350000000003E-2</v>
      </c>
      <c r="AG441" s="24">
        <f t="shared" si="112"/>
        <v>0</v>
      </c>
      <c r="AI441" s="38">
        <f>IF(D441="M",WeightSDS!P$5*$AG441^7+WeightSDS!Q$5*$AG441^6+WeightSDS!R$5*$AG441^5+WeightSDS!S$5*$AG441^4+WeightSDS!T$5*$AG441^3+WeightSDS!U$5*$AG441^2+WeightSDS!V$5*$AG441+WeightSDS!W$5,IF($AG441&lt;186,WeightSDS!P$8*$AG441^7+WeightSDS!Q$8*$AG441^6+WeightSDS!R$8*$AG441^5+WeightSDS!S$8*$AG441^4+WeightSDS!T$8*$AG441^3+WeightSDS!U$8*$AG441^2+WeightSDS!V$8*$AG441+WeightSDS!W$8,WeightSDS!$U$9-WeightSDS!$V$9*($AG441-WeightSDS!$W$9)))</f>
        <v>0.75407122999999998</v>
      </c>
      <c r="AJ441" s="24">
        <f>IF(D441="M",IF($AG441&lt;45,WeightSDS!M$23*$AG441^10+WeightSDS!N$23*$AG441^9+WeightSDS!O$23*$AG441^8+WeightSDS!P$23*$AG441^7+WeightSDS!Q$23*$AG441^6+WeightSDS!R$23*$AG441^5+WeightSDS!S$23*$AG441^4+WeightSDS!T$23*$AG441^3+WeightSDS!U$23*$AG441^2+WeightSDS!V$23*$AG441+WeightSDS!W$23,IF($AG441&lt;153,WeightSDS!M$25*$AG441^10+WeightSDS!N$25*$AG441^9+WeightSDS!O$25*$AG441^8+WeightSDS!P$25*$AG441^7+WeightSDS!Q$25*$AG441^6+WeightSDS!R$25*$AG441^5+WeightSDS!S$25*$AG441^4+WeightSDS!T$25*$AG441^3+WeightSDS!U$25*$AG441^2+WeightSDS!V$25*$AG441+WeightSDS!W$25,WeightSDS!M$27+WeightSDS!N$27/(1+EXP(WeightSDS!O$27+WeightSDS!P$27*$AG441)))),IF($AG441&lt;43.8,WeightSDS!M$29*$AG441^10+WeightSDS!N$29*$AG441^9+WeightSDS!O$29*$AG441^8+WeightSDS!P$29*$AG441^7+WeightSDS!Q$29*$AG441^6+WeightSDS!R$29*$AG441^5+WeightSDS!S$29*$AG441^4+WeightSDS!T$29*$AG441^3+WeightSDS!U$29*$AG441^2+WeightSDS!V$29*$AG441+WeightSDS!W$29-0.010431*(1-$AG441/210),IF($AG441&lt;123,WeightSDS!M$30*$AG441^10+WeightSDS!N$30*$AG441^9+WeightSDS!O$30*$AG441^8+WeightSDS!P$30*$AG441^7+WeightSDS!Q$30*$AG441^6+WeightSDS!R$30*$AG441^5+WeightSDS!S$30*$AG441^4+WeightSDS!T$30*$AG441^3+WeightSDS!U$30*$AG441^2+WeightSDS!V$30*$AG441+WeightSDS!W$30-0.010431*(1-1/$AG441),WeightSDS!M$32+WeightSDS!N$32/(1+EXP(WeightSDS!O$32+WeightSDS!P$32*$AG441))-0.010431*(1-$AG441/210))))</f>
        <v>2.9500001032655536</v>
      </c>
      <c r="AK441" s="24">
        <f>IF(D441="M",IF($AG441&lt;162,WeightSDS!P$12*$AG441^7+WeightSDS!Q$12*$AG441^6+WeightSDS!R$12*$AG441^5+WeightSDS!S$12*$AG441^4+WeightSDS!T$12*$AG441^3+WeightSDS!U$12*$AG441^2+WeightSDS!V$12*$AG441+WeightSDS!W$12,WeightSDS!P$14*$AG441^7+WeightSDS!Q$14*$AG441^6+WeightSDS!R$14*$AG441^5+WeightSDS!S$14*$AG441^4+WeightSDS!T$14*$AG441^3+WeightSDS!U$14*$AG441^2+WeightSDS!V$14*$AG441+WeightSDS!W$14),IF($AG441&lt;156,WeightSDS!O$17*$AG441^8+WeightSDS!P$17*$AG441^7+WeightSDS!Q$17*$AG441^6+WeightSDS!R$17*$AG441^5+WeightSDS!S$17*$AG441^4+WeightSDS!T$17*$AG441^3+WeightSDS!U$17*$AG441^2+WeightSDS!V$17*$AG441+WeightSDS!W$17,IF($AG441&lt;186,WeightSDS!$U$18+(WeightSDS!$V$18-WeightSDS!$U$18)/24*($AG441-186)+WeightSDS!$W$18*(-$AG441+186)^2-0.005,WeightSDS!$U$18+(WeightSDS!$V$18-WeightSDS!$U$18)/24*($AG441-186)-0.005)))</f>
        <v>0.14604529399999999</v>
      </c>
    </row>
    <row r="442" spans="1:37">
      <c r="A442" s="4"/>
      <c r="B442" s="21"/>
      <c r="C442" s="21"/>
      <c r="D442" s="21"/>
      <c r="E442" s="22"/>
      <c r="F442" s="22"/>
      <c r="G442" s="23"/>
      <c r="H442" s="23"/>
      <c r="I442" s="8" t="str">
        <f t="shared" si="98"/>
        <v/>
      </c>
      <c r="J442" s="2" t="str">
        <f t="shared" si="105"/>
        <v/>
      </c>
      <c r="K442" s="2" t="str">
        <f t="shared" si="99"/>
        <v/>
      </c>
      <c r="L442" s="2" t="str">
        <f t="shared" si="106"/>
        <v/>
      </c>
      <c r="M442" s="2" t="str">
        <f t="shared" si="111"/>
        <v/>
      </c>
      <c r="N442" s="2" t="str">
        <f t="shared" si="107"/>
        <v/>
      </c>
      <c r="O442" s="8" t="str">
        <f t="shared" si="108"/>
        <v/>
      </c>
      <c r="P442" s="8" t="str">
        <f t="shared" si="109"/>
        <v/>
      </c>
      <c r="Q442" s="40" t="str">
        <f t="shared" si="100"/>
        <v/>
      </c>
      <c r="R442" s="48" t="str">
        <f t="shared" si="110"/>
        <v/>
      </c>
      <c r="S442" s="8"/>
      <c r="U442" s="35">
        <f t="shared" si="101"/>
        <v>0</v>
      </c>
      <c r="V442" s="24">
        <f t="shared" si="102"/>
        <v>0</v>
      </c>
      <c r="W442" s="41">
        <f t="shared" si="113"/>
        <v>0</v>
      </c>
      <c r="X442" s="31"/>
      <c r="Y442" s="31"/>
      <c r="Z442" s="31"/>
      <c r="AA442" s="25">
        <f t="shared" si="103"/>
        <v>9.0359999999999996</v>
      </c>
      <c r="AB442" s="25">
        <f t="shared" si="104"/>
        <v>-184.49199999999999</v>
      </c>
      <c r="AD442" s="24">
        <f>IF(D442="M",IF(AG442&lt;78,BMILMS!$D$5*AG442^3+BMILMS!$E$5*AG442^2+BMILMS!$F$5*AG442+BMILMS!$G$5,IF(AG442&lt;150,BMILMS!$D$6*AG442^3+BMILMS!$E$6*AG442^2+BMILMS!$F$6*AG442+BMILMS!$G$6,BMILMS!$D$7*AG442^3+BMILMS!$E$7*AG442^2+BMILMS!$F$7*AG442+BMILMS!$G$7)),IF(AG442&lt;69,BMILMS!$D$9*AG442^3+BMILMS!$E$9*AG442^2+BMILMS!$F$9*AG442+BMILMS!$G$9,IF(AG442&lt;150,BMILMS!$D$10*AG442^3+BMILMS!$E$10*AG442^2+BMILMS!$F$10*AG442+BMILMS!$G$10,BMILMS!$D$11*AG442^3+BMILMS!$E$11*AG442^2+BMILMS!$F$11*AG442+BMILMS!$G$11)))</f>
        <v>0.79584630099999998</v>
      </c>
      <c r="AE442" s="24">
        <f>IF(D442="M",(IF(AG442&lt;2.5,BMILMS!$D$21*AG442^3+BMILMS!$E$21*AG442^2+BMILMS!$F$21*AG442+BMILMS!$G$21,IF(AG442&lt;9.5,BMILMS!$D$22*AG442^3+BMILMS!$E$22*AG442^2+BMILMS!$F$22*AG442+BMILMS!$G$22,IF(AG442&lt;26.75,BMILMS!$D$23*AG442^3+BMILMS!$E$23*AG442^2+BMILMS!$F$23*AG442+BMILMS!$G$23,IF(AG442&lt;90,BMILMS!$D$24*AG442^3+BMILMS!$E$24*AG442^2+BMILMS!$F$24*AG442+BMILMS!$G$24,BMILMS!$D$25*AG442^3+BMILMS!$E$25*AG442^2+BMILMS!$F$25*AG442+BMILMS!$G$25))))),(IF(AG442&lt;2.5,BMILMS!$D$27*AG442^3+BMILMS!$E$27*AG442^2+BMILMS!$F$27*AG442+BMILMS!$G$27,IF(AG442&lt;9.5,BMILMS!$D$28*AG442^3+BMILMS!$E$28*AG442^2+BMILMS!$F$28*AG442+BMILMS!$G$28,IF(AG442&lt;26.75,BMILMS!$D$29*AG442^3+BMILMS!$E$29*AG442^2+BMILMS!$F$29*AG442+BMILMS!$G$29,IF(AG442&lt;90,BMILMS!$D$30*AG442^3+BMILMS!$E$30*AG442^2+BMILMS!$F$30*AG442+BMILMS!$G$30,IF(AG442&lt;150,BMILMS!$D$31*AG442^3+BMILMS!$E$31*AG442^2+BMILMS!$F$31*AG442+BMILMS!$G$31,BMILMS!$D$32*AG442^3+BMILMS!$E$32*AG442^2+BMILMS!$F$32*AG442+BMILMS!$G$32)))))))</f>
        <v>12.568967990000001</v>
      </c>
      <c r="AF442" s="24">
        <f>IF(D442="M",(IF(AG442&lt;90,BMILMS!$D$14*AG442^3+BMILMS!$E$14*AG442^2+BMILMS!$F$14*AG442+BMILMS!$G$14,BMILMS!$D$15*AG442^3+BMILMS!$E$15*AG442^2+BMILMS!$F$15*AG442+BMILMS!$G$15)),(IF(AG442&lt;90,BMILMS!$D$17*AG442^3+BMILMS!$E$17*AG442^2+BMILMS!$F$17*AG442+BMILMS!$G$17,BMILMS!$D$18*AG442^3+BMILMS!$E$18*AG442^2+BMILMS!$F$18*AG442+BMILMS!$G$18)))</f>
        <v>8.8969350000000003E-2</v>
      </c>
      <c r="AG442" s="24">
        <f t="shared" si="112"/>
        <v>0</v>
      </c>
      <c r="AI442" s="38">
        <f>IF(D442="M",WeightSDS!P$5*$AG442^7+WeightSDS!Q$5*$AG442^6+WeightSDS!R$5*$AG442^5+WeightSDS!S$5*$AG442^4+WeightSDS!T$5*$AG442^3+WeightSDS!U$5*$AG442^2+WeightSDS!V$5*$AG442+WeightSDS!W$5,IF($AG442&lt;186,WeightSDS!P$8*$AG442^7+WeightSDS!Q$8*$AG442^6+WeightSDS!R$8*$AG442^5+WeightSDS!S$8*$AG442^4+WeightSDS!T$8*$AG442^3+WeightSDS!U$8*$AG442^2+WeightSDS!V$8*$AG442+WeightSDS!W$8,WeightSDS!$U$9-WeightSDS!$V$9*($AG442-WeightSDS!$W$9)))</f>
        <v>0.75407122999999998</v>
      </c>
      <c r="AJ442" s="24">
        <f>IF(D442="M",IF($AG442&lt;45,WeightSDS!M$23*$AG442^10+WeightSDS!N$23*$AG442^9+WeightSDS!O$23*$AG442^8+WeightSDS!P$23*$AG442^7+WeightSDS!Q$23*$AG442^6+WeightSDS!R$23*$AG442^5+WeightSDS!S$23*$AG442^4+WeightSDS!T$23*$AG442^3+WeightSDS!U$23*$AG442^2+WeightSDS!V$23*$AG442+WeightSDS!W$23,IF($AG442&lt;153,WeightSDS!M$25*$AG442^10+WeightSDS!N$25*$AG442^9+WeightSDS!O$25*$AG442^8+WeightSDS!P$25*$AG442^7+WeightSDS!Q$25*$AG442^6+WeightSDS!R$25*$AG442^5+WeightSDS!S$25*$AG442^4+WeightSDS!T$25*$AG442^3+WeightSDS!U$25*$AG442^2+WeightSDS!V$25*$AG442+WeightSDS!W$25,WeightSDS!M$27+WeightSDS!N$27/(1+EXP(WeightSDS!O$27+WeightSDS!P$27*$AG442)))),IF($AG442&lt;43.8,WeightSDS!M$29*$AG442^10+WeightSDS!N$29*$AG442^9+WeightSDS!O$29*$AG442^8+WeightSDS!P$29*$AG442^7+WeightSDS!Q$29*$AG442^6+WeightSDS!R$29*$AG442^5+WeightSDS!S$29*$AG442^4+WeightSDS!T$29*$AG442^3+WeightSDS!U$29*$AG442^2+WeightSDS!V$29*$AG442+WeightSDS!W$29-0.010431*(1-$AG442/210),IF($AG442&lt;123,WeightSDS!M$30*$AG442^10+WeightSDS!N$30*$AG442^9+WeightSDS!O$30*$AG442^8+WeightSDS!P$30*$AG442^7+WeightSDS!Q$30*$AG442^6+WeightSDS!R$30*$AG442^5+WeightSDS!S$30*$AG442^4+WeightSDS!T$30*$AG442^3+WeightSDS!U$30*$AG442^2+WeightSDS!V$30*$AG442+WeightSDS!W$30-0.010431*(1-1/$AG442),WeightSDS!M$32+WeightSDS!N$32/(1+EXP(WeightSDS!O$32+WeightSDS!P$32*$AG442))-0.010431*(1-$AG442/210))))</f>
        <v>2.9500001032655536</v>
      </c>
      <c r="AK442" s="24">
        <f>IF(D442="M",IF($AG442&lt;162,WeightSDS!P$12*$AG442^7+WeightSDS!Q$12*$AG442^6+WeightSDS!R$12*$AG442^5+WeightSDS!S$12*$AG442^4+WeightSDS!T$12*$AG442^3+WeightSDS!U$12*$AG442^2+WeightSDS!V$12*$AG442+WeightSDS!W$12,WeightSDS!P$14*$AG442^7+WeightSDS!Q$14*$AG442^6+WeightSDS!R$14*$AG442^5+WeightSDS!S$14*$AG442^4+WeightSDS!T$14*$AG442^3+WeightSDS!U$14*$AG442^2+WeightSDS!V$14*$AG442+WeightSDS!W$14),IF($AG442&lt;156,WeightSDS!O$17*$AG442^8+WeightSDS!P$17*$AG442^7+WeightSDS!Q$17*$AG442^6+WeightSDS!R$17*$AG442^5+WeightSDS!S$17*$AG442^4+WeightSDS!T$17*$AG442^3+WeightSDS!U$17*$AG442^2+WeightSDS!V$17*$AG442+WeightSDS!W$17,IF($AG442&lt;186,WeightSDS!$U$18+(WeightSDS!$V$18-WeightSDS!$U$18)/24*($AG442-186)+WeightSDS!$W$18*(-$AG442+186)^2-0.005,WeightSDS!$U$18+(WeightSDS!$V$18-WeightSDS!$U$18)/24*($AG442-186)-0.005)))</f>
        <v>0.14604529399999999</v>
      </c>
    </row>
    <row r="443" spans="1:37">
      <c r="A443" s="4"/>
      <c r="B443" s="21"/>
      <c r="C443" s="21"/>
      <c r="D443" s="21"/>
      <c r="E443" s="22"/>
      <c r="F443" s="22"/>
      <c r="G443" s="23"/>
      <c r="H443" s="23"/>
      <c r="I443" s="8" t="str">
        <f t="shared" si="98"/>
        <v/>
      </c>
      <c r="J443" s="2" t="str">
        <f t="shared" si="105"/>
        <v/>
      </c>
      <c r="K443" s="2" t="str">
        <f t="shared" si="99"/>
        <v/>
      </c>
      <c r="L443" s="2" t="str">
        <f t="shared" si="106"/>
        <v/>
      </c>
      <c r="M443" s="2" t="str">
        <f t="shared" si="111"/>
        <v/>
      </c>
      <c r="N443" s="2" t="str">
        <f t="shared" si="107"/>
        <v/>
      </c>
      <c r="O443" s="8" t="str">
        <f t="shared" si="108"/>
        <v/>
      </c>
      <c r="P443" s="8" t="str">
        <f t="shared" si="109"/>
        <v/>
      </c>
      <c r="Q443" s="40" t="str">
        <f t="shared" si="100"/>
        <v/>
      </c>
      <c r="R443" s="48" t="str">
        <f t="shared" si="110"/>
        <v/>
      </c>
      <c r="S443" s="8"/>
      <c r="U443" s="35">
        <f t="shared" si="101"/>
        <v>0</v>
      </c>
      <c r="V443" s="24">
        <f t="shared" si="102"/>
        <v>0</v>
      </c>
      <c r="W443" s="41">
        <f t="shared" si="113"/>
        <v>0</v>
      </c>
      <c r="X443" s="31"/>
      <c r="Y443" s="31"/>
      <c r="Z443" s="31"/>
      <c r="AA443" s="25">
        <f t="shared" si="103"/>
        <v>9.0359999999999996</v>
      </c>
      <c r="AB443" s="25">
        <f t="shared" si="104"/>
        <v>-184.49199999999999</v>
      </c>
      <c r="AD443" s="24">
        <f>IF(D443="M",IF(AG443&lt;78,BMILMS!$D$5*AG443^3+BMILMS!$E$5*AG443^2+BMILMS!$F$5*AG443+BMILMS!$G$5,IF(AG443&lt;150,BMILMS!$D$6*AG443^3+BMILMS!$E$6*AG443^2+BMILMS!$F$6*AG443+BMILMS!$G$6,BMILMS!$D$7*AG443^3+BMILMS!$E$7*AG443^2+BMILMS!$F$7*AG443+BMILMS!$G$7)),IF(AG443&lt;69,BMILMS!$D$9*AG443^3+BMILMS!$E$9*AG443^2+BMILMS!$F$9*AG443+BMILMS!$G$9,IF(AG443&lt;150,BMILMS!$D$10*AG443^3+BMILMS!$E$10*AG443^2+BMILMS!$F$10*AG443+BMILMS!$G$10,BMILMS!$D$11*AG443^3+BMILMS!$E$11*AG443^2+BMILMS!$F$11*AG443+BMILMS!$G$11)))</f>
        <v>0.79584630099999998</v>
      </c>
      <c r="AE443" s="24">
        <f>IF(D443="M",(IF(AG443&lt;2.5,BMILMS!$D$21*AG443^3+BMILMS!$E$21*AG443^2+BMILMS!$F$21*AG443+BMILMS!$G$21,IF(AG443&lt;9.5,BMILMS!$D$22*AG443^3+BMILMS!$E$22*AG443^2+BMILMS!$F$22*AG443+BMILMS!$G$22,IF(AG443&lt;26.75,BMILMS!$D$23*AG443^3+BMILMS!$E$23*AG443^2+BMILMS!$F$23*AG443+BMILMS!$G$23,IF(AG443&lt;90,BMILMS!$D$24*AG443^3+BMILMS!$E$24*AG443^2+BMILMS!$F$24*AG443+BMILMS!$G$24,BMILMS!$D$25*AG443^3+BMILMS!$E$25*AG443^2+BMILMS!$F$25*AG443+BMILMS!$G$25))))),(IF(AG443&lt;2.5,BMILMS!$D$27*AG443^3+BMILMS!$E$27*AG443^2+BMILMS!$F$27*AG443+BMILMS!$G$27,IF(AG443&lt;9.5,BMILMS!$D$28*AG443^3+BMILMS!$E$28*AG443^2+BMILMS!$F$28*AG443+BMILMS!$G$28,IF(AG443&lt;26.75,BMILMS!$D$29*AG443^3+BMILMS!$E$29*AG443^2+BMILMS!$F$29*AG443+BMILMS!$G$29,IF(AG443&lt;90,BMILMS!$D$30*AG443^3+BMILMS!$E$30*AG443^2+BMILMS!$F$30*AG443+BMILMS!$G$30,IF(AG443&lt;150,BMILMS!$D$31*AG443^3+BMILMS!$E$31*AG443^2+BMILMS!$F$31*AG443+BMILMS!$G$31,BMILMS!$D$32*AG443^3+BMILMS!$E$32*AG443^2+BMILMS!$F$32*AG443+BMILMS!$G$32)))))))</f>
        <v>12.568967990000001</v>
      </c>
      <c r="AF443" s="24">
        <f>IF(D443="M",(IF(AG443&lt;90,BMILMS!$D$14*AG443^3+BMILMS!$E$14*AG443^2+BMILMS!$F$14*AG443+BMILMS!$G$14,BMILMS!$D$15*AG443^3+BMILMS!$E$15*AG443^2+BMILMS!$F$15*AG443+BMILMS!$G$15)),(IF(AG443&lt;90,BMILMS!$D$17*AG443^3+BMILMS!$E$17*AG443^2+BMILMS!$F$17*AG443+BMILMS!$G$17,BMILMS!$D$18*AG443^3+BMILMS!$E$18*AG443^2+BMILMS!$F$18*AG443+BMILMS!$G$18)))</f>
        <v>8.8969350000000003E-2</v>
      </c>
      <c r="AG443" s="24">
        <f t="shared" si="112"/>
        <v>0</v>
      </c>
      <c r="AI443" s="38">
        <f>IF(D443="M",WeightSDS!P$5*$AG443^7+WeightSDS!Q$5*$AG443^6+WeightSDS!R$5*$AG443^5+WeightSDS!S$5*$AG443^4+WeightSDS!T$5*$AG443^3+WeightSDS!U$5*$AG443^2+WeightSDS!V$5*$AG443+WeightSDS!W$5,IF($AG443&lt;186,WeightSDS!P$8*$AG443^7+WeightSDS!Q$8*$AG443^6+WeightSDS!R$8*$AG443^5+WeightSDS!S$8*$AG443^4+WeightSDS!T$8*$AG443^3+WeightSDS!U$8*$AG443^2+WeightSDS!V$8*$AG443+WeightSDS!W$8,WeightSDS!$U$9-WeightSDS!$V$9*($AG443-WeightSDS!$W$9)))</f>
        <v>0.75407122999999998</v>
      </c>
      <c r="AJ443" s="24">
        <f>IF(D443="M",IF($AG443&lt;45,WeightSDS!M$23*$AG443^10+WeightSDS!N$23*$AG443^9+WeightSDS!O$23*$AG443^8+WeightSDS!P$23*$AG443^7+WeightSDS!Q$23*$AG443^6+WeightSDS!R$23*$AG443^5+WeightSDS!S$23*$AG443^4+WeightSDS!T$23*$AG443^3+WeightSDS!U$23*$AG443^2+WeightSDS!V$23*$AG443+WeightSDS!W$23,IF($AG443&lt;153,WeightSDS!M$25*$AG443^10+WeightSDS!N$25*$AG443^9+WeightSDS!O$25*$AG443^8+WeightSDS!P$25*$AG443^7+WeightSDS!Q$25*$AG443^6+WeightSDS!R$25*$AG443^5+WeightSDS!S$25*$AG443^4+WeightSDS!T$25*$AG443^3+WeightSDS!U$25*$AG443^2+WeightSDS!V$25*$AG443+WeightSDS!W$25,WeightSDS!M$27+WeightSDS!N$27/(1+EXP(WeightSDS!O$27+WeightSDS!P$27*$AG443)))),IF($AG443&lt;43.8,WeightSDS!M$29*$AG443^10+WeightSDS!N$29*$AG443^9+WeightSDS!O$29*$AG443^8+WeightSDS!P$29*$AG443^7+WeightSDS!Q$29*$AG443^6+WeightSDS!R$29*$AG443^5+WeightSDS!S$29*$AG443^4+WeightSDS!T$29*$AG443^3+WeightSDS!U$29*$AG443^2+WeightSDS!V$29*$AG443+WeightSDS!W$29-0.010431*(1-$AG443/210),IF($AG443&lt;123,WeightSDS!M$30*$AG443^10+WeightSDS!N$30*$AG443^9+WeightSDS!O$30*$AG443^8+WeightSDS!P$30*$AG443^7+WeightSDS!Q$30*$AG443^6+WeightSDS!R$30*$AG443^5+WeightSDS!S$30*$AG443^4+WeightSDS!T$30*$AG443^3+WeightSDS!U$30*$AG443^2+WeightSDS!V$30*$AG443+WeightSDS!W$30-0.010431*(1-1/$AG443),WeightSDS!M$32+WeightSDS!N$32/(1+EXP(WeightSDS!O$32+WeightSDS!P$32*$AG443))-0.010431*(1-$AG443/210))))</f>
        <v>2.9500001032655536</v>
      </c>
      <c r="AK443" s="24">
        <f>IF(D443="M",IF($AG443&lt;162,WeightSDS!P$12*$AG443^7+WeightSDS!Q$12*$AG443^6+WeightSDS!R$12*$AG443^5+WeightSDS!S$12*$AG443^4+WeightSDS!T$12*$AG443^3+WeightSDS!U$12*$AG443^2+WeightSDS!V$12*$AG443+WeightSDS!W$12,WeightSDS!P$14*$AG443^7+WeightSDS!Q$14*$AG443^6+WeightSDS!R$14*$AG443^5+WeightSDS!S$14*$AG443^4+WeightSDS!T$14*$AG443^3+WeightSDS!U$14*$AG443^2+WeightSDS!V$14*$AG443+WeightSDS!W$14),IF($AG443&lt;156,WeightSDS!O$17*$AG443^8+WeightSDS!P$17*$AG443^7+WeightSDS!Q$17*$AG443^6+WeightSDS!R$17*$AG443^5+WeightSDS!S$17*$AG443^4+WeightSDS!T$17*$AG443^3+WeightSDS!U$17*$AG443^2+WeightSDS!V$17*$AG443+WeightSDS!W$17,IF($AG443&lt;186,WeightSDS!$U$18+(WeightSDS!$V$18-WeightSDS!$U$18)/24*($AG443-186)+WeightSDS!$W$18*(-$AG443+186)^2-0.005,WeightSDS!$U$18+(WeightSDS!$V$18-WeightSDS!$U$18)/24*($AG443-186)-0.005)))</f>
        <v>0.14604529399999999</v>
      </c>
    </row>
    <row r="444" spans="1:37">
      <c r="A444" s="4"/>
      <c r="B444" s="21"/>
      <c r="C444" s="21"/>
      <c r="D444" s="21"/>
      <c r="E444" s="22"/>
      <c r="F444" s="22"/>
      <c r="G444" s="23"/>
      <c r="H444" s="23"/>
      <c r="I444" s="8" t="str">
        <f t="shared" si="98"/>
        <v/>
      </c>
      <c r="J444" s="2" t="str">
        <f t="shared" si="105"/>
        <v/>
      </c>
      <c r="K444" s="2" t="str">
        <f t="shared" si="99"/>
        <v/>
      </c>
      <c r="L444" s="2" t="str">
        <f t="shared" si="106"/>
        <v/>
      </c>
      <c r="M444" s="2" t="str">
        <f t="shared" si="111"/>
        <v/>
      </c>
      <c r="N444" s="2" t="str">
        <f t="shared" si="107"/>
        <v/>
      </c>
      <c r="O444" s="8" t="str">
        <f t="shared" si="108"/>
        <v/>
      </c>
      <c r="P444" s="8" t="str">
        <f t="shared" si="109"/>
        <v/>
      </c>
      <c r="Q444" s="40" t="str">
        <f t="shared" si="100"/>
        <v/>
      </c>
      <c r="R444" s="48" t="str">
        <f t="shared" si="110"/>
        <v/>
      </c>
      <c r="S444" s="8"/>
      <c r="U444" s="35">
        <f t="shared" si="101"/>
        <v>0</v>
      </c>
      <c r="V444" s="24">
        <f t="shared" si="102"/>
        <v>0</v>
      </c>
      <c r="W444" s="41">
        <f t="shared" si="113"/>
        <v>0</v>
      </c>
      <c r="X444" s="31"/>
      <c r="Y444" s="31"/>
      <c r="Z444" s="31"/>
      <c r="AA444" s="25">
        <f t="shared" si="103"/>
        <v>9.0359999999999996</v>
      </c>
      <c r="AB444" s="25">
        <f t="shared" si="104"/>
        <v>-184.49199999999999</v>
      </c>
      <c r="AD444" s="24">
        <f>IF(D444="M",IF(AG444&lt;78,BMILMS!$D$5*AG444^3+BMILMS!$E$5*AG444^2+BMILMS!$F$5*AG444+BMILMS!$G$5,IF(AG444&lt;150,BMILMS!$D$6*AG444^3+BMILMS!$E$6*AG444^2+BMILMS!$F$6*AG444+BMILMS!$G$6,BMILMS!$D$7*AG444^3+BMILMS!$E$7*AG444^2+BMILMS!$F$7*AG444+BMILMS!$G$7)),IF(AG444&lt;69,BMILMS!$D$9*AG444^3+BMILMS!$E$9*AG444^2+BMILMS!$F$9*AG444+BMILMS!$G$9,IF(AG444&lt;150,BMILMS!$D$10*AG444^3+BMILMS!$E$10*AG444^2+BMILMS!$F$10*AG444+BMILMS!$G$10,BMILMS!$D$11*AG444^3+BMILMS!$E$11*AG444^2+BMILMS!$F$11*AG444+BMILMS!$G$11)))</f>
        <v>0.79584630099999998</v>
      </c>
      <c r="AE444" s="24">
        <f>IF(D444="M",(IF(AG444&lt;2.5,BMILMS!$D$21*AG444^3+BMILMS!$E$21*AG444^2+BMILMS!$F$21*AG444+BMILMS!$G$21,IF(AG444&lt;9.5,BMILMS!$D$22*AG444^3+BMILMS!$E$22*AG444^2+BMILMS!$F$22*AG444+BMILMS!$G$22,IF(AG444&lt;26.75,BMILMS!$D$23*AG444^3+BMILMS!$E$23*AG444^2+BMILMS!$F$23*AG444+BMILMS!$G$23,IF(AG444&lt;90,BMILMS!$D$24*AG444^3+BMILMS!$E$24*AG444^2+BMILMS!$F$24*AG444+BMILMS!$G$24,BMILMS!$D$25*AG444^3+BMILMS!$E$25*AG444^2+BMILMS!$F$25*AG444+BMILMS!$G$25))))),(IF(AG444&lt;2.5,BMILMS!$D$27*AG444^3+BMILMS!$E$27*AG444^2+BMILMS!$F$27*AG444+BMILMS!$G$27,IF(AG444&lt;9.5,BMILMS!$D$28*AG444^3+BMILMS!$E$28*AG444^2+BMILMS!$F$28*AG444+BMILMS!$G$28,IF(AG444&lt;26.75,BMILMS!$D$29*AG444^3+BMILMS!$E$29*AG444^2+BMILMS!$F$29*AG444+BMILMS!$G$29,IF(AG444&lt;90,BMILMS!$D$30*AG444^3+BMILMS!$E$30*AG444^2+BMILMS!$F$30*AG444+BMILMS!$G$30,IF(AG444&lt;150,BMILMS!$D$31*AG444^3+BMILMS!$E$31*AG444^2+BMILMS!$F$31*AG444+BMILMS!$G$31,BMILMS!$D$32*AG444^3+BMILMS!$E$32*AG444^2+BMILMS!$F$32*AG444+BMILMS!$G$32)))))))</f>
        <v>12.568967990000001</v>
      </c>
      <c r="AF444" s="24">
        <f>IF(D444="M",(IF(AG444&lt;90,BMILMS!$D$14*AG444^3+BMILMS!$E$14*AG444^2+BMILMS!$F$14*AG444+BMILMS!$G$14,BMILMS!$D$15*AG444^3+BMILMS!$E$15*AG444^2+BMILMS!$F$15*AG444+BMILMS!$G$15)),(IF(AG444&lt;90,BMILMS!$D$17*AG444^3+BMILMS!$E$17*AG444^2+BMILMS!$F$17*AG444+BMILMS!$G$17,BMILMS!$D$18*AG444^3+BMILMS!$E$18*AG444^2+BMILMS!$F$18*AG444+BMILMS!$G$18)))</f>
        <v>8.8969350000000003E-2</v>
      </c>
      <c r="AG444" s="24">
        <f t="shared" si="112"/>
        <v>0</v>
      </c>
      <c r="AI444" s="38">
        <f>IF(D444="M",WeightSDS!P$5*$AG444^7+WeightSDS!Q$5*$AG444^6+WeightSDS!R$5*$AG444^5+WeightSDS!S$5*$AG444^4+WeightSDS!T$5*$AG444^3+WeightSDS!U$5*$AG444^2+WeightSDS!V$5*$AG444+WeightSDS!W$5,IF($AG444&lt;186,WeightSDS!P$8*$AG444^7+WeightSDS!Q$8*$AG444^6+WeightSDS!R$8*$AG444^5+WeightSDS!S$8*$AG444^4+WeightSDS!T$8*$AG444^3+WeightSDS!U$8*$AG444^2+WeightSDS!V$8*$AG444+WeightSDS!W$8,WeightSDS!$U$9-WeightSDS!$V$9*($AG444-WeightSDS!$W$9)))</f>
        <v>0.75407122999999998</v>
      </c>
      <c r="AJ444" s="24">
        <f>IF(D444="M",IF($AG444&lt;45,WeightSDS!M$23*$AG444^10+WeightSDS!N$23*$AG444^9+WeightSDS!O$23*$AG444^8+WeightSDS!P$23*$AG444^7+WeightSDS!Q$23*$AG444^6+WeightSDS!R$23*$AG444^5+WeightSDS!S$23*$AG444^4+WeightSDS!T$23*$AG444^3+WeightSDS!U$23*$AG444^2+WeightSDS!V$23*$AG444+WeightSDS!W$23,IF($AG444&lt;153,WeightSDS!M$25*$AG444^10+WeightSDS!N$25*$AG444^9+WeightSDS!O$25*$AG444^8+WeightSDS!P$25*$AG444^7+WeightSDS!Q$25*$AG444^6+WeightSDS!R$25*$AG444^5+WeightSDS!S$25*$AG444^4+WeightSDS!T$25*$AG444^3+WeightSDS!U$25*$AG444^2+WeightSDS!V$25*$AG444+WeightSDS!W$25,WeightSDS!M$27+WeightSDS!N$27/(1+EXP(WeightSDS!O$27+WeightSDS!P$27*$AG444)))),IF($AG444&lt;43.8,WeightSDS!M$29*$AG444^10+WeightSDS!N$29*$AG444^9+WeightSDS!O$29*$AG444^8+WeightSDS!P$29*$AG444^7+WeightSDS!Q$29*$AG444^6+WeightSDS!R$29*$AG444^5+WeightSDS!S$29*$AG444^4+WeightSDS!T$29*$AG444^3+WeightSDS!U$29*$AG444^2+WeightSDS!V$29*$AG444+WeightSDS!W$29-0.010431*(1-$AG444/210),IF($AG444&lt;123,WeightSDS!M$30*$AG444^10+WeightSDS!N$30*$AG444^9+WeightSDS!O$30*$AG444^8+WeightSDS!P$30*$AG444^7+WeightSDS!Q$30*$AG444^6+WeightSDS!R$30*$AG444^5+WeightSDS!S$30*$AG444^4+WeightSDS!T$30*$AG444^3+WeightSDS!U$30*$AG444^2+WeightSDS!V$30*$AG444+WeightSDS!W$30-0.010431*(1-1/$AG444),WeightSDS!M$32+WeightSDS!N$32/(1+EXP(WeightSDS!O$32+WeightSDS!P$32*$AG444))-0.010431*(1-$AG444/210))))</f>
        <v>2.9500001032655536</v>
      </c>
      <c r="AK444" s="24">
        <f>IF(D444="M",IF($AG444&lt;162,WeightSDS!P$12*$AG444^7+WeightSDS!Q$12*$AG444^6+WeightSDS!R$12*$AG444^5+WeightSDS!S$12*$AG444^4+WeightSDS!T$12*$AG444^3+WeightSDS!U$12*$AG444^2+WeightSDS!V$12*$AG444+WeightSDS!W$12,WeightSDS!P$14*$AG444^7+WeightSDS!Q$14*$AG444^6+WeightSDS!R$14*$AG444^5+WeightSDS!S$14*$AG444^4+WeightSDS!T$14*$AG444^3+WeightSDS!U$14*$AG444^2+WeightSDS!V$14*$AG444+WeightSDS!W$14),IF($AG444&lt;156,WeightSDS!O$17*$AG444^8+WeightSDS!P$17*$AG444^7+WeightSDS!Q$17*$AG444^6+WeightSDS!R$17*$AG444^5+WeightSDS!S$17*$AG444^4+WeightSDS!T$17*$AG444^3+WeightSDS!U$17*$AG444^2+WeightSDS!V$17*$AG444+WeightSDS!W$17,IF($AG444&lt;186,WeightSDS!$U$18+(WeightSDS!$V$18-WeightSDS!$U$18)/24*($AG444-186)+WeightSDS!$W$18*(-$AG444+186)^2-0.005,WeightSDS!$U$18+(WeightSDS!$V$18-WeightSDS!$U$18)/24*($AG444-186)-0.005)))</f>
        <v>0.14604529399999999</v>
      </c>
    </row>
    <row r="445" spans="1:37">
      <c r="A445" s="4"/>
      <c r="B445" s="21"/>
      <c r="C445" s="21"/>
      <c r="D445" s="21"/>
      <c r="E445" s="22"/>
      <c r="F445" s="22"/>
      <c r="G445" s="23"/>
      <c r="H445" s="23"/>
      <c r="I445" s="8" t="str">
        <f t="shared" si="98"/>
        <v/>
      </c>
      <c r="J445" s="2" t="str">
        <f t="shared" si="105"/>
        <v/>
      </c>
      <c r="K445" s="2" t="str">
        <f t="shared" si="99"/>
        <v/>
      </c>
      <c r="L445" s="2" t="str">
        <f t="shared" si="106"/>
        <v/>
      </c>
      <c r="M445" s="2" t="str">
        <f t="shared" si="111"/>
        <v/>
      </c>
      <c r="N445" s="2" t="str">
        <f t="shared" si="107"/>
        <v/>
      </c>
      <c r="O445" s="8" t="str">
        <f t="shared" si="108"/>
        <v/>
      </c>
      <c r="P445" s="8" t="str">
        <f t="shared" si="109"/>
        <v/>
      </c>
      <c r="Q445" s="40" t="str">
        <f t="shared" si="100"/>
        <v/>
      </c>
      <c r="R445" s="48" t="str">
        <f t="shared" si="110"/>
        <v/>
      </c>
      <c r="S445" s="8"/>
      <c r="U445" s="35">
        <f t="shared" si="101"/>
        <v>0</v>
      </c>
      <c r="V445" s="24">
        <f t="shared" si="102"/>
        <v>0</v>
      </c>
      <c r="W445" s="41">
        <f t="shared" si="113"/>
        <v>0</v>
      </c>
      <c r="X445" s="31"/>
      <c r="Y445" s="31"/>
      <c r="Z445" s="31"/>
      <c r="AA445" s="25">
        <f t="shared" si="103"/>
        <v>9.0359999999999996</v>
      </c>
      <c r="AB445" s="25">
        <f t="shared" si="104"/>
        <v>-184.49199999999999</v>
      </c>
      <c r="AD445" s="24">
        <f>IF(D445="M",IF(AG445&lt;78,BMILMS!$D$5*AG445^3+BMILMS!$E$5*AG445^2+BMILMS!$F$5*AG445+BMILMS!$G$5,IF(AG445&lt;150,BMILMS!$D$6*AG445^3+BMILMS!$E$6*AG445^2+BMILMS!$F$6*AG445+BMILMS!$G$6,BMILMS!$D$7*AG445^3+BMILMS!$E$7*AG445^2+BMILMS!$F$7*AG445+BMILMS!$G$7)),IF(AG445&lt;69,BMILMS!$D$9*AG445^3+BMILMS!$E$9*AG445^2+BMILMS!$F$9*AG445+BMILMS!$G$9,IF(AG445&lt;150,BMILMS!$D$10*AG445^3+BMILMS!$E$10*AG445^2+BMILMS!$F$10*AG445+BMILMS!$G$10,BMILMS!$D$11*AG445^3+BMILMS!$E$11*AG445^2+BMILMS!$F$11*AG445+BMILMS!$G$11)))</f>
        <v>0.79584630099999998</v>
      </c>
      <c r="AE445" s="24">
        <f>IF(D445="M",(IF(AG445&lt;2.5,BMILMS!$D$21*AG445^3+BMILMS!$E$21*AG445^2+BMILMS!$F$21*AG445+BMILMS!$G$21,IF(AG445&lt;9.5,BMILMS!$D$22*AG445^3+BMILMS!$E$22*AG445^2+BMILMS!$F$22*AG445+BMILMS!$G$22,IF(AG445&lt;26.75,BMILMS!$D$23*AG445^3+BMILMS!$E$23*AG445^2+BMILMS!$F$23*AG445+BMILMS!$G$23,IF(AG445&lt;90,BMILMS!$D$24*AG445^3+BMILMS!$E$24*AG445^2+BMILMS!$F$24*AG445+BMILMS!$G$24,BMILMS!$D$25*AG445^3+BMILMS!$E$25*AG445^2+BMILMS!$F$25*AG445+BMILMS!$G$25))))),(IF(AG445&lt;2.5,BMILMS!$D$27*AG445^3+BMILMS!$E$27*AG445^2+BMILMS!$F$27*AG445+BMILMS!$G$27,IF(AG445&lt;9.5,BMILMS!$D$28*AG445^3+BMILMS!$E$28*AG445^2+BMILMS!$F$28*AG445+BMILMS!$G$28,IF(AG445&lt;26.75,BMILMS!$D$29*AG445^3+BMILMS!$E$29*AG445^2+BMILMS!$F$29*AG445+BMILMS!$G$29,IF(AG445&lt;90,BMILMS!$D$30*AG445^3+BMILMS!$E$30*AG445^2+BMILMS!$F$30*AG445+BMILMS!$G$30,IF(AG445&lt;150,BMILMS!$D$31*AG445^3+BMILMS!$E$31*AG445^2+BMILMS!$F$31*AG445+BMILMS!$G$31,BMILMS!$D$32*AG445^3+BMILMS!$E$32*AG445^2+BMILMS!$F$32*AG445+BMILMS!$G$32)))))))</f>
        <v>12.568967990000001</v>
      </c>
      <c r="AF445" s="24">
        <f>IF(D445="M",(IF(AG445&lt;90,BMILMS!$D$14*AG445^3+BMILMS!$E$14*AG445^2+BMILMS!$F$14*AG445+BMILMS!$G$14,BMILMS!$D$15*AG445^3+BMILMS!$E$15*AG445^2+BMILMS!$F$15*AG445+BMILMS!$G$15)),(IF(AG445&lt;90,BMILMS!$D$17*AG445^3+BMILMS!$E$17*AG445^2+BMILMS!$F$17*AG445+BMILMS!$G$17,BMILMS!$D$18*AG445^3+BMILMS!$E$18*AG445^2+BMILMS!$F$18*AG445+BMILMS!$G$18)))</f>
        <v>8.8969350000000003E-2</v>
      </c>
      <c r="AG445" s="24">
        <f t="shared" si="112"/>
        <v>0</v>
      </c>
      <c r="AI445" s="38">
        <f>IF(D445="M",WeightSDS!P$5*$AG445^7+WeightSDS!Q$5*$AG445^6+WeightSDS!R$5*$AG445^5+WeightSDS!S$5*$AG445^4+WeightSDS!T$5*$AG445^3+WeightSDS!U$5*$AG445^2+WeightSDS!V$5*$AG445+WeightSDS!W$5,IF($AG445&lt;186,WeightSDS!P$8*$AG445^7+WeightSDS!Q$8*$AG445^6+WeightSDS!R$8*$AG445^5+WeightSDS!S$8*$AG445^4+WeightSDS!T$8*$AG445^3+WeightSDS!U$8*$AG445^2+WeightSDS!V$8*$AG445+WeightSDS!W$8,WeightSDS!$U$9-WeightSDS!$V$9*($AG445-WeightSDS!$W$9)))</f>
        <v>0.75407122999999998</v>
      </c>
      <c r="AJ445" s="24">
        <f>IF(D445="M",IF($AG445&lt;45,WeightSDS!M$23*$AG445^10+WeightSDS!N$23*$AG445^9+WeightSDS!O$23*$AG445^8+WeightSDS!P$23*$AG445^7+WeightSDS!Q$23*$AG445^6+WeightSDS!R$23*$AG445^5+WeightSDS!S$23*$AG445^4+WeightSDS!T$23*$AG445^3+WeightSDS!U$23*$AG445^2+WeightSDS!V$23*$AG445+WeightSDS!W$23,IF($AG445&lt;153,WeightSDS!M$25*$AG445^10+WeightSDS!N$25*$AG445^9+WeightSDS!O$25*$AG445^8+WeightSDS!P$25*$AG445^7+WeightSDS!Q$25*$AG445^6+WeightSDS!R$25*$AG445^5+WeightSDS!S$25*$AG445^4+WeightSDS!T$25*$AG445^3+WeightSDS!U$25*$AG445^2+WeightSDS!V$25*$AG445+WeightSDS!W$25,WeightSDS!M$27+WeightSDS!N$27/(1+EXP(WeightSDS!O$27+WeightSDS!P$27*$AG445)))),IF($AG445&lt;43.8,WeightSDS!M$29*$AG445^10+WeightSDS!N$29*$AG445^9+WeightSDS!O$29*$AG445^8+WeightSDS!P$29*$AG445^7+WeightSDS!Q$29*$AG445^6+WeightSDS!R$29*$AG445^5+WeightSDS!S$29*$AG445^4+WeightSDS!T$29*$AG445^3+WeightSDS!U$29*$AG445^2+WeightSDS!V$29*$AG445+WeightSDS!W$29-0.010431*(1-$AG445/210),IF($AG445&lt;123,WeightSDS!M$30*$AG445^10+WeightSDS!N$30*$AG445^9+WeightSDS!O$30*$AG445^8+WeightSDS!P$30*$AG445^7+WeightSDS!Q$30*$AG445^6+WeightSDS!R$30*$AG445^5+WeightSDS!S$30*$AG445^4+WeightSDS!T$30*$AG445^3+WeightSDS!U$30*$AG445^2+WeightSDS!V$30*$AG445+WeightSDS!W$30-0.010431*(1-1/$AG445),WeightSDS!M$32+WeightSDS!N$32/(1+EXP(WeightSDS!O$32+WeightSDS!P$32*$AG445))-0.010431*(1-$AG445/210))))</f>
        <v>2.9500001032655536</v>
      </c>
      <c r="AK445" s="24">
        <f>IF(D445="M",IF($AG445&lt;162,WeightSDS!P$12*$AG445^7+WeightSDS!Q$12*$AG445^6+WeightSDS!R$12*$AG445^5+WeightSDS!S$12*$AG445^4+WeightSDS!T$12*$AG445^3+WeightSDS!U$12*$AG445^2+WeightSDS!V$12*$AG445+WeightSDS!W$12,WeightSDS!P$14*$AG445^7+WeightSDS!Q$14*$AG445^6+WeightSDS!R$14*$AG445^5+WeightSDS!S$14*$AG445^4+WeightSDS!T$14*$AG445^3+WeightSDS!U$14*$AG445^2+WeightSDS!V$14*$AG445+WeightSDS!W$14),IF($AG445&lt;156,WeightSDS!O$17*$AG445^8+WeightSDS!P$17*$AG445^7+WeightSDS!Q$17*$AG445^6+WeightSDS!R$17*$AG445^5+WeightSDS!S$17*$AG445^4+WeightSDS!T$17*$AG445^3+WeightSDS!U$17*$AG445^2+WeightSDS!V$17*$AG445+WeightSDS!W$17,IF($AG445&lt;186,WeightSDS!$U$18+(WeightSDS!$V$18-WeightSDS!$U$18)/24*($AG445-186)+WeightSDS!$W$18*(-$AG445+186)^2-0.005,WeightSDS!$U$18+(WeightSDS!$V$18-WeightSDS!$U$18)/24*($AG445-186)-0.005)))</f>
        <v>0.14604529399999999</v>
      </c>
    </row>
    <row r="446" spans="1:37">
      <c r="A446" s="4"/>
      <c r="B446" s="21"/>
      <c r="C446" s="21"/>
      <c r="D446" s="21"/>
      <c r="E446" s="22"/>
      <c r="F446" s="22"/>
      <c r="G446" s="23"/>
      <c r="H446" s="23"/>
      <c r="I446" s="8" t="str">
        <f t="shared" si="98"/>
        <v/>
      </c>
      <c r="J446" s="2" t="str">
        <f t="shared" si="105"/>
        <v/>
      </c>
      <c r="K446" s="2" t="str">
        <f t="shared" si="99"/>
        <v/>
      </c>
      <c r="L446" s="2" t="str">
        <f t="shared" si="106"/>
        <v/>
      </c>
      <c r="M446" s="2" t="str">
        <f t="shared" si="111"/>
        <v/>
      </c>
      <c r="N446" s="2" t="str">
        <f t="shared" si="107"/>
        <v/>
      </c>
      <c r="O446" s="8" t="str">
        <f t="shared" si="108"/>
        <v/>
      </c>
      <c r="P446" s="8" t="str">
        <f t="shared" si="109"/>
        <v/>
      </c>
      <c r="Q446" s="40" t="str">
        <f t="shared" si="100"/>
        <v/>
      </c>
      <c r="R446" s="48" t="str">
        <f t="shared" si="110"/>
        <v/>
      </c>
      <c r="S446" s="8"/>
      <c r="U446" s="35">
        <f t="shared" si="101"/>
        <v>0</v>
      </c>
      <c r="V446" s="24">
        <f t="shared" si="102"/>
        <v>0</v>
      </c>
      <c r="W446" s="41">
        <f t="shared" si="113"/>
        <v>0</v>
      </c>
      <c r="X446" s="31"/>
      <c r="Y446" s="31"/>
      <c r="Z446" s="31"/>
      <c r="AA446" s="25">
        <f t="shared" si="103"/>
        <v>9.0359999999999996</v>
      </c>
      <c r="AB446" s="25">
        <f t="shared" si="104"/>
        <v>-184.49199999999999</v>
      </c>
      <c r="AD446" s="24">
        <f>IF(D446="M",IF(AG446&lt;78,BMILMS!$D$5*AG446^3+BMILMS!$E$5*AG446^2+BMILMS!$F$5*AG446+BMILMS!$G$5,IF(AG446&lt;150,BMILMS!$D$6*AG446^3+BMILMS!$E$6*AG446^2+BMILMS!$F$6*AG446+BMILMS!$G$6,BMILMS!$D$7*AG446^3+BMILMS!$E$7*AG446^2+BMILMS!$F$7*AG446+BMILMS!$G$7)),IF(AG446&lt;69,BMILMS!$D$9*AG446^3+BMILMS!$E$9*AG446^2+BMILMS!$F$9*AG446+BMILMS!$G$9,IF(AG446&lt;150,BMILMS!$D$10*AG446^3+BMILMS!$E$10*AG446^2+BMILMS!$F$10*AG446+BMILMS!$G$10,BMILMS!$D$11*AG446^3+BMILMS!$E$11*AG446^2+BMILMS!$F$11*AG446+BMILMS!$G$11)))</f>
        <v>0.79584630099999998</v>
      </c>
      <c r="AE446" s="24">
        <f>IF(D446="M",(IF(AG446&lt;2.5,BMILMS!$D$21*AG446^3+BMILMS!$E$21*AG446^2+BMILMS!$F$21*AG446+BMILMS!$G$21,IF(AG446&lt;9.5,BMILMS!$D$22*AG446^3+BMILMS!$E$22*AG446^2+BMILMS!$F$22*AG446+BMILMS!$G$22,IF(AG446&lt;26.75,BMILMS!$D$23*AG446^3+BMILMS!$E$23*AG446^2+BMILMS!$F$23*AG446+BMILMS!$G$23,IF(AG446&lt;90,BMILMS!$D$24*AG446^3+BMILMS!$E$24*AG446^2+BMILMS!$F$24*AG446+BMILMS!$G$24,BMILMS!$D$25*AG446^3+BMILMS!$E$25*AG446^2+BMILMS!$F$25*AG446+BMILMS!$G$25))))),(IF(AG446&lt;2.5,BMILMS!$D$27*AG446^3+BMILMS!$E$27*AG446^2+BMILMS!$F$27*AG446+BMILMS!$G$27,IF(AG446&lt;9.5,BMILMS!$D$28*AG446^3+BMILMS!$E$28*AG446^2+BMILMS!$F$28*AG446+BMILMS!$G$28,IF(AG446&lt;26.75,BMILMS!$D$29*AG446^3+BMILMS!$E$29*AG446^2+BMILMS!$F$29*AG446+BMILMS!$G$29,IF(AG446&lt;90,BMILMS!$D$30*AG446^3+BMILMS!$E$30*AG446^2+BMILMS!$F$30*AG446+BMILMS!$G$30,IF(AG446&lt;150,BMILMS!$D$31*AG446^3+BMILMS!$E$31*AG446^2+BMILMS!$F$31*AG446+BMILMS!$G$31,BMILMS!$D$32*AG446^3+BMILMS!$E$32*AG446^2+BMILMS!$F$32*AG446+BMILMS!$G$32)))))))</f>
        <v>12.568967990000001</v>
      </c>
      <c r="AF446" s="24">
        <f>IF(D446="M",(IF(AG446&lt;90,BMILMS!$D$14*AG446^3+BMILMS!$E$14*AG446^2+BMILMS!$F$14*AG446+BMILMS!$G$14,BMILMS!$D$15*AG446^3+BMILMS!$E$15*AG446^2+BMILMS!$F$15*AG446+BMILMS!$G$15)),(IF(AG446&lt;90,BMILMS!$D$17*AG446^3+BMILMS!$E$17*AG446^2+BMILMS!$F$17*AG446+BMILMS!$G$17,BMILMS!$D$18*AG446^3+BMILMS!$E$18*AG446^2+BMILMS!$F$18*AG446+BMILMS!$G$18)))</f>
        <v>8.8969350000000003E-2</v>
      </c>
      <c r="AG446" s="24">
        <f t="shared" si="112"/>
        <v>0</v>
      </c>
      <c r="AI446" s="38">
        <f>IF(D446="M",WeightSDS!P$5*$AG446^7+WeightSDS!Q$5*$AG446^6+WeightSDS!R$5*$AG446^5+WeightSDS!S$5*$AG446^4+WeightSDS!T$5*$AG446^3+WeightSDS!U$5*$AG446^2+WeightSDS!V$5*$AG446+WeightSDS!W$5,IF($AG446&lt;186,WeightSDS!P$8*$AG446^7+WeightSDS!Q$8*$AG446^6+WeightSDS!R$8*$AG446^5+WeightSDS!S$8*$AG446^4+WeightSDS!T$8*$AG446^3+WeightSDS!U$8*$AG446^2+WeightSDS!V$8*$AG446+WeightSDS!W$8,WeightSDS!$U$9-WeightSDS!$V$9*($AG446-WeightSDS!$W$9)))</f>
        <v>0.75407122999999998</v>
      </c>
      <c r="AJ446" s="24">
        <f>IF(D446="M",IF($AG446&lt;45,WeightSDS!M$23*$AG446^10+WeightSDS!N$23*$AG446^9+WeightSDS!O$23*$AG446^8+WeightSDS!P$23*$AG446^7+WeightSDS!Q$23*$AG446^6+WeightSDS!R$23*$AG446^5+WeightSDS!S$23*$AG446^4+WeightSDS!T$23*$AG446^3+WeightSDS!U$23*$AG446^2+WeightSDS!V$23*$AG446+WeightSDS!W$23,IF($AG446&lt;153,WeightSDS!M$25*$AG446^10+WeightSDS!N$25*$AG446^9+WeightSDS!O$25*$AG446^8+WeightSDS!P$25*$AG446^7+WeightSDS!Q$25*$AG446^6+WeightSDS!R$25*$AG446^5+WeightSDS!S$25*$AG446^4+WeightSDS!T$25*$AG446^3+WeightSDS!U$25*$AG446^2+WeightSDS!V$25*$AG446+WeightSDS!W$25,WeightSDS!M$27+WeightSDS!N$27/(1+EXP(WeightSDS!O$27+WeightSDS!P$27*$AG446)))),IF($AG446&lt;43.8,WeightSDS!M$29*$AG446^10+WeightSDS!N$29*$AG446^9+WeightSDS!O$29*$AG446^8+WeightSDS!P$29*$AG446^7+WeightSDS!Q$29*$AG446^6+WeightSDS!R$29*$AG446^5+WeightSDS!S$29*$AG446^4+WeightSDS!T$29*$AG446^3+WeightSDS!U$29*$AG446^2+WeightSDS!V$29*$AG446+WeightSDS!W$29-0.010431*(1-$AG446/210),IF($AG446&lt;123,WeightSDS!M$30*$AG446^10+WeightSDS!N$30*$AG446^9+WeightSDS!O$30*$AG446^8+WeightSDS!P$30*$AG446^7+WeightSDS!Q$30*$AG446^6+WeightSDS!R$30*$AG446^5+WeightSDS!S$30*$AG446^4+WeightSDS!T$30*$AG446^3+WeightSDS!U$30*$AG446^2+WeightSDS!V$30*$AG446+WeightSDS!W$30-0.010431*(1-1/$AG446),WeightSDS!M$32+WeightSDS!N$32/(1+EXP(WeightSDS!O$32+WeightSDS!P$32*$AG446))-0.010431*(1-$AG446/210))))</f>
        <v>2.9500001032655536</v>
      </c>
      <c r="AK446" s="24">
        <f>IF(D446="M",IF($AG446&lt;162,WeightSDS!P$12*$AG446^7+WeightSDS!Q$12*$AG446^6+WeightSDS!R$12*$AG446^5+WeightSDS!S$12*$AG446^4+WeightSDS!T$12*$AG446^3+WeightSDS!U$12*$AG446^2+WeightSDS!V$12*$AG446+WeightSDS!W$12,WeightSDS!P$14*$AG446^7+WeightSDS!Q$14*$AG446^6+WeightSDS!R$14*$AG446^5+WeightSDS!S$14*$AG446^4+WeightSDS!T$14*$AG446^3+WeightSDS!U$14*$AG446^2+WeightSDS!V$14*$AG446+WeightSDS!W$14),IF($AG446&lt;156,WeightSDS!O$17*$AG446^8+WeightSDS!P$17*$AG446^7+WeightSDS!Q$17*$AG446^6+WeightSDS!R$17*$AG446^5+WeightSDS!S$17*$AG446^4+WeightSDS!T$17*$AG446^3+WeightSDS!U$17*$AG446^2+WeightSDS!V$17*$AG446+WeightSDS!W$17,IF($AG446&lt;186,WeightSDS!$U$18+(WeightSDS!$V$18-WeightSDS!$U$18)/24*($AG446-186)+WeightSDS!$W$18*(-$AG446+186)^2-0.005,WeightSDS!$U$18+(WeightSDS!$V$18-WeightSDS!$U$18)/24*($AG446-186)-0.005)))</f>
        <v>0.14604529399999999</v>
      </c>
    </row>
    <row r="447" spans="1:37">
      <c r="A447" s="4"/>
      <c r="B447" s="21"/>
      <c r="C447" s="21"/>
      <c r="D447" s="21"/>
      <c r="E447" s="22"/>
      <c r="F447" s="22"/>
      <c r="G447" s="23"/>
      <c r="H447" s="23"/>
      <c r="I447" s="8" t="str">
        <f t="shared" si="98"/>
        <v/>
      </c>
      <c r="J447" s="2" t="str">
        <f t="shared" si="105"/>
        <v/>
      </c>
      <c r="K447" s="2" t="str">
        <f t="shared" si="99"/>
        <v/>
      </c>
      <c r="L447" s="2" t="str">
        <f t="shared" si="106"/>
        <v/>
      </c>
      <c r="M447" s="2" t="str">
        <f t="shared" si="111"/>
        <v/>
      </c>
      <c r="N447" s="2" t="str">
        <f t="shared" si="107"/>
        <v/>
      </c>
      <c r="O447" s="8" t="str">
        <f t="shared" si="108"/>
        <v/>
      </c>
      <c r="P447" s="8" t="str">
        <f t="shared" si="109"/>
        <v/>
      </c>
      <c r="Q447" s="40" t="str">
        <f t="shared" si="100"/>
        <v/>
      </c>
      <c r="R447" s="48" t="str">
        <f t="shared" si="110"/>
        <v/>
      </c>
      <c r="S447" s="8"/>
      <c r="U447" s="35">
        <f t="shared" si="101"/>
        <v>0</v>
      </c>
      <c r="V447" s="24">
        <f t="shared" si="102"/>
        <v>0</v>
      </c>
      <c r="W447" s="41">
        <f t="shared" si="113"/>
        <v>0</v>
      </c>
      <c r="X447" s="31"/>
      <c r="Y447" s="31"/>
      <c r="Z447" s="31"/>
      <c r="AA447" s="25">
        <f t="shared" si="103"/>
        <v>9.0359999999999996</v>
      </c>
      <c r="AB447" s="25">
        <f t="shared" si="104"/>
        <v>-184.49199999999999</v>
      </c>
      <c r="AD447" s="24">
        <f>IF(D447="M",IF(AG447&lt;78,BMILMS!$D$5*AG447^3+BMILMS!$E$5*AG447^2+BMILMS!$F$5*AG447+BMILMS!$G$5,IF(AG447&lt;150,BMILMS!$D$6*AG447^3+BMILMS!$E$6*AG447^2+BMILMS!$F$6*AG447+BMILMS!$G$6,BMILMS!$D$7*AG447^3+BMILMS!$E$7*AG447^2+BMILMS!$F$7*AG447+BMILMS!$G$7)),IF(AG447&lt;69,BMILMS!$D$9*AG447^3+BMILMS!$E$9*AG447^2+BMILMS!$F$9*AG447+BMILMS!$G$9,IF(AG447&lt;150,BMILMS!$D$10*AG447^3+BMILMS!$E$10*AG447^2+BMILMS!$F$10*AG447+BMILMS!$G$10,BMILMS!$D$11*AG447^3+BMILMS!$E$11*AG447^2+BMILMS!$F$11*AG447+BMILMS!$G$11)))</f>
        <v>0.79584630099999998</v>
      </c>
      <c r="AE447" s="24">
        <f>IF(D447="M",(IF(AG447&lt;2.5,BMILMS!$D$21*AG447^3+BMILMS!$E$21*AG447^2+BMILMS!$F$21*AG447+BMILMS!$G$21,IF(AG447&lt;9.5,BMILMS!$D$22*AG447^3+BMILMS!$E$22*AG447^2+BMILMS!$F$22*AG447+BMILMS!$G$22,IF(AG447&lt;26.75,BMILMS!$D$23*AG447^3+BMILMS!$E$23*AG447^2+BMILMS!$F$23*AG447+BMILMS!$G$23,IF(AG447&lt;90,BMILMS!$D$24*AG447^3+BMILMS!$E$24*AG447^2+BMILMS!$F$24*AG447+BMILMS!$G$24,BMILMS!$D$25*AG447^3+BMILMS!$E$25*AG447^2+BMILMS!$F$25*AG447+BMILMS!$G$25))))),(IF(AG447&lt;2.5,BMILMS!$D$27*AG447^3+BMILMS!$E$27*AG447^2+BMILMS!$F$27*AG447+BMILMS!$G$27,IF(AG447&lt;9.5,BMILMS!$D$28*AG447^3+BMILMS!$E$28*AG447^2+BMILMS!$F$28*AG447+BMILMS!$G$28,IF(AG447&lt;26.75,BMILMS!$D$29*AG447^3+BMILMS!$E$29*AG447^2+BMILMS!$F$29*AG447+BMILMS!$G$29,IF(AG447&lt;90,BMILMS!$D$30*AG447^3+BMILMS!$E$30*AG447^2+BMILMS!$F$30*AG447+BMILMS!$G$30,IF(AG447&lt;150,BMILMS!$D$31*AG447^3+BMILMS!$E$31*AG447^2+BMILMS!$F$31*AG447+BMILMS!$G$31,BMILMS!$D$32*AG447^3+BMILMS!$E$32*AG447^2+BMILMS!$F$32*AG447+BMILMS!$G$32)))))))</f>
        <v>12.568967990000001</v>
      </c>
      <c r="AF447" s="24">
        <f>IF(D447="M",(IF(AG447&lt;90,BMILMS!$D$14*AG447^3+BMILMS!$E$14*AG447^2+BMILMS!$F$14*AG447+BMILMS!$G$14,BMILMS!$D$15*AG447^3+BMILMS!$E$15*AG447^2+BMILMS!$F$15*AG447+BMILMS!$G$15)),(IF(AG447&lt;90,BMILMS!$D$17*AG447^3+BMILMS!$E$17*AG447^2+BMILMS!$F$17*AG447+BMILMS!$G$17,BMILMS!$D$18*AG447^3+BMILMS!$E$18*AG447^2+BMILMS!$F$18*AG447+BMILMS!$G$18)))</f>
        <v>8.8969350000000003E-2</v>
      </c>
      <c r="AG447" s="24">
        <f t="shared" si="112"/>
        <v>0</v>
      </c>
      <c r="AI447" s="38">
        <f>IF(D447="M",WeightSDS!P$5*$AG447^7+WeightSDS!Q$5*$AG447^6+WeightSDS!R$5*$AG447^5+WeightSDS!S$5*$AG447^4+WeightSDS!T$5*$AG447^3+WeightSDS!U$5*$AG447^2+WeightSDS!V$5*$AG447+WeightSDS!W$5,IF($AG447&lt;186,WeightSDS!P$8*$AG447^7+WeightSDS!Q$8*$AG447^6+WeightSDS!R$8*$AG447^5+WeightSDS!S$8*$AG447^4+WeightSDS!T$8*$AG447^3+WeightSDS!U$8*$AG447^2+WeightSDS!V$8*$AG447+WeightSDS!W$8,WeightSDS!$U$9-WeightSDS!$V$9*($AG447-WeightSDS!$W$9)))</f>
        <v>0.75407122999999998</v>
      </c>
      <c r="AJ447" s="24">
        <f>IF(D447="M",IF($AG447&lt;45,WeightSDS!M$23*$AG447^10+WeightSDS!N$23*$AG447^9+WeightSDS!O$23*$AG447^8+WeightSDS!P$23*$AG447^7+WeightSDS!Q$23*$AG447^6+WeightSDS!R$23*$AG447^5+WeightSDS!S$23*$AG447^4+WeightSDS!T$23*$AG447^3+WeightSDS!U$23*$AG447^2+WeightSDS!V$23*$AG447+WeightSDS!W$23,IF($AG447&lt;153,WeightSDS!M$25*$AG447^10+WeightSDS!N$25*$AG447^9+WeightSDS!O$25*$AG447^8+WeightSDS!P$25*$AG447^7+WeightSDS!Q$25*$AG447^6+WeightSDS!R$25*$AG447^5+WeightSDS!S$25*$AG447^4+WeightSDS!T$25*$AG447^3+WeightSDS!U$25*$AG447^2+WeightSDS!V$25*$AG447+WeightSDS!W$25,WeightSDS!M$27+WeightSDS!N$27/(1+EXP(WeightSDS!O$27+WeightSDS!P$27*$AG447)))),IF($AG447&lt;43.8,WeightSDS!M$29*$AG447^10+WeightSDS!N$29*$AG447^9+WeightSDS!O$29*$AG447^8+WeightSDS!P$29*$AG447^7+WeightSDS!Q$29*$AG447^6+WeightSDS!R$29*$AG447^5+WeightSDS!S$29*$AG447^4+WeightSDS!T$29*$AG447^3+WeightSDS!U$29*$AG447^2+WeightSDS!V$29*$AG447+WeightSDS!W$29-0.010431*(1-$AG447/210),IF($AG447&lt;123,WeightSDS!M$30*$AG447^10+WeightSDS!N$30*$AG447^9+WeightSDS!O$30*$AG447^8+WeightSDS!P$30*$AG447^7+WeightSDS!Q$30*$AG447^6+WeightSDS!R$30*$AG447^5+WeightSDS!S$30*$AG447^4+WeightSDS!T$30*$AG447^3+WeightSDS!U$30*$AG447^2+WeightSDS!V$30*$AG447+WeightSDS!W$30-0.010431*(1-1/$AG447),WeightSDS!M$32+WeightSDS!N$32/(1+EXP(WeightSDS!O$32+WeightSDS!P$32*$AG447))-0.010431*(1-$AG447/210))))</f>
        <v>2.9500001032655536</v>
      </c>
      <c r="AK447" s="24">
        <f>IF(D447="M",IF($AG447&lt;162,WeightSDS!P$12*$AG447^7+WeightSDS!Q$12*$AG447^6+WeightSDS!R$12*$AG447^5+WeightSDS!S$12*$AG447^4+WeightSDS!T$12*$AG447^3+WeightSDS!U$12*$AG447^2+WeightSDS!V$12*$AG447+WeightSDS!W$12,WeightSDS!P$14*$AG447^7+WeightSDS!Q$14*$AG447^6+WeightSDS!R$14*$AG447^5+WeightSDS!S$14*$AG447^4+WeightSDS!T$14*$AG447^3+WeightSDS!U$14*$AG447^2+WeightSDS!V$14*$AG447+WeightSDS!W$14),IF($AG447&lt;156,WeightSDS!O$17*$AG447^8+WeightSDS!P$17*$AG447^7+WeightSDS!Q$17*$AG447^6+WeightSDS!R$17*$AG447^5+WeightSDS!S$17*$AG447^4+WeightSDS!T$17*$AG447^3+WeightSDS!U$17*$AG447^2+WeightSDS!V$17*$AG447+WeightSDS!W$17,IF($AG447&lt;186,WeightSDS!$U$18+(WeightSDS!$V$18-WeightSDS!$U$18)/24*($AG447-186)+WeightSDS!$W$18*(-$AG447+186)^2-0.005,WeightSDS!$U$18+(WeightSDS!$V$18-WeightSDS!$U$18)/24*($AG447-186)-0.005)))</f>
        <v>0.14604529399999999</v>
      </c>
    </row>
    <row r="448" spans="1:37">
      <c r="A448" s="4"/>
      <c r="B448" s="21"/>
      <c r="C448" s="21"/>
      <c r="D448" s="21"/>
      <c r="E448" s="22"/>
      <c r="F448" s="22"/>
      <c r="G448" s="23"/>
      <c r="H448" s="23"/>
      <c r="I448" s="8" t="str">
        <f t="shared" si="98"/>
        <v/>
      </c>
      <c r="J448" s="2" t="str">
        <f t="shared" si="105"/>
        <v/>
      </c>
      <c r="K448" s="2" t="str">
        <f t="shared" si="99"/>
        <v/>
      </c>
      <c r="L448" s="2" t="str">
        <f t="shared" si="106"/>
        <v/>
      </c>
      <c r="M448" s="2" t="str">
        <f t="shared" si="111"/>
        <v/>
      </c>
      <c r="N448" s="2" t="str">
        <f t="shared" si="107"/>
        <v/>
      </c>
      <c r="O448" s="8" t="str">
        <f t="shared" si="108"/>
        <v/>
      </c>
      <c r="P448" s="8" t="str">
        <f t="shared" si="109"/>
        <v/>
      </c>
      <c r="Q448" s="40" t="str">
        <f t="shared" si="100"/>
        <v/>
      </c>
      <c r="R448" s="48" t="str">
        <f t="shared" si="110"/>
        <v/>
      </c>
      <c r="S448" s="8"/>
      <c r="U448" s="35">
        <f t="shared" si="101"/>
        <v>0</v>
      </c>
      <c r="V448" s="24">
        <f t="shared" si="102"/>
        <v>0</v>
      </c>
      <c r="W448" s="41">
        <f t="shared" si="113"/>
        <v>0</v>
      </c>
      <c r="X448" s="31"/>
      <c r="Y448" s="31"/>
      <c r="Z448" s="31"/>
      <c r="AA448" s="25">
        <f t="shared" si="103"/>
        <v>9.0359999999999996</v>
      </c>
      <c r="AB448" s="25">
        <f t="shared" si="104"/>
        <v>-184.49199999999999</v>
      </c>
      <c r="AD448" s="24">
        <f>IF(D448="M",IF(AG448&lt;78,BMILMS!$D$5*AG448^3+BMILMS!$E$5*AG448^2+BMILMS!$F$5*AG448+BMILMS!$G$5,IF(AG448&lt;150,BMILMS!$D$6*AG448^3+BMILMS!$E$6*AG448^2+BMILMS!$F$6*AG448+BMILMS!$G$6,BMILMS!$D$7*AG448^3+BMILMS!$E$7*AG448^2+BMILMS!$F$7*AG448+BMILMS!$G$7)),IF(AG448&lt;69,BMILMS!$D$9*AG448^3+BMILMS!$E$9*AG448^2+BMILMS!$F$9*AG448+BMILMS!$G$9,IF(AG448&lt;150,BMILMS!$D$10*AG448^3+BMILMS!$E$10*AG448^2+BMILMS!$F$10*AG448+BMILMS!$G$10,BMILMS!$D$11*AG448^3+BMILMS!$E$11*AG448^2+BMILMS!$F$11*AG448+BMILMS!$G$11)))</f>
        <v>0.79584630099999998</v>
      </c>
      <c r="AE448" s="24">
        <f>IF(D448="M",(IF(AG448&lt;2.5,BMILMS!$D$21*AG448^3+BMILMS!$E$21*AG448^2+BMILMS!$F$21*AG448+BMILMS!$G$21,IF(AG448&lt;9.5,BMILMS!$D$22*AG448^3+BMILMS!$E$22*AG448^2+BMILMS!$F$22*AG448+BMILMS!$G$22,IF(AG448&lt;26.75,BMILMS!$D$23*AG448^3+BMILMS!$E$23*AG448^2+BMILMS!$F$23*AG448+BMILMS!$G$23,IF(AG448&lt;90,BMILMS!$D$24*AG448^3+BMILMS!$E$24*AG448^2+BMILMS!$F$24*AG448+BMILMS!$G$24,BMILMS!$D$25*AG448^3+BMILMS!$E$25*AG448^2+BMILMS!$F$25*AG448+BMILMS!$G$25))))),(IF(AG448&lt;2.5,BMILMS!$D$27*AG448^3+BMILMS!$E$27*AG448^2+BMILMS!$F$27*AG448+BMILMS!$G$27,IF(AG448&lt;9.5,BMILMS!$D$28*AG448^3+BMILMS!$E$28*AG448^2+BMILMS!$F$28*AG448+BMILMS!$G$28,IF(AG448&lt;26.75,BMILMS!$D$29*AG448^3+BMILMS!$E$29*AG448^2+BMILMS!$F$29*AG448+BMILMS!$G$29,IF(AG448&lt;90,BMILMS!$D$30*AG448^3+BMILMS!$E$30*AG448^2+BMILMS!$F$30*AG448+BMILMS!$G$30,IF(AG448&lt;150,BMILMS!$D$31*AG448^3+BMILMS!$E$31*AG448^2+BMILMS!$F$31*AG448+BMILMS!$G$31,BMILMS!$D$32*AG448^3+BMILMS!$E$32*AG448^2+BMILMS!$F$32*AG448+BMILMS!$G$32)))))))</f>
        <v>12.568967990000001</v>
      </c>
      <c r="AF448" s="24">
        <f>IF(D448="M",(IF(AG448&lt;90,BMILMS!$D$14*AG448^3+BMILMS!$E$14*AG448^2+BMILMS!$F$14*AG448+BMILMS!$G$14,BMILMS!$D$15*AG448^3+BMILMS!$E$15*AG448^2+BMILMS!$F$15*AG448+BMILMS!$G$15)),(IF(AG448&lt;90,BMILMS!$D$17*AG448^3+BMILMS!$E$17*AG448^2+BMILMS!$F$17*AG448+BMILMS!$G$17,BMILMS!$D$18*AG448^3+BMILMS!$E$18*AG448^2+BMILMS!$F$18*AG448+BMILMS!$G$18)))</f>
        <v>8.8969350000000003E-2</v>
      </c>
      <c r="AG448" s="24">
        <f t="shared" si="112"/>
        <v>0</v>
      </c>
      <c r="AI448" s="38">
        <f>IF(D448="M",WeightSDS!P$5*$AG448^7+WeightSDS!Q$5*$AG448^6+WeightSDS!R$5*$AG448^5+WeightSDS!S$5*$AG448^4+WeightSDS!T$5*$AG448^3+WeightSDS!U$5*$AG448^2+WeightSDS!V$5*$AG448+WeightSDS!W$5,IF($AG448&lt;186,WeightSDS!P$8*$AG448^7+WeightSDS!Q$8*$AG448^6+WeightSDS!R$8*$AG448^5+WeightSDS!S$8*$AG448^4+WeightSDS!T$8*$AG448^3+WeightSDS!U$8*$AG448^2+WeightSDS!V$8*$AG448+WeightSDS!W$8,WeightSDS!$U$9-WeightSDS!$V$9*($AG448-WeightSDS!$W$9)))</f>
        <v>0.75407122999999998</v>
      </c>
      <c r="AJ448" s="24">
        <f>IF(D448="M",IF($AG448&lt;45,WeightSDS!M$23*$AG448^10+WeightSDS!N$23*$AG448^9+WeightSDS!O$23*$AG448^8+WeightSDS!P$23*$AG448^7+WeightSDS!Q$23*$AG448^6+WeightSDS!R$23*$AG448^5+WeightSDS!S$23*$AG448^4+WeightSDS!T$23*$AG448^3+WeightSDS!U$23*$AG448^2+WeightSDS!V$23*$AG448+WeightSDS!W$23,IF($AG448&lt;153,WeightSDS!M$25*$AG448^10+WeightSDS!N$25*$AG448^9+WeightSDS!O$25*$AG448^8+WeightSDS!P$25*$AG448^7+WeightSDS!Q$25*$AG448^6+WeightSDS!R$25*$AG448^5+WeightSDS!S$25*$AG448^4+WeightSDS!T$25*$AG448^3+WeightSDS!U$25*$AG448^2+WeightSDS!V$25*$AG448+WeightSDS!W$25,WeightSDS!M$27+WeightSDS!N$27/(1+EXP(WeightSDS!O$27+WeightSDS!P$27*$AG448)))),IF($AG448&lt;43.8,WeightSDS!M$29*$AG448^10+WeightSDS!N$29*$AG448^9+WeightSDS!O$29*$AG448^8+WeightSDS!P$29*$AG448^7+WeightSDS!Q$29*$AG448^6+WeightSDS!R$29*$AG448^5+WeightSDS!S$29*$AG448^4+WeightSDS!T$29*$AG448^3+WeightSDS!U$29*$AG448^2+WeightSDS!V$29*$AG448+WeightSDS!W$29-0.010431*(1-$AG448/210),IF($AG448&lt;123,WeightSDS!M$30*$AG448^10+WeightSDS!N$30*$AG448^9+WeightSDS!O$30*$AG448^8+WeightSDS!P$30*$AG448^7+WeightSDS!Q$30*$AG448^6+WeightSDS!R$30*$AG448^5+WeightSDS!S$30*$AG448^4+WeightSDS!T$30*$AG448^3+WeightSDS!U$30*$AG448^2+WeightSDS!V$30*$AG448+WeightSDS!W$30-0.010431*(1-1/$AG448),WeightSDS!M$32+WeightSDS!N$32/(1+EXP(WeightSDS!O$32+WeightSDS!P$32*$AG448))-0.010431*(1-$AG448/210))))</f>
        <v>2.9500001032655536</v>
      </c>
      <c r="AK448" s="24">
        <f>IF(D448="M",IF($AG448&lt;162,WeightSDS!P$12*$AG448^7+WeightSDS!Q$12*$AG448^6+WeightSDS!R$12*$AG448^5+WeightSDS!S$12*$AG448^4+WeightSDS!T$12*$AG448^3+WeightSDS!U$12*$AG448^2+WeightSDS!V$12*$AG448+WeightSDS!W$12,WeightSDS!P$14*$AG448^7+WeightSDS!Q$14*$AG448^6+WeightSDS!R$14*$AG448^5+WeightSDS!S$14*$AG448^4+WeightSDS!T$14*$AG448^3+WeightSDS!U$14*$AG448^2+WeightSDS!V$14*$AG448+WeightSDS!W$14),IF($AG448&lt;156,WeightSDS!O$17*$AG448^8+WeightSDS!P$17*$AG448^7+WeightSDS!Q$17*$AG448^6+WeightSDS!R$17*$AG448^5+WeightSDS!S$17*$AG448^4+WeightSDS!T$17*$AG448^3+WeightSDS!U$17*$AG448^2+WeightSDS!V$17*$AG448+WeightSDS!W$17,IF($AG448&lt;186,WeightSDS!$U$18+(WeightSDS!$V$18-WeightSDS!$U$18)/24*($AG448-186)+WeightSDS!$W$18*(-$AG448+186)^2-0.005,WeightSDS!$U$18+(WeightSDS!$V$18-WeightSDS!$U$18)/24*($AG448-186)-0.005)))</f>
        <v>0.14604529399999999</v>
      </c>
    </row>
    <row r="449" spans="1:37">
      <c r="A449" s="4"/>
      <c r="B449" s="21"/>
      <c r="C449" s="21"/>
      <c r="D449" s="21"/>
      <c r="E449" s="22"/>
      <c r="F449" s="22"/>
      <c r="G449" s="23"/>
      <c r="H449" s="23"/>
      <c r="I449" s="8" t="str">
        <f t="shared" si="98"/>
        <v/>
      </c>
      <c r="J449" s="2" t="str">
        <f t="shared" si="105"/>
        <v/>
      </c>
      <c r="K449" s="2" t="str">
        <f t="shared" si="99"/>
        <v/>
      </c>
      <c r="L449" s="2" t="str">
        <f t="shared" si="106"/>
        <v/>
      </c>
      <c r="M449" s="2" t="str">
        <f t="shared" si="111"/>
        <v/>
      </c>
      <c r="N449" s="2" t="str">
        <f t="shared" si="107"/>
        <v/>
      </c>
      <c r="O449" s="8" t="str">
        <f t="shared" si="108"/>
        <v/>
      </c>
      <c r="P449" s="8" t="str">
        <f t="shared" si="109"/>
        <v/>
      </c>
      <c r="Q449" s="40" t="str">
        <f t="shared" si="100"/>
        <v/>
      </c>
      <c r="R449" s="48" t="str">
        <f t="shared" si="110"/>
        <v/>
      </c>
      <c r="S449" s="8"/>
      <c r="U449" s="35">
        <f t="shared" si="101"/>
        <v>0</v>
      </c>
      <c r="V449" s="24">
        <f t="shared" si="102"/>
        <v>0</v>
      </c>
      <c r="W449" s="41">
        <f t="shared" si="113"/>
        <v>0</v>
      </c>
      <c r="X449" s="31"/>
      <c r="Y449" s="31"/>
      <c r="Z449" s="31"/>
      <c r="AA449" s="25">
        <f t="shared" si="103"/>
        <v>9.0359999999999996</v>
      </c>
      <c r="AB449" s="25">
        <f t="shared" si="104"/>
        <v>-184.49199999999999</v>
      </c>
      <c r="AD449" s="24">
        <f>IF(D449="M",IF(AG449&lt;78,BMILMS!$D$5*AG449^3+BMILMS!$E$5*AG449^2+BMILMS!$F$5*AG449+BMILMS!$G$5,IF(AG449&lt;150,BMILMS!$D$6*AG449^3+BMILMS!$E$6*AG449^2+BMILMS!$F$6*AG449+BMILMS!$G$6,BMILMS!$D$7*AG449^3+BMILMS!$E$7*AG449^2+BMILMS!$F$7*AG449+BMILMS!$G$7)),IF(AG449&lt;69,BMILMS!$D$9*AG449^3+BMILMS!$E$9*AG449^2+BMILMS!$F$9*AG449+BMILMS!$G$9,IF(AG449&lt;150,BMILMS!$D$10*AG449^3+BMILMS!$E$10*AG449^2+BMILMS!$F$10*AG449+BMILMS!$G$10,BMILMS!$D$11*AG449^3+BMILMS!$E$11*AG449^2+BMILMS!$F$11*AG449+BMILMS!$G$11)))</f>
        <v>0.79584630099999998</v>
      </c>
      <c r="AE449" s="24">
        <f>IF(D449="M",(IF(AG449&lt;2.5,BMILMS!$D$21*AG449^3+BMILMS!$E$21*AG449^2+BMILMS!$F$21*AG449+BMILMS!$G$21,IF(AG449&lt;9.5,BMILMS!$D$22*AG449^3+BMILMS!$E$22*AG449^2+BMILMS!$F$22*AG449+BMILMS!$G$22,IF(AG449&lt;26.75,BMILMS!$D$23*AG449^3+BMILMS!$E$23*AG449^2+BMILMS!$F$23*AG449+BMILMS!$G$23,IF(AG449&lt;90,BMILMS!$D$24*AG449^3+BMILMS!$E$24*AG449^2+BMILMS!$F$24*AG449+BMILMS!$G$24,BMILMS!$D$25*AG449^3+BMILMS!$E$25*AG449^2+BMILMS!$F$25*AG449+BMILMS!$G$25))))),(IF(AG449&lt;2.5,BMILMS!$D$27*AG449^3+BMILMS!$E$27*AG449^2+BMILMS!$F$27*AG449+BMILMS!$G$27,IF(AG449&lt;9.5,BMILMS!$D$28*AG449^3+BMILMS!$E$28*AG449^2+BMILMS!$F$28*AG449+BMILMS!$G$28,IF(AG449&lt;26.75,BMILMS!$D$29*AG449^3+BMILMS!$E$29*AG449^2+BMILMS!$F$29*AG449+BMILMS!$G$29,IF(AG449&lt;90,BMILMS!$D$30*AG449^3+BMILMS!$E$30*AG449^2+BMILMS!$F$30*AG449+BMILMS!$G$30,IF(AG449&lt;150,BMILMS!$D$31*AG449^3+BMILMS!$E$31*AG449^2+BMILMS!$F$31*AG449+BMILMS!$G$31,BMILMS!$D$32*AG449^3+BMILMS!$E$32*AG449^2+BMILMS!$F$32*AG449+BMILMS!$G$32)))))))</f>
        <v>12.568967990000001</v>
      </c>
      <c r="AF449" s="24">
        <f>IF(D449="M",(IF(AG449&lt;90,BMILMS!$D$14*AG449^3+BMILMS!$E$14*AG449^2+BMILMS!$F$14*AG449+BMILMS!$G$14,BMILMS!$D$15*AG449^3+BMILMS!$E$15*AG449^2+BMILMS!$F$15*AG449+BMILMS!$G$15)),(IF(AG449&lt;90,BMILMS!$D$17*AG449^3+BMILMS!$E$17*AG449^2+BMILMS!$F$17*AG449+BMILMS!$G$17,BMILMS!$D$18*AG449^3+BMILMS!$E$18*AG449^2+BMILMS!$F$18*AG449+BMILMS!$G$18)))</f>
        <v>8.8969350000000003E-2</v>
      </c>
      <c r="AG449" s="24">
        <f t="shared" si="112"/>
        <v>0</v>
      </c>
      <c r="AI449" s="38">
        <f>IF(D449="M",WeightSDS!P$5*$AG449^7+WeightSDS!Q$5*$AG449^6+WeightSDS!R$5*$AG449^5+WeightSDS!S$5*$AG449^4+WeightSDS!T$5*$AG449^3+WeightSDS!U$5*$AG449^2+WeightSDS!V$5*$AG449+WeightSDS!W$5,IF($AG449&lt;186,WeightSDS!P$8*$AG449^7+WeightSDS!Q$8*$AG449^6+WeightSDS!R$8*$AG449^5+WeightSDS!S$8*$AG449^4+WeightSDS!T$8*$AG449^3+WeightSDS!U$8*$AG449^2+WeightSDS!V$8*$AG449+WeightSDS!W$8,WeightSDS!$U$9-WeightSDS!$V$9*($AG449-WeightSDS!$W$9)))</f>
        <v>0.75407122999999998</v>
      </c>
      <c r="AJ449" s="24">
        <f>IF(D449="M",IF($AG449&lt;45,WeightSDS!M$23*$AG449^10+WeightSDS!N$23*$AG449^9+WeightSDS!O$23*$AG449^8+WeightSDS!P$23*$AG449^7+WeightSDS!Q$23*$AG449^6+WeightSDS!R$23*$AG449^5+WeightSDS!S$23*$AG449^4+WeightSDS!T$23*$AG449^3+WeightSDS!U$23*$AG449^2+WeightSDS!V$23*$AG449+WeightSDS!W$23,IF($AG449&lt;153,WeightSDS!M$25*$AG449^10+WeightSDS!N$25*$AG449^9+WeightSDS!O$25*$AG449^8+WeightSDS!P$25*$AG449^7+WeightSDS!Q$25*$AG449^6+WeightSDS!R$25*$AG449^5+WeightSDS!S$25*$AG449^4+WeightSDS!T$25*$AG449^3+WeightSDS!U$25*$AG449^2+WeightSDS!V$25*$AG449+WeightSDS!W$25,WeightSDS!M$27+WeightSDS!N$27/(1+EXP(WeightSDS!O$27+WeightSDS!P$27*$AG449)))),IF($AG449&lt;43.8,WeightSDS!M$29*$AG449^10+WeightSDS!N$29*$AG449^9+WeightSDS!O$29*$AG449^8+WeightSDS!P$29*$AG449^7+WeightSDS!Q$29*$AG449^6+WeightSDS!R$29*$AG449^5+WeightSDS!S$29*$AG449^4+WeightSDS!T$29*$AG449^3+WeightSDS!U$29*$AG449^2+WeightSDS!V$29*$AG449+WeightSDS!W$29-0.010431*(1-$AG449/210),IF($AG449&lt;123,WeightSDS!M$30*$AG449^10+WeightSDS!N$30*$AG449^9+WeightSDS!O$30*$AG449^8+WeightSDS!P$30*$AG449^7+WeightSDS!Q$30*$AG449^6+WeightSDS!R$30*$AG449^5+WeightSDS!S$30*$AG449^4+WeightSDS!T$30*$AG449^3+WeightSDS!U$30*$AG449^2+WeightSDS!V$30*$AG449+WeightSDS!W$30-0.010431*(1-1/$AG449),WeightSDS!M$32+WeightSDS!N$32/(1+EXP(WeightSDS!O$32+WeightSDS!P$32*$AG449))-0.010431*(1-$AG449/210))))</f>
        <v>2.9500001032655536</v>
      </c>
      <c r="AK449" s="24">
        <f>IF(D449="M",IF($AG449&lt;162,WeightSDS!P$12*$AG449^7+WeightSDS!Q$12*$AG449^6+WeightSDS!R$12*$AG449^5+WeightSDS!S$12*$AG449^4+WeightSDS!T$12*$AG449^3+WeightSDS!U$12*$AG449^2+WeightSDS!V$12*$AG449+WeightSDS!W$12,WeightSDS!P$14*$AG449^7+WeightSDS!Q$14*$AG449^6+WeightSDS!R$14*$AG449^5+WeightSDS!S$14*$AG449^4+WeightSDS!T$14*$AG449^3+WeightSDS!U$14*$AG449^2+WeightSDS!V$14*$AG449+WeightSDS!W$14),IF($AG449&lt;156,WeightSDS!O$17*$AG449^8+WeightSDS!P$17*$AG449^7+WeightSDS!Q$17*$AG449^6+WeightSDS!R$17*$AG449^5+WeightSDS!S$17*$AG449^4+WeightSDS!T$17*$AG449^3+WeightSDS!U$17*$AG449^2+WeightSDS!V$17*$AG449+WeightSDS!W$17,IF($AG449&lt;186,WeightSDS!$U$18+(WeightSDS!$V$18-WeightSDS!$U$18)/24*($AG449-186)+WeightSDS!$W$18*(-$AG449+186)^2-0.005,WeightSDS!$U$18+(WeightSDS!$V$18-WeightSDS!$U$18)/24*($AG449-186)-0.005)))</f>
        <v>0.14604529399999999</v>
      </c>
    </row>
    <row r="450" spans="1:37">
      <c r="A450" s="4"/>
      <c r="B450" s="21"/>
      <c r="C450" s="21"/>
      <c r="D450" s="21"/>
      <c r="E450" s="22"/>
      <c r="F450" s="22"/>
      <c r="G450" s="23"/>
      <c r="H450" s="23"/>
      <c r="I450" s="8" t="str">
        <f t="shared" si="98"/>
        <v/>
      </c>
      <c r="J450" s="2" t="str">
        <f t="shared" si="105"/>
        <v/>
      </c>
      <c r="K450" s="2" t="str">
        <f t="shared" si="99"/>
        <v/>
      </c>
      <c r="L450" s="2" t="str">
        <f t="shared" si="106"/>
        <v/>
      </c>
      <c r="M450" s="2" t="str">
        <f t="shared" si="111"/>
        <v/>
      </c>
      <c r="N450" s="2" t="str">
        <f t="shared" si="107"/>
        <v/>
      </c>
      <c r="O450" s="8" t="str">
        <f t="shared" si="108"/>
        <v/>
      </c>
      <c r="P450" s="8" t="str">
        <f t="shared" si="109"/>
        <v/>
      </c>
      <c r="Q450" s="40" t="str">
        <f t="shared" si="100"/>
        <v/>
      </c>
      <c r="R450" s="48" t="str">
        <f t="shared" si="110"/>
        <v/>
      </c>
      <c r="S450" s="8"/>
      <c r="U450" s="35">
        <f t="shared" si="101"/>
        <v>0</v>
      </c>
      <c r="V450" s="24">
        <f t="shared" si="102"/>
        <v>0</v>
      </c>
      <c r="W450" s="41">
        <f t="shared" si="113"/>
        <v>0</v>
      </c>
      <c r="X450" s="31"/>
      <c r="Y450" s="31"/>
      <c r="Z450" s="31"/>
      <c r="AA450" s="25">
        <f t="shared" si="103"/>
        <v>9.0359999999999996</v>
      </c>
      <c r="AB450" s="25">
        <f t="shared" si="104"/>
        <v>-184.49199999999999</v>
      </c>
      <c r="AD450" s="24">
        <f>IF(D450="M",IF(AG450&lt;78,BMILMS!$D$5*AG450^3+BMILMS!$E$5*AG450^2+BMILMS!$F$5*AG450+BMILMS!$G$5,IF(AG450&lt;150,BMILMS!$D$6*AG450^3+BMILMS!$E$6*AG450^2+BMILMS!$F$6*AG450+BMILMS!$G$6,BMILMS!$D$7*AG450^3+BMILMS!$E$7*AG450^2+BMILMS!$F$7*AG450+BMILMS!$G$7)),IF(AG450&lt;69,BMILMS!$D$9*AG450^3+BMILMS!$E$9*AG450^2+BMILMS!$F$9*AG450+BMILMS!$G$9,IF(AG450&lt;150,BMILMS!$D$10*AG450^3+BMILMS!$E$10*AG450^2+BMILMS!$F$10*AG450+BMILMS!$G$10,BMILMS!$D$11*AG450^3+BMILMS!$E$11*AG450^2+BMILMS!$F$11*AG450+BMILMS!$G$11)))</f>
        <v>0.79584630099999998</v>
      </c>
      <c r="AE450" s="24">
        <f>IF(D450="M",(IF(AG450&lt;2.5,BMILMS!$D$21*AG450^3+BMILMS!$E$21*AG450^2+BMILMS!$F$21*AG450+BMILMS!$G$21,IF(AG450&lt;9.5,BMILMS!$D$22*AG450^3+BMILMS!$E$22*AG450^2+BMILMS!$F$22*AG450+BMILMS!$G$22,IF(AG450&lt;26.75,BMILMS!$D$23*AG450^3+BMILMS!$E$23*AG450^2+BMILMS!$F$23*AG450+BMILMS!$G$23,IF(AG450&lt;90,BMILMS!$D$24*AG450^3+BMILMS!$E$24*AG450^2+BMILMS!$F$24*AG450+BMILMS!$G$24,BMILMS!$D$25*AG450^3+BMILMS!$E$25*AG450^2+BMILMS!$F$25*AG450+BMILMS!$G$25))))),(IF(AG450&lt;2.5,BMILMS!$D$27*AG450^3+BMILMS!$E$27*AG450^2+BMILMS!$F$27*AG450+BMILMS!$G$27,IF(AG450&lt;9.5,BMILMS!$D$28*AG450^3+BMILMS!$E$28*AG450^2+BMILMS!$F$28*AG450+BMILMS!$G$28,IF(AG450&lt;26.75,BMILMS!$D$29*AG450^3+BMILMS!$E$29*AG450^2+BMILMS!$F$29*AG450+BMILMS!$G$29,IF(AG450&lt;90,BMILMS!$D$30*AG450^3+BMILMS!$E$30*AG450^2+BMILMS!$F$30*AG450+BMILMS!$G$30,IF(AG450&lt;150,BMILMS!$D$31*AG450^3+BMILMS!$E$31*AG450^2+BMILMS!$F$31*AG450+BMILMS!$G$31,BMILMS!$D$32*AG450^3+BMILMS!$E$32*AG450^2+BMILMS!$F$32*AG450+BMILMS!$G$32)))))))</f>
        <v>12.568967990000001</v>
      </c>
      <c r="AF450" s="24">
        <f>IF(D450="M",(IF(AG450&lt;90,BMILMS!$D$14*AG450^3+BMILMS!$E$14*AG450^2+BMILMS!$F$14*AG450+BMILMS!$G$14,BMILMS!$D$15*AG450^3+BMILMS!$E$15*AG450^2+BMILMS!$F$15*AG450+BMILMS!$G$15)),(IF(AG450&lt;90,BMILMS!$D$17*AG450^3+BMILMS!$E$17*AG450^2+BMILMS!$F$17*AG450+BMILMS!$G$17,BMILMS!$D$18*AG450^3+BMILMS!$E$18*AG450^2+BMILMS!$F$18*AG450+BMILMS!$G$18)))</f>
        <v>8.8969350000000003E-2</v>
      </c>
      <c r="AG450" s="24">
        <f t="shared" si="112"/>
        <v>0</v>
      </c>
      <c r="AI450" s="38">
        <f>IF(D450="M",WeightSDS!P$5*$AG450^7+WeightSDS!Q$5*$AG450^6+WeightSDS!R$5*$AG450^5+WeightSDS!S$5*$AG450^4+WeightSDS!T$5*$AG450^3+WeightSDS!U$5*$AG450^2+WeightSDS!V$5*$AG450+WeightSDS!W$5,IF($AG450&lt;186,WeightSDS!P$8*$AG450^7+WeightSDS!Q$8*$AG450^6+WeightSDS!R$8*$AG450^5+WeightSDS!S$8*$AG450^4+WeightSDS!T$8*$AG450^3+WeightSDS!U$8*$AG450^2+WeightSDS!V$8*$AG450+WeightSDS!W$8,WeightSDS!$U$9-WeightSDS!$V$9*($AG450-WeightSDS!$W$9)))</f>
        <v>0.75407122999999998</v>
      </c>
      <c r="AJ450" s="24">
        <f>IF(D450="M",IF($AG450&lt;45,WeightSDS!M$23*$AG450^10+WeightSDS!N$23*$AG450^9+WeightSDS!O$23*$AG450^8+WeightSDS!P$23*$AG450^7+WeightSDS!Q$23*$AG450^6+WeightSDS!R$23*$AG450^5+WeightSDS!S$23*$AG450^4+WeightSDS!T$23*$AG450^3+WeightSDS!U$23*$AG450^2+WeightSDS!V$23*$AG450+WeightSDS!W$23,IF($AG450&lt;153,WeightSDS!M$25*$AG450^10+WeightSDS!N$25*$AG450^9+WeightSDS!O$25*$AG450^8+WeightSDS!P$25*$AG450^7+WeightSDS!Q$25*$AG450^6+WeightSDS!R$25*$AG450^5+WeightSDS!S$25*$AG450^4+WeightSDS!T$25*$AG450^3+WeightSDS!U$25*$AG450^2+WeightSDS!V$25*$AG450+WeightSDS!W$25,WeightSDS!M$27+WeightSDS!N$27/(1+EXP(WeightSDS!O$27+WeightSDS!P$27*$AG450)))),IF($AG450&lt;43.8,WeightSDS!M$29*$AG450^10+WeightSDS!N$29*$AG450^9+WeightSDS!O$29*$AG450^8+WeightSDS!P$29*$AG450^7+WeightSDS!Q$29*$AG450^6+WeightSDS!R$29*$AG450^5+WeightSDS!S$29*$AG450^4+WeightSDS!T$29*$AG450^3+WeightSDS!U$29*$AG450^2+WeightSDS!V$29*$AG450+WeightSDS!W$29-0.010431*(1-$AG450/210),IF($AG450&lt;123,WeightSDS!M$30*$AG450^10+WeightSDS!N$30*$AG450^9+WeightSDS!O$30*$AG450^8+WeightSDS!P$30*$AG450^7+WeightSDS!Q$30*$AG450^6+WeightSDS!R$30*$AG450^5+WeightSDS!S$30*$AG450^4+WeightSDS!T$30*$AG450^3+WeightSDS!U$30*$AG450^2+WeightSDS!V$30*$AG450+WeightSDS!W$30-0.010431*(1-1/$AG450),WeightSDS!M$32+WeightSDS!N$32/(1+EXP(WeightSDS!O$32+WeightSDS!P$32*$AG450))-0.010431*(1-$AG450/210))))</f>
        <v>2.9500001032655536</v>
      </c>
      <c r="AK450" s="24">
        <f>IF(D450="M",IF($AG450&lt;162,WeightSDS!P$12*$AG450^7+WeightSDS!Q$12*$AG450^6+WeightSDS!R$12*$AG450^5+WeightSDS!S$12*$AG450^4+WeightSDS!T$12*$AG450^3+WeightSDS!U$12*$AG450^2+WeightSDS!V$12*$AG450+WeightSDS!W$12,WeightSDS!P$14*$AG450^7+WeightSDS!Q$14*$AG450^6+WeightSDS!R$14*$AG450^5+WeightSDS!S$14*$AG450^4+WeightSDS!T$14*$AG450^3+WeightSDS!U$14*$AG450^2+WeightSDS!V$14*$AG450+WeightSDS!W$14),IF($AG450&lt;156,WeightSDS!O$17*$AG450^8+WeightSDS!P$17*$AG450^7+WeightSDS!Q$17*$AG450^6+WeightSDS!R$17*$AG450^5+WeightSDS!S$17*$AG450^4+WeightSDS!T$17*$AG450^3+WeightSDS!U$17*$AG450^2+WeightSDS!V$17*$AG450+WeightSDS!W$17,IF($AG450&lt;186,WeightSDS!$U$18+(WeightSDS!$V$18-WeightSDS!$U$18)/24*($AG450-186)+WeightSDS!$W$18*(-$AG450+186)^2-0.005,WeightSDS!$U$18+(WeightSDS!$V$18-WeightSDS!$U$18)/24*($AG450-186)-0.005)))</f>
        <v>0.14604529399999999</v>
      </c>
    </row>
    <row r="451" spans="1:37">
      <c r="A451" s="4"/>
      <c r="B451" s="21"/>
      <c r="C451" s="21"/>
      <c r="D451" s="21"/>
      <c r="E451" s="22"/>
      <c r="F451" s="22"/>
      <c r="G451" s="23"/>
      <c r="H451" s="23"/>
      <c r="I451" s="8" t="str">
        <f t="shared" ref="I451:I514" si="114">IF(COUNTA(D451,E451,F451,G451,H451)=5,IF(Q451&gt;17.583,"       *",(G451-(INDEX(IF(D451="F",Hfemalemean,Hmalemean),V451+1,U451+1)))/(INDEX(IF(D451="F",Hfemalesd,Hmalesd),V451+1,U451+1))),"")</f>
        <v/>
      </c>
      <c r="J451" s="2" t="str">
        <f t="shared" si="105"/>
        <v/>
      </c>
      <c r="K451" s="2" t="str">
        <f t="shared" ref="K451:K514" si="115">IF(COUNTA(D451,E451,F451,G451,H451)&lt;5,"",IF(Q451&lt;6,"       *",IF(Q451&gt;=17.583,"       *",(H451-G451*INDEX(IF(D451="F",muratafemale,muratamale),U451-4,1)-INDEX(IF(D451="F",muratafemale,muratamale),U451-4,2))/(G451*INDEX(IF(D451="F",muratafemale,muratamale),U451-4,1)+INDEX(IF(D451="F",muratafemale,muratamale),U451-4,2))*100)))</f>
        <v/>
      </c>
      <c r="L451" s="2" t="str">
        <f t="shared" si="106"/>
        <v/>
      </c>
      <c r="M451" s="2" t="str">
        <f t="shared" si="111"/>
        <v/>
      </c>
      <c r="N451" s="2" t="str">
        <f t="shared" si="107"/>
        <v/>
      </c>
      <c r="O451" s="8" t="str">
        <f t="shared" si="108"/>
        <v/>
      </c>
      <c r="P451" s="8" t="str">
        <f t="shared" si="109"/>
        <v/>
      </c>
      <c r="Q451" s="40" t="str">
        <f t="shared" ref="Q451:Q514" si="116">IF(COUNTA(D451,E451,F451,G451,H451)=5,W451,"")</f>
        <v/>
      </c>
      <c r="R451" s="48" t="str">
        <f t="shared" si="110"/>
        <v/>
      </c>
      <c r="S451" s="8"/>
      <c r="U451" s="35">
        <f t="shared" ref="U451:U514" si="117">DATEDIF(E451,F451,"Y")</f>
        <v>0</v>
      </c>
      <c r="V451" s="24">
        <f t="shared" ref="V451:V514" si="118">DATEDIF(E451,F451,"YM")</f>
        <v>0</v>
      </c>
      <c r="W451" s="41">
        <f t="shared" si="113"/>
        <v>0</v>
      </c>
      <c r="X451" s="31"/>
      <c r="Y451" s="31"/>
      <c r="Z451" s="31"/>
      <c r="AA451" s="25">
        <f t="shared" ref="AA451:AA514" si="119">IF(D451="M",2.06*10^-3*G451^2-0.1166*G451+6.5273,2.49*10^-3*G451^2-0.1858*G451+9.036)</f>
        <v>9.0359999999999996</v>
      </c>
      <c r="AB451" s="25">
        <f t="shared" ref="AB451:AB514" si="120">((G451/100)^3*INDEX(itoOI,IF(D451="M",0,3)+IF(G451&lt;140,1,IF(G451&lt;=149,2,3)),1)+(G451/100)^2*INDEX(itoOI,IF(D451="M",0,3)+IF(G451&lt;140,1,IF(G451&lt;=149,2,3)),2)+(G451/100)*INDEX(itoOI,IF(D451="M",0,3)+IF(G451&lt;140,1,IF(G451&lt;=149,2,3)),3)+INDEX(itoOI,IF(D451="M",0,3)+IF(G451&lt;140,1,IF(G451&lt;=149,2,3)),4))</f>
        <v>-184.49199999999999</v>
      </c>
      <c r="AD451" s="24">
        <f>IF(D451="M",IF(AG451&lt;78,BMILMS!$D$5*AG451^3+BMILMS!$E$5*AG451^2+BMILMS!$F$5*AG451+BMILMS!$G$5,IF(AG451&lt;150,BMILMS!$D$6*AG451^3+BMILMS!$E$6*AG451^2+BMILMS!$F$6*AG451+BMILMS!$G$6,BMILMS!$D$7*AG451^3+BMILMS!$E$7*AG451^2+BMILMS!$F$7*AG451+BMILMS!$G$7)),IF(AG451&lt;69,BMILMS!$D$9*AG451^3+BMILMS!$E$9*AG451^2+BMILMS!$F$9*AG451+BMILMS!$G$9,IF(AG451&lt;150,BMILMS!$D$10*AG451^3+BMILMS!$E$10*AG451^2+BMILMS!$F$10*AG451+BMILMS!$G$10,BMILMS!$D$11*AG451^3+BMILMS!$E$11*AG451^2+BMILMS!$F$11*AG451+BMILMS!$G$11)))</f>
        <v>0.79584630099999998</v>
      </c>
      <c r="AE451" s="24">
        <f>IF(D451="M",(IF(AG451&lt;2.5,BMILMS!$D$21*AG451^3+BMILMS!$E$21*AG451^2+BMILMS!$F$21*AG451+BMILMS!$G$21,IF(AG451&lt;9.5,BMILMS!$D$22*AG451^3+BMILMS!$E$22*AG451^2+BMILMS!$F$22*AG451+BMILMS!$G$22,IF(AG451&lt;26.75,BMILMS!$D$23*AG451^3+BMILMS!$E$23*AG451^2+BMILMS!$F$23*AG451+BMILMS!$G$23,IF(AG451&lt;90,BMILMS!$D$24*AG451^3+BMILMS!$E$24*AG451^2+BMILMS!$F$24*AG451+BMILMS!$G$24,BMILMS!$D$25*AG451^3+BMILMS!$E$25*AG451^2+BMILMS!$F$25*AG451+BMILMS!$G$25))))),(IF(AG451&lt;2.5,BMILMS!$D$27*AG451^3+BMILMS!$E$27*AG451^2+BMILMS!$F$27*AG451+BMILMS!$G$27,IF(AG451&lt;9.5,BMILMS!$D$28*AG451^3+BMILMS!$E$28*AG451^2+BMILMS!$F$28*AG451+BMILMS!$G$28,IF(AG451&lt;26.75,BMILMS!$D$29*AG451^3+BMILMS!$E$29*AG451^2+BMILMS!$F$29*AG451+BMILMS!$G$29,IF(AG451&lt;90,BMILMS!$D$30*AG451^3+BMILMS!$E$30*AG451^2+BMILMS!$F$30*AG451+BMILMS!$G$30,IF(AG451&lt;150,BMILMS!$D$31*AG451^3+BMILMS!$E$31*AG451^2+BMILMS!$F$31*AG451+BMILMS!$G$31,BMILMS!$D$32*AG451^3+BMILMS!$E$32*AG451^2+BMILMS!$F$32*AG451+BMILMS!$G$32)))))))</f>
        <v>12.568967990000001</v>
      </c>
      <c r="AF451" s="24">
        <f>IF(D451="M",(IF(AG451&lt;90,BMILMS!$D$14*AG451^3+BMILMS!$E$14*AG451^2+BMILMS!$F$14*AG451+BMILMS!$G$14,BMILMS!$D$15*AG451^3+BMILMS!$E$15*AG451^2+BMILMS!$F$15*AG451+BMILMS!$G$15)),(IF(AG451&lt;90,BMILMS!$D$17*AG451^3+BMILMS!$E$17*AG451^2+BMILMS!$F$17*AG451+BMILMS!$G$17,BMILMS!$D$18*AG451^3+BMILMS!$E$18*AG451^2+BMILMS!$F$18*AG451+BMILMS!$G$18)))</f>
        <v>8.8969350000000003E-2</v>
      </c>
      <c r="AG451" s="24">
        <f t="shared" si="112"/>
        <v>0</v>
      </c>
      <c r="AI451" s="38">
        <f>IF(D451="M",WeightSDS!P$5*$AG451^7+WeightSDS!Q$5*$AG451^6+WeightSDS!R$5*$AG451^5+WeightSDS!S$5*$AG451^4+WeightSDS!T$5*$AG451^3+WeightSDS!U$5*$AG451^2+WeightSDS!V$5*$AG451+WeightSDS!W$5,IF($AG451&lt;186,WeightSDS!P$8*$AG451^7+WeightSDS!Q$8*$AG451^6+WeightSDS!R$8*$AG451^5+WeightSDS!S$8*$AG451^4+WeightSDS!T$8*$AG451^3+WeightSDS!U$8*$AG451^2+WeightSDS!V$8*$AG451+WeightSDS!W$8,WeightSDS!$U$9-WeightSDS!$V$9*($AG451-WeightSDS!$W$9)))</f>
        <v>0.75407122999999998</v>
      </c>
      <c r="AJ451" s="24">
        <f>IF(D451="M",IF($AG451&lt;45,WeightSDS!M$23*$AG451^10+WeightSDS!N$23*$AG451^9+WeightSDS!O$23*$AG451^8+WeightSDS!P$23*$AG451^7+WeightSDS!Q$23*$AG451^6+WeightSDS!R$23*$AG451^5+WeightSDS!S$23*$AG451^4+WeightSDS!T$23*$AG451^3+WeightSDS!U$23*$AG451^2+WeightSDS!V$23*$AG451+WeightSDS!W$23,IF($AG451&lt;153,WeightSDS!M$25*$AG451^10+WeightSDS!N$25*$AG451^9+WeightSDS!O$25*$AG451^8+WeightSDS!P$25*$AG451^7+WeightSDS!Q$25*$AG451^6+WeightSDS!R$25*$AG451^5+WeightSDS!S$25*$AG451^4+WeightSDS!T$25*$AG451^3+WeightSDS!U$25*$AG451^2+WeightSDS!V$25*$AG451+WeightSDS!W$25,WeightSDS!M$27+WeightSDS!N$27/(1+EXP(WeightSDS!O$27+WeightSDS!P$27*$AG451)))),IF($AG451&lt;43.8,WeightSDS!M$29*$AG451^10+WeightSDS!N$29*$AG451^9+WeightSDS!O$29*$AG451^8+WeightSDS!P$29*$AG451^7+WeightSDS!Q$29*$AG451^6+WeightSDS!R$29*$AG451^5+WeightSDS!S$29*$AG451^4+WeightSDS!T$29*$AG451^3+WeightSDS!U$29*$AG451^2+WeightSDS!V$29*$AG451+WeightSDS!W$29-0.010431*(1-$AG451/210),IF($AG451&lt;123,WeightSDS!M$30*$AG451^10+WeightSDS!N$30*$AG451^9+WeightSDS!O$30*$AG451^8+WeightSDS!P$30*$AG451^7+WeightSDS!Q$30*$AG451^6+WeightSDS!R$30*$AG451^5+WeightSDS!S$30*$AG451^4+WeightSDS!T$30*$AG451^3+WeightSDS!U$30*$AG451^2+WeightSDS!V$30*$AG451+WeightSDS!W$30-0.010431*(1-1/$AG451),WeightSDS!M$32+WeightSDS!N$32/(1+EXP(WeightSDS!O$32+WeightSDS!P$32*$AG451))-0.010431*(1-$AG451/210))))</f>
        <v>2.9500001032655536</v>
      </c>
      <c r="AK451" s="24">
        <f>IF(D451="M",IF($AG451&lt;162,WeightSDS!P$12*$AG451^7+WeightSDS!Q$12*$AG451^6+WeightSDS!R$12*$AG451^5+WeightSDS!S$12*$AG451^4+WeightSDS!T$12*$AG451^3+WeightSDS!U$12*$AG451^2+WeightSDS!V$12*$AG451+WeightSDS!W$12,WeightSDS!P$14*$AG451^7+WeightSDS!Q$14*$AG451^6+WeightSDS!R$14*$AG451^5+WeightSDS!S$14*$AG451^4+WeightSDS!T$14*$AG451^3+WeightSDS!U$14*$AG451^2+WeightSDS!V$14*$AG451+WeightSDS!W$14),IF($AG451&lt;156,WeightSDS!O$17*$AG451^8+WeightSDS!P$17*$AG451^7+WeightSDS!Q$17*$AG451^6+WeightSDS!R$17*$AG451^5+WeightSDS!S$17*$AG451^4+WeightSDS!T$17*$AG451^3+WeightSDS!U$17*$AG451^2+WeightSDS!V$17*$AG451+WeightSDS!W$17,IF($AG451&lt;186,WeightSDS!$U$18+(WeightSDS!$V$18-WeightSDS!$U$18)/24*($AG451-186)+WeightSDS!$W$18*(-$AG451+186)^2-0.005,WeightSDS!$U$18+(WeightSDS!$V$18-WeightSDS!$U$18)/24*($AG451-186)-0.005)))</f>
        <v>0.14604529399999999</v>
      </c>
    </row>
    <row r="452" spans="1:37">
      <c r="A452" s="4"/>
      <c r="B452" s="21"/>
      <c r="C452" s="21"/>
      <c r="D452" s="21"/>
      <c r="E452" s="22"/>
      <c r="F452" s="22"/>
      <c r="G452" s="23"/>
      <c r="H452" s="23"/>
      <c r="I452" s="8" t="str">
        <f t="shared" si="114"/>
        <v/>
      </c>
      <c r="J452" s="2" t="str">
        <f t="shared" ref="J452:J515" si="121">IF(COUNTA(D452,E452,F452,G452,H452)=5,IF(Q452&lt;1,"       *",IF(Q452&gt;=6,"       *",IF(G452&gt;=120,"       *",IF(G452&lt;70,"       *",(H452-AA452)/AA452*100)))),"")</f>
        <v/>
      </c>
      <c r="K452" s="2" t="str">
        <f t="shared" si="115"/>
        <v/>
      </c>
      <c r="L452" s="2" t="str">
        <f t="shared" ref="L452:L515" si="122">IF(COUNTA(D452,E452,F452,G452,H452)=5,IF(G452&gt;=IF(D452="M",181,174),"*",IF(G452&lt;101,"       *",IF(Q452&lt;6,"       *",IF(Q452&gt;=17.583,"*",(H452-AB452)/AB452*100)))),"")</f>
        <v/>
      </c>
      <c r="M452" s="2" t="str">
        <f t="shared" si="111"/>
        <v/>
      </c>
      <c r="N452" s="2" t="str">
        <f t="shared" ref="N452:N515" si="123">IF(COUNTA(D452,E452,F452,G452,H452)=5,IF(Q452&gt;17.583,"   *",NORMSDIST(((M452/AE452)^(AD452)-1)/AD452/AF452)*100),"")</f>
        <v/>
      </c>
      <c r="O452" s="8" t="str">
        <f t="shared" ref="O452:O515" si="124">IF(COUNTA(D452,E452,F452,G452,H452)=5,IF(Q452&gt;17.583,"   *",((M452/AE452)^(AD452)-1)/AD452/AF452),"")</f>
        <v/>
      </c>
      <c r="P452" s="8" t="str">
        <f t="shared" ref="P452:P515" si="125">IF(COUNTA(D452,E452,F452,G452,H452)=5,IF(Q452&gt;17.583,"   *",((H452/AJ452)^(AI452)-1)/AI452/AK452),"")</f>
        <v/>
      </c>
      <c r="Q452" s="40" t="str">
        <f t="shared" si="116"/>
        <v/>
      </c>
      <c r="R452" s="48" t="str">
        <f t="shared" ref="R452:R515" si="126">IF(COUNTA(D452,E452,F452,G452,H452)=5,U452&amp;"歳"&amp;V452&amp;"か月","")</f>
        <v/>
      </c>
      <c r="S452" s="8"/>
      <c r="U452" s="35">
        <f t="shared" si="117"/>
        <v>0</v>
      </c>
      <c r="V452" s="24">
        <f t="shared" si="118"/>
        <v>0</v>
      </c>
      <c r="W452" s="41">
        <f t="shared" si="113"/>
        <v>0</v>
      </c>
      <c r="X452" s="31"/>
      <c r="Y452" s="31"/>
      <c r="Z452" s="31"/>
      <c r="AA452" s="25">
        <f t="shared" si="119"/>
        <v>9.0359999999999996</v>
      </c>
      <c r="AB452" s="25">
        <f t="shared" si="120"/>
        <v>-184.49199999999999</v>
      </c>
      <c r="AD452" s="24">
        <f>IF(D452="M",IF(AG452&lt;78,BMILMS!$D$5*AG452^3+BMILMS!$E$5*AG452^2+BMILMS!$F$5*AG452+BMILMS!$G$5,IF(AG452&lt;150,BMILMS!$D$6*AG452^3+BMILMS!$E$6*AG452^2+BMILMS!$F$6*AG452+BMILMS!$G$6,BMILMS!$D$7*AG452^3+BMILMS!$E$7*AG452^2+BMILMS!$F$7*AG452+BMILMS!$G$7)),IF(AG452&lt;69,BMILMS!$D$9*AG452^3+BMILMS!$E$9*AG452^2+BMILMS!$F$9*AG452+BMILMS!$G$9,IF(AG452&lt;150,BMILMS!$D$10*AG452^3+BMILMS!$E$10*AG452^2+BMILMS!$F$10*AG452+BMILMS!$G$10,BMILMS!$D$11*AG452^3+BMILMS!$E$11*AG452^2+BMILMS!$F$11*AG452+BMILMS!$G$11)))</f>
        <v>0.79584630099999998</v>
      </c>
      <c r="AE452" s="24">
        <f>IF(D452="M",(IF(AG452&lt;2.5,BMILMS!$D$21*AG452^3+BMILMS!$E$21*AG452^2+BMILMS!$F$21*AG452+BMILMS!$G$21,IF(AG452&lt;9.5,BMILMS!$D$22*AG452^3+BMILMS!$E$22*AG452^2+BMILMS!$F$22*AG452+BMILMS!$G$22,IF(AG452&lt;26.75,BMILMS!$D$23*AG452^3+BMILMS!$E$23*AG452^2+BMILMS!$F$23*AG452+BMILMS!$G$23,IF(AG452&lt;90,BMILMS!$D$24*AG452^3+BMILMS!$E$24*AG452^2+BMILMS!$F$24*AG452+BMILMS!$G$24,BMILMS!$D$25*AG452^3+BMILMS!$E$25*AG452^2+BMILMS!$F$25*AG452+BMILMS!$G$25))))),(IF(AG452&lt;2.5,BMILMS!$D$27*AG452^3+BMILMS!$E$27*AG452^2+BMILMS!$F$27*AG452+BMILMS!$G$27,IF(AG452&lt;9.5,BMILMS!$D$28*AG452^3+BMILMS!$E$28*AG452^2+BMILMS!$F$28*AG452+BMILMS!$G$28,IF(AG452&lt;26.75,BMILMS!$D$29*AG452^3+BMILMS!$E$29*AG452^2+BMILMS!$F$29*AG452+BMILMS!$G$29,IF(AG452&lt;90,BMILMS!$D$30*AG452^3+BMILMS!$E$30*AG452^2+BMILMS!$F$30*AG452+BMILMS!$G$30,IF(AG452&lt;150,BMILMS!$D$31*AG452^3+BMILMS!$E$31*AG452^2+BMILMS!$F$31*AG452+BMILMS!$G$31,BMILMS!$D$32*AG452^3+BMILMS!$E$32*AG452^2+BMILMS!$F$32*AG452+BMILMS!$G$32)))))))</f>
        <v>12.568967990000001</v>
      </c>
      <c r="AF452" s="24">
        <f>IF(D452="M",(IF(AG452&lt;90,BMILMS!$D$14*AG452^3+BMILMS!$E$14*AG452^2+BMILMS!$F$14*AG452+BMILMS!$G$14,BMILMS!$D$15*AG452^3+BMILMS!$E$15*AG452^2+BMILMS!$F$15*AG452+BMILMS!$G$15)),(IF(AG452&lt;90,BMILMS!$D$17*AG452^3+BMILMS!$E$17*AG452^2+BMILMS!$F$17*AG452+BMILMS!$G$17,BMILMS!$D$18*AG452^3+BMILMS!$E$18*AG452^2+BMILMS!$F$18*AG452+BMILMS!$G$18)))</f>
        <v>8.8969350000000003E-2</v>
      </c>
      <c r="AG452" s="24">
        <f t="shared" si="112"/>
        <v>0</v>
      </c>
      <c r="AI452" s="38">
        <f>IF(D452="M",WeightSDS!P$5*$AG452^7+WeightSDS!Q$5*$AG452^6+WeightSDS!R$5*$AG452^5+WeightSDS!S$5*$AG452^4+WeightSDS!T$5*$AG452^3+WeightSDS!U$5*$AG452^2+WeightSDS!V$5*$AG452+WeightSDS!W$5,IF($AG452&lt;186,WeightSDS!P$8*$AG452^7+WeightSDS!Q$8*$AG452^6+WeightSDS!R$8*$AG452^5+WeightSDS!S$8*$AG452^4+WeightSDS!T$8*$AG452^3+WeightSDS!U$8*$AG452^2+WeightSDS!V$8*$AG452+WeightSDS!W$8,WeightSDS!$U$9-WeightSDS!$V$9*($AG452-WeightSDS!$W$9)))</f>
        <v>0.75407122999999998</v>
      </c>
      <c r="AJ452" s="24">
        <f>IF(D452="M",IF($AG452&lt;45,WeightSDS!M$23*$AG452^10+WeightSDS!N$23*$AG452^9+WeightSDS!O$23*$AG452^8+WeightSDS!P$23*$AG452^7+WeightSDS!Q$23*$AG452^6+WeightSDS!R$23*$AG452^5+WeightSDS!S$23*$AG452^4+WeightSDS!T$23*$AG452^3+WeightSDS!U$23*$AG452^2+WeightSDS!V$23*$AG452+WeightSDS!W$23,IF($AG452&lt;153,WeightSDS!M$25*$AG452^10+WeightSDS!N$25*$AG452^9+WeightSDS!O$25*$AG452^8+WeightSDS!P$25*$AG452^7+WeightSDS!Q$25*$AG452^6+WeightSDS!R$25*$AG452^5+WeightSDS!S$25*$AG452^4+WeightSDS!T$25*$AG452^3+WeightSDS!U$25*$AG452^2+WeightSDS!V$25*$AG452+WeightSDS!W$25,WeightSDS!M$27+WeightSDS!N$27/(1+EXP(WeightSDS!O$27+WeightSDS!P$27*$AG452)))),IF($AG452&lt;43.8,WeightSDS!M$29*$AG452^10+WeightSDS!N$29*$AG452^9+WeightSDS!O$29*$AG452^8+WeightSDS!P$29*$AG452^7+WeightSDS!Q$29*$AG452^6+WeightSDS!R$29*$AG452^5+WeightSDS!S$29*$AG452^4+WeightSDS!T$29*$AG452^3+WeightSDS!U$29*$AG452^2+WeightSDS!V$29*$AG452+WeightSDS!W$29-0.010431*(1-$AG452/210),IF($AG452&lt;123,WeightSDS!M$30*$AG452^10+WeightSDS!N$30*$AG452^9+WeightSDS!O$30*$AG452^8+WeightSDS!P$30*$AG452^7+WeightSDS!Q$30*$AG452^6+WeightSDS!R$30*$AG452^5+WeightSDS!S$30*$AG452^4+WeightSDS!T$30*$AG452^3+WeightSDS!U$30*$AG452^2+WeightSDS!V$30*$AG452+WeightSDS!W$30-0.010431*(1-1/$AG452),WeightSDS!M$32+WeightSDS!N$32/(1+EXP(WeightSDS!O$32+WeightSDS!P$32*$AG452))-0.010431*(1-$AG452/210))))</f>
        <v>2.9500001032655536</v>
      </c>
      <c r="AK452" s="24">
        <f>IF(D452="M",IF($AG452&lt;162,WeightSDS!P$12*$AG452^7+WeightSDS!Q$12*$AG452^6+WeightSDS!R$12*$AG452^5+WeightSDS!S$12*$AG452^4+WeightSDS!T$12*$AG452^3+WeightSDS!U$12*$AG452^2+WeightSDS!V$12*$AG452+WeightSDS!W$12,WeightSDS!P$14*$AG452^7+WeightSDS!Q$14*$AG452^6+WeightSDS!R$14*$AG452^5+WeightSDS!S$14*$AG452^4+WeightSDS!T$14*$AG452^3+WeightSDS!U$14*$AG452^2+WeightSDS!V$14*$AG452+WeightSDS!W$14),IF($AG452&lt;156,WeightSDS!O$17*$AG452^8+WeightSDS!P$17*$AG452^7+WeightSDS!Q$17*$AG452^6+WeightSDS!R$17*$AG452^5+WeightSDS!S$17*$AG452^4+WeightSDS!T$17*$AG452^3+WeightSDS!U$17*$AG452^2+WeightSDS!V$17*$AG452+WeightSDS!W$17,IF($AG452&lt;186,WeightSDS!$U$18+(WeightSDS!$V$18-WeightSDS!$U$18)/24*($AG452-186)+WeightSDS!$W$18*(-$AG452+186)^2-0.005,WeightSDS!$U$18+(WeightSDS!$V$18-WeightSDS!$U$18)/24*($AG452-186)-0.005)))</f>
        <v>0.14604529399999999</v>
      </c>
    </row>
    <row r="453" spans="1:37">
      <c r="A453" s="4"/>
      <c r="B453" s="21"/>
      <c r="C453" s="21"/>
      <c r="D453" s="21"/>
      <c r="E453" s="22"/>
      <c r="F453" s="22"/>
      <c r="G453" s="23"/>
      <c r="H453" s="23"/>
      <c r="I453" s="8" t="str">
        <f t="shared" si="114"/>
        <v/>
      </c>
      <c r="J453" s="2" t="str">
        <f t="shared" si="121"/>
        <v/>
      </c>
      <c r="K453" s="2" t="str">
        <f t="shared" si="115"/>
        <v/>
      </c>
      <c r="L453" s="2" t="str">
        <f t="shared" si="122"/>
        <v/>
      </c>
      <c r="M453" s="2" t="str">
        <f t="shared" si="111"/>
        <v/>
      </c>
      <c r="N453" s="2" t="str">
        <f t="shared" si="123"/>
        <v/>
      </c>
      <c r="O453" s="8" t="str">
        <f t="shared" si="124"/>
        <v/>
      </c>
      <c r="P453" s="8" t="str">
        <f t="shared" si="125"/>
        <v/>
      </c>
      <c r="Q453" s="40" t="str">
        <f t="shared" si="116"/>
        <v/>
      </c>
      <c r="R453" s="48" t="str">
        <f t="shared" si="126"/>
        <v/>
      </c>
      <c r="S453" s="8"/>
      <c r="U453" s="35">
        <f t="shared" si="117"/>
        <v>0</v>
      </c>
      <c r="V453" s="24">
        <f t="shared" si="118"/>
        <v>0</v>
      </c>
      <c r="W453" s="41">
        <f t="shared" si="113"/>
        <v>0</v>
      </c>
      <c r="X453" s="31"/>
      <c r="Y453" s="31"/>
      <c r="Z453" s="31"/>
      <c r="AA453" s="25">
        <f t="shared" si="119"/>
        <v>9.0359999999999996</v>
      </c>
      <c r="AB453" s="25">
        <f t="shared" si="120"/>
        <v>-184.49199999999999</v>
      </c>
      <c r="AD453" s="24">
        <f>IF(D453="M",IF(AG453&lt;78,BMILMS!$D$5*AG453^3+BMILMS!$E$5*AG453^2+BMILMS!$F$5*AG453+BMILMS!$G$5,IF(AG453&lt;150,BMILMS!$D$6*AG453^3+BMILMS!$E$6*AG453^2+BMILMS!$F$6*AG453+BMILMS!$G$6,BMILMS!$D$7*AG453^3+BMILMS!$E$7*AG453^2+BMILMS!$F$7*AG453+BMILMS!$G$7)),IF(AG453&lt;69,BMILMS!$D$9*AG453^3+BMILMS!$E$9*AG453^2+BMILMS!$F$9*AG453+BMILMS!$G$9,IF(AG453&lt;150,BMILMS!$D$10*AG453^3+BMILMS!$E$10*AG453^2+BMILMS!$F$10*AG453+BMILMS!$G$10,BMILMS!$D$11*AG453^3+BMILMS!$E$11*AG453^2+BMILMS!$F$11*AG453+BMILMS!$G$11)))</f>
        <v>0.79584630099999998</v>
      </c>
      <c r="AE453" s="24">
        <f>IF(D453="M",(IF(AG453&lt;2.5,BMILMS!$D$21*AG453^3+BMILMS!$E$21*AG453^2+BMILMS!$F$21*AG453+BMILMS!$G$21,IF(AG453&lt;9.5,BMILMS!$D$22*AG453^3+BMILMS!$E$22*AG453^2+BMILMS!$F$22*AG453+BMILMS!$G$22,IF(AG453&lt;26.75,BMILMS!$D$23*AG453^3+BMILMS!$E$23*AG453^2+BMILMS!$F$23*AG453+BMILMS!$G$23,IF(AG453&lt;90,BMILMS!$D$24*AG453^3+BMILMS!$E$24*AG453^2+BMILMS!$F$24*AG453+BMILMS!$G$24,BMILMS!$D$25*AG453^3+BMILMS!$E$25*AG453^2+BMILMS!$F$25*AG453+BMILMS!$G$25))))),(IF(AG453&lt;2.5,BMILMS!$D$27*AG453^3+BMILMS!$E$27*AG453^2+BMILMS!$F$27*AG453+BMILMS!$G$27,IF(AG453&lt;9.5,BMILMS!$D$28*AG453^3+BMILMS!$E$28*AG453^2+BMILMS!$F$28*AG453+BMILMS!$G$28,IF(AG453&lt;26.75,BMILMS!$D$29*AG453^3+BMILMS!$E$29*AG453^2+BMILMS!$F$29*AG453+BMILMS!$G$29,IF(AG453&lt;90,BMILMS!$D$30*AG453^3+BMILMS!$E$30*AG453^2+BMILMS!$F$30*AG453+BMILMS!$G$30,IF(AG453&lt;150,BMILMS!$D$31*AG453^3+BMILMS!$E$31*AG453^2+BMILMS!$F$31*AG453+BMILMS!$G$31,BMILMS!$D$32*AG453^3+BMILMS!$E$32*AG453^2+BMILMS!$F$32*AG453+BMILMS!$G$32)))))))</f>
        <v>12.568967990000001</v>
      </c>
      <c r="AF453" s="24">
        <f>IF(D453="M",(IF(AG453&lt;90,BMILMS!$D$14*AG453^3+BMILMS!$E$14*AG453^2+BMILMS!$F$14*AG453+BMILMS!$G$14,BMILMS!$D$15*AG453^3+BMILMS!$E$15*AG453^2+BMILMS!$F$15*AG453+BMILMS!$G$15)),(IF(AG453&lt;90,BMILMS!$D$17*AG453^3+BMILMS!$E$17*AG453^2+BMILMS!$F$17*AG453+BMILMS!$G$17,BMILMS!$D$18*AG453^3+BMILMS!$E$18*AG453^2+BMILMS!$F$18*AG453+BMILMS!$G$18)))</f>
        <v>8.8969350000000003E-2</v>
      </c>
      <c r="AG453" s="24">
        <f t="shared" si="112"/>
        <v>0</v>
      </c>
      <c r="AI453" s="38">
        <f>IF(D453="M",WeightSDS!P$5*$AG453^7+WeightSDS!Q$5*$AG453^6+WeightSDS!R$5*$AG453^5+WeightSDS!S$5*$AG453^4+WeightSDS!T$5*$AG453^3+WeightSDS!U$5*$AG453^2+WeightSDS!V$5*$AG453+WeightSDS!W$5,IF($AG453&lt;186,WeightSDS!P$8*$AG453^7+WeightSDS!Q$8*$AG453^6+WeightSDS!R$8*$AG453^5+WeightSDS!S$8*$AG453^4+WeightSDS!T$8*$AG453^3+WeightSDS!U$8*$AG453^2+WeightSDS!V$8*$AG453+WeightSDS!W$8,WeightSDS!$U$9-WeightSDS!$V$9*($AG453-WeightSDS!$W$9)))</f>
        <v>0.75407122999999998</v>
      </c>
      <c r="AJ453" s="24">
        <f>IF(D453="M",IF($AG453&lt;45,WeightSDS!M$23*$AG453^10+WeightSDS!N$23*$AG453^9+WeightSDS!O$23*$AG453^8+WeightSDS!P$23*$AG453^7+WeightSDS!Q$23*$AG453^6+WeightSDS!R$23*$AG453^5+WeightSDS!S$23*$AG453^4+WeightSDS!T$23*$AG453^3+WeightSDS!U$23*$AG453^2+WeightSDS!V$23*$AG453+WeightSDS!W$23,IF($AG453&lt;153,WeightSDS!M$25*$AG453^10+WeightSDS!N$25*$AG453^9+WeightSDS!O$25*$AG453^8+WeightSDS!P$25*$AG453^7+WeightSDS!Q$25*$AG453^6+WeightSDS!R$25*$AG453^5+WeightSDS!S$25*$AG453^4+WeightSDS!T$25*$AG453^3+WeightSDS!U$25*$AG453^2+WeightSDS!V$25*$AG453+WeightSDS!W$25,WeightSDS!M$27+WeightSDS!N$27/(1+EXP(WeightSDS!O$27+WeightSDS!P$27*$AG453)))),IF($AG453&lt;43.8,WeightSDS!M$29*$AG453^10+WeightSDS!N$29*$AG453^9+WeightSDS!O$29*$AG453^8+WeightSDS!P$29*$AG453^7+WeightSDS!Q$29*$AG453^6+WeightSDS!R$29*$AG453^5+WeightSDS!S$29*$AG453^4+WeightSDS!T$29*$AG453^3+WeightSDS!U$29*$AG453^2+WeightSDS!V$29*$AG453+WeightSDS!W$29-0.010431*(1-$AG453/210),IF($AG453&lt;123,WeightSDS!M$30*$AG453^10+WeightSDS!N$30*$AG453^9+WeightSDS!O$30*$AG453^8+WeightSDS!P$30*$AG453^7+WeightSDS!Q$30*$AG453^6+WeightSDS!R$30*$AG453^5+WeightSDS!S$30*$AG453^4+WeightSDS!T$30*$AG453^3+WeightSDS!U$30*$AG453^2+WeightSDS!V$30*$AG453+WeightSDS!W$30-0.010431*(1-1/$AG453),WeightSDS!M$32+WeightSDS!N$32/(1+EXP(WeightSDS!O$32+WeightSDS!P$32*$AG453))-0.010431*(1-$AG453/210))))</f>
        <v>2.9500001032655536</v>
      </c>
      <c r="AK453" s="24">
        <f>IF(D453="M",IF($AG453&lt;162,WeightSDS!P$12*$AG453^7+WeightSDS!Q$12*$AG453^6+WeightSDS!R$12*$AG453^5+WeightSDS!S$12*$AG453^4+WeightSDS!T$12*$AG453^3+WeightSDS!U$12*$AG453^2+WeightSDS!V$12*$AG453+WeightSDS!W$12,WeightSDS!P$14*$AG453^7+WeightSDS!Q$14*$AG453^6+WeightSDS!R$14*$AG453^5+WeightSDS!S$14*$AG453^4+WeightSDS!T$14*$AG453^3+WeightSDS!U$14*$AG453^2+WeightSDS!V$14*$AG453+WeightSDS!W$14),IF($AG453&lt;156,WeightSDS!O$17*$AG453^8+WeightSDS!P$17*$AG453^7+WeightSDS!Q$17*$AG453^6+WeightSDS!R$17*$AG453^5+WeightSDS!S$17*$AG453^4+WeightSDS!T$17*$AG453^3+WeightSDS!U$17*$AG453^2+WeightSDS!V$17*$AG453+WeightSDS!W$17,IF($AG453&lt;186,WeightSDS!$U$18+(WeightSDS!$V$18-WeightSDS!$U$18)/24*($AG453-186)+WeightSDS!$W$18*(-$AG453+186)^2-0.005,WeightSDS!$U$18+(WeightSDS!$V$18-WeightSDS!$U$18)/24*($AG453-186)-0.005)))</f>
        <v>0.14604529399999999</v>
      </c>
    </row>
    <row r="454" spans="1:37">
      <c r="A454" s="4"/>
      <c r="B454" s="21"/>
      <c r="C454" s="21"/>
      <c r="D454" s="21"/>
      <c r="E454" s="22"/>
      <c r="F454" s="22"/>
      <c r="G454" s="23"/>
      <c r="H454" s="23"/>
      <c r="I454" s="8" t="str">
        <f t="shared" si="114"/>
        <v/>
      </c>
      <c r="J454" s="2" t="str">
        <f t="shared" si="121"/>
        <v/>
      </c>
      <c r="K454" s="2" t="str">
        <f t="shared" si="115"/>
        <v/>
      </c>
      <c r="L454" s="2" t="str">
        <f t="shared" si="122"/>
        <v/>
      </c>
      <c r="M454" s="2" t="str">
        <f t="shared" si="111"/>
        <v/>
      </c>
      <c r="N454" s="2" t="str">
        <f t="shared" si="123"/>
        <v/>
      </c>
      <c r="O454" s="8" t="str">
        <f t="shared" si="124"/>
        <v/>
      </c>
      <c r="P454" s="8" t="str">
        <f t="shared" si="125"/>
        <v/>
      </c>
      <c r="Q454" s="40" t="str">
        <f t="shared" si="116"/>
        <v/>
      </c>
      <c r="R454" s="48" t="str">
        <f t="shared" si="126"/>
        <v/>
      </c>
      <c r="S454" s="8"/>
      <c r="U454" s="35">
        <f t="shared" si="117"/>
        <v>0</v>
      </c>
      <c r="V454" s="24">
        <f t="shared" si="118"/>
        <v>0</v>
      </c>
      <c r="W454" s="41">
        <f t="shared" si="113"/>
        <v>0</v>
      </c>
      <c r="X454" s="31"/>
      <c r="Y454" s="31"/>
      <c r="Z454" s="31"/>
      <c r="AA454" s="25">
        <f t="shared" si="119"/>
        <v>9.0359999999999996</v>
      </c>
      <c r="AB454" s="25">
        <f t="shared" si="120"/>
        <v>-184.49199999999999</v>
      </c>
      <c r="AD454" s="24">
        <f>IF(D454="M",IF(AG454&lt;78,BMILMS!$D$5*AG454^3+BMILMS!$E$5*AG454^2+BMILMS!$F$5*AG454+BMILMS!$G$5,IF(AG454&lt;150,BMILMS!$D$6*AG454^3+BMILMS!$E$6*AG454^2+BMILMS!$F$6*AG454+BMILMS!$G$6,BMILMS!$D$7*AG454^3+BMILMS!$E$7*AG454^2+BMILMS!$F$7*AG454+BMILMS!$G$7)),IF(AG454&lt;69,BMILMS!$D$9*AG454^3+BMILMS!$E$9*AG454^2+BMILMS!$F$9*AG454+BMILMS!$G$9,IF(AG454&lt;150,BMILMS!$D$10*AG454^3+BMILMS!$E$10*AG454^2+BMILMS!$F$10*AG454+BMILMS!$G$10,BMILMS!$D$11*AG454^3+BMILMS!$E$11*AG454^2+BMILMS!$F$11*AG454+BMILMS!$G$11)))</f>
        <v>0.79584630099999998</v>
      </c>
      <c r="AE454" s="24">
        <f>IF(D454="M",(IF(AG454&lt;2.5,BMILMS!$D$21*AG454^3+BMILMS!$E$21*AG454^2+BMILMS!$F$21*AG454+BMILMS!$G$21,IF(AG454&lt;9.5,BMILMS!$D$22*AG454^3+BMILMS!$E$22*AG454^2+BMILMS!$F$22*AG454+BMILMS!$G$22,IF(AG454&lt;26.75,BMILMS!$D$23*AG454^3+BMILMS!$E$23*AG454^2+BMILMS!$F$23*AG454+BMILMS!$G$23,IF(AG454&lt;90,BMILMS!$D$24*AG454^3+BMILMS!$E$24*AG454^2+BMILMS!$F$24*AG454+BMILMS!$G$24,BMILMS!$D$25*AG454^3+BMILMS!$E$25*AG454^2+BMILMS!$F$25*AG454+BMILMS!$G$25))))),(IF(AG454&lt;2.5,BMILMS!$D$27*AG454^3+BMILMS!$E$27*AG454^2+BMILMS!$F$27*AG454+BMILMS!$G$27,IF(AG454&lt;9.5,BMILMS!$D$28*AG454^3+BMILMS!$E$28*AG454^2+BMILMS!$F$28*AG454+BMILMS!$G$28,IF(AG454&lt;26.75,BMILMS!$D$29*AG454^3+BMILMS!$E$29*AG454^2+BMILMS!$F$29*AG454+BMILMS!$G$29,IF(AG454&lt;90,BMILMS!$D$30*AG454^3+BMILMS!$E$30*AG454^2+BMILMS!$F$30*AG454+BMILMS!$G$30,IF(AG454&lt;150,BMILMS!$D$31*AG454^3+BMILMS!$E$31*AG454^2+BMILMS!$F$31*AG454+BMILMS!$G$31,BMILMS!$D$32*AG454^3+BMILMS!$E$32*AG454^2+BMILMS!$F$32*AG454+BMILMS!$G$32)))))))</f>
        <v>12.568967990000001</v>
      </c>
      <c r="AF454" s="24">
        <f>IF(D454="M",(IF(AG454&lt;90,BMILMS!$D$14*AG454^3+BMILMS!$E$14*AG454^2+BMILMS!$F$14*AG454+BMILMS!$G$14,BMILMS!$D$15*AG454^3+BMILMS!$E$15*AG454^2+BMILMS!$F$15*AG454+BMILMS!$G$15)),(IF(AG454&lt;90,BMILMS!$D$17*AG454^3+BMILMS!$E$17*AG454^2+BMILMS!$F$17*AG454+BMILMS!$G$17,BMILMS!$D$18*AG454^3+BMILMS!$E$18*AG454^2+BMILMS!$F$18*AG454+BMILMS!$G$18)))</f>
        <v>8.8969350000000003E-2</v>
      </c>
      <c r="AG454" s="24">
        <f t="shared" si="112"/>
        <v>0</v>
      </c>
      <c r="AI454" s="38">
        <f>IF(D454="M",WeightSDS!P$5*$AG454^7+WeightSDS!Q$5*$AG454^6+WeightSDS!R$5*$AG454^5+WeightSDS!S$5*$AG454^4+WeightSDS!T$5*$AG454^3+WeightSDS!U$5*$AG454^2+WeightSDS!V$5*$AG454+WeightSDS!W$5,IF($AG454&lt;186,WeightSDS!P$8*$AG454^7+WeightSDS!Q$8*$AG454^6+WeightSDS!R$8*$AG454^5+WeightSDS!S$8*$AG454^4+WeightSDS!T$8*$AG454^3+WeightSDS!U$8*$AG454^2+WeightSDS!V$8*$AG454+WeightSDS!W$8,WeightSDS!$U$9-WeightSDS!$V$9*($AG454-WeightSDS!$W$9)))</f>
        <v>0.75407122999999998</v>
      </c>
      <c r="AJ454" s="24">
        <f>IF(D454="M",IF($AG454&lt;45,WeightSDS!M$23*$AG454^10+WeightSDS!N$23*$AG454^9+WeightSDS!O$23*$AG454^8+WeightSDS!P$23*$AG454^7+WeightSDS!Q$23*$AG454^6+WeightSDS!R$23*$AG454^5+WeightSDS!S$23*$AG454^4+WeightSDS!T$23*$AG454^3+WeightSDS!U$23*$AG454^2+WeightSDS!V$23*$AG454+WeightSDS!W$23,IF($AG454&lt;153,WeightSDS!M$25*$AG454^10+WeightSDS!N$25*$AG454^9+WeightSDS!O$25*$AG454^8+WeightSDS!P$25*$AG454^7+WeightSDS!Q$25*$AG454^6+WeightSDS!R$25*$AG454^5+WeightSDS!S$25*$AG454^4+WeightSDS!T$25*$AG454^3+WeightSDS!U$25*$AG454^2+WeightSDS!V$25*$AG454+WeightSDS!W$25,WeightSDS!M$27+WeightSDS!N$27/(1+EXP(WeightSDS!O$27+WeightSDS!P$27*$AG454)))),IF($AG454&lt;43.8,WeightSDS!M$29*$AG454^10+WeightSDS!N$29*$AG454^9+WeightSDS!O$29*$AG454^8+WeightSDS!P$29*$AG454^7+WeightSDS!Q$29*$AG454^6+WeightSDS!R$29*$AG454^5+WeightSDS!S$29*$AG454^4+WeightSDS!T$29*$AG454^3+WeightSDS!U$29*$AG454^2+WeightSDS!V$29*$AG454+WeightSDS!W$29-0.010431*(1-$AG454/210),IF($AG454&lt;123,WeightSDS!M$30*$AG454^10+WeightSDS!N$30*$AG454^9+WeightSDS!O$30*$AG454^8+WeightSDS!P$30*$AG454^7+WeightSDS!Q$30*$AG454^6+WeightSDS!R$30*$AG454^5+WeightSDS!S$30*$AG454^4+WeightSDS!T$30*$AG454^3+WeightSDS!U$30*$AG454^2+WeightSDS!V$30*$AG454+WeightSDS!W$30-0.010431*(1-1/$AG454),WeightSDS!M$32+WeightSDS!N$32/(1+EXP(WeightSDS!O$32+WeightSDS!P$32*$AG454))-0.010431*(1-$AG454/210))))</f>
        <v>2.9500001032655536</v>
      </c>
      <c r="AK454" s="24">
        <f>IF(D454="M",IF($AG454&lt;162,WeightSDS!P$12*$AG454^7+WeightSDS!Q$12*$AG454^6+WeightSDS!R$12*$AG454^5+WeightSDS!S$12*$AG454^4+WeightSDS!T$12*$AG454^3+WeightSDS!U$12*$AG454^2+WeightSDS!V$12*$AG454+WeightSDS!W$12,WeightSDS!P$14*$AG454^7+WeightSDS!Q$14*$AG454^6+WeightSDS!R$14*$AG454^5+WeightSDS!S$14*$AG454^4+WeightSDS!T$14*$AG454^3+WeightSDS!U$14*$AG454^2+WeightSDS!V$14*$AG454+WeightSDS!W$14),IF($AG454&lt;156,WeightSDS!O$17*$AG454^8+WeightSDS!P$17*$AG454^7+WeightSDS!Q$17*$AG454^6+WeightSDS!R$17*$AG454^5+WeightSDS!S$17*$AG454^4+WeightSDS!T$17*$AG454^3+WeightSDS!U$17*$AG454^2+WeightSDS!V$17*$AG454+WeightSDS!W$17,IF($AG454&lt;186,WeightSDS!$U$18+(WeightSDS!$V$18-WeightSDS!$U$18)/24*($AG454-186)+WeightSDS!$W$18*(-$AG454+186)^2-0.005,WeightSDS!$U$18+(WeightSDS!$V$18-WeightSDS!$U$18)/24*($AG454-186)-0.005)))</f>
        <v>0.14604529399999999</v>
      </c>
    </row>
    <row r="455" spans="1:37">
      <c r="A455" s="4"/>
      <c r="B455" s="21"/>
      <c r="C455" s="21"/>
      <c r="D455" s="21"/>
      <c r="E455" s="22"/>
      <c r="F455" s="22"/>
      <c r="G455" s="23"/>
      <c r="H455" s="23"/>
      <c r="I455" s="8" t="str">
        <f t="shared" si="114"/>
        <v/>
      </c>
      <c r="J455" s="2" t="str">
        <f t="shared" si="121"/>
        <v/>
      </c>
      <c r="K455" s="2" t="str">
        <f t="shared" si="115"/>
        <v/>
      </c>
      <c r="L455" s="2" t="str">
        <f t="shared" si="122"/>
        <v/>
      </c>
      <c r="M455" s="2" t="str">
        <f t="shared" si="111"/>
        <v/>
      </c>
      <c r="N455" s="2" t="str">
        <f t="shared" si="123"/>
        <v/>
      </c>
      <c r="O455" s="8" t="str">
        <f t="shared" si="124"/>
        <v/>
      </c>
      <c r="P455" s="8" t="str">
        <f t="shared" si="125"/>
        <v/>
      </c>
      <c r="Q455" s="40" t="str">
        <f t="shared" si="116"/>
        <v/>
      </c>
      <c r="R455" s="48" t="str">
        <f t="shared" si="126"/>
        <v/>
      </c>
      <c r="S455" s="8"/>
      <c r="U455" s="35">
        <f t="shared" si="117"/>
        <v>0</v>
      </c>
      <c r="V455" s="24">
        <f t="shared" si="118"/>
        <v>0</v>
      </c>
      <c r="W455" s="41">
        <f t="shared" si="113"/>
        <v>0</v>
      </c>
      <c r="X455" s="31"/>
      <c r="Y455" s="31"/>
      <c r="Z455" s="31"/>
      <c r="AA455" s="25">
        <f t="shared" si="119"/>
        <v>9.0359999999999996</v>
      </c>
      <c r="AB455" s="25">
        <f t="shared" si="120"/>
        <v>-184.49199999999999</v>
      </c>
      <c r="AD455" s="24">
        <f>IF(D455="M",IF(AG455&lt;78,BMILMS!$D$5*AG455^3+BMILMS!$E$5*AG455^2+BMILMS!$F$5*AG455+BMILMS!$G$5,IF(AG455&lt;150,BMILMS!$D$6*AG455^3+BMILMS!$E$6*AG455^2+BMILMS!$F$6*AG455+BMILMS!$G$6,BMILMS!$D$7*AG455^3+BMILMS!$E$7*AG455^2+BMILMS!$F$7*AG455+BMILMS!$G$7)),IF(AG455&lt;69,BMILMS!$D$9*AG455^3+BMILMS!$E$9*AG455^2+BMILMS!$F$9*AG455+BMILMS!$G$9,IF(AG455&lt;150,BMILMS!$D$10*AG455^3+BMILMS!$E$10*AG455^2+BMILMS!$F$10*AG455+BMILMS!$G$10,BMILMS!$D$11*AG455^3+BMILMS!$E$11*AG455^2+BMILMS!$F$11*AG455+BMILMS!$G$11)))</f>
        <v>0.79584630099999998</v>
      </c>
      <c r="AE455" s="24">
        <f>IF(D455="M",(IF(AG455&lt;2.5,BMILMS!$D$21*AG455^3+BMILMS!$E$21*AG455^2+BMILMS!$F$21*AG455+BMILMS!$G$21,IF(AG455&lt;9.5,BMILMS!$D$22*AG455^3+BMILMS!$E$22*AG455^2+BMILMS!$F$22*AG455+BMILMS!$G$22,IF(AG455&lt;26.75,BMILMS!$D$23*AG455^3+BMILMS!$E$23*AG455^2+BMILMS!$F$23*AG455+BMILMS!$G$23,IF(AG455&lt;90,BMILMS!$D$24*AG455^3+BMILMS!$E$24*AG455^2+BMILMS!$F$24*AG455+BMILMS!$G$24,BMILMS!$D$25*AG455^3+BMILMS!$E$25*AG455^2+BMILMS!$F$25*AG455+BMILMS!$G$25))))),(IF(AG455&lt;2.5,BMILMS!$D$27*AG455^3+BMILMS!$E$27*AG455^2+BMILMS!$F$27*AG455+BMILMS!$G$27,IF(AG455&lt;9.5,BMILMS!$D$28*AG455^3+BMILMS!$E$28*AG455^2+BMILMS!$F$28*AG455+BMILMS!$G$28,IF(AG455&lt;26.75,BMILMS!$D$29*AG455^3+BMILMS!$E$29*AG455^2+BMILMS!$F$29*AG455+BMILMS!$G$29,IF(AG455&lt;90,BMILMS!$D$30*AG455^3+BMILMS!$E$30*AG455^2+BMILMS!$F$30*AG455+BMILMS!$G$30,IF(AG455&lt;150,BMILMS!$D$31*AG455^3+BMILMS!$E$31*AG455^2+BMILMS!$F$31*AG455+BMILMS!$G$31,BMILMS!$D$32*AG455^3+BMILMS!$E$32*AG455^2+BMILMS!$F$32*AG455+BMILMS!$G$32)))))))</f>
        <v>12.568967990000001</v>
      </c>
      <c r="AF455" s="24">
        <f>IF(D455="M",(IF(AG455&lt;90,BMILMS!$D$14*AG455^3+BMILMS!$E$14*AG455^2+BMILMS!$F$14*AG455+BMILMS!$G$14,BMILMS!$D$15*AG455^3+BMILMS!$E$15*AG455^2+BMILMS!$F$15*AG455+BMILMS!$G$15)),(IF(AG455&lt;90,BMILMS!$D$17*AG455^3+BMILMS!$E$17*AG455^2+BMILMS!$F$17*AG455+BMILMS!$G$17,BMILMS!$D$18*AG455^3+BMILMS!$E$18*AG455^2+BMILMS!$F$18*AG455+BMILMS!$G$18)))</f>
        <v>8.8969350000000003E-2</v>
      </c>
      <c r="AG455" s="24">
        <f t="shared" si="112"/>
        <v>0</v>
      </c>
      <c r="AI455" s="38">
        <f>IF(D455="M",WeightSDS!P$5*$AG455^7+WeightSDS!Q$5*$AG455^6+WeightSDS!R$5*$AG455^5+WeightSDS!S$5*$AG455^4+WeightSDS!T$5*$AG455^3+WeightSDS!U$5*$AG455^2+WeightSDS!V$5*$AG455+WeightSDS!W$5,IF($AG455&lt;186,WeightSDS!P$8*$AG455^7+WeightSDS!Q$8*$AG455^6+WeightSDS!R$8*$AG455^5+WeightSDS!S$8*$AG455^4+WeightSDS!T$8*$AG455^3+WeightSDS!U$8*$AG455^2+WeightSDS!V$8*$AG455+WeightSDS!W$8,WeightSDS!$U$9-WeightSDS!$V$9*($AG455-WeightSDS!$W$9)))</f>
        <v>0.75407122999999998</v>
      </c>
      <c r="AJ455" s="24">
        <f>IF(D455="M",IF($AG455&lt;45,WeightSDS!M$23*$AG455^10+WeightSDS!N$23*$AG455^9+WeightSDS!O$23*$AG455^8+WeightSDS!P$23*$AG455^7+WeightSDS!Q$23*$AG455^6+WeightSDS!R$23*$AG455^5+WeightSDS!S$23*$AG455^4+WeightSDS!T$23*$AG455^3+WeightSDS!U$23*$AG455^2+WeightSDS!V$23*$AG455+WeightSDS!W$23,IF($AG455&lt;153,WeightSDS!M$25*$AG455^10+WeightSDS!N$25*$AG455^9+WeightSDS!O$25*$AG455^8+WeightSDS!P$25*$AG455^7+WeightSDS!Q$25*$AG455^6+WeightSDS!R$25*$AG455^5+WeightSDS!S$25*$AG455^4+WeightSDS!T$25*$AG455^3+WeightSDS!U$25*$AG455^2+WeightSDS!V$25*$AG455+WeightSDS!W$25,WeightSDS!M$27+WeightSDS!N$27/(1+EXP(WeightSDS!O$27+WeightSDS!P$27*$AG455)))),IF($AG455&lt;43.8,WeightSDS!M$29*$AG455^10+WeightSDS!N$29*$AG455^9+WeightSDS!O$29*$AG455^8+WeightSDS!P$29*$AG455^7+WeightSDS!Q$29*$AG455^6+WeightSDS!R$29*$AG455^5+WeightSDS!S$29*$AG455^4+WeightSDS!T$29*$AG455^3+WeightSDS!U$29*$AG455^2+WeightSDS!V$29*$AG455+WeightSDS!W$29-0.010431*(1-$AG455/210),IF($AG455&lt;123,WeightSDS!M$30*$AG455^10+WeightSDS!N$30*$AG455^9+WeightSDS!O$30*$AG455^8+WeightSDS!P$30*$AG455^7+WeightSDS!Q$30*$AG455^6+WeightSDS!R$30*$AG455^5+WeightSDS!S$30*$AG455^4+WeightSDS!T$30*$AG455^3+WeightSDS!U$30*$AG455^2+WeightSDS!V$30*$AG455+WeightSDS!W$30-0.010431*(1-1/$AG455),WeightSDS!M$32+WeightSDS!N$32/(1+EXP(WeightSDS!O$32+WeightSDS!P$32*$AG455))-0.010431*(1-$AG455/210))))</f>
        <v>2.9500001032655536</v>
      </c>
      <c r="AK455" s="24">
        <f>IF(D455="M",IF($AG455&lt;162,WeightSDS!P$12*$AG455^7+WeightSDS!Q$12*$AG455^6+WeightSDS!R$12*$AG455^5+WeightSDS!S$12*$AG455^4+WeightSDS!T$12*$AG455^3+WeightSDS!U$12*$AG455^2+WeightSDS!V$12*$AG455+WeightSDS!W$12,WeightSDS!P$14*$AG455^7+WeightSDS!Q$14*$AG455^6+WeightSDS!R$14*$AG455^5+WeightSDS!S$14*$AG455^4+WeightSDS!T$14*$AG455^3+WeightSDS!U$14*$AG455^2+WeightSDS!V$14*$AG455+WeightSDS!W$14),IF($AG455&lt;156,WeightSDS!O$17*$AG455^8+WeightSDS!P$17*$AG455^7+WeightSDS!Q$17*$AG455^6+WeightSDS!R$17*$AG455^5+WeightSDS!S$17*$AG455^4+WeightSDS!T$17*$AG455^3+WeightSDS!U$17*$AG455^2+WeightSDS!V$17*$AG455+WeightSDS!W$17,IF($AG455&lt;186,WeightSDS!$U$18+(WeightSDS!$V$18-WeightSDS!$U$18)/24*($AG455-186)+WeightSDS!$W$18*(-$AG455+186)^2-0.005,WeightSDS!$U$18+(WeightSDS!$V$18-WeightSDS!$U$18)/24*($AG455-186)-0.005)))</f>
        <v>0.14604529399999999</v>
      </c>
    </row>
    <row r="456" spans="1:37">
      <c r="A456" s="4"/>
      <c r="B456" s="21"/>
      <c r="C456" s="21"/>
      <c r="D456" s="21"/>
      <c r="E456" s="22"/>
      <c r="F456" s="22"/>
      <c r="G456" s="23"/>
      <c r="H456" s="23"/>
      <c r="I456" s="8" t="str">
        <f t="shared" si="114"/>
        <v/>
      </c>
      <c r="J456" s="2" t="str">
        <f t="shared" si="121"/>
        <v/>
      </c>
      <c r="K456" s="2" t="str">
        <f t="shared" si="115"/>
        <v/>
      </c>
      <c r="L456" s="2" t="str">
        <f t="shared" si="122"/>
        <v/>
      </c>
      <c r="M456" s="2" t="str">
        <f t="shared" ref="M456:M519" si="127">IF(COUNTA(D456,E456,F456,G456,H456)=5,H456/G456^2*10000,"")</f>
        <v/>
      </c>
      <c r="N456" s="2" t="str">
        <f t="shared" si="123"/>
        <v/>
      </c>
      <c r="O456" s="8" t="str">
        <f t="shared" si="124"/>
        <v/>
      </c>
      <c r="P456" s="8" t="str">
        <f t="shared" si="125"/>
        <v/>
      </c>
      <c r="Q456" s="40" t="str">
        <f t="shared" si="116"/>
        <v/>
      </c>
      <c r="R456" s="48" t="str">
        <f t="shared" si="126"/>
        <v/>
      </c>
      <c r="S456" s="8"/>
      <c r="U456" s="35">
        <f t="shared" si="117"/>
        <v>0</v>
      </c>
      <c r="V456" s="24">
        <f t="shared" si="118"/>
        <v>0</v>
      </c>
      <c r="W456" s="41">
        <f t="shared" si="113"/>
        <v>0</v>
      </c>
      <c r="X456" s="31"/>
      <c r="Y456" s="31"/>
      <c r="Z456" s="31"/>
      <c r="AA456" s="25">
        <f t="shared" si="119"/>
        <v>9.0359999999999996</v>
      </c>
      <c r="AB456" s="25">
        <f t="shared" si="120"/>
        <v>-184.49199999999999</v>
      </c>
      <c r="AD456" s="24">
        <f>IF(D456="M",IF(AG456&lt;78,BMILMS!$D$5*AG456^3+BMILMS!$E$5*AG456^2+BMILMS!$F$5*AG456+BMILMS!$G$5,IF(AG456&lt;150,BMILMS!$D$6*AG456^3+BMILMS!$E$6*AG456^2+BMILMS!$F$6*AG456+BMILMS!$G$6,BMILMS!$D$7*AG456^3+BMILMS!$E$7*AG456^2+BMILMS!$F$7*AG456+BMILMS!$G$7)),IF(AG456&lt;69,BMILMS!$D$9*AG456^3+BMILMS!$E$9*AG456^2+BMILMS!$F$9*AG456+BMILMS!$G$9,IF(AG456&lt;150,BMILMS!$D$10*AG456^3+BMILMS!$E$10*AG456^2+BMILMS!$F$10*AG456+BMILMS!$G$10,BMILMS!$D$11*AG456^3+BMILMS!$E$11*AG456^2+BMILMS!$F$11*AG456+BMILMS!$G$11)))</f>
        <v>0.79584630099999998</v>
      </c>
      <c r="AE456" s="24">
        <f>IF(D456="M",(IF(AG456&lt;2.5,BMILMS!$D$21*AG456^3+BMILMS!$E$21*AG456^2+BMILMS!$F$21*AG456+BMILMS!$G$21,IF(AG456&lt;9.5,BMILMS!$D$22*AG456^3+BMILMS!$E$22*AG456^2+BMILMS!$F$22*AG456+BMILMS!$G$22,IF(AG456&lt;26.75,BMILMS!$D$23*AG456^3+BMILMS!$E$23*AG456^2+BMILMS!$F$23*AG456+BMILMS!$G$23,IF(AG456&lt;90,BMILMS!$D$24*AG456^3+BMILMS!$E$24*AG456^2+BMILMS!$F$24*AG456+BMILMS!$G$24,BMILMS!$D$25*AG456^3+BMILMS!$E$25*AG456^2+BMILMS!$F$25*AG456+BMILMS!$G$25))))),(IF(AG456&lt;2.5,BMILMS!$D$27*AG456^3+BMILMS!$E$27*AG456^2+BMILMS!$F$27*AG456+BMILMS!$G$27,IF(AG456&lt;9.5,BMILMS!$D$28*AG456^3+BMILMS!$E$28*AG456^2+BMILMS!$F$28*AG456+BMILMS!$G$28,IF(AG456&lt;26.75,BMILMS!$D$29*AG456^3+BMILMS!$E$29*AG456^2+BMILMS!$F$29*AG456+BMILMS!$G$29,IF(AG456&lt;90,BMILMS!$D$30*AG456^3+BMILMS!$E$30*AG456^2+BMILMS!$F$30*AG456+BMILMS!$G$30,IF(AG456&lt;150,BMILMS!$D$31*AG456^3+BMILMS!$E$31*AG456^2+BMILMS!$F$31*AG456+BMILMS!$G$31,BMILMS!$D$32*AG456^3+BMILMS!$E$32*AG456^2+BMILMS!$F$32*AG456+BMILMS!$G$32)))))))</f>
        <v>12.568967990000001</v>
      </c>
      <c r="AF456" s="24">
        <f>IF(D456="M",(IF(AG456&lt;90,BMILMS!$D$14*AG456^3+BMILMS!$E$14*AG456^2+BMILMS!$F$14*AG456+BMILMS!$G$14,BMILMS!$D$15*AG456^3+BMILMS!$E$15*AG456^2+BMILMS!$F$15*AG456+BMILMS!$G$15)),(IF(AG456&lt;90,BMILMS!$D$17*AG456^3+BMILMS!$E$17*AG456^2+BMILMS!$F$17*AG456+BMILMS!$G$17,BMILMS!$D$18*AG456^3+BMILMS!$E$18*AG456^2+BMILMS!$F$18*AG456+BMILMS!$G$18)))</f>
        <v>8.8969350000000003E-2</v>
      </c>
      <c r="AG456" s="24">
        <f t="shared" ref="AG456:AG519" si="128">U456*12+V456</f>
        <v>0</v>
      </c>
      <c r="AI456" s="38">
        <f>IF(D456="M",WeightSDS!P$5*$AG456^7+WeightSDS!Q$5*$AG456^6+WeightSDS!R$5*$AG456^5+WeightSDS!S$5*$AG456^4+WeightSDS!T$5*$AG456^3+WeightSDS!U$5*$AG456^2+WeightSDS!V$5*$AG456+WeightSDS!W$5,IF($AG456&lt;186,WeightSDS!P$8*$AG456^7+WeightSDS!Q$8*$AG456^6+WeightSDS!R$8*$AG456^5+WeightSDS!S$8*$AG456^4+WeightSDS!T$8*$AG456^3+WeightSDS!U$8*$AG456^2+WeightSDS!V$8*$AG456+WeightSDS!W$8,WeightSDS!$U$9-WeightSDS!$V$9*($AG456-WeightSDS!$W$9)))</f>
        <v>0.75407122999999998</v>
      </c>
      <c r="AJ456" s="24">
        <f>IF(D456="M",IF($AG456&lt;45,WeightSDS!M$23*$AG456^10+WeightSDS!N$23*$AG456^9+WeightSDS!O$23*$AG456^8+WeightSDS!P$23*$AG456^7+WeightSDS!Q$23*$AG456^6+WeightSDS!R$23*$AG456^5+WeightSDS!S$23*$AG456^4+WeightSDS!T$23*$AG456^3+WeightSDS!U$23*$AG456^2+WeightSDS!V$23*$AG456+WeightSDS!W$23,IF($AG456&lt;153,WeightSDS!M$25*$AG456^10+WeightSDS!N$25*$AG456^9+WeightSDS!O$25*$AG456^8+WeightSDS!P$25*$AG456^7+WeightSDS!Q$25*$AG456^6+WeightSDS!R$25*$AG456^5+WeightSDS!S$25*$AG456^4+WeightSDS!T$25*$AG456^3+WeightSDS!U$25*$AG456^2+WeightSDS!V$25*$AG456+WeightSDS!W$25,WeightSDS!M$27+WeightSDS!N$27/(1+EXP(WeightSDS!O$27+WeightSDS!P$27*$AG456)))),IF($AG456&lt;43.8,WeightSDS!M$29*$AG456^10+WeightSDS!N$29*$AG456^9+WeightSDS!O$29*$AG456^8+WeightSDS!P$29*$AG456^7+WeightSDS!Q$29*$AG456^6+WeightSDS!R$29*$AG456^5+WeightSDS!S$29*$AG456^4+WeightSDS!T$29*$AG456^3+WeightSDS!U$29*$AG456^2+WeightSDS!V$29*$AG456+WeightSDS!W$29-0.010431*(1-$AG456/210),IF($AG456&lt;123,WeightSDS!M$30*$AG456^10+WeightSDS!N$30*$AG456^9+WeightSDS!O$30*$AG456^8+WeightSDS!P$30*$AG456^7+WeightSDS!Q$30*$AG456^6+WeightSDS!R$30*$AG456^5+WeightSDS!S$30*$AG456^4+WeightSDS!T$30*$AG456^3+WeightSDS!U$30*$AG456^2+WeightSDS!V$30*$AG456+WeightSDS!W$30-0.010431*(1-1/$AG456),WeightSDS!M$32+WeightSDS!N$32/(1+EXP(WeightSDS!O$32+WeightSDS!P$32*$AG456))-0.010431*(1-$AG456/210))))</f>
        <v>2.9500001032655536</v>
      </c>
      <c r="AK456" s="24">
        <f>IF(D456="M",IF($AG456&lt;162,WeightSDS!P$12*$AG456^7+WeightSDS!Q$12*$AG456^6+WeightSDS!R$12*$AG456^5+WeightSDS!S$12*$AG456^4+WeightSDS!T$12*$AG456^3+WeightSDS!U$12*$AG456^2+WeightSDS!V$12*$AG456+WeightSDS!W$12,WeightSDS!P$14*$AG456^7+WeightSDS!Q$14*$AG456^6+WeightSDS!R$14*$AG456^5+WeightSDS!S$14*$AG456^4+WeightSDS!T$14*$AG456^3+WeightSDS!U$14*$AG456^2+WeightSDS!V$14*$AG456+WeightSDS!W$14),IF($AG456&lt;156,WeightSDS!O$17*$AG456^8+WeightSDS!P$17*$AG456^7+WeightSDS!Q$17*$AG456^6+WeightSDS!R$17*$AG456^5+WeightSDS!S$17*$AG456^4+WeightSDS!T$17*$AG456^3+WeightSDS!U$17*$AG456^2+WeightSDS!V$17*$AG456+WeightSDS!W$17,IF($AG456&lt;186,WeightSDS!$U$18+(WeightSDS!$V$18-WeightSDS!$U$18)/24*($AG456-186)+WeightSDS!$W$18*(-$AG456+186)^2-0.005,WeightSDS!$U$18+(WeightSDS!$V$18-WeightSDS!$U$18)/24*($AG456-186)-0.005)))</f>
        <v>0.14604529399999999</v>
      </c>
    </row>
    <row r="457" spans="1:37">
      <c r="A457" s="4"/>
      <c r="B457" s="21"/>
      <c r="C457" s="21"/>
      <c r="D457" s="21"/>
      <c r="E457" s="22"/>
      <c r="F457" s="22"/>
      <c r="G457" s="23"/>
      <c r="H457" s="23"/>
      <c r="I457" s="8" t="str">
        <f t="shared" si="114"/>
        <v/>
      </c>
      <c r="J457" s="2" t="str">
        <f t="shared" si="121"/>
        <v/>
      </c>
      <c r="K457" s="2" t="str">
        <f t="shared" si="115"/>
        <v/>
      </c>
      <c r="L457" s="2" t="str">
        <f t="shared" si="122"/>
        <v/>
      </c>
      <c r="M457" s="2" t="str">
        <f t="shared" si="127"/>
        <v/>
      </c>
      <c r="N457" s="2" t="str">
        <f t="shared" si="123"/>
        <v/>
      </c>
      <c r="O457" s="8" t="str">
        <f t="shared" si="124"/>
        <v/>
      </c>
      <c r="P457" s="8" t="str">
        <f t="shared" si="125"/>
        <v/>
      </c>
      <c r="Q457" s="40" t="str">
        <f t="shared" si="116"/>
        <v/>
      </c>
      <c r="R457" s="48" t="str">
        <f t="shared" si="126"/>
        <v/>
      </c>
      <c r="S457" s="8"/>
      <c r="U457" s="35">
        <f t="shared" si="117"/>
        <v>0</v>
      </c>
      <c r="V457" s="24">
        <f t="shared" si="118"/>
        <v>0</v>
      </c>
      <c r="W457" s="41">
        <f t="shared" si="113"/>
        <v>0</v>
      </c>
      <c r="X457" s="31"/>
      <c r="Y457" s="31"/>
      <c r="Z457" s="31"/>
      <c r="AA457" s="25">
        <f t="shared" si="119"/>
        <v>9.0359999999999996</v>
      </c>
      <c r="AB457" s="25">
        <f t="shared" si="120"/>
        <v>-184.49199999999999</v>
      </c>
      <c r="AD457" s="24">
        <f>IF(D457="M",IF(AG457&lt;78,BMILMS!$D$5*AG457^3+BMILMS!$E$5*AG457^2+BMILMS!$F$5*AG457+BMILMS!$G$5,IF(AG457&lt;150,BMILMS!$D$6*AG457^3+BMILMS!$E$6*AG457^2+BMILMS!$F$6*AG457+BMILMS!$G$6,BMILMS!$D$7*AG457^3+BMILMS!$E$7*AG457^2+BMILMS!$F$7*AG457+BMILMS!$G$7)),IF(AG457&lt;69,BMILMS!$D$9*AG457^3+BMILMS!$E$9*AG457^2+BMILMS!$F$9*AG457+BMILMS!$G$9,IF(AG457&lt;150,BMILMS!$D$10*AG457^3+BMILMS!$E$10*AG457^2+BMILMS!$F$10*AG457+BMILMS!$G$10,BMILMS!$D$11*AG457^3+BMILMS!$E$11*AG457^2+BMILMS!$F$11*AG457+BMILMS!$G$11)))</f>
        <v>0.79584630099999998</v>
      </c>
      <c r="AE457" s="24">
        <f>IF(D457="M",(IF(AG457&lt;2.5,BMILMS!$D$21*AG457^3+BMILMS!$E$21*AG457^2+BMILMS!$F$21*AG457+BMILMS!$G$21,IF(AG457&lt;9.5,BMILMS!$D$22*AG457^3+BMILMS!$E$22*AG457^2+BMILMS!$F$22*AG457+BMILMS!$G$22,IF(AG457&lt;26.75,BMILMS!$D$23*AG457^3+BMILMS!$E$23*AG457^2+BMILMS!$F$23*AG457+BMILMS!$G$23,IF(AG457&lt;90,BMILMS!$D$24*AG457^3+BMILMS!$E$24*AG457^2+BMILMS!$F$24*AG457+BMILMS!$G$24,BMILMS!$D$25*AG457^3+BMILMS!$E$25*AG457^2+BMILMS!$F$25*AG457+BMILMS!$G$25))))),(IF(AG457&lt;2.5,BMILMS!$D$27*AG457^3+BMILMS!$E$27*AG457^2+BMILMS!$F$27*AG457+BMILMS!$G$27,IF(AG457&lt;9.5,BMILMS!$D$28*AG457^3+BMILMS!$E$28*AG457^2+BMILMS!$F$28*AG457+BMILMS!$G$28,IF(AG457&lt;26.75,BMILMS!$D$29*AG457^3+BMILMS!$E$29*AG457^2+BMILMS!$F$29*AG457+BMILMS!$G$29,IF(AG457&lt;90,BMILMS!$D$30*AG457^3+BMILMS!$E$30*AG457^2+BMILMS!$F$30*AG457+BMILMS!$G$30,IF(AG457&lt;150,BMILMS!$D$31*AG457^3+BMILMS!$E$31*AG457^2+BMILMS!$F$31*AG457+BMILMS!$G$31,BMILMS!$D$32*AG457^3+BMILMS!$E$32*AG457^2+BMILMS!$F$32*AG457+BMILMS!$G$32)))))))</f>
        <v>12.568967990000001</v>
      </c>
      <c r="AF457" s="24">
        <f>IF(D457="M",(IF(AG457&lt;90,BMILMS!$D$14*AG457^3+BMILMS!$E$14*AG457^2+BMILMS!$F$14*AG457+BMILMS!$G$14,BMILMS!$D$15*AG457^3+BMILMS!$E$15*AG457^2+BMILMS!$F$15*AG457+BMILMS!$G$15)),(IF(AG457&lt;90,BMILMS!$D$17*AG457^3+BMILMS!$E$17*AG457^2+BMILMS!$F$17*AG457+BMILMS!$G$17,BMILMS!$D$18*AG457^3+BMILMS!$E$18*AG457^2+BMILMS!$F$18*AG457+BMILMS!$G$18)))</f>
        <v>8.8969350000000003E-2</v>
      </c>
      <c r="AG457" s="24">
        <f t="shared" si="128"/>
        <v>0</v>
      </c>
      <c r="AI457" s="38">
        <f>IF(D457="M",WeightSDS!P$5*$AG457^7+WeightSDS!Q$5*$AG457^6+WeightSDS!R$5*$AG457^5+WeightSDS!S$5*$AG457^4+WeightSDS!T$5*$AG457^3+WeightSDS!U$5*$AG457^2+WeightSDS!V$5*$AG457+WeightSDS!W$5,IF($AG457&lt;186,WeightSDS!P$8*$AG457^7+WeightSDS!Q$8*$AG457^6+WeightSDS!R$8*$AG457^5+WeightSDS!S$8*$AG457^4+WeightSDS!T$8*$AG457^3+WeightSDS!U$8*$AG457^2+WeightSDS!V$8*$AG457+WeightSDS!W$8,WeightSDS!$U$9-WeightSDS!$V$9*($AG457-WeightSDS!$W$9)))</f>
        <v>0.75407122999999998</v>
      </c>
      <c r="AJ457" s="24">
        <f>IF(D457="M",IF($AG457&lt;45,WeightSDS!M$23*$AG457^10+WeightSDS!N$23*$AG457^9+WeightSDS!O$23*$AG457^8+WeightSDS!P$23*$AG457^7+WeightSDS!Q$23*$AG457^6+WeightSDS!R$23*$AG457^5+WeightSDS!S$23*$AG457^4+WeightSDS!T$23*$AG457^3+WeightSDS!U$23*$AG457^2+WeightSDS!V$23*$AG457+WeightSDS!W$23,IF($AG457&lt;153,WeightSDS!M$25*$AG457^10+WeightSDS!N$25*$AG457^9+WeightSDS!O$25*$AG457^8+WeightSDS!P$25*$AG457^7+WeightSDS!Q$25*$AG457^6+WeightSDS!R$25*$AG457^5+WeightSDS!S$25*$AG457^4+WeightSDS!T$25*$AG457^3+WeightSDS!U$25*$AG457^2+WeightSDS!V$25*$AG457+WeightSDS!W$25,WeightSDS!M$27+WeightSDS!N$27/(1+EXP(WeightSDS!O$27+WeightSDS!P$27*$AG457)))),IF($AG457&lt;43.8,WeightSDS!M$29*$AG457^10+WeightSDS!N$29*$AG457^9+WeightSDS!O$29*$AG457^8+WeightSDS!P$29*$AG457^7+WeightSDS!Q$29*$AG457^6+WeightSDS!R$29*$AG457^5+WeightSDS!S$29*$AG457^4+WeightSDS!T$29*$AG457^3+WeightSDS!U$29*$AG457^2+WeightSDS!V$29*$AG457+WeightSDS!W$29-0.010431*(1-$AG457/210),IF($AG457&lt;123,WeightSDS!M$30*$AG457^10+WeightSDS!N$30*$AG457^9+WeightSDS!O$30*$AG457^8+WeightSDS!P$30*$AG457^7+WeightSDS!Q$30*$AG457^6+WeightSDS!R$30*$AG457^5+WeightSDS!S$30*$AG457^4+WeightSDS!T$30*$AG457^3+WeightSDS!U$30*$AG457^2+WeightSDS!V$30*$AG457+WeightSDS!W$30-0.010431*(1-1/$AG457),WeightSDS!M$32+WeightSDS!N$32/(1+EXP(WeightSDS!O$32+WeightSDS!P$32*$AG457))-0.010431*(1-$AG457/210))))</f>
        <v>2.9500001032655536</v>
      </c>
      <c r="AK457" s="24">
        <f>IF(D457="M",IF($AG457&lt;162,WeightSDS!P$12*$AG457^7+WeightSDS!Q$12*$AG457^6+WeightSDS!R$12*$AG457^5+WeightSDS!S$12*$AG457^4+WeightSDS!T$12*$AG457^3+WeightSDS!U$12*$AG457^2+WeightSDS!V$12*$AG457+WeightSDS!W$12,WeightSDS!P$14*$AG457^7+WeightSDS!Q$14*$AG457^6+WeightSDS!R$14*$AG457^5+WeightSDS!S$14*$AG457^4+WeightSDS!T$14*$AG457^3+WeightSDS!U$14*$AG457^2+WeightSDS!V$14*$AG457+WeightSDS!W$14),IF($AG457&lt;156,WeightSDS!O$17*$AG457^8+WeightSDS!P$17*$AG457^7+WeightSDS!Q$17*$AG457^6+WeightSDS!R$17*$AG457^5+WeightSDS!S$17*$AG457^4+WeightSDS!T$17*$AG457^3+WeightSDS!U$17*$AG457^2+WeightSDS!V$17*$AG457+WeightSDS!W$17,IF($AG457&lt;186,WeightSDS!$U$18+(WeightSDS!$V$18-WeightSDS!$U$18)/24*($AG457-186)+WeightSDS!$W$18*(-$AG457+186)^2-0.005,WeightSDS!$U$18+(WeightSDS!$V$18-WeightSDS!$U$18)/24*($AG457-186)-0.005)))</f>
        <v>0.14604529399999999</v>
      </c>
    </row>
    <row r="458" spans="1:37">
      <c r="A458" s="4"/>
      <c r="B458" s="21"/>
      <c r="C458" s="21"/>
      <c r="D458" s="21"/>
      <c r="E458" s="22"/>
      <c r="F458" s="22"/>
      <c r="G458" s="23"/>
      <c r="H458" s="23"/>
      <c r="I458" s="8" t="str">
        <f t="shared" si="114"/>
        <v/>
      </c>
      <c r="J458" s="2" t="str">
        <f t="shared" si="121"/>
        <v/>
      </c>
      <c r="K458" s="2" t="str">
        <f t="shared" si="115"/>
        <v/>
      </c>
      <c r="L458" s="2" t="str">
        <f t="shared" si="122"/>
        <v/>
      </c>
      <c r="M458" s="2" t="str">
        <f t="shared" si="127"/>
        <v/>
      </c>
      <c r="N458" s="2" t="str">
        <f t="shared" si="123"/>
        <v/>
      </c>
      <c r="O458" s="8" t="str">
        <f t="shared" si="124"/>
        <v/>
      </c>
      <c r="P458" s="8" t="str">
        <f t="shared" si="125"/>
        <v/>
      </c>
      <c r="Q458" s="40" t="str">
        <f t="shared" si="116"/>
        <v/>
      </c>
      <c r="R458" s="48" t="str">
        <f t="shared" si="126"/>
        <v/>
      </c>
      <c r="S458" s="8"/>
      <c r="U458" s="35">
        <f t="shared" si="117"/>
        <v>0</v>
      </c>
      <c r="V458" s="24">
        <f t="shared" si="118"/>
        <v>0</v>
      </c>
      <c r="W458" s="41">
        <f t="shared" si="113"/>
        <v>0</v>
      </c>
      <c r="X458" s="31"/>
      <c r="Y458" s="31"/>
      <c r="Z458" s="31"/>
      <c r="AA458" s="25">
        <f t="shared" si="119"/>
        <v>9.0359999999999996</v>
      </c>
      <c r="AB458" s="25">
        <f t="shared" si="120"/>
        <v>-184.49199999999999</v>
      </c>
      <c r="AD458" s="24">
        <f>IF(D458="M",IF(AG458&lt;78,BMILMS!$D$5*AG458^3+BMILMS!$E$5*AG458^2+BMILMS!$F$5*AG458+BMILMS!$G$5,IF(AG458&lt;150,BMILMS!$D$6*AG458^3+BMILMS!$E$6*AG458^2+BMILMS!$F$6*AG458+BMILMS!$G$6,BMILMS!$D$7*AG458^3+BMILMS!$E$7*AG458^2+BMILMS!$F$7*AG458+BMILMS!$G$7)),IF(AG458&lt;69,BMILMS!$D$9*AG458^3+BMILMS!$E$9*AG458^2+BMILMS!$F$9*AG458+BMILMS!$G$9,IF(AG458&lt;150,BMILMS!$D$10*AG458^3+BMILMS!$E$10*AG458^2+BMILMS!$F$10*AG458+BMILMS!$G$10,BMILMS!$D$11*AG458^3+BMILMS!$E$11*AG458^2+BMILMS!$F$11*AG458+BMILMS!$G$11)))</f>
        <v>0.79584630099999998</v>
      </c>
      <c r="AE458" s="24">
        <f>IF(D458="M",(IF(AG458&lt;2.5,BMILMS!$D$21*AG458^3+BMILMS!$E$21*AG458^2+BMILMS!$F$21*AG458+BMILMS!$G$21,IF(AG458&lt;9.5,BMILMS!$D$22*AG458^3+BMILMS!$E$22*AG458^2+BMILMS!$F$22*AG458+BMILMS!$G$22,IF(AG458&lt;26.75,BMILMS!$D$23*AG458^3+BMILMS!$E$23*AG458^2+BMILMS!$F$23*AG458+BMILMS!$G$23,IF(AG458&lt;90,BMILMS!$D$24*AG458^3+BMILMS!$E$24*AG458^2+BMILMS!$F$24*AG458+BMILMS!$G$24,BMILMS!$D$25*AG458^3+BMILMS!$E$25*AG458^2+BMILMS!$F$25*AG458+BMILMS!$G$25))))),(IF(AG458&lt;2.5,BMILMS!$D$27*AG458^3+BMILMS!$E$27*AG458^2+BMILMS!$F$27*AG458+BMILMS!$G$27,IF(AG458&lt;9.5,BMILMS!$D$28*AG458^3+BMILMS!$E$28*AG458^2+BMILMS!$F$28*AG458+BMILMS!$G$28,IF(AG458&lt;26.75,BMILMS!$D$29*AG458^3+BMILMS!$E$29*AG458^2+BMILMS!$F$29*AG458+BMILMS!$G$29,IF(AG458&lt;90,BMILMS!$D$30*AG458^3+BMILMS!$E$30*AG458^2+BMILMS!$F$30*AG458+BMILMS!$G$30,IF(AG458&lt;150,BMILMS!$D$31*AG458^3+BMILMS!$E$31*AG458^2+BMILMS!$F$31*AG458+BMILMS!$G$31,BMILMS!$D$32*AG458^3+BMILMS!$E$32*AG458^2+BMILMS!$F$32*AG458+BMILMS!$G$32)))))))</f>
        <v>12.568967990000001</v>
      </c>
      <c r="AF458" s="24">
        <f>IF(D458="M",(IF(AG458&lt;90,BMILMS!$D$14*AG458^3+BMILMS!$E$14*AG458^2+BMILMS!$F$14*AG458+BMILMS!$G$14,BMILMS!$D$15*AG458^3+BMILMS!$E$15*AG458^2+BMILMS!$F$15*AG458+BMILMS!$G$15)),(IF(AG458&lt;90,BMILMS!$D$17*AG458^3+BMILMS!$E$17*AG458^2+BMILMS!$F$17*AG458+BMILMS!$G$17,BMILMS!$D$18*AG458^3+BMILMS!$E$18*AG458^2+BMILMS!$F$18*AG458+BMILMS!$G$18)))</f>
        <v>8.8969350000000003E-2</v>
      </c>
      <c r="AG458" s="24">
        <f t="shared" si="128"/>
        <v>0</v>
      </c>
      <c r="AI458" s="38">
        <f>IF(D458="M",WeightSDS!P$5*$AG458^7+WeightSDS!Q$5*$AG458^6+WeightSDS!R$5*$AG458^5+WeightSDS!S$5*$AG458^4+WeightSDS!T$5*$AG458^3+WeightSDS!U$5*$AG458^2+WeightSDS!V$5*$AG458+WeightSDS!W$5,IF($AG458&lt;186,WeightSDS!P$8*$AG458^7+WeightSDS!Q$8*$AG458^6+WeightSDS!R$8*$AG458^5+WeightSDS!S$8*$AG458^4+WeightSDS!T$8*$AG458^3+WeightSDS!U$8*$AG458^2+WeightSDS!V$8*$AG458+WeightSDS!W$8,WeightSDS!$U$9-WeightSDS!$V$9*($AG458-WeightSDS!$W$9)))</f>
        <v>0.75407122999999998</v>
      </c>
      <c r="AJ458" s="24">
        <f>IF(D458="M",IF($AG458&lt;45,WeightSDS!M$23*$AG458^10+WeightSDS!N$23*$AG458^9+WeightSDS!O$23*$AG458^8+WeightSDS!P$23*$AG458^7+WeightSDS!Q$23*$AG458^6+WeightSDS!R$23*$AG458^5+WeightSDS!S$23*$AG458^4+WeightSDS!T$23*$AG458^3+WeightSDS!U$23*$AG458^2+WeightSDS!V$23*$AG458+WeightSDS!W$23,IF($AG458&lt;153,WeightSDS!M$25*$AG458^10+WeightSDS!N$25*$AG458^9+WeightSDS!O$25*$AG458^8+WeightSDS!P$25*$AG458^7+WeightSDS!Q$25*$AG458^6+WeightSDS!R$25*$AG458^5+WeightSDS!S$25*$AG458^4+WeightSDS!T$25*$AG458^3+WeightSDS!U$25*$AG458^2+WeightSDS!V$25*$AG458+WeightSDS!W$25,WeightSDS!M$27+WeightSDS!N$27/(1+EXP(WeightSDS!O$27+WeightSDS!P$27*$AG458)))),IF($AG458&lt;43.8,WeightSDS!M$29*$AG458^10+WeightSDS!N$29*$AG458^9+WeightSDS!O$29*$AG458^8+WeightSDS!P$29*$AG458^7+WeightSDS!Q$29*$AG458^6+WeightSDS!R$29*$AG458^5+WeightSDS!S$29*$AG458^4+WeightSDS!T$29*$AG458^3+WeightSDS!U$29*$AG458^2+WeightSDS!V$29*$AG458+WeightSDS!W$29-0.010431*(1-$AG458/210),IF($AG458&lt;123,WeightSDS!M$30*$AG458^10+WeightSDS!N$30*$AG458^9+WeightSDS!O$30*$AG458^8+WeightSDS!P$30*$AG458^7+WeightSDS!Q$30*$AG458^6+WeightSDS!R$30*$AG458^5+WeightSDS!S$30*$AG458^4+WeightSDS!T$30*$AG458^3+WeightSDS!U$30*$AG458^2+WeightSDS!V$30*$AG458+WeightSDS!W$30-0.010431*(1-1/$AG458),WeightSDS!M$32+WeightSDS!N$32/(1+EXP(WeightSDS!O$32+WeightSDS!P$32*$AG458))-0.010431*(1-$AG458/210))))</f>
        <v>2.9500001032655536</v>
      </c>
      <c r="AK458" s="24">
        <f>IF(D458="M",IF($AG458&lt;162,WeightSDS!P$12*$AG458^7+WeightSDS!Q$12*$AG458^6+WeightSDS!R$12*$AG458^5+WeightSDS!S$12*$AG458^4+WeightSDS!T$12*$AG458^3+WeightSDS!U$12*$AG458^2+WeightSDS!V$12*$AG458+WeightSDS!W$12,WeightSDS!P$14*$AG458^7+WeightSDS!Q$14*$AG458^6+WeightSDS!R$14*$AG458^5+WeightSDS!S$14*$AG458^4+WeightSDS!T$14*$AG458^3+WeightSDS!U$14*$AG458^2+WeightSDS!V$14*$AG458+WeightSDS!W$14),IF($AG458&lt;156,WeightSDS!O$17*$AG458^8+WeightSDS!P$17*$AG458^7+WeightSDS!Q$17*$AG458^6+WeightSDS!R$17*$AG458^5+WeightSDS!S$17*$AG458^4+WeightSDS!T$17*$AG458^3+WeightSDS!U$17*$AG458^2+WeightSDS!V$17*$AG458+WeightSDS!W$17,IF($AG458&lt;186,WeightSDS!$U$18+(WeightSDS!$V$18-WeightSDS!$U$18)/24*($AG458-186)+WeightSDS!$W$18*(-$AG458+186)^2-0.005,WeightSDS!$U$18+(WeightSDS!$V$18-WeightSDS!$U$18)/24*($AG458-186)-0.005)))</f>
        <v>0.14604529399999999</v>
      </c>
    </row>
    <row r="459" spans="1:37">
      <c r="A459" s="4"/>
      <c r="B459" s="21"/>
      <c r="C459" s="21"/>
      <c r="D459" s="21"/>
      <c r="E459" s="22"/>
      <c r="F459" s="22"/>
      <c r="G459" s="23"/>
      <c r="H459" s="23"/>
      <c r="I459" s="8" t="str">
        <f t="shared" si="114"/>
        <v/>
      </c>
      <c r="J459" s="2" t="str">
        <f t="shared" si="121"/>
        <v/>
      </c>
      <c r="K459" s="2" t="str">
        <f t="shared" si="115"/>
        <v/>
      </c>
      <c r="L459" s="2" t="str">
        <f t="shared" si="122"/>
        <v/>
      </c>
      <c r="M459" s="2" t="str">
        <f t="shared" si="127"/>
        <v/>
      </c>
      <c r="N459" s="2" t="str">
        <f t="shared" si="123"/>
        <v/>
      </c>
      <c r="O459" s="8" t="str">
        <f t="shared" si="124"/>
        <v/>
      </c>
      <c r="P459" s="8" t="str">
        <f t="shared" si="125"/>
        <v/>
      </c>
      <c r="Q459" s="40" t="str">
        <f t="shared" si="116"/>
        <v/>
      </c>
      <c r="R459" s="48" t="str">
        <f t="shared" si="126"/>
        <v/>
      </c>
      <c r="S459" s="8"/>
      <c r="U459" s="35">
        <f t="shared" si="117"/>
        <v>0</v>
      </c>
      <c r="V459" s="24">
        <f t="shared" si="118"/>
        <v>0</v>
      </c>
      <c r="W459" s="41">
        <f t="shared" si="113"/>
        <v>0</v>
      </c>
      <c r="X459" s="31"/>
      <c r="Y459" s="31"/>
      <c r="Z459" s="31"/>
      <c r="AA459" s="25">
        <f t="shared" si="119"/>
        <v>9.0359999999999996</v>
      </c>
      <c r="AB459" s="25">
        <f t="shared" si="120"/>
        <v>-184.49199999999999</v>
      </c>
      <c r="AD459" s="24">
        <f>IF(D459="M",IF(AG459&lt;78,BMILMS!$D$5*AG459^3+BMILMS!$E$5*AG459^2+BMILMS!$F$5*AG459+BMILMS!$G$5,IF(AG459&lt;150,BMILMS!$D$6*AG459^3+BMILMS!$E$6*AG459^2+BMILMS!$F$6*AG459+BMILMS!$G$6,BMILMS!$D$7*AG459^3+BMILMS!$E$7*AG459^2+BMILMS!$F$7*AG459+BMILMS!$G$7)),IF(AG459&lt;69,BMILMS!$D$9*AG459^3+BMILMS!$E$9*AG459^2+BMILMS!$F$9*AG459+BMILMS!$G$9,IF(AG459&lt;150,BMILMS!$D$10*AG459^3+BMILMS!$E$10*AG459^2+BMILMS!$F$10*AG459+BMILMS!$G$10,BMILMS!$D$11*AG459^3+BMILMS!$E$11*AG459^2+BMILMS!$F$11*AG459+BMILMS!$G$11)))</f>
        <v>0.79584630099999998</v>
      </c>
      <c r="AE459" s="24">
        <f>IF(D459="M",(IF(AG459&lt;2.5,BMILMS!$D$21*AG459^3+BMILMS!$E$21*AG459^2+BMILMS!$F$21*AG459+BMILMS!$G$21,IF(AG459&lt;9.5,BMILMS!$D$22*AG459^3+BMILMS!$E$22*AG459^2+BMILMS!$F$22*AG459+BMILMS!$G$22,IF(AG459&lt;26.75,BMILMS!$D$23*AG459^3+BMILMS!$E$23*AG459^2+BMILMS!$F$23*AG459+BMILMS!$G$23,IF(AG459&lt;90,BMILMS!$D$24*AG459^3+BMILMS!$E$24*AG459^2+BMILMS!$F$24*AG459+BMILMS!$G$24,BMILMS!$D$25*AG459^3+BMILMS!$E$25*AG459^2+BMILMS!$F$25*AG459+BMILMS!$G$25))))),(IF(AG459&lt;2.5,BMILMS!$D$27*AG459^3+BMILMS!$E$27*AG459^2+BMILMS!$F$27*AG459+BMILMS!$G$27,IF(AG459&lt;9.5,BMILMS!$D$28*AG459^3+BMILMS!$E$28*AG459^2+BMILMS!$F$28*AG459+BMILMS!$G$28,IF(AG459&lt;26.75,BMILMS!$D$29*AG459^3+BMILMS!$E$29*AG459^2+BMILMS!$F$29*AG459+BMILMS!$G$29,IF(AG459&lt;90,BMILMS!$D$30*AG459^3+BMILMS!$E$30*AG459^2+BMILMS!$F$30*AG459+BMILMS!$G$30,IF(AG459&lt;150,BMILMS!$D$31*AG459^3+BMILMS!$E$31*AG459^2+BMILMS!$F$31*AG459+BMILMS!$G$31,BMILMS!$D$32*AG459^3+BMILMS!$E$32*AG459^2+BMILMS!$F$32*AG459+BMILMS!$G$32)))))))</f>
        <v>12.568967990000001</v>
      </c>
      <c r="AF459" s="24">
        <f>IF(D459="M",(IF(AG459&lt;90,BMILMS!$D$14*AG459^3+BMILMS!$E$14*AG459^2+BMILMS!$F$14*AG459+BMILMS!$G$14,BMILMS!$D$15*AG459^3+BMILMS!$E$15*AG459^2+BMILMS!$F$15*AG459+BMILMS!$G$15)),(IF(AG459&lt;90,BMILMS!$D$17*AG459^3+BMILMS!$E$17*AG459^2+BMILMS!$F$17*AG459+BMILMS!$G$17,BMILMS!$D$18*AG459^3+BMILMS!$E$18*AG459^2+BMILMS!$F$18*AG459+BMILMS!$G$18)))</f>
        <v>8.8969350000000003E-2</v>
      </c>
      <c r="AG459" s="24">
        <f t="shared" si="128"/>
        <v>0</v>
      </c>
      <c r="AI459" s="38">
        <f>IF(D459="M",WeightSDS!P$5*$AG459^7+WeightSDS!Q$5*$AG459^6+WeightSDS!R$5*$AG459^5+WeightSDS!S$5*$AG459^4+WeightSDS!T$5*$AG459^3+WeightSDS!U$5*$AG459^2+WeightSDS!V$5*$AG459+WeightSDS!W$5,IF($AG459&lt;186,WeightSDS!P$8*$AG459^7+WeightSDS!Q$8*$AG459^6+WeightSDS!R$8*$AG459^5+WeightSDS!S$8*$AG459^4+WeightSDS!T$8*$AG459^3+WeightSDS!U$8*$AG459^2+WeightSDS!V$8*$AG459+WeightSDS!W$8,WeightSDS!$U$9-WeightSDS!$V$9*($AG459-WeightSDS!$W$9)))</f>
        <v>0.75407122999999998</v>
      </c>
      <c r="AJ459" s="24">
        <f>IF(D459="M",IF($AG459&lt;45,WeightSDS!M$23*$AG459^10+WeightSDS!N$23*$AG459^9+WeightSDS!O$23*$AG459^8+WeightSDS!P$23*$AG459^7+WeightSDS!Q$23*$AG459^6+WeightSDS!R$23*$AG459^5+WeightSDS!S$23*$AG459^4+WeightSDS!T$23*$AG459^3+WeightSDS!U$23*$AG459^2+WeightSDS!V$23*$AG459+WeightSDS!W$23,IF($AG459&lt;153,WeightSDS!M$25*$AG459^10+WeightSDS!N$25*$AG459^9+WeightSDS!O$25*$AG459^8+WeightSDS!P$25*$AG459^7+WeightSDS!Q$25*$AG459^6+WeightSDS!R$25*$AG459^5+WeightSDS!S$25*$AG459^4+WeightSDS!T$25*$AG459^3+WeightSDS!U$25*$AG459^2+WeightSDS!V$25*$AG459+WeightSDS!W$25,WeightSDS!M$27+WeightSDS!N$27/(1+EXP(WeightSDS!O$27+WeightSDS!P$27*$AG459)))),IF($AG459&lt;43.8,WeightSDS!M$29*$AG459^10+WeightSDS!N$29*$AG459^9+WeightSDS!O$29*$AG459^8+WeightSDS!P$29*$AG459^7+WeightSDS!Q$29*$AG459^6+WeightSDS!R$29*$AG459^5+WeightSDS!S$29*$AG459^4+WeightSDS!T$29*$AG459^3+WeightSDS!U$29*$AG459^2+WeightSDS!V$29*$AG459+WeightSDS!W$29-0.010431*(1-$AG459/210),IF($AG459&lt;123,WeightSDS!M$30*$AG459^10+WeightSDS!N$30*$AG459^9+WeightSDS!O$30*$AG459^8+WeightSDS!P$30*$AG459^7+WeightSDS!Q$30*$AG459^6+WeightSDS!R$30*$AG459^5+WeightSDS!S$30*$AG459^4+WeightSDS!T$30*$AG459^3+WeightSDS!U$30*$AG459^2+WeightSDS!V$30*$AG459+WeightSDS!W$30-0.010431*(1-1/$AG459),WeightSDS!M$32+WeightSDS!N$32/(1+EXP(WeightSDS!O$32+WeightSDS!P$32*$AG459))-0.010431*(1-$AG459/210))))</f>
        <v>2.9500001032655536</v>
      </c>
      <c r="AK459" s="24">
        <f>IF(D459="M",IF($AG459&lt;162,WeightSDS!P$12*$AG459^7+WeightSDS!Q$12*$AG459^6+WeightSDS!R$12*$AG459^5+WeightSDS!S$12*$AG459^4+WeightSDS!T$12*$AG459^3+WeightSDS!U$12*$AG459^2+WeightSDS!V$12*$AG459+WeightSDS!W$12,WeightSDS!P$14*$AG459^7+WeightSDS!Q$14*$AG459^6+WeightSDS!R$14*$AG459^5+WeightSDS!S$14*$AG459^4+WeightSDS!T$14*$AG459^3+WeightSDS!U$14*$AG459^2+WeightSDS!V$14*$AG459+WeightSDS!W$14),IF($AG459&lt;156,WeightSDS!O$17*$AG459^8+WeightSDS!P$17*$AG459^7+WeightSDS!Q$17*$AG459^6+WeightSDS!R$17*$AG459^5+WeightSDS!S$17*$AG459^4+WeightSDS!T$17*$AG459^3+WeightSDS!U$17*$AG459^2+WeightSDS!V$17*$AG459+WeightSDS!W$17,IF($AG459&lt;186,WeightSDS!$U$18+(WeightSDS!$V$18-WeightSDS!$U$18)/24*($AG459-186)+WeightSDS!$W$18*(-$AG459+186)^2-0.005,WeightSDS!$U$18+(WeightSDS!$V$18-WeightSDS!$U$18)/24*($AG459-186)-0.005)))</f>
        <v>0.14604529399999999</v>
      </c>
    </row>
    <row r="460" spans="1:37">
      <c r="A460" s="4"/>
      <c r="B460" s="21"/>
      <c r="C460" s="21"/>
      <c r="D460" s="21"/>
      <c r="E460" s="22"/>
      <c r="F460" s="22"/>
      <c r="G460" s="23"/>
      <c r="H460" s="23"/>
      <c r="I460" s="8" t="str">
        <f t="shared" si="114"/>
        <v/>
      </c>
      <c r="J460" s="2" t="str">
        <f t="shared" si="121"/>
        <v/>
      </c>
      <c r="K460" s="2" t="str">
        <f t="shared" si="115"/>
        <v/>
      </c>
      <c r="L460" s="2" t="str">
        <f t="shared" si="122"/>
        <v/>
      </c>
      <c r="M460" s="2" t="str">
        <f t="shared" si="127"/>
        <v/>
      </c>
      <c r="N460" s="2" t="str">
        <f t="shared" si="123"/>
        <v/>
      </c>
      <c r="O460" s="8" t="str">
        <f t="shared" si="124"/>
        <v/>
      </c>
      <c r="P460" s="8" t="str">
        <f t="shared" si="125"/>
        <v/>
      </c>
      <c r="Q460" s="40" t="str">
        <f t="shared" si="116"/>
        <v/>
      </c>
      <c r="R460" s="48" t="str">
        <f t="shared" si="126"/>
        <v/>
      </c>
      <c r="S460" s="8"/>
      <c r="U460" s="35">
        <f t="shared" si="117"/>
        <v>0</v>
      </c>
      <c r="V460" s="24">
        <f t="shared" si="118"/>
        <v>0</v>
      </c>
      <c r="W460" s="41">
        <f t="shared" si="113"/>
        <v>0</v>
      </c>
      <c r="X460" s="31"/>
      <c r="Y460" s="31"/>
      <c r="Z460" s="31"/>
      <c r="AA460" s="25">
        <f t="shared" si="119"/>
        <v>9.0359999999999996</v>
      </c>
      <c r="AB460" s="25">
        <f t="shared" si="120"/>
        <v>-184.49199999999999</v>
      </c>
      <c r="AD460" s="24">
        <f>IF(D460="M",IF(AG460&lt;78,BMILMS!$D$5*AG460^3+BMILMS!$E$5*AG460^2+BMILMS!$F$5*AG460+BMILMS!$G$5,IF(AG460&lt;150,BMILMS!$D$6*AG460^3+BMILMS!$E$6*AG460^2+BMILMS!$F$6*AG460+BMILMS!$G$6,BMILMS!$D$7*AG460^3+BMILMS!$E$7*AG460^2+BMILMS!$F$7*AG460+BMILMS!$G$7)),IF(AG460&lt;69,BMILMS!$D$9*AG460^3+BMILMS!$E$9*AG460^2+BMILMS!$F$9*AG460+BMILMS!$G$9,IF(AG460&lt;150,BMILMS!$D$10*AG460^3+BMILMS!$E$10*AG460^2+BMILMS!$F$10*AG460+BMILMS!$G$10,BMILMS!$D$11*AG460^3+BMILMS!$E$11*AG460^2+BMILMS!$F$11*AG460+BMILMS!$G$11)))</f>
        <v>0.79584630099999998</v>
      </c>
      <c r="AE460" s="24">
        <f>IF(D460="M",(IF(AG460&lt;2.5,BMILMS!$D$21*AG460^3+BMILMS!$E$21*AG460^2+BMILMS!$F$21*AG460+BMILMS!$G$21,IF(AG460&lt;9.5,BMILMS!$D$22*AG460^3+BMILMS!$E$22*AG460^2+BMILMS!$F$22*AG460+BMILMS!$G$22,IF(AG460&lt;26.75,BMILMS!$D$23*AG460^3+BMILMS!$E$23*AG460^2+BMILMS!$F$23*AG460+BMILMS!$G$23,IF(AG460&lt;90,BMILMS!$D$24*AG460^3+BMILMS!$E$24*AG460^2+BMILMS!$F$24*AG460+BMILMS!$G$24,BMILMS!$D$25*AG460^3+BMILMS!$E$25*AG460^2+BMILMS!$F$25*AG460+BMILMS!$G$25))))),(IF(AG460&lt;2.5,BMILMS!$D$27*AG460^3+BMILMS!$E$27*AG460^2+BMILMS!$F$27*AG460+BMILMS!$G$27,IF(AG460&lt;9.5,BMILMS!$D$28*AG460^3+BMILMS!$E$28*AG460^2+BMILMS!$F$28*AG460+BMILMS!$G$28,IF(AG460&lt;26.75,BMILMS!$D$29*AG460^3+BMILMS!$E$29*AG460^2+BMILMS!$F$29*AG460+BMILMS!$G$29,IF(AG460&lt;90,BMILMS!$D$30*AG460^3+BMILMS!$E$30*AG460^2+BMILMS!$F$30*AG460+BMILMS!$G$30,IF(AG460&lt;150,BMILMS!$D$31*AG460^3+BMILMS!$E$31*AG460^2+BMILMS!$F$31*AG460+BMILMS!$G$31,BMILMS!$D$32*AG460^3+BMILMS!$E$32*AG460^2+BMILMS!$F$32*AG460+BMILMS!$G$32)))))))</f>
        <v>12.568967990000001</v>
      </c>
      <c r="AF460" s="24">
        <f>IF(D460="M",(IF(AG460&lt;90,BMILMS!$D$14*AG460^3+BMILMS!$E$14*AG460^2+BMILMS!$F$14*AG460+BMILMS!$G$14,BMILMS!$D$15*AG460^3+BMILMS!$E$15*AG460^2+BMILMS!$F$15*AG460+BMILMS!$G$15)),(IF(AG460&lt;90,BMILMS!$D$17*AG460^3+BMILMS!$E$17*AG460^2+BMILMS!$F$17*AG460+BMILMS!$G$17,BMILMS!$D$18*AG460^3+BMILMS!$E$18*AG460^2+BMILMS!$F$18*AG460+BMILMS!$G$18)))</f>
        <v>8.8969350000000003E-2</v>
      </c>
      <c r="AG460" s="24">
        <f t="shared" si="128"/>
        <v>0</v>
      </c>
      <c r="AI460" s="38">
        <f>IF(D460="M",WeightSDS!P$5*$AG460^7+WeightSDS!Q$5*$AG460^6+WeightSDS!R$5*$AG460^5+WeightSDS!S$5*$AG460^4+WeightSDS!T$5*$AG460^3+WeightSDS!U$5*$AG460^2+WeightSDS!V$5*$AG460+WeightSDS!W$5,IF($AG460&lt;186,WeightSDS!P$8*$AG460^7+WeightSDS!Q$8*$AG460^6+WeightSDS!R$8*$AG460^5+WeightSDS!S$8*$AG460^4+WeightSDS!T$8*$AG460^3+WeightSDS!U$8*$AG460^2+WeightSDS!V$8*$AG460+WeightSDS!W$8,WeightSDS!$U$9-WeightSDS!$V$9*($AG460-WeightSDS!$W$9)))</f>
        <v>0.75407122999999998</v>
      </c>
      <c r="AJ460" s="24">
        <f>IF(D460="M",IF($AG460&lt;45,WeightSDS!M$23*$AG460^10+WeightSDS!N$23*$AG460^9+WeightSDS!O$23*$AG460^8+WeightSDS!P$23*$AG460^7+WeightSDS!Q$23*$AG460^6+WeightSDS!R$23*$AG460^5+WeightSDS!S$23*$AG460^4+WeightSDS!T$23*$AG460^3+WeightSDS!U$23*$AG460^2+WeightSDS!V$23*$AG460+WeightSDS!W$23,IF($AG460&lt;153,WeightSDS!M$25*$AG460^10+WeightSDS!N$25*$AG460^9+WeightSDS!O$25*$AG460^8+WeightSDS!P$25*$AG460^7+WeightSDS!Q$25*$AG460^6+WeightSDS!R$25*$AG460^5+WeightSDS!S$25*$AG460^4+WeightSDS!T$25*$AG460^3+WeightSDS!U$25*$AG460^2+WeightSDS!V$25*$AG460+WeightSDS!W$25,WeightSDS!M$27+WeightSDS!N$27/(1+EXP(WeightSDS!O$27+WeightSDS!P$27*$AG460)))),IF($AG460&lt;43.8,WeightSDS!M$29*$AG460^10+WeightSDS!N$29*$AG460^9+WeightSDS!O$29*$AG460^8+WeightSDS!P$29*$AG460^7+WeightSDS!Q$29*$AG460^6+WeightSDS!R$29*$AG460^5+WeightSDS!S$29*$AG460^4+WeightSDS!T$29*$AG460^3+WeightSDS!U$29*$AG460^2+WeightSDS!V$29*$AG460+WeightSDS!W$29-0.010431*(1-$AG460/210),IF($AG460&lt;123,WeightSDS!M$30*$AG460^10+WeightSDS!N$30*$AG460^9+WeightSDS!O$30*$AG460^8+WeightSDS!P$30*$AG460^7+WeightSDS!Q$30*$AG460^6+WeightSDS!R$30*$AG460^5+WeightSDS!S$30*$AG460^4+WeightSDS!T$30*$AG460^3+WeightSDS!U$30*$AG460^2+WeightSDS!V$30*$AG460+WeightSDS!W$30-0.010431*(1-1/$AG460),WeightSDS!M$32+WeightSDS!N$32/(1+EXP(WeightSDS!O$32+WeightSDS!P$32*$AG460))-0.010431*(1-$AG460/210))))</f>
        <v>2.9500001032655536</v>
      </c>
      <c r="AK460" s="24">
        <f>IF(D460="M",IF($AG460&lt;162,WeightSDS!P$12*$AG460^7+WeightSDS!Q$12*$AG460^6+WeightSDS!R$12*$AG460^5+WeightSDS!S$12*$AG460^4+WeightSDS!T$12*$AG460^3+WeightSDS!U$12*$AG460^2+WeightSDS!V$12*$AG460+WeightSDS!W$12,WeightSDS!P$14*$AG460^7+WeightSDS!Q$14*$AG460^6+WeightSDS!R$14*$AG460^5+WeightSDS!S$14*$AG460^4+WeightSDS!T$14*$AG460^3+WeightSDS!U$14*$AG460^2+WeightSDS!V$14*$AG460+WeightSDS!W$14),IF($AG460&lt;156,WeightSDS!O$17*$AG460^8+WeightSDS!P$17*$AG460^7+WeightSDS!Q$17*$AG460^6+WeightSDS!R$17*$AG460^5+WeightSDS!S$17*$AG460^4+WeightSDS!T$17*$AG460^3+WeightSDS!U$17*$AG460^2+WeightSDS!V$17*$AG460+WeightSDS!W$17,IF($AG460&lt;186,WeightSDS!$U$18+(WeightSDS!$V$18-WeightSDS!$U$18)/24*($AG460-186)+WeightSDS!$W$18*(-$AG460+186)^2-0.005,WeightSDS!$U$18+(WeightSDS!$V$18-WeightSDS!$U$18)/24*($AG460-186)-0.005)))</f>
        <v>0.14604529399999999</v>
      </c>
    </row>
    <row r="461" spans="1:37">
      <c r="A461" s="4"/>
      <c r="B461" s="21"/>
      <c r="C461" s="21"/>
      <c r="D461" s="21"/>
      <c r="E461" s="22"/>
      <c r="F461" s="22"/>
      <c r="G461" s="23"/>
      <c r="H461" s="23"/>
      <c r="I461" s="8" t="str">
        <f t="shared" si="114"/>
        <v/>
      </c>
      <c r="J461" s="2" t="str">
        <f t="shared" si="121"/>
        <v/>
      </c>
      <c r="K461" s="2" t="str">
        <f t="shared" si="115"/>
        <v/>
      </c>
      <c r="L461" s="2" t="str">
        <f t="shared" si="122"/>
        <v/>
      </c>
      <c r="M461" s="2" t="str">
        <f t="shared" si="127"/>
        <v/>
      </c>
      <c r="N461" s="2" t="str">
        <f t="shared" si="123"/>
        <v/>
      </c>
      <c r="O461" s="8" t="str">
        <f t="shared" si="124"/>
        <v/>
      </c>
      <c r="P461" s="8" t="str">
        <f t="shared" si="125"/>
        <v/>
      </c>
      <c r="Q461" s="40" t="str">
        <f t="shared" si="116"/>
        <v/>
      </c>
      <c r="R461" s="48" t="str">
        <f t="shared" si="126"/>
        <v/>
      </c>
      <c r="S461" s="8"/>
      <c r="U461" s="35">
        <f t="shared" si="117"/>
        <v>0</v>
      </c>
      <c r="V461" s="24">
        <f t="shared" si="118"/>
        <v>0</v>
      </c>
      <c r="W461" s="41">
        <f t="shared" si="113"/>
        <v>0</v>
      </c>
      <c r="X461" s="31"/>
      <c r="Y461" s="31"/>
      <c r="Z461" s="31"/>
      <c r="AA461" s="25">
        <f t="shared" si="119"/>
        <v>9.0359999999999996</v>
      </c>
      <c r="AB461" s="25">
        <f t="shared" si="120"/>
        <v>-184.49199999999999</v>
      </c>
      <c r="AD461" s="24">
        <f>IF(D461="M",IF(AG461&lt;78,BMILMS!$D$5*AG461^3+BMILMS!$E$5*AG461^2+BMILMS!$F$5*AG461+BMILMS!$G$5,IF(AG461&lt;150,BMILMS!$D$6*AG461^3+BMILMS!$E$6*AG461^2+BMILMS!$F$6*AG461+BMILMS!$G$6,BMILMS!$D$7*AG461^3+BMILMS!$E$7*AG461^2+BMILMS!$F$7*AG461+BMILMS!$G$7)),IF(AG461&lt;69,BMILMS!$D$9*AG461^3+BMILMS!$E$9*AG461^2+BMILMS!$F$9*AG461+BMILMS!$G$9,IF(AG461&lt;150,BMILMS!$D$10*AG461^3+BMILMS!$E$10*AG461^2+BMILMS!$F$10*AG461+BMILMS!$G$10,BMILMS!$D$11*AG461^3+BMILMS!$E$11*AG461^2+BMILMS!$F$11*AG461+BMILMS!$G$11)))</f>
        <v>0.79584630099999998</v>
      </c>
      <c r="AE461" s="24">
        <f>IF(D461="M",(IF(AG461&lt;2.5,BMILMS!$D$21*AG461^3+BMILMS!$E$21*AG461^2+BMILMS!$F$21*AG461+BMILMS!$G$21,IF(AG461&lt;9.5,BMILMS!$D$22*AG461^3+BMILMS!$E$22*AG461^2+BMILMS!$F$22*AG461+BMILMS!$G$22,IF(AG461&lt;26.75,BMILMS!$D$23*AG461^3+BMILMS!$E$23*AG461^2+BMILMS!$F$23*AG461+BMILMS!$G$23,IF(AG461&lt;90,BMILMS!$D$24*AG461^3+BMILMS!$E$24*AG461^2+BMILMS!$F$24*AG461+BMILMS!$G$24,BMILMS!$D$25*AG461^3+BMILMS!$E$25*AG461^2+BMILMS!$F$25*AG461+BMILMS!$G$25))))),(IF(AG461&lt;2.5,BMILMS!$D$27*AG461^3+BMILMS!$E$27*AG461^2+BMILMS!$F$27*AG461+BMILMS!$G$27,IF(AG461&lt;9.5,BMILMS!$D$28*AG461^3+BMILMS!$E$28*AG461^2+BMILMS!$F$28*AG461+BMILMS!$G$28,IF(AG461&lt;26.75,BMILMS!$D$29*AG461^3+BMILMS!$E$29*AG461^2+BMILMS!$F$29*AG461+BMILMS!$G$29,IF(AG461&lt;90,BMILMS!$D$30*AG461^3+BMILMS!$E$30*AG461^2+BMILMS!$F$30*AG461+BMILMS!$G$30,IF(AG461&lt;150,BMILMS!$D$31*AG461^3+BMILMS!$E$31*AG461^2+BMILMS!$F$31*AG461+BMILMS!$G$31,BMILMS!$D$32*AG461^3+BMILMS!$E$32*AG461^2+BMILMS!$F$32*AG461+BMILMS!$G$32)))))))</f>
        <v>12.568967990000001</v>
      </c>
      <c r="AF461" s="24">
        <f>IF(D461="M",(IF(AG461&lt;90,BMILMS!$D$14*AG461^3+BMILMS!$E$14*AG461^2+BMILMS!$F$14*AG461+BMILMS!$G$14,BMILMS!$D$15*AG461^3+BMILMS!$E$15*AG461^2+BMILMS!$F$15*AG461+BMILMS!$G$15)),(IF(AG461&lt;90,BMILMS!$D$17*AG461^3+BMILMS!$E$17*AG461^2+BMILMS!$F$17*AG461+BMILMS!$G$17,BMILMS!$D$18*AG461^3+BMILMS!$E$18*AG461^2+BMILMS!$F$18*AG461+BMILMS!$G$18)))</f>
        <v>8.8969350000000003E-2</v>
      </c>
      <c r="AG461" s="24">
        <f t="shared" si="128"/>
        <v>0</v>
      </c>
      <c r="AI461" s="38">
        <f>IF(D461="M",WeightSDS!P$5*$AG461^7+WeightSDS!Q$5*$AG461^6+WeightSDS!R$5*$AG461^5+WeightSDS!S$5*$AG461^4+WeightSDS!T$5*$AG461^3+WeightSDS!U$5*$AG461^2+WeightSDS!V$5*$AG461+WeightSDS!W$5,IF($AG461&lt;186,WeightSDS!P$8*$AG461^7+WeightSDS!Q$8*$AG461^6+WeightSDS!R$8*$AG461^5+WeightSDS!S$8*$AG461^4+WeightSDS!T$8*$AG461^3+WeightSDS!U$8*$AG461^2+WeightSDS!V$8*$AG461+WeightSDS!W$8,WeightSDS!$U$9-WeightSDS!$V$9*($AG461-WeightSDS!$W$9)))</f>
        <v>0.75407122999999998</v>
      </c>
      <c r="AJ461" s="24">
        <f>IF(D461="M",IF($AG461&lt;45,WeightSDS!M$23*$AG461^10+WeightSDS!N$23*$AG461^9+WeightSDS!O$23*$AG461^8+WeightSDS!P$23*$AG461^7+WeightSDS!Q$23*$AG461^6+WeightSDS!R$23*$AG461^5+WeightSDS!S$23*$AG461^4+WeightSDS!T$23*$AG461^3+WeightSDS!U$23*$AG461^2+WeightSDS!V$23*$AG461+WeightSDS!W$23,IF($AG461&lt;153,WeightSDS!M$25*$AG461^10+WeightSDS!N$25*$AG461^9+WeightSDS!O$25*$AG461^8+WeightSDS!P$25*$AG461^7+WeightSDS!Q$25*$AG461^6+WeightSDS!R$25*$AG461^5+WeightSDS!S$25*$AG461^4+WeightSDS!T$25*$AG461^3+WeightSDS!U$25*$AG461^2+WeightSDS!V$25*$AG461+WeightSDS!W$25,WeightSDS!M$27+WeightSDS!N$27/(1+EXP(WeightSDS!O$27+WeightSDS!P$27*$AG461)))),IF($AG461&lt;43.8,WeightSDS!M$29*$AG461^10+WeightSDS!N$29*$AG461^9+WeightSDS!O$29*$AG461^8+WeightSDS!P$29*$AG461^7+WeightSDS!Q$29*$AG461^6+WeightSDS!R$29*$AG461^5+WeightSDS!S$29*$AG461^4+WeightSDS!T$29*$AG461^3+WeightSDS!U$29*$AG461^2+WeightSDS!V$29*$AG461+WeightSDS!W$29-0.010431*(1-$AG461/210),IF($AG461&lt;123,WeightSDS!M$30*$AG461^10+WeightSDS!N$30*$AG461^9+WeightSDS!O$30*$AG461^8+WeightSDS!P$30*$AG461^7+WeightSDS!Q$30*$AG461^6+WeightSDS!R$30*$AG461^5+WeightSDS!S$30*$AG461^4+WeightSDS!T$30*$AG461^3+WeightSDS!U$30*$AG461^2+WeightSDS!V$30*$AG461+WeightSDS!W$30-0.010431*(1-1/$AG461),WeightSDS!M$32+WeightSDS!N$32/(1+EXP(WeightSDS!O$32+WeightSDS!P$32*$AG461))-0.010431*(1-$AG461/210))))</f>
        <v>2.9500001032655536</v>
      </c>
      <c r="AK461" s="24">
        <f>IF(D461="M",IF($AG461&lt;162,WeightSDS!P$12*$AG461^7+WeightSDS!Q$12*$AG461^6+WeightSDS!R$12*$AG461^5+WeightSDS!S$12*$AG461^4+WeightSDS!T$12*$AG461^3+WeightSDS!U$12*$AG461^2+WeightSDS!V$12*$AG461+WeightSDS!W$12,WeightSDS!P$14*$AG461^7+WeightSDS!Q$14*$AG461^6+WeightSDS!R$14*$AG461^5+WeightSDS!S$14*$AG461^4+WeightSDS!T$14*$AG461^3+WeightSDS!U$14*$AG461^2+WeightSDS!V$14*$AG461+WeightSDS!W$14),IF($AG461&lt;156,WeightSDS!O$17*$AG461^8+WeightSDS!P$17*$AG461^7+WeightSDS!Q$17*$AG461^6+WeightSDS!R$17*$AG461^5+WeightSDS!S$17*$AG461^4+WeightSDS!T$17*$AG461^3+WeightSDS!U$17*$AG461^2+WeightSDS!V$17*$AG461+WeightSDS!W$17,IF($AG461&lt;186,WeightSDS!$U$18+(WeightSDS!$V$18-WeightSDS!$U$18)/24*($AG461-186)+WeightSDS!$W$18*(-$AG461+186)^2-0.005,WeightSDS!$U$18+(WeightSDS!$V$18-WeightSDS!$U$18)/24*($AG461-186)-0.005)))</f>
        <v>0.14604529399999999</v>
      </c>
    </row>
    <row r="462" spans="1:37">
      <c r="A462" s="4"/>
      <c r="B462" s="21"/>
      <c r="C462" s="21"/>
      <c r="D462" s="21"/>
      <c r="E462" s="22"/>
      <c r="F462" s="22"/>
      <c r="G462" s="23"/>
      <c r="H462" s="23"/>
      <c r="I462" s="8" t="str">
        <f t="shared" si="114"/>
        <v/>
      </c>
      <c r="J462" s="2" t="str">
        <f t="shared" si="121"/>
        <v/>
      </c>
      <c r="K462" s="2" t="str">
        <f t="shared" si="115"/>
        <v/>
      </c>
      <c r="L462" s="2" t="str">
        <f t="shared" si="122"/>
        <v/>
      </c>
      <c r="M462" s="2" t="str">
        <f t="shared" si="127"/>
        <v/>
      </c>
      <c r="N462" s="2" t="str">
        <f t="shared" si="123"/>
        <v/>
      </c>
      <c r="O462" s="8" t="str">
        <f t="shared" si="124"/>
        <v/>
      </c>
      <c r="P462" s="8" t="str">
        <f t="shared" si="125"/>
        <v/>
      </c>
      <c r="Q462" s="40" t="str">
        <f t="shared" si="116"/>
        <v/>
      </c>
      <c r="R462" s="48" t="str">
        <f t="shared" si="126"/>
        <v/>
      </c>
      <c r="S462" s="8"/>
      <c r="U462" s="35">
        <f t="shared" si="117"/>
        <v>0</v>
      </c>
      <c r="V462" s="24">
        <f t="shared" si="118"/>
        <v>0</v>
      </c>
      <c r="W462" s="41">
        <f t="shared" si="113"/>
        <v>0</v>
      </c>
      <c r="X462" s="31"/>
      <c r="Y462" s="31"/>
      <c r="Z462" s="31"/>
      <c r="AA462" s="25">
        <f t="shared" si="119"/>
        <v>9.0359999999999996</v>
      </c>
      <c r="AB462" s="25">
        <f t="shared" si="120"/>
        <v>-184.49199999999999</v>
      </c>
      <c r="AD462" s="24">
        <f>IF(D462="M",IF(AG462&lt;78,BMILMS!$D$5*AG462^3+BMILMS!$E$5*AG462^2+BMILMS!$F$5*AG462+BMILMS!$G$5,IF(AG462&lt;150,BMILMS!$D$6*AG462^3+BMILMS!$E$6*AG462^2+BMILMS!$F$6*AG462+BMILMS!$G$6,BMILMS!$D$7*AG462^3+BMILMS!$E$7*AG462^2+BMILMS!$F$7*AG462+BMILMS!$G$7)),IF(AG462&lt;69,BMILMS!$D$9*AG462^3+BMILMS!$E$9*AG462^2+BMILMS!$F$9*AG462+BMILMS!$G$9,IF(AG462&lt;150,BMILMS!$D$10*AG462^3+BMILMS!$E$10*AG462^2+BMILMS!$F$10*AG462+BMILMS!$G$10,BMILMS!$D$11*AG462^3+BMILMS!$E$11*AG462^2+BMILMS!$F$11*AG462+BMILMS!$G$11)))</f>
        <v>0.79584630099999998</v>
      </c>
      <c r="AE462" s="24">
        <f>IF(D462="M",(IF(AG462&lt;2.5,BMILMS!$D$21*AG462^3+BMILMS!$E$21*AG462^2+BMILMS!$F$21*AG462+BMILMS!$G$21,IF(AG462&lt;9.5,BMILMS!$D$22*AG462^3+BMILMS!$E$22*AG462^2+BMILMS!$F$22*AG462+BMILMS!$G$22,IF(AG462&lt;26.75,BMILMS!$D$23*AG462^3+BMILMS!$E$23*AG462^2+BMILMS!$F$23*AG462+BMILMS!$G$23,IF(AG462&lt;90,BMILMS!$D$24*AG462^3+BMILMS!$E$24*AG462^2+BMILMS!$F$24*AG462+BMILMS!$G$24,BMILMS!$D$25*AG462^3+BMILMS!$E$25*AG462^2+BMILMS!$F$25*AG462+BMILMS!$G$25))))),(IF(AG462&lt;2.5,BMILMS!$D$27*AG462^3+BMILMS!$E$27*AG462^2+BMILMS!$F$27*AG462+BMILMS!$G$27,IF(AG462&lt;9.5,BMILMS!$D$28*AG462^3+BMILMS!$E$28*AG462^2+BMILMS!$F$28*AG462+BMILMS!$G$28,IF(AG462&lt;26.75,BMILMS!$D$29*AG462^3+BMILMS!$E$29*AG462^2+BMILMS!$F$29*AG462+BMILMS!$G$29,IF(AG462&lt;90,BMILMS!$D$30*AG462^3+BMILMS!$E$30*AG462^2+BMILMS!$F$30*AG462+BMILMS!$G$30,IF(AG462&lt;150,BMILMS!$D$31*AG462^3+BMILMS!$E$31*AG462^2+BMILMS!$F$31*AG462+BMILMS!$G$31,BMILMS!$D$32*AG462^3+BMILMS!$E$32*AG462^2+BMILMS!$F$32*AG462+BMILMS!$G$32)))))))</f>
        <v>12.568967990000001</v>
      </c>
      <c r="AF462" s="24">
        <f>IF(D462="M",(IF(AG462&lt;90,BMILMS!$D$14*AG462^3+BMILMS!$E$14*AG462^2+BMILMS!$F$14*AG462+BMILMS!$G$14,BMILMS!$D$15*AG462^3+BMILMS!$E$15*AG462^2+BMILMS!$F$15*AG462+BMILMS!$G$15)),(IF(AG462&lt;90,BMILMS!$D$17*AG462^3+BMILMS!$E$17*AG462^2+BMILMS!$F$17*AG462+BMILMS!$G$17,BMILMS!$D$18*AG462^3+BMILMS!$E$18*AG462^2+BMILMS!$F$18*AG462+BMILMS!$G$18)))</f>
        <v>8.8969350000000003E-2</v>
      </c>
      <c r="AG462" s="24">
        <f t="shared" si="128"/>
        <v>0</v>
      </c>
      <c r="AI462" s="38">
        <f>IF(D462="M",WeightSDS!P$5*$AG462^7+WeightSDS!Q$5*$AG462^6+WeightSDS!R$5*$AG462^5+WeightSDS!S$5*$AG462^4+WeightSDS!T$5*$AG462^3+WeightSDS!U$5*$AG462^2+WeightSDS!V$5*$AG462+WeightSDS!W$5,IF($AG462&lt;186,WeightSDS!P$8*$AG462^7+WeightSDS!Q$8*$AG462^6+WeightSDS!R$8*$AG462^5+WeightSDS!S$8*$AG462^4+WeightSDS!T$8*$AG462^3+WeightSDS!U$8*$AG462^2+WeightSDS!V$8*$AG462+WeightSDS!W$8,WeightSDS!$U$9-WeightSDS!$V$9*($AG462-WeightSDS!$W$9)))</f>
        <v>0.75407122999999998</v>
      </c>
      <c r="AJ462" s="24">
        <f>IF(D462="M",IF($AG462&lt;45,WeightSDS!M$23*$AG462^10+WeightSDS!N$23*$AG462^9+WeightSDS!O$23*$AG462^8+WeightSDS!P$23*$AG462^7+WeightSDS!Q$23*$AG462^6+WeightSDS!R$23*$AG462^5+WeightSDS!S$23*$AG462^4+WeightSDS!T$23*$AG462^3+WeightSDS!U$23*$AG462^2+WeightSDS!V$23*$AG462+WeightSDS!W$23,IF($AG462&lt;153,WeightSDS!M$25*$AG462^10+WeightSDS!N$25*$AG462^9+WeightSDS!O$25*$AG462^8+WeightSDS!P$25*$AG462^7+WeightSDS!Q$25*$AG462^6+WeightSDS!R$25*$AG462^5+WeightSDS!S$25*$AG462^4+WeightSDS!T$25*$AG462^3+WeightSDS!U$25*$AG462^2+WeightSDS!V$25*$AG462+WeightSDS!W$25,WeightSDS!M$27+WeightSDS!N$27/(1+EXP(WeightSDS!O$27+WeightSDS!P$27*$AG462)))),IF($AG462&lt;43.8,WeightSDS!M$29*$AG462^10+WeightSDS!N$29*$AG462^9+WeightSDS!O$29*$AG462^8+WeightSDS!P$29*$AG462^7+WeightSDS!Q$29*$AG462^6+WeightSDS!R$29*$AG462^5+WeightSDS!S$29*$AG462^4+WeightSDS!T$29*$AG462^3+WeightSDS!U$29*$AG462^2+WeightSDS!V$29*$AG462+WeightSDS!W$29-0.010431*(1-$AG462/210),IF($AG462&lt;123,WeightSDS!M$30*$AG462^10+WeightSDS!N$30*$AG462^9+WeightSDS!O$30*$AG462^8+WeightSDS!P$30*$AG462^7+WeightSDS!Q$30*$AG462^6+WeightSDS!R$30*$AG462^5+WeightSDS!S$30*$AG462^4+WeightSDS!T$30*$AG462^3+WeightSDS!U$30*$AG462^2+WeightSDS!V$30*$AG462+WeightSDS!W$30-0.010431*(1-1/$AG462),WeightSDS!M$32+WeightSDS!N$32/(1+EXP(WeightSDS!O$32+WeightSDS!P$32*$AG462))-0.010431*(1-$AG462/210))))</f>
        <v>2.9500001032655536</v>
      </c>
      <c r="AK462" s="24">
        <f>IF(D462="M",IF($AG462&lt;162,WeightSDS!P$12*$AG462^7+WeightSDS!Q$12*$AG462^6+WeightSDS!R$12*$AG462^5+WeightSDS!S$12*$AG462^4+WeightSDS!T$12*$AG462^3+WeightSDS!U$12*$AG462^2+WeightSDS!V$12*$AG462+WeightSDS!W$12,WeightSDS!P$14*$AG462^7+WeightSDS!Q$14*$AG462^6+WeightSDS!R$14*$AG462^5+WeightSDS!S$14*$AG462^4+WeightSDS!T$14*$AG462^3+WeightSDS!U$14*$AG462^2+WeightSDS!V$14*$AG462+WeightSDS!W$14),IF($AG462&lt;156,WeightSDS!O$17*$AG462^8+WeightSDS!P$17*$AG462^7+WeightSDS!Q$17*$AG462^6+WeightSDS!R$17*$AG462^5+WeightSDS!S$17*$AG462^4+WeightSDS!T$17*$AG462^3+WeightSDS!U$17*$AG462^2+WeightSDS!V$17*$AG462+WeightSDS!W$17,IF($AG462&lt;186,WeightSDS!$U$18+(WeightSDS!$V$18-WeightSDS!$U$18)/24*($AG462-186)+WeightSDS!$W$18*(-$AG462+186)^2-0.005,WeightSDS!$U$18+(WeightSDS!$V$18-WeightSDS!$U$18)/24*($AG462-186)-0.005)))</f>
        <v>0.14604529399999999</v>
      </c>
    </row>
    <row r="463" spans="1:37">
      <c r="A463" s="4"/>
      <c r="B463" s="21"/>
      <c r="C463" s="21"/>
      <c r="D463" s="21"/>
      <c r="E463" s="22"/>
      <c r="F463" s="22"/>
      <c r="G463" s="23"/>
      <c r="H463" s="23"/>
      <c r="I463" s="8" t="str">
        <f t="shared" si="114"/>
        <v/>
      </c>
      <c r="J463" s="2" t="str">
        <f t="shared" si="121"/>
        <v/>
      </c>
      <c r="K463" s="2" t="str">
        <f t="shared" si="115"/>
        <v/>
      </c>
      <c r="L463" s="2" t="str">
        <f t="shared" si="122"/>
        <v/>
      </c>
      <c r="M463" s="2" t="str">
        <f t="shared" si="127"/>
        <v/>
      </c>
      <c r="N463" s="2" t="str">
        <f t="shared" si="123"/>
        <v/>
      </c>
      <c r="O463" s="8" t="str">
        <f t="shared" si="124"/>
        <v/>
      </c>
      <c r="P463" s="8" t="str">
        <f t="shared" si="125"/>
        <v/>
      </c>
      <c r="Q463" s="40" t="str">
        <f t="shared" si="116"/>
        <v/>
      </c>
      <c r="R463" s="48" t="str">
        <f t="shared" si="126"/>
        <v/>
      </c>
      <c r="S463" s="8"/>
      <c r="U463" s="35">
        <f t="shared" si="117"/>
        <v>0</v>
      </c>
      <c r="V463" s="24">
        <f t="shared" si="118"/>
        <v>0</v>
      </c>
      <c r="W463" s="41">
        <f t="shared" si="113"/>
        <v>0</v>
      </c>
      <c r="X463" s="31"/>
      <c r="Y463" s="31"/>
      <c r="Z463" s="31"/>
      <c r="AA463" s="25">
        <f t="shared" si="119"/>
        <v>9.0359999999999996</v>
      </c>
      <c r="AB463" s="25">
        <f t="shared" si="120"/>
        <v>-184.49199999999999</v>
      </c>
      <c r="AD463" s="24">
        <f>IF(D463="M",IF(AG463&lt;78,BMILMS!$D$5*AG463^3+BMILMS!$E$5*AG463^2+BMILMS!$F$5*AG463+BMILMS!$G$5,IF(AG463&lt;150,BMILMS!$D$6*AG463^3+BMILMS!$E$6*AG463^2+BMILMS!$F$6*AG463+BMILMS!$G$6,BMILMS!$D$7*AG463^3+BMILMS!$E$7*AG463^2+BMILMS!$F$7*AG463+BMILMS!$G$7)),IF(AG463&lt;69,BMILMS!$D$9*AG463^3+BMILMS!$E$9*AG463^2+BMILMS!$F$9*AG463+BMILMS!$G$9,IF(AG463&lt;150,BMILMS!$D$10*AG463^3+BMILMS!$E$10*AG463^2+BMILMS!$F$10*AG463+BMILMS!$G$10,BMILMS!$D$11*AG463^3+BMILMS!$E$11*AG463^2+BMILMS!$F$11*AG463+BMILMS!$G$11)))</f>
        <v>0.79584630099999998</v>
      </c>
      <c r="AE463" s="24">
        <f>IF(D463="M",(IF(AG463&lt;2.5,BMILMS!$D$21*AG463^3+BMILMS!$E$21*AG463^2+BMILMS!$F$21*AG463+BMILMS!$G$21,IF(AG463&lt;9.5,BMILMS!$D$22*AG463^3+BMILMS!$E$22*AG463^2+BMILMS!$F$22*AG463+BMILMS!$G$22,IF(AG463&lt;26.75,BMILMS!$D$23*AG463^3+BMILMS!$E$23*AG463^2+BMILMS!$F$23*AG463+BMILMS!$G$23,IF(AG463&lt;90,BMILMS!$D$24*AG463^3+BMILMS!$E$24*AG463^2+BMILMS!$F$24*AG463+BMILMS!$G$24,BMILMS!$D$25*AG463^3+BMILMS!$E$25*AG463^2+BMILMS!$F$25*AG463+BMILMS!$G$25))))),(IF(AG463&lt;2.5,BMILMS!$D$27*AG463^3+BMILMS!$E$27*AG463^2+BMILMS!$F$27*AG463+BMILMS!$G$27,IF(AG463&lt;9.5,BMILMS!$D$28*AG463^3+BMILMS!$E$28*AG463^2+BMILMS!$F$28*AG463+BMILMS!$G$28,IF(AG463&lt;26.75,BMILMS!$D$29*AG463^3+BMILMS!$E$29*AG463^2+BMILMS!$F$29*AG463+BMILMS!$G$29,IF(AG463&lt;90,BMILMS!$D$30*AG463^3+BMILMS!$E$30*AG463^2+BMILMS!$F$30*AG463+BMILMS!$G$30,IF(AG463&lt;150,BMILMS!$D$31*AG463^3+BMILMS!$E$31*AG463^2+BMILMS!$F$31*AG463+BMILMS!$G$31,BMILMS!$D$32*AG463^3+BMILMS!$E$32*AG463^2+BMILMS!$F$32*AG463+BMILMS!$G$32)))))))</f>
        <v>12.568967990000001</v>
      </c>
      <c r="AF463" s="24">
        <f>IF(D463="M",(IF(AG463&lt;90,BMILMS!$D$14*AG463^3+BMILMS!$E$14*AG463^2+BMILMS!$F$14*AG463+BMILMS!$G$14,BMILMS!$D$15*AG463^3+BMILMS!$E$15*AG463^2+BMILMS!$F$15*AG463+BMILMS!$G$15)),(IF(AG463&lt;90,BMILMS!$D$17*AG463^3+BMILMS!$E$17*AG463^2+BMILMS!$F$17*AG463+BMILMS!$G$17,BMILMS!$D$18*AG463^3+BMILMS!$E$18*AG463^2+BMILMS!$F$18*AG463+BMILMS!$G$18)))</f>
        <v>8.8969350000000003E-2</v>
      </c>
      <c r="AG463" s="24">
        <f t="shared" si="128"/>
        <v>0</v>
      </c>
      <c r="AI463" s="38">
        <f>IF(D463="M",WeightSDS!P$5*$AG463^7+WeightSDS!Q$5*$AG463^6+WeightSDS!R$5*$AG463^5+WeightSDS!S$5*$AG463^4+WeightSDS!T$5*$AG463^3+WeightSDS!U$5*$AG463^2+WeightSDS!V$5*$AG463+WeightSDS!W$5,IF($AG463&lt;186,WeightSDS!P$8*$AG463^7+WeightSDS!Q$8*$AG463^6+WeightSDS!R$8*$AG463^5+WeightSDS!S$8*$AG463^4+WeightSDS!T$8*$AG463^3+WeightSDS!U$8*$AG463^2+WeightSDS!V$8*$AG463+WeightSDS!W$8,WeightSDS!$U$9-WeightSDS!$V$9*($AG463-WeightSDS!$W$9)))</f>
        <v>0.75407122999999998</v>
      </c>
      <c r="AJ463" s="24">
        <f>IF(D463="M",IF($AG463&lt;45,WeightSDS!M$23*$AG463^10+WeightSDS!N$23*$AG463^9+WeightSDS!O$23*$AG463^8+WeightSDS!P$23*$AG463^7+WeightSDS!Q$23*$AG463^6+WeightSDS!R$23*$AG463^5+WeightSDS!S$23*$AG463^4+WeightSDS!T$23*$AG463^3+WeightSDS!U$23*$AG463^2+WeightSDS!V$23*$AG463+WeightSDS!W$23,IF($AG463&lt;153,WeightSDS!M$25*$AG463^10+WeightSDS!N$25*$AG463^9+WeightSDS!O$25*$AG463^8+WeightSDS!P$25*$AG463^7+WeightSDS!Q$25*$AG463^6+WeightSDS!R$25*$AG463^5+WeightSDS!S$25*$AG463^4+WeightSDS!T$25*$AG463^3+WeightSDS!U$25*$AG463^2+WeightSDS!V$25*$AG463+WeightSDS!W$25,WeightSDS!M$27+WeightSDS!N$27/(1+EXP(WeightSDS!O$27+WeightSDS!P$27*$AG463)))),IF($AG463&lt;43.8,WeightSDS!M$29*$AG463^10+WeightSDS!N$29*$AG463^9+WeightSDS!O$29*$AG463^8+WeightSDS!P$29*$AG463^7+WeightSDS!Q$29*$AG463^6+WeightSDS!R$29*$AG463^5+WeightSDS!S$29*$AG463^4+WeightSDS!T$29*$AG463^3+WeightSDS!U$29*$AG463^2+WeightSDS!V$29*$AG463+WeightSDS!W$29-0.010431*(1-$AG463/210),IF($AG463&lt;123,WeightSDS!M$30*$AG463^10+WeightSDS!N$30*$AG463^9+WeightSDS!O$30*$AG463^8+WeightSDS!P$30*$AG463^7+WeightSDS!Q$30*$AG463^6+WeightSDS!R$30*$AG463^5+WeightSDS!S$30*$AG463^4+WeightSDS!T$30*$AG463^3+WeightSDS!U$30*$AG463^2+WeightSDS!V$30*$AG463+WeightSDS!W$30-0.010431*(1-1/$AG463),WeightSDS!M$32+WeightSDS!N$32/(1+EXP(WeightSDS!O$32+WeightSDS!P$32*$AG463))-0.010431*(1-$AG463/210))))</f>
        <v>2.9500001032655536</v>
      </c>
      <c r="AK463" s="24">
        <f>IF(D463="M",IF($AG463&lt;162,WeightSDS!P$12*$AG463^7+WeightSDS!Q$12*$AG463^6+WeightSDS!R$12*$AG463^5+WeightSDS!S$12*$AG463^4+WeightSDS!T$12*$AG463^3+WeightSDS!U$12*$AG463^2+WeightSDS!V$12*$AG463+WeightSDS!W$12,WeightSDS!P$14*$AG463^7+WeightSDS!Q$14*$AG463^6+WeightSDS!R$14*$AG463^5+WeightSDS!S$14*$AG463^4+WeightSDS!T$14*$AG463^3+WeightSDS!U$14*$AG463^2+WeightSDS!V$14*$AG463+WeightSDS!W$14),IF($AG463&lt;156,WeightSDS!O$17*$AG463^8+WeightSDS!P$17*$AG463^7+WeightSDS!Q$17*$AG463^6+WeightSDS!R$17*$AG463^5+WeightSDS!S$17*$AG463^4+WeightSDS!T$17*$AG463^3+WeightSDS!U$17*$AG463^2+WeightSDS!V$17*$AG463+WeightSDS!W$17,IF($AG463&lt;186,WeightSDS!$U$18+(WeightSDS!$V$18-WeightSDS!$U$18)/24*($AG463-186)+WeightSDS!$W$18*(-$AG463+186)^2-0.005,WeightSDS!$U$18+(WeightSDS!$V$18-WeightSDS!$U$18)/24*($AG463-186)-0.005)))</f>
        <v>0.14604529399999999</v>
      </c>
    </row>
    <row r="464" spans="1:37">
      <c r="A464" s="4"/>
      <c r="B464" s="21"/>
      <c r="C464" s="21"/>
      <c r="D464" s="21"/>
      <c r="E464" s="22"/>
      <c r="F464" s="22"/>
      <c r="G464" s="23"/>
      <c r="H464" s="23"/>
      <c r="I464" s="8" t="str">
        <f t="shared" si="114"/>
        <v/>
      </c>
      <c r="J464" s="2" t="str">
        <f t="shared" si="121"/>
        <v/>
      </c>
      <c r="K464" s="2" t="str">
        <f t="shared" si="115"/>
        <v/>
      </c>
      <c r="L464" s="2" t="str">
        <f t="shared" si="122"/>
        <v/>
      </c>
      <c r="M464" s="2" t="str">
        <f t="shared" si="127"/>
        <v/>
      </c>
      <c r="N464" s="2" t="str">
        <f t="shared" si="123"/>
        <v/>
      </c>
      <c r="O464" s="8" t="str">
        <f t="shared" si="124"/>
        <v/>
      </c>
      <c r="P464" s="8" t="str">
        <f t="shared" si="125"/>
        <v/>
      </c>
      <c r="Q464" s="40" t="str">
        <f t="shared" si="116"/>
        <v/>
      </c>
      <c r="R464" s="48" t="str">
        <f t="shared" si="126"/>
        <v/>
      </c>
      <c r="S464" s="8"/>
      <c r="U464" s="35">
        <f t="shared" si="117"/>
        <v>0</v>
      </c>
      <c r="V464" s="24">
        <f t="shared" si="118"/>
        <v>0</v>
      </c>
      <c r="W464" s="41">
        <f t="shared" si="113"/>
        <v>0</v>
      </c>
      <c r="X464" s="31"/>
      <c r="Y464" s="31"/>
      <c r="Z464" s="31"/>
      <c r="AA464" s="25">
        <f t="shared" si="119"/>
        <v>9.0359999999999996</v>
      </c>
      <c r="AB464" s="25">
        <f t="shared" si="120"/>
        <v>-184.49199999999999</v>
      </c>
      <c r="AD464" s="24">
        <f>IF(D464="M",IF(AG464&lt;78,BMILMS!$D$5*AG464^3+BMILMS!$E$5*AG464^2+BMILMS!$F$5*AG464+BMILMS!$G$5,IF(AG464&lt;150,BMILMS!$D$6*AG464^3+BMILMS!$E$6*AG464^2+BMILMS!$F$6*AG464+BMILMS!$G$6,BMILMS!$D$7*AG464^3+BMILMS!$E$7*AG464^2+BMILMS!$F$7*AG464+BMILMS!$G$7)),IF(AG464&lt;69,BMILMS!$D$9*AG464^3+BMILMS!$E$9*AG464^2+BMILMS!$F$9*AG464+BMILMS!$G$9,IF(AG464&lt;150,BMILMS!$D$10*AG464^3+BMILMS!$E$10*AG464^2+BMILMS!$F$10*AG464+BMILMS!$G$10,BMILMS!$D$11*AG464^3+BMILMS!$E$11*AG464^2+BMILMS!$F$11*AG464+BMILMS!$G$11)))</f>
        <v>0.79584630099999998</v>
      </c>
      <c r="AE464" s="24">
        <f>IF(D464="M",(IF(AG464&lt;2.5,BMILMS!$D$21*AG464^3+BMILMS!$E$21*AG464^2+BMILMS!$F$21*AG464+BMILMS!$G$21,IF(AG464&lt;9.5,BMILMS!$D$22*AG464^3+BMILMS!$E$22*AG464^2+BMILMS!$F$22*AG464+BMILMS!$G$22,IF(AG464&lt;26.75,BMILMS!$D$23*AG464^3+BMILMS!$E$23*AG464^2+BMILMS!$F$23*AG464+BMILMS!$G$23,IF(AG464&lt;90,BMILMS!$D$24*AG464^3+BMILMS!$E$24*AG464^2+BMILMS!$F$24*AG464+BMILMS!$G$24,BMILMS!$D$25*AG464^3+BMILMS!$E$25*AG464^2+BMILMS!$F$25*AG464+BMILMS!$G$25))))),(IF(AG464&lt;2.5,BMILMS!$D$27*AG464^3+BMILMS!$E$27*AG464^2+BMILMS!$F$27*AG464+BMILMS!$G$27,IF(AG464&lt;9.5,BMILMS!$D$28*AG464^3+BMILMS!$E$28*AG464^2+BMILMS!$F$28*AG464+BMILMS!$G$28,IF(AG464&lt;26.75,BMILMS!$D$29*AG464^3+BMILMS!$E$29*AG464^2+BMILMS!$F$29*AG464+BMILMS!$G$29,IF(AG464&lt;90,BMILMS!$D$30*AG464^3+BMILMS!$E$30*AG464^2+BMILMS!$F$30*AG464+BMILMS!$G$30,IF(AG464&lt;150,BMILMS!$D$31*AG464^3+BMILMS!$E$31*AG464^2+BMILMS!$F$31*AG464+BMILMS!$G$31,BMILMS!$D$32*AG464^3+BMILMS!$E$32*AG464^2+BMILMS!$F$32*AG464+BMILMS!$G$32)))))))</f>
        <v>12.568967990000001</v>
      </c>
      <c r="AF464" s="24">
        <f>IF(D464="M",(IF(AG464&lt;90,BMILMS!$D$14*AG464^3+BMILMS!$E$14*AG464^2+BMILMS!$F$14*AG464+BMILMS!$G$14,BMILMS!$D$15*AG464^3+BMILMS!$E$15*AG464^2+BMILMS!$F$15*AG464+BMILMS!$G$15)),(IF(AG464&lt;90,BMILMS!$D$17*AG464^3+BMILMS!$E$17*AG464^2+BMILMS!$F$17*AG464+BMILMS!$G$17,BMILMS!$D$18*AG464^3+BMILMS!$E$18*AG464^2+BMILMS!$F$18*AG464+BMILMS!$G$18)))</f>
        <v>8.8969350000000003E-2</v>
      </c>
      <c r="AG464" s="24">
        <f t="shared" si="128"/>
        <v>0</v>
      </c>
      <c r="AI464" s="38">
        <f>IF(D464="M",WeightSDS!P$5*$AG464^7+WeightSDS!Q$5*$AG464^6+WeightSDS!R$5*$AG464^5+WeightSDS!S$5*$AG464^4+WeightSDS!T$5*$AG464^3+WeightSDS!U$5*$AG464^2+WeightSDS!V$5*$AG464+WeightSDS!W$5,IF($AG464&lt;186,WeightSDS!P$8*$AG464^7+WeightSDS!Q$8*$AG464^6+WeightSDS!R$8*$AG464^5+WeightSDS!S$8*$AG464^4+WeightSDS!T$8*$AG464^3+WeightSDS!U$8*$AG464^2+WeightSDS!V$8*$AG464+WeightSDS!W$8,WeightSDS!$U$9-WeightSDS!$V$9*($AG464-WeightSDS!$W$9)))</f>
        <v>0.75407122999999998</v>
      </c>
      <c r="AJ464" s="24">
        <f>IF(D464="M",IF($AG464&lt;45,WeightSDS!M$23*$AG464^10+WeightSDS!N$23*$AG464^9+WeightSDS!O$23*$AG464^8+WeightSDS!P$23*$AG464^7+WeightSDS!Q$23*$AG464^6+WeightSDS!R$23*$AG464^5+WeightSDS!S$23*$AG464^4+WeightSDS!T$23*$AG464^3+WeightSDS!U$23*$AG464^2+WeightSDS!V$23*$AG464+WeightSDS!W$23,IF($AG464&lt;153,WeightSDS!M$25*$AG464^10+WeightSDS!N$25*$AG464^9+WeightSDS!O$25*$AG464^8+WeightSDS!P$25*$AG464^7+WeightSDS!Q$25*$AG464^6+WeightSDS!R$25*$AG464^5+WeightSDS!S$25*$AG464^4+WeightSDS!T$25*$AG464^3+WeightSDS!U$25*$AG464^2+WeightSDS!V$25*$AG464+WeightSDS!W$25,WeightSDS!M$27+WeightSDS!N$27/(1+EXP(WeightSDS!O$27+WeightSDS!P$27*$AG464)))),IF($AG464&lt;43.8,WeightSDS!M$29*$AG464^10+WeightSDS!N$29*$AG464^9+WeightSDS!O$29*$AG464^8+WeightSDS!P$29*$AG464^7+WeightSDS!Q$29*$AG464^6+WeightSDS!R$29*$AG464^5+WeightSDS!S$29*$AG464^4+WeightSDS!T$29*$AG464^3+WeightSDS!U$29*$AG464^2+WeightSDS!V$29*$AG464+WeightSDS!W$29-0.010431*(1-$AG464/210),IF($AG464&lt;123,WeightSDS!M$30*$AG464^10+WeightSDS!N$30*$AG464^9+WeightSDS!O$30*$AG464^8+WeightSDS!P$30*$AG464^7+WeightSDS!Q$30*$AG464^6+WeightSDS!R$30*$AG464^5+WeightSDS!S$30*$AG464^4+WeightSDS!T$30*$AG464^3+WeightSDS!U$30*$AG464^2+WeightSDS!V$30*$AG464+WeightSDS!W$30-0.010431*(1-1/$AG464),WeightSDS!M$32+WeightSDS!N$32/(1+EXP(WeightSDS!O$32+WeightSDS!P$32*$AG464))-0.010431*(1-$AG464/210))))</f>
        <v>2.9500001032655536</v>
      </c>
      <c r="AK464" s="24">
        <f>IF(D464="M",IF($AG464&lt;162,WeightSDS!P$12*$AG464^7+WeightSDS!Q$12*$AG464^6+WeightSDS!R$12*$AG464^5+WeightSDS!S$12*$AG464^4+WeightSDS!T$12*$AG464^3+WeightSDS!U$12*$AG464^2+WeightSDS!V$12*$AG464+WeightSDS!W$12,WeightSDS!P$14*$AG464^7+WeightSDS!Q$14*$AG464^6+WeightSDS!R$14*$AG464^5+WeightSDS!S$14*$AG464^4+WeightSDS!T$14*$AG464^3+WeightSDS!U$14*$AG464^2+WeightSDS!V$14*$AG464+WeightSDS!W$14),IF($AG464&lt;156,WeightSDS!O$17*$AG464^8+WeightSDS!P$17*$AG464^7+WeightSDS!Q$17*$AG464^6+WeightSDS!R$17*$AG464^5+WeightSDS!S$17*$AG464^4+WeightSDS!T$17*$AG464^3+WeightSDS!U$17*$AG464^2+WeightSDS!V$17*$AG464+WeightSDS!W$17,IF($AG464&lt;186,WeightSDS!$U$18+(WeightSDS!$V$18-WeightSDS!$U$18)/24*($AG464-186)+WeightSDS!$W$18*(-$AG464+186)^2-0.005,WeightSDS!$U$18+(WeightSDS!$V$18-WeightSDS!$U$18)/24*($AG464-186)-0.005)))</f>
        <v>0.14604529399999999</v>
      </c>
    </row>
    <row r="465" spans="1:37">
      <c r="A465" s="4"/>
      <c r="B465" s="21"/>
      <c r="C465" s="21"/>
      <c r="D465" s="21"/>
      <c r="E465" s="22"/>
      <c r="F465" s="22"/>
      <c r="G465" s="23"/>
      <c r="H465" s="23"/>
      <c r="I465" s="8" t="str">
        <f t="shared" si="114"/>
        <v/>
      </c>
      <c r="J465" s="2" t="str">
        <f t="shared" si="121"/>
        <v/>
      </c>
      <c r="K465" s="2" t="str">
        <f t="shared" si="115"/>
        <v/>
      </c>
      <c r="L465" s="2" t="str">
        <f t="shared" si="122"/>
        <v/>
      </c>
      <c r="M465" s="2" t="str">
        <f t="shared" si="127"/>
        <v/>
      </c>
      <c r="N465" s="2" t="str">
        <f t="shared" si="123"/>
        <v/>
      </c>
      <c r="O465" s="8" t="str">
        <f t="shared" si="124"/>
        <v/>
      </c>
      <c r="P465" s="8" t="str">
        <f t="shared" si="125"/>
        <v/>
      </c>
      <c r="Q465" s="40" t="str">
        <f t="shared" si="116"/>
        <v/>
      </c>
      <c r="R465" s="48" t="str">
        <f t="shared" si="126"/>
        <v/>
      </c>
      <c r="S465" s="8"/>
      <c r="U465" s="35">
        <f t="shared" si="117"/>
        <v>0</v>
      </c>
      <c r="V465" s="24">
        <f t="shared" si="118"/>
        <v>0</v>
      </c>
      <c r="W465" s="41">
        <f t="shared" si="113"/>
        <v>0</v>
      </c>
      <c r="X465" s="31"/>
      <c r="Y465" s="31"/>
      <c r="Z465" s="31"/>
      <c r="AA465" s="25">
        <f t="shared" si="119"/>
        <v>9.0359999999999996</v>
      </c>
      <c r="AB465" s="25">
        <f t="shared" si="120"/>
        <v>-184.49199999999999</v>
      </c>
      <c r="AD465" s="24">
        <f>IF(D465="M",IF(AG465&lt;78,BMILMS!$D$5*AG465^3+BMILMS!$E$5*AG465^2+BMILMS!$F$5*AG465+BMILMS!$G$5,IF(AG465&lt;150,BMILMS!$D$6*AG465^3+BMILMS!$E$6*AG465^2+BMILMS!$F$6*AG465+BMILMS!$G$6,BMILMS!$D$7*AG465^3+BMILMS!$E$7*AG465^2+BMILMS!$F$7*AG465+BMILMS!$G$7)),IF(AG465&lt;69,BMILMS!$D$9*AG465^3+BMILMS!$E$9*AG465^2+BMILMS!$F$9*AG465+BMILMS!$G$9,IF(AG465&lt;150,BMILMS!$D$10*AG465^3+BMILMS!$E$10*AG465^2+BMILMS!$F$10*AG465+BMILMS!$G$10,BMILMS!$D$11*AG465^3+BMILMS!$E$11*AG465^2+BMILMS!$F$11*AG465+BMILMS!$G$11)))</f>
        <v>0.79584630099999998</v>
      </c>
      <c r="AE465" s="24">
        <f>IF(D465="M",(IF(AG465&lt;2.5,BMILMS!$D$21*AG465^3+BMILMS!$E$21*AG465^2+BMILMS!$F$21*AG465+BMILMS!$G$21,IF(AG465&lt;9.5,BMILMS!$D$22*AG465^3+BMILMS!$E$22*AG465^2+BMILMS!$F$22*AG465+BMILMS!$G$22,IF(AG465&lt;26.75,BMILMS!$D$23*AG465^3+BMILMS!$E$23*AG465^2+BMILMS!$F$23*AG465+BMILMS!$G$23,IF(AG465&lt;90,BMILMS!$D$24*AG465^3+BMILMS!$E$24*AG465^2+BMILMS!$F$24*AG465+BMILMS!$G$24,BMILMS!$D$25*AG465^3+BMILMS!$E$25*AG465^2+BMILMS!$F$25*AG465+BMILMS!$G$25))))),(IF(AG465&lt;2.5,BMILMS!$D$27*AG465^3+BMILMS!$E$27*AG465^2+BMILMS!$F$27*AG465+BMILMS!$G$27,IF(AG465&lt;9.5,BMILMS!$D$28*AG465^3+BMILMS!$E$28*AG465^2+BMILMS!$F$28*AG465+BMILMS!$G$28,IF(AG465&lt;26.75,BMILMS!$D$29*AG465^3+BMILMS!$E$29*AG465^2+BMILMS!$F$29*AG465+BMILMS!$G$29,IF(AG465&lt;90,BMILMS!$D$30*AG465^3+BMILMS!$E$30*AG465^2+BMILMS!$F$30*AG465+BMILMS!$G$30,IF(AG465&lt;150,BMILMS!$D$31*AG465^3+BMILMS!$E$31*AG465^2+BMILMS!$F$31*AG465+BMILMS!$G$31,BMILMS!$D$32*AG465^3+BMILMS!$E$32*AG465^2+BMILMS!$F$32*AG465+BMILMS!$G$32)))))))</f>
        <v>12.568967990000001</v>
      </c>
      <c r="AF465" s="24">
        <f>IF(D465="M",(IF(AG465&lt;90,BMILMS!$D$14*AG465^3+BMILMS!$E$14*AG465^2+BMILMS!$F$14*AG465+BMILMS!$G$14,BMILMS!$D$15*AG465^3+BMILMS!$E$15*AG465^2+BMILMS!$F$15*AG465+BMILMS!$G$15)),(IF(AG465&lt;90,BMILMS!$D$17*AG465^3+BMILMS!$E$17*AG465^2+BMILMS!$F$17*AG465+BMILMS!$G$17,BMILMS!$D$18*AG465^3+BMILMS!$E$18*AG465^2+BMILMS!$F$18*AG465+BMILMS!$G$18)))</f>
        <v>8.8969350000000003E-2</v>
      </c>
      <c r="AG465" s="24">
        <f t="shared" si="128"/>
        <v>0</v>
      </c>
      <c r="AI465" s="38">
        <f>IF(D465="M",WeightSDS!P$5*$AG465^7+WeightSDS!Q$5*$AG465^6+WeightSDS!R$5*$AG465^5+WeightSDS!S$5*$AG465^4+WeightSDS!T$5*$AG465^3+WeightSDS!U$5*$AG465^2+WeightSDS!V$5*$AG465+WeightSDS!W$5,IF($AG465&lt;186,WeightSDS!P$8*$AG465^7+WeightSDS!Q$8*$AG465^6+WeightSDS!R$8*$AG465^5+WeightSDS!S$8*$AG465^4+WeightSDS!T$8*$AG465^3+WeightSDS!U$8*$AG465^2+WeightSDS!V$8*$AG465+WeightSDS!W$8,WeightSDS!$U$9-WeightSDS!$V$9*($AG465-WeightSDS!$W$9)))</f>
        <v>0.75407122999999998</v>
      </c>
      <c r="AJ465" s="24">
        <f>IF(D465="M",IF($AG465&lt;45,WeightSDS!M$23*$AG465^10+WeightSDS!N$23*$AG465^9+WeightSDS!O$23*$AG465^8+WeightSDS!P$23*$AG465^7+WeightSDS!Q$23*$AG465^6+WeightSDS!R$23*$AG465^5+WeightSDS!S$23*$AG465^4+WeightSDS!T$23*$AG465^3+WeightSDS!U$23*$AG465^2+WeightSDS!V$23*$AG465+WeightSDS!W$23,IF($AG465&lt;153,WeightSDS!M$25*$AG465^10+WeightSDS!N$25*$AG465^9+WeightSDS!O$25*$AG465^8+WeightSDS!P$25*$AG465^7+WeightSDS!Q$25*$AG465^6+WeightSDS!R$25*$AG465^5+WeightSDS!S$25*$AG465^4+WeightSDS!T$25*$AG465^3+WeightSDS!U$25*$AG465^2+WeightSDS!V$25*$AG465+WeightSDS!W$25,WeightSDS!M$27+WeightSDS!N$27/(1+EXP(WeightSDS!O$27+WeightSDS!P$27*$AG465)))),IF($AG465&lt;43.8,WeightSDS!M$29*$AG465^10+WeightSDS!N$29*$AG465^9+WeightSDS!O$29*$AG465^8+WeightSDS!P$29*$AG465^7+WeightSDS!Q$29*$AG465^6+WeightSDS!R$29*$AG465^5+WeightSDS!S$29*$AG465^4+WeightSDS!T$29*$AG465^3+WeightSDS!U$29*$AG465^2+WeightSDS!V$29*$AG465+WeightSDS!W$29-0.010431*(1-$AG465/210),IF($AG465&lt;123,WeightSDS!M$30*$AG465^10+WeightSDS!N$30*$AG465^9+WeightSDS!O$30*$AG465^8+WeightSDS!P$30*$AG465^7+WeightSDS!Q$30*$AG465^6+WeightSDS!R$30*$AG465^5+WeightSDS!S$30*$AG465^4+WeightSDS!T$30*$AG465^3+WeightSDS!U$30*$AG465^2+WeightSDS!V$30*$AG465+WeightSDS!W$30-0.010431*(1-1/$AG465),WeightSDS!M$32+WeightSDS!N$32/(1+EXP(WeightSDS!O$32+WeightSDS!P$32*$AG465))-0.010431*(1-$AG465/210))))</f>
        <v>2.9500001032655536</v>
      </c>
      <c r="AK465" s="24">
        <f>IF(D465="M",IF($AG465&lt;162,WeightSDS!P$12*$AG465^7+WeightSDS!Q$12*$AG465^6+WeightSDS!R$12*$AG465^5+WeightSDS!S$12*$AG465^4+WeightSDS!T$12*$AG465^3+WeightSDS!U$12*$AG465^2+WeightSDS!V$12*$AG465+WeightSDS!W$12,WeightSDS!P$14*$AG465^7+WeightSDS!Q$14*$AG465^6+WeightSDS!R$14*$AG465^5+WeightSDS!S$14*$AG465^4+WeightSDS!T$14*$AG465^3+WeightSDS!U$14*$AG465^2+WeightSDS!V$14*$AG465+WeightSDS!W$14),IF($AG465&lt;156,WeightSDS!O$17*$AG465^8+WeightSDS!P$17*$AG465^7+WeightSDS!Q$17*$AG465^6+WeightSDS!R$17*$AG465^5+WeightSDS!S$17*$AG465^4+WeightSDS!T$17*$AG465^3+WeightSDS!U$17*$AG465^2+WeightSDS!V$17*$AG465+WeightSDS!W$17,IF($AG465&lt;186,WeightSDS!$U$18+(WeightSDS!$V$18-WeightSDS!$U$18)/24*($AG465-186)+WeightSDS!$W$18*(-$AG465+186)^2-0.005,WeightSDS!$U$18+(WeightSDS!$V$18-WeightSDS!$U$18)/24*($AG465-186)-0.005)))</f>
        <v>0.14604529399999999</v>
      </c>
    </row>
    <row r="466" spans="1:37">
      <c r="A466" s="4"/>
      <c r="B466" s="21"/>
      <c r="C466" s="21"/>
      <c r="D466" s="21"/>
      <c r="E466" s="22"/>
      <c r="F466" s="22"/>
      <c r="G466" s="23"/>
      <c r="H466" s="23"/>
      <c r="I466" s="8" t="str">
        <f t="shared" si="114"/>
        <v/>
      </c>
      <c r="J466" s="2" t="str">
        <f t="shared" si="121"/>
        <v/>
      </c>
      <c r="K466" s="2" t="str">
        <f t="shared" si="115"/>
        <v/>
      </c>
      <c r="L466" s="2" t="str">
        <f t="shared" si="122"/>
        <v/>
      </c>
      <c r="M466" s="2" t="str">
        <f t="shared" si="127"/>
        <v/>
      </c>
      <c r="N466" s="2" t="str">
        <f t="shared" si="123"/>
        <v/>
      </c>
      <c r="O466" s="8" t="str">
        <f t="shared" si="124"/>
        <v/>
      </c>
      <c r="P466" s="8" t="str">
        <f t="shared" si="125"/>
        <v/>
      </c>
      <c r="Q466" s="40" t="str">
        <f t="shared" si="116"/>
        <v/>
      </c>
      <c r="R466" s="48" t="str">
        <f t="shared" si="126"/>
        <v/>
      </c>
      <c r="S466" s="8"/>
      <c r="U466" s="35">
        <f t="shared" si="117"/>
        <v>0</v>
      </c>
      <c r="V466" s="24">
        <f t="shared" si="118"/>
        <v>0</v>
      </c>
      <c r="W466" s="41">
        <f t="shared" si="113"/>
        <v>0</v>
      </c>
      <c r="X466" s="31"/>
      <c r="Y466" s="31"/>
      <c r="Z466" s="31"/>
      <c r="AA466" s="25">
        <f t="shared" si="119"/>
        <v>9.0359999999999996</v>
      </c>
      <c r="AB466" s="25">
        <f t="shared" si="120"/>
        <v>-184.49199999999999</v>
      </c>
      <c r="AD466" s="24">
        <f>IF(D466="M",IF(AG466&lt;78,BMILMS!$D$5*AG466^3+BMILMS!$E$5*AG466^2+BMILMS!$F$5*AG466+BMILMS!$G$5,IF(AG466&lt;150,BMILMS!$D$6*AG466^3+BMILMS!$E$6*AG466^2+BMILMS!$F$6*AG466+BMILMS!$G$6,BMILMS!$D$7*AG466^3+BMILMS!$E$7*AG466^2+BMILMS!$F$7*AG466+BMILMS!$G$7)),IF(AG466&lt;69,BMILMS!$D$9*AG466^3+BMILMS!$E$9*AG466^2+BMILMS!$F$9*AG466+BMILMS!$G$9,IF(AG466&lt;150,BMILMS!$D$10*AG466^3+BMILMS!$E$10*AG466^2+BMILMS!$F$10*AG466+BMILMS!$G$10,BMILMS!$D$11*AG466^3+BMILMS!$E$11*AG466^2+BMILMS!$F$11*AG466+BMILMS!$G$11)))</f>
        <v>0.79584630099999998</v>
      </c>
      <c r="AE466" s="24">
        <f>IF(D466="M",(IF(AG466&lt;2.5,BMILMS!$D$21*AG466^3+BMILMS!$E$21*AG466^2+BMILMS!$F$21*AG466+BMILMS!$G$21,IF(AG466&lt;9.5,BMILMS!$D$22*AG466^3+BMILMS!$E$22*AG466^2+BMILMS!$F$22*AG466+BMILMS!$G$22,IF(AG466&lt;26.75,BMILMS!$D$23*AG466^3+BMILMS!$E$23*AG466^2+BMILMS!$F$23*AG466+BMILMS!$G$23,IF(AG466&lt;90,BMILMS!$D$24*AG466^3+BMILMS!$E$24*AG466^2+BMILMS!$F$24*AG466+BMILMS!$G$24,BMILMS!$D$25*AG466^3+BMILMS!$E$25*AG466^2+BMILMS!$F$25*AG466+BMILMS!$G$25))))),(IF(AG466&lt;2.5,BMILMS!$D$27*AG466^3+BMILMS!$E$27*AG466^2+BMILMS!$F$27*AG466+BMILMS!$G$27,IF(AG466&lt;9.5,BMILMS!$D$28*AG466^3+BMILMS!$E$28*AG466^2+BMILMS!$F$28*AG466+BMILMS!$G$28,IF(AG466&lt;26.75,BMILMS!$D$29*AG466^3+BMILMS!$E$29*AG466^2+BMILMS!$F$29*AG466+BMILMS!$G$29,IF(AG466&lt;90,BMILMS!$D$30*AG466^3+BMILMS!$E$30*AG466^2+BMILMS!$F$30*AG466+BMILMS!$G$30,IF(AG466&lt;150,BMILMS!$D$31*AG466^3+BMILMS!$E$31*AG466^2+BMILMS!$F$31*AG466+BMILMS!$G$31,BMILMS!$D$32*AG466^3+BMILMS!$E$32*AG466^2+BMILMS!$F$32*AG466+BMILMS!$G$32)))))))</f>
        <v>12.568967990000001</v>
      </c>
      <c r="AF466" s="24">
        <f>IF(D466="M",(IF(AG466&lt;90,BMILMS!$D$14*AG466^3+BMILMS!$E$14*AG466^2+BMILMS!$F$14*AG466+BMILMS!$G$14,BMILMS!$D$15*AG466^3+BMILMS!$E$15*AG466^2+BMILMS!$F$15*AG466+BMILMS!$G$15)),(IF(AG466&lt;90,BMILMS!$D$17*AG466^3+BMILMS!$E$17*AG466^2+BMILMS!$F$17*AG466+BMILMS!$G$17,BMILMS!$D$18*AG466^3+BMILMS!$E$18*AG466^2+BMILMS!$F$18*AG466+BMILMS!$G$18)))</f>
        <v>8.8969350000000003E-2</v>
      </c>
      <c r="AG466" s="24">
        <f t="shared" si="128"/>
        <v>0</v>
      </c>
      <c r="AI466" s="38">
        <f>IF(D466="M",WeightSDS!P$5*$AG466^7+WeightSDS!Q$5*$AG466^6+WeightSDS!R$5*$AG466^5+WeightSDS!S$5*$AG466^4+WeightSDS!T$5*$AG466^3+WeightSDS!U$5*$AG466^2+WeightSDS!V$5*$AG466+WeightSDS!W$5,IF($AG466&lt;186,WeightSDS!P$8*$AG466^7+WeightSDS!Q$8*$AG466^6+WeightSDS!R$8*$AG466^5+WeightSDS!S$8*$AG466^4+WeightSDS!T$8*$AG466^3+WeightSDS!U$8*$AG466^2+WeightSDS!V$8*$AG466+WeightSDS!W$8,WeightSDS!$U$9-WeightSDS!$V$9*($AG466-WeightSDS!$W$9)))</f>
        <v>0.75407122999999998</v>
      </c>
      <c r="AJ466" s="24">
        <f>IF(D466="M",IF($AG466&lt;45,WeightSDS!M$23*$AG466^10+WeightSDS!N$23*$AG466^9+WeightSDS!O$23*$AG466^8+WeightSDS!P$23*$AG466^7+WeightSDS!Q$23*$AG466^6+WeightSDS!R$23*$AG466^5+WeightSDS!S$23*$AG466^4+WeightSDS!T$23*$AG466^3+WeightSDS!U$23*$AG466^2+WeightSDS!V$23*$AG466+WeightSDS!W$23,IF($AG466&lt;153,WeightSDS!M$25*$AG466^10+WeightSDS!N$25*$AG466^9+WeightSDS!O$25*$AG466^8+WeightSDS!P$25*$AG466^7+WeightSDS!Q$25*$AG466^6+WeightSDS!R$25*$AG466^5+WeightSDS!S$25*$AG466^4+WeightSDS!T$25*$AG466^3+WeightSDS!U$25*$AG466^2+WeightSDS!V$25*$AG466+WeightSDS!W$25,WeightSDS!M$27+WeightSDS!N$27/(1+EXP(WeightSDS!O$27+WeightSDS!P$27*$AG466)))),IF($AG466&lt;43.8,WeightSDS!M$29*$AG466^10+WeightSDS!N$29*$AG466^9+WeightSDS!O$29*$AG466^8+WeightSDS!P$29*$AG466^7+WeightSDS!Q$29*$AG466^6+WeightSDS!R$29*$AG466^5+WeightSDS!S$29*$AG466^4+WeightSDS!T$29*$AG466^3+WeightSDS!U$29*$AG466^2+WeightSDS!V$29*$AG466+WeightSDS!W$29-0.010431*(1-$AG466/210),IF($AG466&lt;123,WeightSDS!M$30*$AG466^10+WeightSDS!N$30*$AG466^9+WeightSDS!O$30*$AG466^8+WeightSDS!P$30*$AG466^7+WeightSDS!Q$30*$AG466^6+WeightSDS!R$30*$AG466^5+WeightSDS!S$30*$AG466^4+WeightSDS!T$30*$AG466^3+WeightSDS!U$30*$AG466^2+WeightSDS!V$30*$AG466+WeightSDS!W$30-0.010431*(1-1/$AG466),WeightSDS!M$32+WeightSDS!N$32/(1+EXP(WeightSDS!O$32+WeightSDS!P$32*$AG466))-0.010431*(1-$AG466/210))))</f>
        <v>2.9500001032655536</v>
      </c>
      <c r="AK466" s="24">
        <f>IF(D466="M",IF($AG466&lt;162,WeightSDS!P$12*$AG466^7+WeightSDS!Q$12*$AG466^6+WeightSDS!R$12*$AG466^5+WeightSDS!S$12*$AG466^4+WeightSDS!T$12*$AG466^3+WeightSDS!U$12*$AG466^2+WeightSDS!V$12*$AG466+WeightSDS!W$12,WeightSDS!P$14*$AG466^7+WeightSDS!Q$14*$AG466^6+WeightSDS!R$14*$AG466^5+WeightSDS!S$14*$AG466^4+WeightSDS!T$14*$AG466^3+WeightSDS!U$14*$AG466^2+WeightSDS!V$14*$AG466+WeightSDS!W$14),IF($AG466&lt;156,WeightSDS!O$17*$AG466^8+WeightSDS!P$17*$AG466^7+WeightSDS!Q$17*$AG466^6+WeightSDS!R$17*$AG466^5+WeightSDS!S$17*$AG466^4+WeightSDS!T$17*$AG466^3+WeightSDS!U$17*$AG466^2+WeightSDS!V$17*$AG466+WeightSDS!W$17,IF($AG466&lt;186,WeightSDS!$U$18+(WeightSDS!$V$18-WeightSDS!$U$18)/24*($AG466-186)+WeightSDS!$W$18*(-$AG466+186)^2-0.005,WeightSDS!$U$18+(WeightSDS!$V$18-WeightSDS!$U$18)/24*($AG466-186)-0.005)))</f>
        <v>0.14604529399999999</v>
      </c>
    </row>
    <row r="467" spans="1:37">
      <c r="A467" s="4"/>
      <c r="B467" s="21"/>
      <c r="C467" s="21"/>
      <c r="D467" s="21"/>
      <c r="E467" s="22"/>
      <c r="F467" s="22"/>
      <c r="G467" s="23"/>
      <c r="H467" s="23"/>
      <c r="I467" s="8" t="str">
        <f t="shared" si="114"/>
        <v/>
      </c>
      <c r="J467" s="2" t="str">
        <f t="shared" si="121"/>
        <v/>
      </c>
      <c r="K467" s="2" t="str">
        <f t="shared" si="115"/>
        <v/>
      </c>
      <c r="L467" s="2" t="str">
        <f t="shared" si="122"/>
        <v/>
      </c>
      <c r="M467" s="2" t="str">
        <f t="shared" si="127"/>
        <v/>
      </c>
      <c r="N467" s="2" t="str">
        <f t="shared" si="123"/>
        <v/>
      </c>
      <c r="O467" s="8" t="str">
        <f t="shared" si="124"/>
        <v/>
      </c>
      <c r="P467" s="8" t="str">
        <f t="shared" si="125"/>
        <v/>
      </c>
      <c r="Q467" s="40" t="str">
        <f t="shared" si="116"/>
        <v/>
      </c>
      <c r="R467" s="48" t="str">
        <f t="shared" si="126"/>
        <v/>
      </c>
      <c r="S467" s="8"/>
      <c r="U467" s="35">
        <f t="shared" si="117"/>
        <v>0</v>
      </c>
      <c r="V467" s="24">
        <f t="shared" si="118"/>
        <v>0</v>
      </c>
      <c r="W467" s="41">
        <f t="shared" si="113"/>
        <v>0</v>
      </c>
      <c r="X467" s="31"/>
      <c r="Y467" s="31"/>
      <c r="Z467" s="31"/>
      <c r="AA467" s="25">
        <f t="shared" si="119"/>
        <v>9.0359999999999996</v>
      </c>
      <c r="AB467" s="25">
        <f t="shared" si="120"/>
        <v>-184.49199999999999</v>
      </c>
      <c r="AD467" s="24">
        <f>IF(D467="M",IF(AG467&lt;78,BMILMS!$D$5*AG467^3+BMILMS!$E$5*AG467^2+BMILMS!$F$5*AG467+BMILMS!$G$5,IF(AG467&lt;150,BMILMS!$D$6*AG467^3+BMILMS!$E$6*AG467^2+BMILMS!$F$6*AG467+BMILMS!$G$6,BMILMS!$D$7*AG467^3+BMILMS!$E$7*AG467^2+BMILMS!$F$7*AG467+BMILMS!$G$7)),IF(AG467&lt;69,BMILMS!$D$9*AG467^3+BMILMS!$E$9*AG467^2+BMILMS!$F$9*AG467+BMILMS!$G$9,IF(AG467&lt;150,BMILMS!$D$10*AG467^3+BMILMS!$E$10*AG467^2+BMILMS!$F$10*AG467+BMILMS!$G$10,BMILMS!$D$11*AG467^3+BMILMS!$E$11*AG467^2+BMILMS!$F$11*AG467+BMILMS!$G$11)))</f>
        <v>0.79584630099999998</v>
      </c>
      <c r="AE467" s="24">
        <f>IF(D467="M",(IF(AG467&lt;2.5,BMILMS!$D$21*AG467^3+BMILMS!$E$21*AG467^2+BMILMS!$F$21*AG467+BMILMS!$G$21,IF(AG467&lt;9.5,BMILMS!$D$22*AG467^3+BMILMS!$E$22*AG467^2+BMILMS!$F$22*AG467+BMILMS!$G$22,IF(AG467&lt;26.75,BMILMS!$D$23*AG467^3+BMILMS!$E$23*AG467^2+BMILMS!$F$23*AG467+BMILMS!$G$23,IF(AG467&lt;90,BMILMS!$D$24*AG467^3+BMILMS!$E$24*AG467^2+BMILMS!$F$24*AG467+BMILMS!$G$24,BMILMS!$D$25*AG467^3+BMILMS!$E$25*AG467^2+BMILMS!$F$25*AG467+BMILMS!$G$25))))),(IF(AG467&lt;2.5,BMILMS!$D$27*AG467^3+BMILMS!$E$27*AG467^2+BMILMS!$F$27*AG467+BMILMS!$G$27,IF(AG467&lt;9.5,BMILMS!$D$28*AG467^3+BMILMS!$E$28*AG467^2+BMILMS!$F$28*AG467+BMILMS!$G$28,IF(AG467&lt;26.75,BMILMS!$D$29*AG467^3+BMILMS!$E$29*AG467^2+BMILMS!$F$29*AG467+BMILMS!$G$29,IF(AG467&lt;90,BMILMS!$D$30*AG467^3+BMILMS!$E$30*AG467^2+BMILMS!$F$30*AG467+BMILMS!$G$30,IF(AG467&lt;150,BMILMS!$D$31*AG467^3+BMILMS!$E$31*AG467^2+BMILMS!$F$31*AG467+BMILMS!$G$31,BMILMS!$D$32*AG467^3+BMILMS!$E$32*AG467^2+BMILMS!$F$32*AG467+BMILMS!$G$32)))))))</f>
        <v>12.568967990000001</v>
      </c>
      <c r="AF467" s="24">
        <f>IF(D467="M",(IF(AG467&lt;90,BMILMS!$D$14*AG467^3+BMILMS!$E$14*AG467^2+BMILMS!$F$14*AG467+BMILMS!$G$14,BMILMS!$D$15*AG467^3+BMILMS!$E$15*AG467^2+BMILMS!$F$15*AG467+BMILMS!$G$15)),(IF(AG467&lt;90,BMILMS!$D$17*AG467^3+BMILMS!$E$17*AG467^2+BMILMS!$F$17*AG467+BMILMS!$G$17,BMILMS!$D$18*AG467^3+BMILMS!$E$18*AG467^2+BMILMS!$F$18*AG467+BMILMS!$G$18)))</f>
        <v>8.8969350000000003E-2</v>
      </c>
      <c r="AG467" s="24">
        <f t="shared" si="128"/>
        <v>0</v>
      </c>
      <c r="AI467" s="38">
        <f>IF(D467="M",WeightSDS!P$5*$AG467^7+WeightSDS!Q$5*$AG467^6+WeightSDS!R$5*$AG467^5+WeightSDS!S$5*$AG467^4+WeightSDS!T$5*$AG467^3+WeightSDS!U$5*$AG467^2+WeightSDS!V$5*$AG467+WeightSDS!W$5,IF($AG467&lt;186,WeightSDS!P$8*$AG467^7+WeightSDS!Q$8*$AG467^6+WeightSDS!R$8*$AG467^5+WeightSDS!S$8*$AG467^4+WeightSDS!T$8*$AG467^3+WeightSDS!U$8*$AG467^2+WeightSDS!V$8*$AG467+WeightSDS!W$8,WeightSDS!$U$9-WeightSDS!$V$9*($AG467-WeightSDS!$W$9)))</f>
        <v>0.75407122999999998</v>
      </c>
      <c r="AJ467" s="24">
        <f>IF(D467="M",IF($AG467&lt;45,WeightSDS!M$23*$AG467^10+WeightSDS!N$23*$AG467^9+WeightSDS!O$23*$AG467^8+WeightSDS!P$23*$AG467^7+WeightSDS!Q$23*$AG467^6+WeightSDS!R$23*$AG467^5+WeightSDS!S$23*$AG467^4+WeightSDS!T$23*$AG467^3+WeightSDS!U$23*$AG467^2+WeightSDS!V$23*$AG467+WeightSDS!W$23,IF($AG467&lt;153,WeightSDS!M$25*$AG467^10+WeightSDS!N$25*$AG467^9+WeightSDS!O$25*$AG467^8+WeightSDS!P$25*$AG467^7+WeightSDS!Q$25*$AG467^6+WeightSDS!R$25*$AG467^5+WeightSDS!S$25*$AG467^4+WeightSDS!T$25*$AG467^3+WeightSDS!U$25*$AG467^2+WeightSDS!V$25*$AG467+WeightSDS!W$25,WeightSDS!M$27+WeightSDS!N$27/(1+EXP(WeightSDS!O$27+WeightSDS!P$27*$AG467)))),IF($AG467&lt;43.8,WeightSDS!M$29*$AG467^10+WeightSDS!N$29*$AG467^9+WeightSDS!O$29*$AG467^8+WeightSDS!P$29*$AG467^7+WeightSDS!Q$29*$AG467^6+WeightSDS!R$29*$AG467^5+WeightSDS!S$29*$AG467^4+WeightSDS!T$29*$AG467^3+WeightSDS!U$29*$AG467^2+WeightSDS!V$29*$AG467+WeightSDS!W$29-0.010431*(1-$AG467/210),IF($AG467&lt;123,WeightSDS!M$30*$AG467^10+WeightSDS!N$30*$AG467^9+WeightSDS!O$30*$AG467^8+WeightSDS!P$30*$AG467^7+WeightSDS!Q$30*$AG467^6+WeightSDS!R$30*$AG467^5+WeightSDS!S$30*$AG467^4+WeightSDS!T$30*$AG467^3+WeightSDS!U$30*$AG467^2+WeightSDS!V$30*$AG467+WeightSDS!W$30-0.010431*(1-1/$AG467),WeightSDS!M$32+WeightSDS!N$32/(1+EXP(WeightSDS!O$32+WeightSDS!P$32*$AG467))-0.010431*(1-$AG467/210))))</f>
        <v>2.9500001032655536</v>
      </c>
      <c r="AK467" s="24">
        <f>IF(D467="M",IF($AG467&lt;162,WeightSDS!P$12*$AG467^7+WeightSDS!Q$12*$AG467^6+WeightSDS!R$12*$AG467^5+WeightSDS!S$12*$AG467^4+WeightSDS!T$12*$AG467^3+WeightSDS!U$12*$AG467^2+WeightSDS!V$12*$AG467+WeightSDS!W$12,WeightSDS!P$14*$AG467^7+WeightSDS!Q$14*$AG467^6+WeightSDS!R$14*$AG467^5+WeightSDS!S$14*$AG467^4+WeightSDS!T$14*$AG467^3+WeightSDS!U$14*$AG467^2+WeightSDS!V$14*$AG467+WeightSDS!W$14),IF($AG467&lt;156,WeightSDS!O$17*$AG467^8+WeightSDS!P$17*$AG467^7+WeightSDS!Q$17*$AG467^6+WeightSDS!R$17*$AG467^5+WeightSDS!S$17*$AG467^4+WeightSDS!T$17*$AG467^3+WeightSDS!U$17*$AG467^2+WeightSDS!V$17*$AG467+WeightSDS!W$17,IF($AG467&lt;186,WeightSDS!$U$18+(WeightSDS!$V$18-WeightSDS!$U$18)/24*($AG467-186)+WeightSDS!$W$18*(-$AG467+186)^2-0.005,WeightSDS!$U$18+(WeightSDS!$V$18-WeightSDS!$U$18)/24*($AG467-186)-0.005)))</f>
        <v>0.14604529399999999</v>
      </c>
    </row>
    <row r="468" spans="1:37">
      <c r="A468" s="4"/>
      <c r="B468" s="21"/>
      <c r="C468" s="21"/>
      <c r="D468" s="21"/>
      <c r="E468" s="22"/>
      <c r="F468" s="22"/>
      <c r="G468" s="23"/>
      <c r="H468" s="23"/>
      <c r="I468" s="8" t="str">
        <f t="shared" si="114"/>
        <v/>
      </c>
      <c r="J468" s="2" t="str">
        <f t="shared" si="121"/>
        <v/>
      </c>
      <c r="K468" s="2" t="str">
        <f t="shared" si="115"/>
        <v/>
      </c>
      <c r="L468" s="2" t="str">
        <f t="shared" si="122"/>
        <v/>
      </c>
      <c r="M468" s="2" t="str">
        <f t="shared" si="127"/>
        <v/>
      </c>
      <c r="N468" s="2" t="str">
        <f t="shared" si="123"/>
        <v/>
      </c>
      <c r="O468" s="8" t="str">
        <f t="shared" si="124"/>
        <v/>
      </c>
      <c r="P468" s="8" t="str">
        <f t="shared" si="125"/>
        <v/>
      </c>
      <c r="Q468" s="40" t="str">
        <f t="shared" si="116"/>
        <v/>
      </c>
      <c r="R468" s="48" t="str">
        <f t="shared" si="126"/>
        <v/>
      </c>
      <c r="S468" s="8"/>
      <c r="U468" s="35">
        <f t="shared" si="117"/>
        <v>0</v>
      </c>
      <c r="V468" s="24">
        <f t="shared" si="118"/>
        <v>0</v>
      </c>
      <c r="W468" s="41">
        <f t="shared" si="113"/>
        <v>0</v>
      </c>
      <c r="X468" s="31"/>
      <c r="Y468" s="31"/>
      <c r="Z468" s="31"/>
      <c r="AA468" s="25">
        <f t="shared" si="119"/>
        <v>9.0359999999999996</v>
      </c>
      <c r="AB468" s="25">
        <f t="shared" si="120"/>
        <v>-184.49199999999999</v>
      </c>
      <c r="AD468" s="24">
        <f>IF(D468="M",IF(AG468&lt;78,BMILMS!$D$5*AG468^3+BMILMS!$E$5*AG468^2+BMILMS!$F$5*AG468+BMILMS!$G$5,IF(AG468&lt;150,BMILMS!$D$6*AG468^3+BMILMS!$E$6*AG468^2+BMILMS!$F$6*AG468+BMILMS!$G$6,BMILMS!$D$7*AG468^3+BMILMS!$E$7*AG468^2+BMILMS!$F$7*AG468+BMILMS!$G$7)),IF(AG468&lt;69,BMILMS!$D$9*AG468^3+BMILMS!$E$9*AG468^2+BMILMS!$F$9*AG468+BMILMS!$G$9,IF(AG468&lt;150,BMILMS!$D$10*AG468^3+BMILMS!$E$10*AG468^2+BMILMS!$F$10*AG468+BMILMS!$G$10,BMILMS!$D$11*AG468^3+BMILMS!$E$11*AG468^2+BMILMS!$F$11*AG468+BMILMS!$G$11)))</f>
        <v>0.79584630099999998</v>
      </c>
      <c r="AE468" s="24">
        <f>IF(D468="M",(IF(AG468&lt;2.5,BMILMS!$D$21*AG468^3+BMILMS!$E$21*AG468^2+BMILMS!$F$21*AG468+BMILMS!$G$21,IF(AG468&lt;9.5,BMILMS!$D$22*AG468^3+BMILMS!$E$22*AG468^2+BMILMS!$F$22*AG468+BMILMS!$G$22,IF(AG468&lt;26.75,BMILMS!$D$23*AG468^3+BMILMS!$E$23*AG468^2+BMILMS!$F$23*AG468+BMILMS!$G$23,IF(AG468&lt;90,BMILMS!$D$24*AG468^3+BMILMS!$E$24*AG468^2+BMILMS!$F$24*AG468+BMILMS!$G$24,BMILMS!$D$25*AG468^3+BMILMS!$E$25*AG468^2+BMILMS!$F$25*AG468+BMILMS!$G$25))))),(IF(AG468&lt;2.5,BMILMS!$D$27*AG468^3+BMILMS!$E$27*AG468^2+BMILMS!$F$27*AG468+BMILMS!$G$27,IF(AG468&lt;9.5,BMILMS!$D$28*AG468^3+BMILMS!$E$28*AG468^2+BMILMS!$F$28*AG468+BMILMS!$G$28,IF(AG468&lt;26.75,BMILMS!$D$29*AG468^3+BMILMS!$E$29*AG468^2+BMILMS!$F$29*AG468+BMILMS!$G$29,IF(AG468&lt;90,BMILMS!$D$30*AG468^3+BMILMS!$E$30*AG468^2+BMILMS!$F$30*AG468+BMILMS!$G$30,IF(AG468&lt;150,BMILMS!$D$31*AG468^3+BMILMS!$E$31*AG468^2+BMILMS!$F$31*AG468+BMILMS!$G$31,BMILMS!$D$32*AG468^3+BMILMS!$E$32*AG468^2+BMILMS!$F$32*AG468+BMILMS!$G$32)))))))</f>
        <v>12.568967990000001</v>
      </c>
      <c r="AF468" s="24">
        <f>IF(D468="M",(IF(AG468&lt;90,BMILMS!$D$14*AG468^3+BMILMS!$E$14*AG468^2+BMILMS!$F$14*AG468+BMILMS!$G$14,BMILMS!$D$15*AG468^3+BMILMS!$E$15*AG468^2+BMILMS!$F$15*AG468+BMILMS!$G$15)),(IF(AG468&lt;90,BMILMS!$D$17*AG468^3+BMILMS!$E$17*AG468^2+BMILMS!$F$17*AG468+BMILMS!$G$17,BMILMS!$D$18*AG468^3+BMILMS!$E$18*AG468^2+BMILMS!$F$18*AG468+BMILMS!$G$18)))</f>
        <v>8.8969350000000003E-2</v>
      </c>
      <c r="AG468" s="24">
        <f t="shared" si="128"/>
        <v>0</v>
      </c>
      <c r="AI468" s="38">
        <f>IF(D468="M",WeightSDS!P$5*$AG468^7+WeightSDS!Q$5*$AG468^6+WeightSDS!R$5*$AG468^5+WeightSDS!S$5*$AG468^4+WeightSDS!T$5*$AG468^3+WeightSDS!U$5*$AG468^2+WeightSDS!V$5*$AG468+WeightSDS!W$5,IF($AG468&lt;186,WeightSDS!P$8*$AG468^7+WeightSDS!Q$8*$AG468^6+WeightSDS!R$8*$AG468^5+WeightSDS!S$8*$AG468^4+WeightSDS!T$8*$AG468^3+WeightSDS!U$8*$AG468^2+WeightSDS!V$8*$AG468+WeightSDS!W$8,WeightSDS!$U$9-WeightSDS!$V$9*($AG468-WeightSDS!$W$9)))</f>
        <v>0.75407122999999998</v>
      </c>
      <c r="AJ468" s="24">
        <f>IF(D468="M",IF($AG468&lt;45,WeightSDS!M$23*$AG468^10+WeightSDS!N$23*$AG468^9+WeightSDS!O$23*$AG468^8+WeightSDS!P$23*$AG468^7+WeightSDS!Q$23*$AG468^6+WeightSDS!R$23*$AG468^5+WeightSDS!S$23*$AG468^4+WeightSDS!T$23*$AG468^3+WeightSDS!U$23*$AG468^2+WeightSDS!V$23*$AG468+WeightSDS!W$23,IF($AG468&lt;153,WeightSDS!M$25*$AG468^10+WeightSDS!N$25*$AG468^9+WeightSDS!O$25*$AG468^8+WeightSDS!P$25*$AG468^7+WeightSDS!Q$25*$AG468^6+WeightSDS!R$25*$AG468^5+WeightSDS!S$25*$AG468^4+WeightSDS!T$25*$AG468^3+WeightSDS!U$25*$AG468^2+WeightSDS!V$25*$AG468+WeightSDS!W$25,WeightSDS!M$27+WeightSDS!N$27/(1+EXP(WeightSDS!O$27+WeightSDS!P$27*$AG468)))),IF($AG468&lt;43.8,WeightSDS!M$29*$AG468^10+WeightSDS!N$29*$AG468^9+WeightSDS!O$29*$AG468^8+WeightSDS!P$29*$AG468^7+WeightSDS!Q$29*$AG468^6+WeightSDS!R$29*$AG468^5+WeightSDS!S$29*$AG468^4+WeightSDS!T$29*$AG468^3+WeightSDS!U$29*$AG468^2+WeightSDS!V$29*$AG468+WeightSDS!W$29-0.010431*(1-$AG468/210),IF($AG468&lt;123,WeightSDS!M$30*$AG468^10+WeightSDS!N$30*$AG468^9+WeightSDS!O$30*$AG468^8+WeightSDS!P$30*$AG468^7+WeightSDS!Q$30*$AG468^6+WeightSDS!R$30*$AG468^5+WeightSDS!S$30*$AG468^4+WeightSDS!T$30*$AG468^3+WeightSDS!U$30*$AG468^2+WeightSDS!V$30*$AG468+WeightSDS!W$30-0.010431*(1-1/$AG468),WeightSDS!M$32+WeightSDS!N$32/(1+EXP(WeightSDS!O$32+WeightSDS!P$32*$AG468))-0.010431*(1-$AG468/210))))</f>
        <v>2.9500001032655536</v>
      </c>
      <c r="AK468" s="24">
        <f>IF(D468="M",IF($AG468&lt;162,WeightSDS!P$12*$AG468^7+WeightSDS!Q$12*$AG468^6+WeightSDS!R$12*$AG468^5+WeightSDS!S$12*$AG468^4+WeightSDS!T$12*$AG468^3+WeightSDS!U$12*$AG468^2+WeightSDS!V$12*$AG468+WeightSDS!W$12,WeightSDS!P$14*$AG468^7+WeightSDS!Q$14*$AG468^6+WeightSDS!R$14*$AG468^5+WeightSDS!S$14*$AG468^4+WeightSDS!T$14*$AG468^3+WeightSDS!U$14*$AG468^2+WeightSDS!V$14*$AG468+WeightSDS!W$14),IF($AG468&lt;156,WeightSDS!O$17*$AG468^8+WeightSDS!P$17*$AG468^7+WeightSDS!Q$17*$AG468^6+WeightSDS!R$17*$AG468^5+WeightSDS!S$17*$AG468^4+WeightSDS!T$17*$AG468^3+WeightSDS!U$17*$AG468^2+WeightSDS!V$17*$AG468+WeightSDS!W$17,IF($AG468&lt;186,WeightSDS!$U$18+(WeightSDS!$V$18-WeightSDS!$U$18)/24*($AG468-186)+WeightSDS!$W$18*(-$AG468+186)^2-0.005,WeightSDS!$U$18+(WeightSDS!$V$18-WeightSDS!$U$18)/24*($AG468-186)-0.005)))</f>
        <v>0.14604529399999999</v>
      </c>
    </row>
    <row r="469" spans="1:37">
      <c r="A469" s="4"/>
      <c r="B469" s="21"/>
      <c r="C469" s="21"/>
      <c r="D469" s="21"/>
      <c r="E469" s="22"/>
      <c r="F469" s="22"/>
      <c r="G469" s="23"/>
      <c r="H469" s="23"/>
      <c r="I469" s="8" t="str">
        <f t="shared" si="114"/>
        <v/>
      </c>
      <c r="J469" s="2" t="str">
        <f t="shared" si="121"/>
        <v/>
      </c>
      <c r="K469" s="2" t="str">
        <f t="shared" si="115"/>
        <v/>
      </c>
      <c r="L469" s="2" t="str">
        <f t="shared" si="122"/>
        <v/>
      </c>
      <c r="M469" s="2" t="str">
        <f t="shared" si="127"/>
        <v/>
      </c>
      <c r="N469" s="2" t="str">
        <f t="shared" si="123"/>
        <v/>
      </c>
      <c r="O469" s="8" t="str">
        <f t="shared" si="124"/>
        <v/>
      </c>
      <c r="P469" s="8" t="str">
        <f t="shared" si="125"/>
        <v/>
      </c>
      <c r="Q469" s="40" t="str">
        <f t="shared" si="116"/>
        <v/>
      </c>
      <c r="R469" s="48" t="str">
        <f t="shared" si="126"/>
        <v/>
      </c>
      <c r="S469" s="8"/>
      <c r="U469" s="35">
        <f t="shared" si="117"/>
        <v>0</v>
      </c>
      <c r="V469" s="24">
        <f t="shared" si="118"/>
        <v>0</v>
      </c>
      <c r="W469" s="41">
        <f t="shared" si="113"/>
        <v>0</v>
      </c>
      <c r="X469" s="31"/>
      <c r="Y469" s="31"/>
      <c r="Z469" s="31"/>
      <c r="AA469" s="25">
        <f t="shared" si="119"/>
        <v>9.0359999999999996</v>
      </c>
      <c r="AB469" s="25">
        <f t="shared" si="120"/>
        <v>-184.49199999999999</v>
      </c>
      <c r="AD469" s="24">
        <f>IF(D469="M",IF(AG469&lt;78,BMILMS!$D$5*AG469^3+BMILMS!$E$5*AG469^2+BMILMS!$F$5*AG469+BMILMS!$G$5,IF(AG469&lt;150,BMILMS!$D$6*AG469^3+BMILMS!$E$6*AG469^2+BMILMS!$F$6*AG469+BMILMS!$G$6,BMILMS!$D$7*AG469^3+BMILMS!$E$7*AG469^2+BMILMS!$F$7*AG469+BMILMS!$G$7)),IF(AG469&lt;69,BMILMS!$D$9*AG469^3+BMILMS!$E$9*AG469^2+BMILMS!$F$9*AG469+BMILMS!$G$9,IF(AG469&lt;150,BMILMS!$D$10*AG469^3+BMILMS!$E$10*AG469^2+BMILMS!$F$10*AG469+BMILMS!$G$10,BMILMS!$D$11*AG469^3+BMILMS!$E$11*AG469^2+BMILMS!$F$11*AG469+BMILMS!$G$11)))</f>
        <v>0.79584630099999998</v>
      </c>
      <c r="AE469" s="24">
        <f>IF(D469="M",(IF(AG469&lt;2.5,BMILMS!$D$21*AG469^3+BMILMS!$E$21*AG469^2+BMILMS!$F$21*AG469+BMILMS!$G$21,IF(AG469&lt;9.5,BMILMS!$D$22*AG469^3+BMILMS!$E$22*AG469^2+BMILMS!$F$22*AG469+BMILMS!$G$22,IF(AG469&lt;26.75,BMILMS!$D$23*AG469^3+BMILMS!$E$23*AG469^2+BMILMS!$F$23*AG469+BMILMS!$G$23,IF(AG469&lt;90,BMILMS!$D$24*AG469^3+BMILMS!$E$24*AG469^2+BMILMS!$F$24*AG469+BMILMS!$G$24,BMILMS!$D$25*AG469^3+BMILMS!$E$25*AG469^2+BMILMS!$F$25*AG469+BMILMS!$G$25))))),(IF(AG469&lt;2.5,BMILMS!$D$27*AG469^3+BMILMS!$E$27*AG469^2+BMILMS!$F$27*AG469+BMILMS!$G$27,IF(AG469&lt;9.5,BMILMS!$D$28*AG469^3+BMILMS!$E$28*AG469^2+BMILMS!$F$28*AG469+BMILMS!$G$28,IF(AG469&lt;26.75,BMILMS!$D$29*AG469^3+BMILMS!$E$29*AG469^2+BMILMS!$F$29*AG469+BMILMS!$G$29,IF(AG469&lt;90,BMILMS!$D$30*AG469^3+BMILMS!$E$30*AG469^2+BMILMS!$F$30*AG469+BMILMS!$G$30,IF(AG469&lt;150,BMILMS!$D$31*AG469^3+BMILMS!$E$31*AG469^2+BMILMS!$F$31*AG469+BMILMS!$G$31,BMILMS!$D$32*AG469^3+BMILMS!$E$32*AG469^2+BMILMS!$F$32*AG469+BMILMS!$G$32)))))))</f>
        <v>12.568967990000001</v>
      </c>
      <c r="AF469" s="24">
        <f>IF(D469="M",(IF(AG469&lt;90,BMILMS!$D$14*AG469^3+BMILMS!$E$14*AG469^2+BMILMS!$F$14*AG469+BMILMS!$G$14,BMILMS!$D$15*AG469^3+BMILMS!$E$15*AG469^2+BMILMS!$F$15*AG469+BMILMS!$G$15)),(IF(AG469&lt;90,BMILMS!$D$17*AG469^3+BMILMS!$E$17*AG469^2+BMILMS!$F$17*AG469+BMILMS!$G$17,BMILMS!$D$18*AG469^3+BMILMS!$E$18*AG469^2+BMILMS!$F$18*AG469+BMILMS!$G$18)))</f>
        <v>8.8969350000000003E-2</v>
      </c>
      <c r="AG469" s="24">
        <f t="shared" si="128"/>
        <v>0</v>
      </c>
      <c r="AI469" s="38">
        <f>IF(D469="M",WeightSDS!P$5*$AG469^7+WeightSDS!Q$5*$AG469^6+WeightSDS!R$5*$AG469^5+WeightSDS!S$5*$AG469^4+WeightSDS!T$5*$AG469^3+WeightSDS!U$5*$AG469^2+WeightSDS!V$5*$AG469+WeightSDS!W$5,IF($AG469&lt;186,WeightSDS!P$8*$AG469^7+WeightSDS!Q$8*$AG469^6+WeightSDS!R$8*$AG469^5+WeightSDS!S$8*$AG469^4+WeightSDS!T$8*$AG469^3+WeightSDS!U$8*$AG469^2+WeightSDS!V$8*$AG469+WeightSDS!W$8,WeightSDS!$U$9-WeightSDS!$V$9*($AG469-WeightSDS!$W$9)))</f>
        <v>0.75407122999999998</v>
      </c>
      <c r="AJ469" s="24">
        <f>IF(D469="M",IF($AG469&lt;45,WeightSDS!M$23*$AG469^10+WeightSDS!N$23*$AG469^9+WeightSDS!O$23*$AG469^8+WeightSDS!P$23*$AG469^7+WeightSDS!Q$23*$AG469^6+WeightSDS!R$23*$AG469^5+WeightSDS!S$23*$AG469^4+WeightSDS!T$23*$AG469^3+WeightSDS!U$23*$AG469^2+WeightSDS!V$23*$AG469+WeightSDS!W$23,IF($AG469&lt;153,WeightSDS!M$25*$AG469^10+WeightSDS!N$25*$AG469^9+WeightSDS!O$25*$AG469^8+WeightSDS!P$25*$AG469^7+WeightSDS!Q$25*$AG469^6+WeightSDS!R$25*$AG469^5+WeightSDS!S$25*$AG469^4+WeightSDS!T$25*$AG469^3+WeightSDS!U$25*$AG469^2+WeightSDS!V$25*$AG469+WeightSDS!W$25,WeightSDS!M$27+WeightSDS!N$27/(1+EXP(WeightSDS!O$27+WeightSDS!P$27*$AG469)))),IF($AG469&lt;43.8,WeightSDS!M$29*$AG469^10+WeightSDS!N$29*$AG469^9+WeightSDS!O$29*$AG469^8+WeightSDS!P$29*$AG469^7+WeightSDS!Q$29*$AG469^6+WeightSDS!R$29*$AG469^5+WeightSDS!S$29*$AG469^4+WeightSDS!T$29*$AG469^3+WeightSDS!U$29*$AG469^2+WeightSDS!V$29*$AG469+WeightSDS!W$29-0.010431*(1-$AG469/210),IF($AG469&lt;123,WeightSDS!M$30*$AG469^10+WeightSDS!N$30*$AG469^9+WeightSDS!O$30*$AG469^8+WeightSDS!P$30*$AG469^7+WeightSDS!Q$30*$AG469^6+WeightSDS!R$30*$AG469^5+WeightSDS!S$30*$AG469^4+WeightSDS!T$30*$AG469^3+WeightSDS!U$30*$AG469^2+WeightSDS!V$30*$AG469+WeightSDS!W$30-0.010431*(1-1/$AG469),WeightSDS!M$32+WeightSDS!N$32/(1+EXP(WeightSDS!O$32+WeightSDS!P$32*$AG469))-0.010431*(1-$AG469/210))))</f>
        <v>2.9500001032655536</v>
      </c>
      <c r="AK469" s="24">
        <f>IF(D469="M",IF($AG469&lt;162,WeightSDS!P$12*$AG469^7+WeightSDS!Q$12*$AG469^6+WeightSDS!R$12*$AG469^5+WeightSDS!S$12*$AG469^4+WeightSDS!T$12*$AG469^3+WeightSDS!U$12*$AG469^2+WeightSDS!V$12*$AG469+WeightSDS!W$12,WeightSDS!P$14*$AG469^7+WeightSDS!Q$14*$AG469^6+WeightSDS!R$14*$AG469^5+WeightSDS!S$14*$AG469^4+WeightSDS!T$14*$AG469^3+WeightSDS!U$14*$AG469^2+WeightSDS!V$14*$AG469+WeightSDS!W$14),IF($AG469&lt;156,WeightSDS!O$17*$AG469^8+WeightSDS!P$17*$AG469^7+WeightSDS!Q$17*$AG469^6+WeightSDS!R$17*$AG469^5+WeightSDS!S$17*$AG469^4+WeightSDS!T$17*$AG469^3+WeightSDS!U$17*$AG469^2+WeightSDS!V$17*$AG469+WeightSDS!W$17,IF($AG469&lt;186,WeightSDS!$U$18+(WeightSDS!$V$18-WeightSDS!$U$18)/24*($AG469-186)+WeightSDS!$W$18*(-$AG469+186)^2-0.005,WeightSDS!$U$18+(WeightSDS!$V$18-WeightSDS!$U$18)/24*($AG469-186)-0.005)))</f>
        <v>0.14604529399999999</v>
      </c>
    </row>
    <row r="470" spans="1:37">
      <c r="A470" s="4"/>
      <c r="B470" s="21"/>
      <c r="C470" s="21"/>
      <c r="D470" s="21"/>
      <c r="E470" s="22"/>
      <c r="F470" s="22"/>
      <c r="G470" s="23"/>
      <c r="H470" s="23"/>
      <c r="I470" s="8" t="str">
        <f t="shared" si="114"/>
        <v/>
      </c>
      <c r="J470" s="2" t="str">
        <f t="shared" si="121"/>
        <v/>
      </c>
      <c r="K470" s="2" t="str">
        <f t="shared" si="115"/>
        <v/>
      </c>
      <c r="L470" s="2" t="str">
        <f t="shared" si="122"/>
        <v/>
      </c>
      <c r="M470" s="2" t="str">
        <f t="shared" si="127"/>
        <v/>
      </c>
      <c r="N470" s="2" t="str">
        <f t="shared" si="123"/>
        <v/>
      </c>
      <c r="O470" s="8" t="str">
        <f t="shared" si="124"/>
        <v/>
      </c>
      <c r="P470" s="8" t="str">
        <f t="shared" si="125"/>
        <v/>
      </c>
      <c r="Q470" s="40" t="str">
        <f t="shared" si="116"/>
        <v/>
      </c>
      <c r="R470" s="48" t="str">
        <f t="shared" si="126"/>
        <v/>
      </c>
      <c r="S470" s="8"/>
      <c r="U470" s="35">
        <f t="shared" si="117"/>
        <v>0</v>
      </c>
      <c r="V470" s="24">
        <f t="shared" si="118"/>
        <v>0</v>
      </c>
      <c r="W470" s="41">
        <f t="shared" si="113"/>
        <v>0</v>
      </c>
      <c r="X470" s="31"/>
      <c r="Y470" s="31"/>
      <c r="Z470" s="31"/>
      <c r="AA470" s="25">
        <f t="shared" si="119"/>
        <v>9.0359999999999996</v>
      </c>
      <c r="AB470" s="25">
        <f t="shared" si="120"/>
        <v>-184.49199999999999</v>
      </c>
      <c r="AD470" s="24">
        <f>IF(D470="M",IF(AG470&lt;78,BMILMS!$D$5*AG470^3+BMILMS!$E$5*AG470^2+BMILMS!$F$5*AG470+BMILMS!$G$5,IF(AG470&lt;150,BMILMS!$D$6*AG470^3+BMILMS!$E$6*AG470^2+BMILMS!$F$6*AG470+BMILMS!$G$6,BMILMS!$D$7*AG470^3+BMILMS!$E$7*AG470^2+BMILMS!$F$7*AG470+BMILMS!$G$7)),IF(AG470&lt;69,BMILMS!$D$9*AG470^3+BMILMS!$E$9*AG470^2+BMILMS!$F$9*AG470+BMILMS!$G$9,IF(AG470&lt;150,BMILMS!$D$10*AG470^3+BMILMS!$E$10*AG470^2+BMILMS!$F$10*AG470+BMILMS!$G$10,BMILMS!$D$11*AG470^3+BMILMS!$E$11*AG470^2+BMILMS!$F$11*AG470+BMILMS!$G$11)))</f>
        <v>0.79584630099999998</v>
      </c>
      <c r="AE470" s="24">
        <f>IF(D470="M",(IF(AG470&lt;2.5,BMILMS!$D$21*AG470^3+BMILMS!$E$21*AG470^2+BMILMS!$F$21*AG470+BMILMS!$G$21,IF(AG470&lt;9.5,BMILMS!$D$22*AG470^3+BMILMS!$E$22*AG470^2+BMILMS!$F$22*AG470+BMILMS!$G$22,IF(AG470&lt;26.75,BMILMS!$D$23*AG470^3+BMILMS!$E$23*AG470^2+BMILMS!$F$23*AG470+BMILMS!$G$23,IF(AG470&lt;90,BMILMS!$D$24*AG470^3+BMILMS!$E$24*AG470^2+BMILMS!$F$24*AG470+BMILMS!$G$24,BMILMS!$D$25*AG470^3+BMILMS!$E$25*AG470^2+BMILMS!$F$25*AG470+BMILMS!$G$25))))),(IF(AG470&lt;2.5,BMILMS!$D$27*AG470^3+BMILMS!$E$27*AG470^2+BMILMS!$F$27*AG470+BMILMS!$G$27,IF(AG470&lt;9.5,BMILMS!$D$28*AG470^3+BMILMS!$E$28*AG470^2+BMILMS!$F$28*AG470+BMILMS!$G$28,IF(AG470&lt;26.75,BMILMS!$D$29*AG470^3+BMILMS!$E$29*AG470^2+BMILMS!$F$29*AG470+BMILMS!$G$29,IF(AG470&lt;90,BMILMS!$D$30*AG470^3+BMILMS!$E$30*AG470^2+BMILMS!$F$30*AG470+BMILMS!$G$30,IF(AG470&lt;150,BMILMS!$D$31*AG470^3+BMILMS!$E$31*AG470^2+BMILMS!$F$31*AG470+BMILMS!$G$31,BMILMS!$D$32*AG470^3+BMILMS!$E$32*AG470^2+BMILMS!$F$32*AG470+BMILMS!$G$32)))))))</f>
        <v>12.568967990000001</v>
      </c>
      <c r="AF470" s="24">
        <f>IF(D470="M",(IF(AG470&lt;90,BMILMS!$D$14*AG470^3+BMILMS!$E$14*AG470^2+BMILMS!$F$14*AG470+BMILMS!$G$14,BMILMS!$D$15*AG470^3+BMILMS!$E$15*AG470^2+BMILMS!$F$15*AG470+BMILMS!$G$15)),(IF(AG470&lt;90,BMILMS!$D$17*AG470^3+BMILMS!$E$17*AG470^2+BMILMS!$F$17*AG470+BMILMS!$G$17,BMILMS!$D$18*AG470^3+BMILMS!$E$18*AG470^2+BMILMS!$F$18*AG470+BMILMS!$G$18)))</f>
        <v>8.8969350000000003E-2</v>
      </c>
      <c r="AG470" s="24">
        <f t="shared" si="128"/>
        <v>0</v>
      </c>
      <c r="AI470" s="38">
        <f>IF(D470="M",WeightSDS!P$5*$AG470^7+WeightSDS!Q$5*$AG470^6+WeightSDS!R$5*$AG470^5+WeightSDS!S$5*$AG470^4+WeightSDS!T$5*$AG470^3+WeightSDS!U$5*$AG470^2+WeightSDS!V$5*$AG470+WeightSDS!W$5,IF($AG470&lt;186,WeightSDS!P$8*$AG470^7+WeightSDS!Q$8*$AG470^6+WeightSDS!R$8*$AG470^5+WeightSDS!S$8*$AG470^4+WeightSDS!T$8*$AG470^3+WeightSDS!U$8*$AG470^2+WeightSDS!V$8*$AG470+WeightSDS!W$8,WeightSDS!$U$9-WeightSDS!$V$9*($AG470-WeightSDS!$W$9)))</f>
        <v>0.75407122999999998</v>
      </c>
      <c r="AJ470" s="24">
        <f>IF(D470="M",IF($AG470&lt;45,WeightSDS!M$23*$AG470^10+WeightSDS!N$23*$AG470^9+WeightSDS!O$23*$AG470^8+WeightSDS!P$23*$AG470^7+WeightSDS!Q$23*$AG470^6+WeightSDS!R$23*$AG470^5+WeightSDS!S$23*$AG470^4+WeightSDS!T$23*$AG470^3+WeightSDS!U$23*$AG470^2+WeightSDS!V$23*$AG470+WeightSDS!W$23,IF($AG470&lt;153,WeightSDS!M$25*$AG470^10+WeightSDS!N$25*$AG470^9+WeightSDS!O$25*$AG470^8+WeightSDS!P$25*$AG470^7+WeightSDS!Q$25*$AG470^6+WeightSDS!R$25*$AG470^5+WeightSDS!S$25*$AG470^4+WeightSDS!T$25*$AG470^3+WeightSDS!U$25*$AG470^2+WeightSDS!V$25*$AG470+WeightSDS!W$25,WeightSDS!M$27+WeightSDS!N$27/(1+EXP(WeightSDS!O$27+WeightSDS!P$27*$AG470)))),IF($AG470&lt;43.8,WeightSDS!M$29*$AG470^10+WeightSDS!N$29*$AG470^9+WeightSDS!O$29*$AG470^8+WeightSDS!P$29*$AG470^7+WeightSDS!Q$29*$AG470^6+WeightSDS!R$29*$AG470^5+WeightSDS!S$29*$AG470^4+WeightSDS!T$29*$AG470^3+WeightSDS!U$29*$AG470^2+WeightSDS!V$29*$AG470+WeightSDS!W$29-0.010431*(1-$AG470/210),IF($AG470&lt;123,WeightSDS!M$30*$AG470^10+WeightSDS!N$30*$AG470^9+WeightSDS!O$30*$AG470^8+WeightSDS!P$30*$AG470^7+WeightSDS!Q$30*$AG470^6+WeightSDS!R$30*$AG470^5+WeightSDS!S$30*$AG470^4+WeightSDS!T$30*$AG470^3+WeightSDS!U$30*$AG470^2+WeightSDS!V$30*$AG470+WeightSDS!W$30-0.010431*(1-1/$AG470),WeightSDS!M$32+WeightSDS!N$32/(1+EXP(WeightSDS!O$32+WeightSDS!P$32*$AG470))-0.010431*(1-$AG470/210))))</f>
        <v>2.9500001032655536</v>
      </c>
      <c r="AK470" s="24">
        <f>IF(D470="M",IF($AG470&lt;162,WeightSDS!P$12*$AG470^7+WeightSDS!Q$12*$AG470^6+WeightSDS!R$12*$AG470^5+WeightSDS!S$12*$AG470^4+WeightSDS!T$12*$AG470^3+WeightSDS!U$12*$AG470^2+WeightSDS!V$12*$AG470+WeightSDS!W$12,WeightSDS!P$14*$AG470^7+WeightSDS!Q$14*$AG470^6+WeightSDS!R$14*$AG470^5+WeightSDS!S$14*$AG470^4+WeightSDS!T$14*$AG470^3+WeightSDS!U$14*$AG470^2+WeightSDS!V$14*$AG470+WeightSDS!W$14),IF($AG470&lt;156,WeightSDS!O$17*$AG470^8+WeightSDS!P$17*$AG470^7+WeightSDS!Q$17*$AG470^6+WeightSDS!R$17*$AG470^5+WeightSDS!S$17*$AG470^4+WeightSDS!T$17*$AG470^3+WeightSDS!U$17*$AG470^2+WeightSDS!V$17*$AG470+WeightSDS!W$17,IF($AG470&lt;186,WeightSDS!$U$18+(WeightSDS!$V$18-WeightSDS!$U$18)/24*($AG470-186)+WeightSDS!$W$18*(-$AG470+186)^2-0.005,WeightSDS!$U$18+(WeightSDS!$V$18-WeightSDS!$U$18)/24*($AG470-186)-0.005)))</f>
        <v>0.14604529399999999</v>
      </c>
    </row>
    <row r="471" spans="1:37">
      <c r="A471" s="4"/>
      <c r="B471" s="21"/>
      <c r="C471" s="21"/>
      <c r="D471" s="21"/>
      <c r="E471" s="22"/>
      <c r="F471" s="22"/>
      <c r="G471" s="23"/>
      <c r="H471" s="23"/>
      <c r="I471" s="8" t="str">
        <f t="shared" si="114"/>
        <v/>
      </c>
      <c r="J471" s="2" t="str">
        <f t="shared" si="121"/>
        <v/>
      </c>
      <c r="K471" s="2" t="str">
        <f t="shared" si="115"/>
        <v/>
      </c>
      <c r="L471" s="2" t="str">
        <f t="shared" si="122"/>
        <v/>
      </c>
      <c r="M471" s="2" t="str">
        <f t="shared" si="127"/>
        <v/>
      </c>
      <c r="N471" s="2" t="str">
        <f t="shared" si="123"/>
        <v/>
      </c>
      <c r="O471" s="8" t="str">
        <f t="shared" si="124"/>
        <v/>
      </c>
      <c r="P471" s="8" t="str">
        <f t="shared" si="125"/>
        <v/>
      </c>
      <c r="Q471" s="40" t="str">
        <f t="shared" si="116"/>
        <v/>
      </c>
      <c r="R471" s="48" t="str">
        <f t="shared" si="126"/>
        <v/>
      </c>
      <c r="S471" s="8"/>
      <c r="U471" s="35">
        <f t="shared" si="117"/>
        <v>0</v>
      </c>
      <c r="V471" s="24">
        <f t="shared" si="118"/>
        <v>0</v>
      </c>
      <c r="W471" s="41">
        <f t="shared" si="113"/>
        <v>0</v>
      </c>
      <c r="X471" s="31"/>
      <c r="Y471" s="31"/>
      <c r="Z471" s="31"/>
      <c r="AA471" s="25">
        <f t="shared" si="119"/>
        <v>9.0359999999999996</v>
      </c>
      <c r="AB471" s="25">
        <f t="shared" si="120"/>
        <v>-184.49199999999999</v>
      </c>
      <c r="AD471" s="24">
        <f>IF(D471="M",IF(AG471&lt;78,BMILMS!$D$5*AG471^3+BMILMS!$E$5*AG471^2+BMILMS!$F$5*AG471+BMILMS!$G$5,IF(AG471&lt;150,BMILMS!$D$6*AG471^3+BMILMS!$E$6*AG471^2+BMILMS!$F$6*AG471+BMILMS!$G$6,BMILMS!$D$7*AG471^3+BMILMS!$E$7*AG471^2+BMILMS!$F$7*AG471+BMILMS!$G$7)),IF(AG471&lt;69,BMILMS!$D$9*AG471^3+BMILMS!$E$9*AG471^2+BMILMS!$F$9*AG471+BMILMS!$G$9,IF(AG471&lt;150,BMILMS!$D$10*AG471^3+BMILMS!$E$10*AG471^2+BMILMS!$F$10*AG471+BMILMS!$G$10,BMILMS!$D$11*AG471^3+BMILMS!$E$11*AG471^2+BMILMS!$F$11*AG471+BMILMS!$G$11)))</f>
        <v>0.79584630099999998</v>
      </c>
      <c r="AE471" s="24">
        <f>IF(D471="M",(IF(AG471&lt;2.5,BMILMS!$D$21*AG471^3+BMILMS!$E$21*AG471^2+BMILMS!$F$21*AG471+BMILMS!$G$21,IF(AG471&lt;9.5,BMILMS!$D$22*AG471^3+BMILMS!$E$22*AG471^2+BMILMS!$F$22*AG471+BMILMS!$G$22,IF(AG471&lt;26.75,BMILMS!$D$23*AG471^3+BMILMS!$E$23*AG471^2+BMILMS!$F$23*AG471+BMILMS!$G$23,IF(AG471&lt;90,BMILMS!$D$24*AG471^3+BMILMS!$E$24*AG471^2+BMILMS!$F$24*AG471+BMILMS!$G$24,BMILMS!$D$25*AG471^3+BMILMS!$E$25*AG471^2+BMILMS!$F$25*AG471+BMILMS!$G$25))))),(IF(AG471&lt;2.5,BMILMS!$D$27*AG471^3+BMILMS!$E$27*AG471^2+BMILMS!$F$27*AG471+BMILMS!$G$27,IF(AG471&lt;9.5,BMILMS!$D$28*AG471^3+BMILMS!$E$28*AG471^2+BMILMS!$F$28*AG471+BMILMS!$G$28,IF(AG471&lt;26.75,BMILMS!$D$29*AG471^3+BMILMS!$E$29*AG471^2+BMILMS!$F$29*AG471+BMILMS!$G$29,IF(AG471&lt;90,BMILMS!$D$30*AG471^3+BMILMS!$E$30*AG471^2+BMILMS!$F$30*AG471+BMILMS!$G$30,IF(AG471&lt;150,BMILMS!$D$31*AG471^3+BMILMS!$E$31*AG471^2+BMILMS!$F$31*AG471+BMILMS!$G$31,BMILMS!$D$32*AG471^3+BMILMS!$E$32*AG471^2+BMILMS!$F$32*AG471+BMILMS!$G$32)))))))</f>
        <v>12.568967990000001</v>
      </c>
      <c r="AF471" s="24">
        <f>IF(D471="M",(IF(AG471&lt;90,BMILMS!$D$14*AG471^3+BMILMS!$E$14*AG471^2+BMILMS!$F$14*AG471+BMILMS!$G$14,BMILMS!$D$15*AG471^3+BMILMS!$E$15*AG471^2+BMILMS!$F$15*AG471+BMILMS!$G$15)),(IF(AG471&lt;90,BMILMS!$D$17*AG471^3+BMILMS!$E$17*AG471^2+BMILMS!$F$17*AG471+BMILMS!$G$17,BMILMS!$D$18*AG471^3+BMILMS!$E$18*AG471^2+BMILMS!$F$18*AG471+BMILMS!$G$18)))</f>
        <v>8.8969350000000003E-2</v>
      </c>
      <c r="AG471" s="24">
        <f t="shared" si="128"/>
        <v>0</v>
      </c>
      <c r="AI471" s="38">
        <f>IF(D471="M",WeightSDS!P$5*$AG471^7+WeightSDS!Q$5*$AG471^6+WeightSDS!R$5*$AG471^5+WeightSDS!S$5*$AG471^4+WeightSDS!T$5*$AG471^3+WeightSDS!U$5*$AG471^2+WeightSDS!V$5*$AG471+WeightSDS!W$5,IF($AG471&lt;186,WeightSDS!P$8*$AG471^7+WeightSDS!Q$8*$AG471^6+WeightSDS!R$8*$AG471^5+WeightSDS!S$8*$AG471^4+WeightSDS!T$8*$AG471^3+WeightSDS!U$8*$AG471^2+WeightSDS!V$8*$AG471+WeightSDS!W$8,WeightSDS!$U$9-WeightSDS!$V$9*($AG471-WeightSDS!$W$9)))</f>
        <v>0.75407122999999998</v>
      </c>
      <c r="AJ471" s="24">
        <f>IF(D471="M",IF($AG471&lt;45,WeightSDS!M$23*$AG471^10+WeightSDS!N$23*$AG471^9+WeightSDS!O$23*$AG471^8+WeightSDS!P$23*$AG471^7+WeightSDS!Q$23*$AG471^6+WeightSDS!R$23*$AG471^5+WeightSDS!S$23*$AG471^4+WeightSDS!T$23*$AG471^3+WeightSDS!U$23*$AG471^2+WeightSDS!V$23*$AG471+WeightSDS!W$23,IF($AG471&lt;153,WeightSDS!M$25*$AG471^10+WeightSDS!N$25*$AG471^9+WeightSDS!O$25*$AG471^8+WeightSDS!P$25*$AG471^7+WeightSDS!Q$25*$AG471^6+WeightSDS!R$25*$AG471^5+WeightSDS!S$25*$AG471^4+WeightSDS!T$25*$AG471^3+WeightSDS!U$25*$AG471^2+WeightSDS!V$25*$AG471+WeightSDS!W$25,WeightSDS!M$27+WeightSDS!N$27/(1+EXP(WeightSDS!O$27+WeightSDS!P$27*$AG471)))),IF($AG471&lt;43.8,WeightSDS!M$29*$AG471^10+WeightSDS!N$29*$AG471^9+WeightSDS!O$29*$AG471^8+WeightSDS!P$29*$AG471^7+WeightSDS!Q$29*$AG471^6+WeightSDS!R$29*$AG471^5+WeightSDS!S$29*$AG471^4+WeightSDS!T$29*$AG471^3+WeightSDS!U$29*$AG471^2+WeightSDS!V$29*$AG471+WeightSDS!W$29-0.010431*(1-$AG471/210),IF($AG471&lt;123,WeightSDS!M$30*$AG471^10+WeightSDS!N$30*$AG471^9+WeightSDS!O$30*$AG471^8+WeightSDS!P$30*$AG471^7+WeightSDS!Q$30*$AG471^6+WeightSDS!R$30*$AG471^5+WeightSDS!S$30*$AG471^4+WeightSDS!T$30*$AG471^3+WeightSDS!U$30*$AG471^2+WeightSDS!V$30*$AG471+WeightSDS!W$30-0.010431*(1-1/$AG471),WeightSDS!M$32+WeightSDS!N$32/(1+EXP(WeightSDS!O$32+WeightSDS!P$32*$AG471))-0.010431*(1-$AG471/210))))</f>
        <v>2.9500001032655536</v>
      </c>
      <c r="AK471" s="24">
        <f>IF(D471="M",IF($AG471&lt;162,WeightSDS!P$12*$AG471^7+WeightSDS!Q$12*$AG471^6+WeightSDS!R$12*$AG471^5+WeightSDS!S$12*$AG471^4+WeightSDS!T$12*$AG471^3+WeightSDS!U$12*$AG471^2+WeightSDS!V$12*$AG471+WeightSDS!W$12,WeightSDS!P$14*$AG471^7+WeightSDS!Q$14*$AG471^6+WeightSDS!R$14*$AG471^5+WeightSDS!S$14*$AG471^4+WeightSDS!T$14*$AG471^3+WeightSDS!U$14*$AG471^2+WeightSDS!V$14*$AG471+WeightSDS!W$14),IF($AG471&lt;156,WeightSDS!O$17*$AG471^8+WeightSDS!P$17*$AG471^7+WeightSDS!Q$17*$AG471^6+WeightSDS!R$17*$AG471^5+WeightSDS!S$17*$AG471^4+WeightSDS!T$17*$AG471^3+WeightSDS!U$17*$AG471^2+WeightSDS!V$17*$AG471+WeightSDS!W$17,IF($AG471&lt;186,WeightSDS!$U$18+(WeightSDS!$V$18-WeightSDS!$U$18)/24*($AG471-186)+WeightSDS!$W$18*(-$AG471+186)^2-0.005,WeightSDS!$U$18+(WeightSDS!$V$18-WeightSDS!$U$18)/24*($AG471-186)-0.005)))</f>
        <v>0.14604529399999999</v>
      </c>
    </row>
    <row r="472" spans="1:37">
      <c r="A472" s="4"/>
      <c r="B472" s="21"/>
      <c r="C472" s="21"/>
      <c r="D472" s="21"/>
      <c r="E472" s="22"/>
      <c r="F472" s="22"/>
      <c r="G472" s="23"/>
      <c r="H472" s="23"/>
      <c r="I472" s="8" t="str">
        <f t="shared" si="114"/>
        <v/>
      </c>
      <c r="J472" s="2" t="str">
        <f t="shared" si="121"/>
        <v/>
      </c>
      <c r="K472" s="2" t="str">
        <f t="shared" si="115"/>
        <v/>
      </c>
      <c r="L472" s="2" t="str">
        <f t="shared" si="122"/>
        <v/>
      </c>
      <c r="M472" s="2" t="str">
        <f t="shared" si="127"/>
        <v/>
      </c>
      <c r="N472" s="2" t="str">
        <f t="shared" si="123"/>
        <v/>
      </c>
      <c r="O472" s="8" t="str">
        <f t="shared" si="124"/>
        <v/>
      </c>
      <c r="P472" s="8" t="str">
        <f t="shared" si="125"/>
        <v/>
      </c>
      <c r="Q472" s="40" t="str">
        <f t="shared" si="116"/>
        <v/>
      </c>
      <c r="R472" s="48" t="str">
        <f t="shared" si="126"/>
        <v/>
      </c>
      <c r="S472" s="8"/>
      <c r="U472" s="35">
        <f t="shared" si="117"/>
        <v>0</v>
      </c>
      <c r="V472" s="24">
        <f t="shared" si="118"/>
        <v>0</v>
      </c>
      <c r="W472" s="41">
        <f t="shared" si="113"/>
        <v>0</v>
      </c>
      <c r="X472" s="31"/>
      <c r="Y472" s="31"/>
      <c r="Z472" s="31"/>
      <c r="AA472" s="25">
        <f t="shared" si="119"/>
        <v>9.0359999999999996</v>
      </c>
      <c r="AB472" s="25">
        <f t="shared" si="120"/>
        <v>-184.49199999999999</v>
      </c>
      <c r="AD472" s="24">
        <f>IF(D472="M",IF(AG472&lt;78,BMILMS!$D$5*AG472^3+BMILMS!$E$5*AG472^2+BMILMS!$F$5*AG472+BMILMS!$G$5,IF(AG472&lt;150,BMILMS!$D$6*AG472^3+BMILMS!$E$6*AG472^2+BMILMS!$F$6*AG472+BMILMS!$G$6,BMILMS!$D$7*AG472^3+BMILMS!$E$7*AG472^2+BMILMS!$F$7*AG472+BMILMS!$G$7)),IF(AG472&lt;69,BMILMS!$D$9*AG472^3+BMILMS!$E$9*AG472^2+BMILMS!$F$9*AG472+BMILMS!$G$9,IF(AG472&lt;150,BMILMS!$D$10*AG472^3+BMILMS!$E$10*AG472^2+BMILMS!$F$10*AG472+BMILMS!$G$10,BMILMS!$D$11*AG472^3+BMILMS!$E$11*AG472^2+BMILMS!$F$11*AG472+BMILMS!$G$11)))</f>
        <v>0.79584630099999998</v>
      </c>
      <c r="AE472" s="24">
        <f>IF(D472="M",(IF(AG472&lt;2.5,BMILMS!$D$21*AG472^3+BMILMS!$E$21*AG472^2+BMILMS!$F$21*AG472+BMILMS!$G$21,IF(AG472&lt;9.5,BMILMS!$D$22*AG472^3+BMILMS!$E$22*AG472^2+BMILMS!$F$22*AG472+BMILMS!$G$22,IF(AG472&lt;26.75,BMILMS!$D$23*AG472^3+BMILMS!$E$23*AG472^2+BMILMS!$F$23*AG472+BMILMS!$G$23,IF(AG472&lt;90,BMILMS!$D$24*AG472^3+BMILMS!$E$24*AG472^2+BMILMS!$F$24*AG472+BMILMS!$G$24,BMILMS!$D$25*AG472^3+BMILMS!$E$25*AG472^2+BMILMS!$F$25*AG472+BMILMS!$G$25))))),(IF(AG472&lt;2.5,BMILMS!$D$27*AG472^3+BMILMS!$E$27*AG472^2+BMILMS!$F$27*AG472+BMILMS!$G$27,IF(AG472&lt;9.5,BMILMS!$D$28*AG472^3+BMILMS!$E$28*AG472^2+BMILMS!$F$28*AG472+BMILMS!$G$28,IF(AG472&lt;26.75,BMILMS!$D$29*AG472^3+BMILMS!$E$29*AG472^2+BMILMS!$F$29*AG472+BMILMS!$G$29,IF(AG472&lt;90,BMILMS!$D$30*AG472^3+BMILMS!$E$30*AG472^2+BMILMS!$F$30*AG472+BMILMS!$G$30,IF(AG472&lt;150,BMILMS!$D$31*AG472^3+BMILMS!$E$31*AG472^2+BMILMS!$F$31*AG472+BMILMS!$G$31,BMILMS!$D$32*AG472^3+BMILMS!$E$32*AG472^2+BMILMS!$F$32*AG472+BMILMS!$G$32)))))))</f>
        <v>12.568967990000001</v>
      </c>
      <c r="AF472" s="24">
        <f>IF(D472="M",(IF(AG472&lt;90,BMILMS!$D$14*AG472^3+BMILMS!$E$14*AG472^2+BMILMS!$F$14*AG472+BMILMS!$G$14,BMILMS!$D$15*AG472^3+BMILMS!$E$15*AG472^2+BMILMS!$F$15*AG472+BMILMS!$G$15)),(IF(AG472&lt;90,BMILMS!$D$17*AG472^3+BMILMS!$E$17*AG472^2+BMILMS!$F$17*AG472+BMILMS!$G$17,BMILMS!$D$18*AG472^3+BMILMS!$E$18*AG472^2+BMILMS!$F$18*AG472+BMILMS!$G$18)))</f>
        <v>8.8969350000000003E-2</v>
      </c>
      <c r="AG472" s="24">
        <f t="shared" si="128"/>
        <v>0</v>
      </c>
      <c r="AI472" s="38">
        <f>IF(D472="M",WeightSDS!P$5*$AG472^7+WeightSDS!Q$5*$AG472^6+WeightSDS!R$5*$AG472^5+WeightSDS!S$5*$AG472^4+WeightSDS!T$5*$AG472^3+WeightSDS!U$5*$AG472^2+WeightSDS!V$5*$AG472+WeightSDS!W$5,IF($AG472&lt;186,WeightSDS!P$8*$AG472^7+WeightSDS!Q$8*$AG472^6+WeightSDS!R$8*$AG472^5+WeightSDS!S$8*$AG472^4+WeightSDS!T$8*$AG472^3+WeightSDS!U$8*$AG472^2+WeightSDS!V$8*$AG472+WeightSDS!W$8,WeightSDS!$U$9-WeightSDS!$V$9*($AG472-WeightSDS!$W$9)))</f>
        <v>0.75407122999999998</v>
      </c>
      <c r="AJ472" s="24">
        <f>IF(D472="M",IF($AG472&lt;45,WeightSDS!M$23*$AG472^10+WeightSDS!N$23*$AG472^9+WeightSDS!O$23*$AG472^8+WeightSDS!P$23*$AG472^7+WeightSDS!Q$23*$AG472^6+WeightSDS!R$23*$AG472^5+WeightSDS!S$23*$AG472^4+WeightSDS!T$23*$AG472^3+WeightSDS!U$23*$AG472^2+WeightSDS!V$23*$AG472+WeightSDS!W$23,IF($AG472&lt;153,WeightSDS!M$25*$AG472^10+WeightSDS!N$25*$AG472^9+WeightSDS!O$25*$AG472^8+WeightSDS!P$25*$AG472^7+WeightSDS!Q$25*$AG472^6+WeightSDS!R$25*$AG472^5+WeightSDS!S$25*$AG472^4+WeightSDS!T$25*$AG472^3+WeightSDS!U$25*$AG472^2+WeightSDS!V$25*$AG472+WeightSDS!W$25,WeightSDS!M$27+WeightSDS!N$27/(1+EXP(WeightSDS!O$27+WeightSDS!P$27*$AG472)))),IF($AG472&lt;43.8,WeightSDS!M$29*$AG472^10+WeightSDS!N$29*$AG472^9+WeightSDS!O$29*$AG472^8+WeightSDS!P$29*$AG472^7+WeightSDS!Q$29*$AG472^6+WeightSDS!R$29*$AG472^5+WeightSDS!S$29*$AG472^4+WeightSDS!T$29*$AG472^3+WeightSDS!U$29*$AG472^2+WeightSDS!V$29*$AG472+WeightSDS!W$29-0.010431*(1-$AG472/210),IF($AG472&lt;123,WeightSDS!M$30*$AG472^10+WeightSDS!N$30*$AG472^9+WeightSDS!O$30*$AG472^8+WeightSDS!P$30*$AG472^7+WeightSDS!Q$30*$AG472^6+WeightSDS!R$30*$AG472^5+WeightSDS!S$30*$AG472^4+WeightSDS!T$30*$AG472^3+WeightSDS!U$30*$AG472^2+WeightSDS!V$30*$AG472+WeightSDS!W$30-0.010431*(1-1/$AG472),WeightSDS!M$32+WeightSDS!N$32/(1+EXP(WeightSDS!O$32+WeightSDS!P$32*$AG472))-0.010431*(1-$AG472/210))))</f>
        <v>2.9500001032655536</v>
      </c>
      <c r="AK472" s="24">
        <f>IF(D472="M",IF($AG472&lt;162,WeightSDS!P$12*$AG472^7+WeightSDS!Q$12*$AG472^6+WeightSDS!R$12*$AG472^5+WeightSDS!S$12*$AG472^4+WeightSDS!T$12*$AG472^3+WeightSDS!U$12*$AG472^2+WeightSDS!V$12*$AG472+WeightSDS!W$12,WeightSDS!P$14*$AG472^7+WeightSDS!Q$14*$AG472^6+WeightSDS!R$14*$AG472^5+WeightSDS!S$14*$AG472^4+WeightSDS!T$14*$AG472^3+WeightSDS!U$14*$AG472^2+WeightSDS!V$14*$AG472+WeightSDS!W$14),IF($AG472&lt;156,WeightSDS!O$17*$AG472^8+WeightSDS!P$17*$AG472^7+WeightSDS!Q$17*$AG472^6+WeightSDS!R$17*$AG472^5+WeightSDS!S$17*$AG472^4+WeightSDS!T$17*$AG472^3+WeightSDS!U$17*$AG472^2+WeightSDS!V$17*$AG472+WeightSDS!W$17,IF($AG472&lt;186,WeightSDS!$U$18+(WeightSDS!$V$18-WeightSDS!$U$18)/24*($AG472-186)+WeightSDS!$W$18*(-$AG472+186)^2-0.005,WeightSDS!$U$18+(WeightSDS!$V$18-WeightSDS!$U$18)/24*($AG472-186)-0.005)))</f>
        <v>0.14604529399999999</v>
      </c>
    </row>
    <row r="473" spans="1:37">
      <c r="A473" s="4"/>
      <c r="B473" s="21"/>
      <c r="C473" s="21"/>
      <c r="D473" s="21"/>
      <c r="E473" s="22"/>
      <c r="F473" s="22"/>
      <c r="G473" s="23"/>
      <c r="H473" s="23"/>
      <c r="I473" s="8" t="str">
        <f t="shared" si="114"/>
        <v/>
      </c>
      <c r="J473" s="2" t="str">
        <f t="shared" si="121"/>
        <v/>
      </c>
      <c r="K473" s="2" t="str">
        <f t="shared" si="115"/>
        <v/>
      </c>
      <c r="L473" s="2" t="str">
        <f t="shared" si="122"/>
        <v/>
      </c>
      <c r="M473" s="2" t="str">
        <f t="shared" si="127"/>
        <v/>
      </c>
      <c r="N473" s="2" t="str">
        <f t="shared" si="123"/>
        <v/>
      </c>
      <c r="O473" s="8" t="str">
        <f t="shared" si="124"/>
        <v/>
      </c>
      <c r="P473" s="8" t="str">
        <f t="shared" si="125"/>
        <v/>
      </c>
      <c r="Q473" s="40" t="str">
        <f t="shared" si="116"/>
        <v/>
      </c>
      <c r="R473" s="48" t="str">
        <f t="shared" si="126"/>
        <v/>
      </c>
      <c r="S473" s="8"/>
      <c r="U473" s="35">
        <f t="shared" si="117"/>
        <v>0</v>
      </c>
      <c r="V473" s="24">
        <f t="shared" si="118"/>
        <v>0</v>
      </c>
      <c r="W473" s="41">
        <f t="shared" si="113"/>
        <v>0</v>
      </c>
      <c r="X473" s="31"/>
      <c r="Y473" s="31"/>
      <c r="Z473" s="31"/>
      <c r="AA473" s="25">
        <f t="shared" si="119"/>
        <v>9.0359999999999996</v>
      </c>
      <c r="AB473" s="25">
        <f t="shared" si="120"/>
        <v>-184.49199999999999</v>
      </c>
      <c r="AD473" s="24">
        <f>IF(D473="M",IF(AG473&lt;78,BMILMS!$D$5*AG473^3+BMILMS!$E$5*AG473^2+BMILMS!$F$5*AG473+BMILMS!$G$5,IF(AG473&lt;150,BMILMS!$D$6*AG473^3+BMILMS!$E$6*AG473^2+BMILMS!$F$6*AG473+BMILMS!$G$6,BMILMS!$D$7*AG473^3+BMILMS!$E$7*AG473^2+BMILMS!$F$7*AG473+BMILMS!$G$7)),IF(AG473&lt;69,BMILMS!$D$9*AG473^3+BMILMS!$E$9*AG473^2+BMILMS!$F$9*AG473+BMILMS!$G$9,IF(AG473&lt;150,BMILMS!$D$10*AG473^3+BMILMS!$E$10*AG473^2+BMILMS!$F$10*AG473+BMILMS!$G$10,BMILMS!$D$11*AG473^3+BMILMS!$E$11*AG473^2+BMILMS!$F$11*AG473+BMILMS!$G$11)))</f>
        <v>0.79584630099999998</v>
      </c>
      <c r="AE473" s="24">
        <f>IF(D473="M",(IF(AG473&lt;2.5,BMILMS!$D$21*AG473^3+BMILMS!$E$21*AG473^2+BMILMS!$F$21*AG473+BMILMS!$G$21,IF(AG473&lt;9.5,BMILMS!$D$22*AG473^3+BMILMS!$E$22*AG473^2+BMILMS!$F$22*AG473+BMILMS!$G$22,IF(AG473&lt;26.75,BMILMS!$D$23*AG473^3+BMILMS!$E$23*AG473^2+BMILMS!$F$23*AG473+BMILMS!$G$23,IF(AG473&lt;90,BMILMS!$D$24*AG473^3+BMILMS!$E$24*AG473^2+BMILMS!$F$24*AG473+BMILMS!$G$24,BMILMS!$D$25*AG473^3+BMILMS!$E$25*AG473^2+BMILMS!$F$25*AG473+BMILMS!$G$25))))),(IF(AG473&lt;2.5,BMILMS!$D$27*AG473^3+BMILMS!$E$27*AG473^2+BMILMS!$F$27*AG473+BMILMS!$G$27,IF(AG473&lt;9.5,BMILMS!$D$28*AG473^3+BMILMS!$E$28*AG473^2+BMILMS!$F$28*AG473+BMILMS!$G$28,IF(AG473&lt;26.75,BMILMS!$D$29*AG473^3+BMILMS!$E$29*AG473^2+BMILMS!$F$29*AG473+BMILMS!$G$29,IF(AG473&lt;90,BMILMS!$D$30*AG473^3+BMILMS!$E$30*AG473^2+BMILMS!$F$30*AG473+BMILMS!$G$30,IF(AG473&lt;150,BMILMS!$D$31*AG473^3+BMILMS!$E$31*AG473^2+BMILMS!$F$31*AG473+BMILMS!$G$31,BMILMS!$D$32*AG473^3+BMILMS!$E$32*AG473^2+BMILMS!$F$32*AG473+BMILMS!$G$32)))))))</f>
        <v>12.568967990000001</v>
      </c>
      <c r="AF473" s="24">
        <f>IF(D473="M",(IF(AG473&lt;90,BMILMS!$D$14*AG473^3+BMILMS!$E$14*AG473^2+BMILMS!$F$14*AG473+BMILMS!$G$14,BMILMS!$D$15*AG473^3+BMILMS!$E$15*AG473^2+BMILMS!$F$15*AG473+BMILMS!$G$15)),(IF(AG473&lt;90,BMILMS!$D$17*AG473^3+BMILMS!$E$17*AG473^2+BMILMS!$F$17*AG473+BMILMS!$G$17,BMILMS!$D$18*AG473^3+BMILMS!$E$18*AG473^2+BMILMS!$F$18*AG473+BMILMS!$G$18)))</f>
        <v>8.8969350000000003E-2</v>
      </c>
      <c r="AG473" s="24">
        <f t="shared" si="128"/>
        <v>0</v>
      </c>
      <c r="AI473" s="38">
        <f>IF(D473="M",WeightSDS!P$5*$AG473^7+WeightSDS!Q$5*$AG473^6+WeightSDS!R$5*$AG473^5+WeightSDS!S$5*$AG473^4+WeightSDS!T$5*$AG473^3+WeightSDS!U$5*$AG473^2+WeightSDS!V$5*$AG473+WeightSDS!W$5,IF($AG473&lt;186,WeightSDS!P$8*$AG473^7+WeightSDS!Q$8*$AG473^6+WeightSDS!R$8*$AG473^5+WeightSDS!S$8*$AG473^4+WeightSDS!T$8*$AG473^3+WeightSDS!U$8*$AG473^2+WeightSDS!V$8*$AG473+WeightSDS!W$8,WeightSDS!$U$9-WeightSDS!$V$9*($AG473-WeightSDS!$W$9)))</f>
        <v>0.75407122999999998</v>
      </c>
      <c r="AJ473" s="24">
        <f>IF(D473="M",IF($AG473&lt;45,WeightSDS!M$23*$AG473^10+WeightSDS!N$23*$AG473^9+WeightSDS!O$23*$AG473^8+WeightSDS!P$23*$AG473^7+WeightSDS!Q$23*$AG473^6+WeightSDS!R$23*$AG473^5+WeightSDS!S$23*$AG473^4+WeightSDS!T$23*$AG473^3+WeightSDS!U$23*$AG473^2+WeightSDS!V$23*$AG473+WeightSDS!W$23,IF($AG473&lt;153,WeightSDS!M$25*$AG473^10+WeightSDS!N$25*$AG473^9+WeightSDS!O$25*$AG473^8+WeightSDS!P$25*$AG473^7+WeightSDS!Q$25*$AG473^6+WeightSDS!R$25*$AG473^5+WeightSDS!S$25*$AG473^4+WeightSDS!T$25*$AG473^3+WeightSDS!U$25*$AG473^2+WeightSDS!V$25*$AG473+WeightSDS!W$25,WeightSDS!M$27+WeightSDS!N$27/(1+EXP(WeightSDS!O$27+WeightSDS!P$27*$AG473)))),IF($AG473&lt;43.8,WeightSDS!M$29*$AG473^10+WeightSDS!N$29*$AG473^9+WeightSDS!O$29*$AG473^8+WeightSDS!P$29*$AG473^7+WeightSDS!Q$29*$AG473^6+WeightSDS!R$29*$AG473^5+WeightSDS!S$29*$AG473^4+WeightSDS!T$29*$AG473^3+WeightSDS!U$29*$AG473^2+WeightSDS!V$29*$AG473+WeightSDS!W$29-0.010431*(1-$AG473/210),IF($AG473&lt;123,WeightSDS!M$30*$AG473^10+WeightSDS!N$30*$AG473^9+WeightSDS!O$30*$AG473^8+WeightSDS!P$30*$AG473^7+WeightSDS!Q$30*$AG473^6+WeightSDS!R$30*$AG473^5+WeightSDS!S$30*$AG473^4+WeightSDS!T$30*$AG473^3+WeightSDS!U$30*$AG473^2+WeightSDS!V$30*$AG473+WeightSDS!W$30-0.010431*(1-1/$AG473),WeightSDS!M$32+WeightSDS!N$32/(1+EXP(WeightSDS!O$32+WeightSDS!P$32*$AG473))-0.010431*(1-$AG473/210))))</f>
        <v>2.9500001032655536</v>
      </c>
      <c r="AK473" s="24">
        <f>IF(D473="M",IF($AG473&lt;162,WeightSDS!P$12*$AG473^7+WeightSDS!Q$12*$AG473^6+WeightSDS!R$12*$AG473^5+WeightSDS!S$12*$AG473^4+WeightSDS!T$12*$AG473^3+WeightSDS!U$12*$AG473^2+WeightSDS!V$12*$AG473+WeightSDS!W$12,WeightSDS!P$14*$AG473^7+WeightSDS!Q$14*$AG473^6+WeightSDS!R$14*$AG473^5+WeightSDS!S$14*$AG473^4+WeightSDS!T$14*$AG473^3+WeightSDS!U$14*$AG473^2+WeightSDS!V$14*$AG473+WeightSDS!W$14),IF($AG473&lt;156,WeightSDS!O$17*$AG473^8+WeightSDS!P$17*$AG473^7+WeightSDS!Q$17*$AG473^6+WeightSDS!R$17*$AG473^5+WeightSDS!S$17*$AG473^4+WeightSDS!T$17*$AG473^3+WeightSDS!U$17*$AG473^2+WeightSDS!V$17*$AG473+WeightSDS!W$17,IF($AG473&lt;186,WeightSDS!$U$18+(WeightSDS!$V$18-WeightSDS!$U$18)/24*($AG473-186)+WeightSDS!$W$18*(-$AG473+186)^2-0.005,WeightSDS!$U$18+(WeightSDS!$V$18-WeightSDS!$U$18)/24*($AG473-186)-0.005)))</f>
        <v>0.14604529399999999</v>
      </c>
    </row>
    <row r="474" spans="1:37">
      <c r="A474" s="4"/>
      <c r="B474" s="21"/>
      <c r="C474" s="21"/>
      <c r="D474" s="21"/>
      <c r="E474" s="22"/>
      <c r="F474" s="22"/>
      <c r="G474" s="23"/>
      <c r="H474" s="23"/>
      <c r="I474" s="8" t="str">
        <f t="shared" si="114"/>
        <v/>
      </c>
      <c r="J474" s="2" t="str">
        <f t="shared" si="121"/>
        <v/>
      </c>
      <c r="K474" s="2" t="str">
        <f t="shared" si="115"/>
        <v/>
      </c>
      <c r="L474" s="2" t="str">
        <f t="shared" si="122"/>
        <v/>
      </c>
      <c r="M474" s="2" t="str">
        <f t="shared" si="127"/>
        <v/>
      </c>
      <c r="N474" s="2" t="str">
        <f t="shared" si="123"/>
        <v/>
      </c>
      <c r="O474" s="8" t="str">
        <f t="shared" si="124"/>
        <v/>
      </c>
      <c r="P474" s="8" t="str">
        <f t="shared" si="125"/>
        <v/>
      </c>
      <c r="Q474" s="40" t="str">
        <f t="shared" si="116"/>
        <v/>
      </c>
      <c r="R474" s="48" t="str">
        <f t="shared" si="126"/>
        <v/>
      </c>
      <c r="S474" s="8"/>
      <c r="U474" s="35">
        <f t="shared" si="117"/>
        <v>0</v>
      </c>
      <c r="V474" s="24">
        <f t="shared" si="118"/>
        <v>0</v>
      </c>
      <c r="W474" s="41">
        <f t="shared" si="113"/>
        <v>0</v>
      </c>
      <c r="X474" s="31"/>
      <c r="Y474" s="31"/>
      <c r="Z474" s="31"/>
      <c r="AA474" s="25">
        <f t="shared" si="119"/>
        <v>9.0359999999999996</v>
      </c>
      <c r="AB474" s="25">
        <f t="shared" si="120"/>
        <v>-184.49199999999999</v>
      </c>
      <c r="AD474" s="24">
        <f>IF(D474="M",IF(AG474&lt;78,BMILMS!$D$5*AG474^3+BMILMS!$E$5*AG474^2+BMILMS!$F$5*AG474+BMILMS!$G$5,IF(AG474&lt;150,BMILMS!$D$6*AG474^3+BMILMS!$E$6*AG474^2+BMILMS!$F$6*AG474+BMILMS!$G$6,BMILMS!$D$7*AG474^3+BMILMS!$E$7*AG474^2+BMILMS!$F$7*AG474+BMILMS!$G$7)),IF(AG474&lt;69,BMILMS!$D$9*AG474^3+BMILMS!$E$9*AG474^2+BMILMS!$F$9*AG474+BMILMS!$G$9,IF(AG474&lt;150,BMILMS!$D$10*AG474^3+BMILMS!$E$10*AG474^2+BMILMS!$F$10*AG474+BMILMS!$G$10,BMILMS!$D$11*AG474^3+BMILMS!$E$11*AG474^2+BMILMS!$F$11*AG474+BMILMS!$G$11)))</f>
        <v>0.79584630099999998</v>
      </c>
      <c r="AE474" s="24">
        <f>IF(D474="M",(IF(AG474&lt;2.5,BMILMS!$D$21*AG474^3+BMILMS!$E$21*AG474^2+BMILMS!$F$21*AG474+BMILMS!$G$21,IF(AG474&lt;9.5,BMILMS!$D$22*AG474^3+BMILMS!$E$22*AG474^2+BMILMS!$F$22*AG474+BMILMS!$G$22,IF(AG474&lt;26.75,BMILMS!$D$23*AG474^3+BMILMS!$E$23*AG474^2+BMILMS!$F$23*AG474+BMILMS!$G$23,IF(AG474&lt;90,BMILMS!$D$24*AG474^3+BMILMS!$E$24*AG474^2+BMILMS!$F$24*AG474+BMILMS!$G$24,BMILMS!$D$25*AG474^3+BMILMS!$E$25*AG474^2+BMILMS!$F$25*AG474+BMILMS!$G$25))))),(IF(AG474&lt;2.5,BMILMS!$D$27*AG474^3+BMILMS!$E$27*AG474^2+BMILMS!$F$27*AG474+BMILMS!$G$27,IF(AG474&lt;9.5,BMILMS!$D$28*AG474^3+BMILMS!$E$28*AG474^2+BMILMS!$F$28*AG474+BMILMS!$G$28,IF(AG474&lt;26.75,BMILMS!$D$29*AG474^3+BMILMS!$E$29*AG474^2+BMILMS!$F$29*AG474+BMILMS!$G$29,IF(AG474&lt;90,BMILMS!$D$30*AG474^3+BMILMS!$E$30*AG474^2+BMILMS!$F$30*AG474+BMILMS!$G$30,IF(AG474&lt;150,BMILMS!$D$31*AG474^3+BMILMS!$E$31*AG474^2+BMILMS!$F$31*AG474+BMILMS!$G$31,BMILMS!$D$32*AG474^3+BMILMS!$E$32*AG474^2+BMILMS!$F$32*AG474+BMILMS!$G$32)))))))</f>
        <v>12.568967990000001</v>
      </c>
      <c r="AF474" s="24">
        <f>IF(D474="M",(IF(AG474&lt;90,BMILMS!$D$14*AG474^3+BMILMS!$E$14*AG474^2+BMILMS!$F$14*AG474+BMILMS!$G$14,BMILMS!$D$15*AG474^3+BMILMS!$E$15*AG474^2+BMILMS!$F$15*AG474+BMILMS!$G$15)),(IF(AG474&lt;90,BMILMS!$D$17*AG474^3+BMILMS!$E$17*AG474^2+BMILMS!$F$17*AG474+BMILMS!$G$17,BMILMS!$D$18*AG474^3+BMILMS!$E$18*AG474^2+BMILMS!$F$18*AG474+BMILMS!$G$18)))</f>
        <v>8.8969350000000003E-2</v>
      </c>
      <c r="AG474" s="24">
        <f t="shared" si="128"/>
        <v>0</v>
      </c>
      <c r="AI474" s="38">
        <f>IF(D474="M",WeightSDS!P$5*$AG474^7+WeightSDS!Q$5*$AG474^6+WeightSDS!R$5*$AG474^5+WeightSDS!S$5*$AG474^4+WeightSDS!T$5*$AG474^3+WeightSDS!U$5*$AG474^2+WeightSDS!V$5*$AG474+WeightSDS!W$5,IF($AG474&lt;186,WeightSDS!P$8*$AG474^7+WeightSDS!Q$8*$AG474^6+WeightSDS!R$8*$AG474^5+WeightSDS!S$8*$AG474^4+WeightSDS!T$8*$AG474^3+WeightSDS!U$8*$AG474^2+WeightSDS!V$8*$AG474+WeightSDS!W$8,WeightSDS!$U$9-WeightSDS!$V$9*($AG474-WeightSDS!$W$9)))</f>
        <v>0.75407122999999998</v>
      </c>
      <c r="AJ474" s="24">
        <f>IF(D474="M",IF($AG474&lt;45,WeightSDS!M$23*$AG474^10+WeightSDS!N$23*$AG474^9+WeightSDS!O$23*$AG474^8+WeightSDS!P$23*$AG474^7+WeightSDS!Q$23*$AG474^6+WeightSDS!R$23*$AG474^5+WeightSDS!S$23*$AG474^4+WeightSDS!T$23*$AG474^3+WeightSDS!U$23*$AG474^2+WeightSDS!V$23*$AG474+WeightSDS!W$23,IF($AG474&lt;153,WeightSDS!M$25*$AG474^10+WeightSDS!N$25*$AG474^9+WeightSDS!O$25*$AG474^8+WeightSDS!P$25*$AG474^7+WeightSDS!Q$25*$AG474^6+WeightSDS!R$25*$AG474^5+WeightSDS!S$25*$AG474^4+WeightSDS!T$25*$AG474^3+WeightSDS!U$25*$AG474^2+WeightSDS!V$25*$AG474+WeightSDS!W$25,WeightSDS!M$27+WeightSDS!N$27/(1+EXP(WeightSDS!O$27+WeightSDS!P$27*$AG474)))),IF($AG474&lt;43.8,WeightSDS!M$29*$AG474^10+WeightSDS!N$29*$AG474^9+WeightSDS!O$29*$AG474^8+WeightSDS!P$29*$AG474^7+WeightSDS!Q$29*$AG474^6+WeightSDS!R$29*$AG474^5+WeightSDS!S$29*$AG474^4+WeightSDS!T$29*$AG474^3+WeightSDS!U$29*$AG474^2+WeightSDS!V$29*$AG474+WeightSDS!W$29-0.010431*(1-$AG474/210),IF($AG474&lt;123,WeightSDS!M$30*$AG474^10+WeightSDS!N$30*$AG474^9+WeightSDS!O$30*$AG474^8+WeightSDS!P$30*$AG474^7+WeightSDS!Q$30*$AG474^6+WeightSDS!R$30*$AG474^5+WeightSDS!S$30*$AG474^4+WeightSDS!T$30*$AG474^3+WeightSDS!U$30*$AG474^2+WeightSDS!V$30*$AG474+WeightSDS!W$30-0.010431*(1-1/$AG474),WeightSDS!M$32+WeightSDS!N$32/(1+EXP(WeightSDS!O$32+WeightSDS!P$32*$AG474))-0.010431*(1-$AG474/210))))</f>
        <v>2.9500001032655536</v>
      </c>
      <c r="AK474" s="24">
        <f>IF(D474="M",IF($AG474&lt;162,WeightSDS!P$12*$AG474^7+WeightSDS!Q$12*$AG474^6+WeightSDS!R$12*$AG474^5+WeightSDS!S$12*$AG474^4+WeightSDS!T$12*$AG474^3+WeightSDS!U$12*$AG474^2+WeightSDS!V$12*$AG474+WeightSDS!W$12,WeightSDS!P$14*$AG474^7+WeightSDS!Q$14*$AG474^6+WeightSDS!R$14*$AG474^5+WeightSDS!S$14*$AG474^4+WeightSDS!T$14*$AG474^3+WeightSDS!U$14*$AG474^2+WeightSDS!V$14*$AG474+WeightSDS!W$14),IF($AG474&lt;156,WeightSDS!O$17*$AG474^8+WeightSDS!P$17*$AG474^7+WeightSDS!Q$17*$AG474^6+WeightSDS!R$17*$AG474^5+WeightSDS!S$17*$AG474^4+WeightSDS!T$17*$AG474^3+WeightSDS!U$17*$AG474^2+WeightSDS!V$17*$AG474+WeightSDS!W$17,IF($AG474&lt;186,WeightSDS!$U$18+(WeightSDS!$V$18-WeightSDS!$U$18)/24*($AG474-186)+WeightSDS!$W$18*(-$AG474+186)^2-0.005,WeightSDS!$U$18+(WeightSDS!$V$18-WeightSDS!$U$18)/24*($AG474-186)-0.005)))</f>
        <v>0.14604529399999999</v>
      </c>
    </row>
    <row r="475" spans="1:37">
      <c r="A475" s="4"/>
      <c r="B475" s="21"/>
      <c r="C475" s="21"/>
      <c r="D475" s="21"/>
      <c r="E475" s="22"/>
      <c r="F475" s="22"/>
      <c r="G475" s="23"/>
      <c r="H475" s="23"/>
      <c r="I475" s="8" t="str">
        <f t="shared" si="114"/>
        <v/>
      </c>
      <c r="J475" s="2" t="str">
        <f t="shared" si="121"/>
        <v/>
      </c>
      <c r="K475" s="2" t="str">
        <f t="shared" si="115"/>
        <v/>
      </c>
      <c r="L475" s="2" t="str">
        <f t="shared" si="122"/>
        <v/>
      </c>
      <c r="M475" s="2" t="str">
        <f t="shared" si="127"/>
        <v/>
      </c>
      <c r="N475" s="2" t="str">
        <f t="shared" si="123"/>
        <v/>
      </c>
      <c r="O475" s="8" t="str">
        <f t="shared" si="124"/>
        <v/>
      </c>
      <c r="P475" s="8" t="str">
        <f t="shared" si="125"/>
        <v/>
      </c>
      <c r="Q475" s="40" t="str">
        <f t="shared" si="116"/>
        <v/>
      </c>
      <c r="R475" s="48" t="str">
        <f t="shared" si="126"/>
        <v/>
      </c>
      <c r="S475" s="8"/>
      <c r="U475" s="35">
        <f t="shared" si="117"/>
        <v>0</v>
      </c>
      <c r="V475" s="24">
        <f t="shared" si="118"/>
        <v>0</v>
      </c>
      <c r="W475" s="41">
        <f t="shared" si="113"/>
        <v>0</v>
      </c>
      <c r="X475" s="31"/>
      <c r="Y475" s="31"/>
      <c r="Z475" s="31"/>
      <c r="AA475" s="25">
        <f t="shared" si="119"/>
        <v>9.0359999999999996</v>
      </c>
      <c r="AB475" s="25">
        <f t="shared" si="120"/>
        <v>-184.49199999999999</v>
      </c>
      <c r="AD475" s="24">
        <f>IF(D475="M",IF(AG475&lt;78,BMILMS!$D$5*AG475^3+BMILMS!$E$5*AG475^2+BMILMS!$F$5*AG475+BMILMS!$G$5,IF(AG475&lt;150,BMILMS!$D$6*AG475^3+BMILMS!$E$6*AG475^2+BMILMS!$F$6*AG475+BMILMS!$G$6,BMILMS!$D$7*AG475^3+BMILMS!$E$7*AG475^2+BMILMS!$F$7*AG475+BMILMS!$G$7)),IF(AG475&lt;69,BMILMS!$D$9*AG475^3+BMILMS!$E$9*AG475^2+BMILMS!$F$9*AG475+BMILMS!$G$9,IF(AG475&lt;150,BMILMS!$D$10*AG475^3+BMILMS!$E$10*AG475^2+BMILMS!$F$10*AG475+BMILMS!$G$10,BMILMS!$D$11*AG475^3+BMILMS!$E$11*AG475^2+BMILMS!$F$11*AG475+BMILMS!$G$11)))</f>
        <v>0.79584630099999998</v>
      </c>
      <c r="AE475" s="24">
        <f>IF(D475="M",(IF(AG475&lt;2.5,BMILMS!$D$21*AG475^3+BMILMS!$E$21*AG475^2+BMILMS!$F$21*AG475+BMILMS!$G$21,IF(AG475&lt;9.5,BMILMS!$D$22*AG475^3+BMILMS!$E$22*AG475^2+BMILMS!$F$22*AG475+BMILMS!$G$22,IF(AG475&lt;26.75,BMILMS!$D$23*AG475^3+BMILMS!$E$23*AG475^2+BMILMS!$F$23*AG475+BMILMS!$G$23,IF(AG475&lt;90,BMILMS!$D$24*AG475^3+BMILMS!$E$24*AG475^2+BMILMS!$F$24*AG475+BMILMS!$G$24,BMILMS!$D$25*AG475^3+BMILMS!$E$25*AG475^2+BMILMS!$F$25*AG475+BMILMS!$G$25))))),(IF(AG475&lt;2.5,BMILMS!$D$27*AG475^3+BMILMS!$E$27*AG475^2+BMILMS!$F$27*AG475+BMILMS!$G$27,IF(AG475&lt;9.5,BMILMS!$D$28*AG475^3+BMILMS!$E$28*AG475^2+BMILMS!$F$28*AG475+BMILMS!$G$28,IF(AG475&lt;26.75,BMILMS!$D$29*AG475^3+BMILMS!$E$29*AG475^2+BMILMS!$F$29*AG475+BMILMS!$G$29,IF(AG475&lt;90,BMILMS!$D$30*AG475^3+BMILMS!$E$30*AG475^2+BMILMS!$F$30*AG475+BMILMS!$G$30,IF(AG475&lt;150,BMILMS!$D$31*AG475^3+BMILMS!$E$31*AG475^2+BMILMS!$F$31*AG475+BMILMS!$G$31,BMILMS!$D$32*AG475^3+BMILMS!$E$32*AG475^2+BMILMS!$F$32*AG475+BMILMS!$G$32)))))))</f>
        <v>12.568967990000001</v>
      </c>
      <c r="AF475" s="24">
        <f>IF(D475="M",(IF(AG475&lt;90,BMILMS!$D$14*AG475^3+BMILMS!$E$14*AG475^2+BMILMS!$F$14*AG475+BMILMS!$G$14,BMILMS!$D$15*AG475^3+BMILMS!$E$15*AG475^2+BMILMS!$F$15*AG475+BMILMS!$G$15)),(IF(AG475&lt;90,BMILMS!$D$17*AG475^3+BMILMS!$E$17*AG475^2+BMILMS!$F$17*AG475+BMILMS!$G$17,BMILMS!$D$18*AG475^3+BMILMS!$E$18*AG475^2+BMILMS!$F$18*AG475+BMILMS!$G$18)))</f>
        <v>8.8969350000000003E-2</v>
      </c>
      <c r="AG475" s="24">
        <f t="shared" si="128"/>
        <v>0</v>
      </c>
      <c r="AI475" s="38">
        <f>IF(D475="M",WeightSDS!P$5*$AG475^7+WeightSDS!Q$5*$AG475^6+WeightSDS!R$5*$AG475^5+WeightSDS!S$5*$AG475^4+WeightSDS!T$5*$AG475^3+WeightSDS!U$5*$AG475^2+WeightSDS!V$5*$AG475+WeightSDS!W$5,IF($AG475&lt;186,WeightSDS!P$8*$AG475^7+WeightSDS!Q$8*$AG475^6+WeightSDS!R$8*$AG475^5+WeightSDS!S$8*$AG475^4+WeightSDS!T$8*$AG475^3+WeightSDS!U$8*$AG475^2+WeightSDS!V$8*$AG475+WeightSDS!W$8,WeightSDS!$U$9-WeightSDS!$V$9*($AG475-WeightSDS!$W$9)))</f>
        <v>0.75407122999999998</v>
      </c>
      <c r="AJ475" s="24">
        <f>IF(D475="M",IF($AG475&lt;45,WeightSDS!M$23*$AG475^10+WeightSDS!N$23*$AG475^9+WeightSDS!O$23*$AG475^8+WeightSDS!P$23*$AG475^7+WeightSDS!Q$23*$AG475^6+WeightSDS!R$23*$AG475^5+WeightSDS!S$23*$AG475^4+WeightSDS!T$23*$AG475^3+WeightSDS!U$23*$AG475^2+WeightSDS!V$23*$AG475+WeightSDS!W$23,IF($AG475&lt;153,WeightSDS!M$25*$AG475^10+WeightSDS!N$25*$AG475^9+WeightSDS!O$25*$AG475^8+WeightSDS!P$25*$AG475^7+WeightSDS!Q$25*$AG475^6+WeightSDS!R$25*$AG475^5+WeightSDS!S$25*$AG475^4+WeightSDS!T$25*$AG475^3+WeightSDS!U$25*$AG475^2+WeightSDS!V$25*$AG475+WeightSDS!W$25,WeightSDS!M$27+WeightSDS!N$27/(1+EXP(WeightSDS!O$27+WeightSDS!P$27*$AG475)))),IF($AG475&lt;43.8,WeightSDS!M$29*$AG475^10+WeightSDS!N$29*$AG475^9+WeightSDS!O$29*$AG475^8+WeightSDS!P$29*$AG475^7+WeightSDS!Q$29*$AG475^6+WeightSDS!R$29*$AG475^5+WeightSDS!S$29*$AG475^4+WeightSDS!T$29*$AG475^3+WeightSDS!U$29*$AG475^2+WeightSDS!V$29*$AG475+WeightSDS!W$29-0.010431*(1-$AG475/210),IF($AG475&lt;123,WeightSDS!M$30*$AG475^10+WeightSDS!N$30*$AG475^9+WeightSDS!O$30*$AG475^8+WeightSDS!P$30*$AG475^7+WeightSDS!Q$30*$AG475^6+WeightSDS!R$30*$AG475^5+WeightSDS!S$30*$AG475^4+WeightSDS!T$30*$AG475^3+WeightSDS!U$30*$AG475^2+WeightSDS!V$30*$AG475+WeightSDS!W$30-0.010431*(1-1/$AG475),WeightSDS!M$32+WeightSDS!N$32/(1+EXP(WeightSDS!O$32+WeightSDS!P$32*$AG475))-0.010431*(1-$AG475/210))))</f>
        <v>2.9500001032655536</v>
      </c>
      <c r="AK475" s="24">
        <f>IF(D475="M",IF($AG475&lt;162,WeightSDS!P$12*$AG475^7+WeightSDS!Q$12*$AG475^6+WeightSDS!R$12*$AG475^5+WeightSDS!S$12*$AG475^4+WeightSDS!T$12*$AG475^3+WeightSDS!U$12*$AG475^2+WeightSDS!V$12*$AG475+WeightSDS!W$12,WeightSDS!P$14*$AG475^7+WeightSDS!Q$14*$AG475^6+WeightSDS!R$14*$AG475^5+WeightSDS!S$14*$AG475^4+WeightSDS!T$14*$AG475^3+WeightSDS!U$14*$AG475^2+WeightSDS!V$14*$AG475+WeightSDS!W$14),IF($AG475&lt;156,WeightSDS!O$17*$AG475^8+WeightSDS!P$17*$AG475^7+WeightSDS!Q$17*$AG475^6+WeightSDS!R$17*$AG475^5+WeightSDS!S$17*$AG475^4+WeightSDS!T$17*$AG475^3+WeightSDS!U$17*$AG475^2+WeightSDS!V$17*$AG475+WeightSDS!W$17,IF($AG475&lt;186,WeightSDS!$U$18+(WeightSDS!$V$18-WeightSDS!$U$18)/24*($AG475-186)+WeightSDS!$W$18*(-$AG475+186)^2-0.005,WeightSDS!$U$18+(WeightSDS!$V$18-WeightSDS!$U$18)/24*($AG475-186)-0.005)))</f>
        <v>0.14604529399999999</v>
      </c>
    </row>
    <row r="476" spans="1:37">
      <c r="A476" s="4"/>
      <c r="B476" s="21"/>
      <c r="C476" s="21"/>
      <c r="D476" s="21"/>
      <c r="E476" s="22"/>
      <c r="F476" s="22"/>
      <c r="G476" s="23"/>
      <c r="H476" s="23"/>
      <c r="I476" s="8" t="str">
        <f t="shared" si="114"/>
        <v/>
      </c>
      <c r="J476" s="2" t="str">
        <f t="shared" si="121"/>
        <v/>
      </c>
      <c r="K476" s="2" t="str">
        <f t="shared" si="115"/>
        <v/>
      </c>
      <c r="L476" s="2" t="str">
        <f t="shared" si="122"/>
        <v/>
      </c>
      <c r="M476" s="2" t="str">
        <f t="shared" si="127"/>
        <v/>
      </c>
      <c r="N476" s="2" t="str">
        <f t="shared" si="123"/>
        <v/>
      </c>
      <c r="O476" s="8" t="str">
        <f t="shared" si="124"/>
        <v/>
      </c>
      <c r="P476" s="8" t="str">
        <f t="shared" si="125"/>
        <v/>
      </c>
      <c r="Q476" s="40" t="str">
        <f t="shared" si="116"/>
        <v/>
      </c>
      <c r="R476" s="48" t="str">
        <f t="shared" si="126"/>
        <v/>
      </c>
      <c r="S476" s="8"/>
      <c r="U476" s="35">
        <f t="shared" si="117"/>
        <v>0</v>
      </c>
      <c r="V476" s="24">
        <f t="shared" si="118"/>
        <v>0</v>
      </c>
      <c r="W476" s="41">
        <f t="shared" si="113"/>
        <v>0</v>
      </c>
      <c r="X476" s="31"/>
      <c r="Y476" s="31"/>
      <c r="Z476" s="31"/>
      <c r="AA476" s="25">
        <f t="shared" si="119"/>
        <v>9.0359999999999996</v>
      </c>
      <c r="AB476" s="25">
        <f t="shared" si="120"/>
        <v>-184.49199999999999</v>
      </c>
      <c r="AD476" s="24">
        <f>IF(D476="M",IF(AG476&lt;78,BMILMS!$D$5*AG476^3+BMILMS!$E$5*AG476^2+BMILMS!$F$5*AG476+BMILMS!$G$5,IF(AG476&lt;150,BMILMS!$D$6*AG476^3+BMILMS!$E$6*AG476^2+BMILMS!$F$6*AG476+BMILMS!$G$6,BMILMS!$D$7*AG476^3+BMILMS!$E$7*AG476^2+BMILMS!$F$7*AG476+BMILMS!$G$7)),IF(AG476&lt;69,BMILMS!$D$9*AG476^3+BMILMS!$E$9*AG476^2+BMILMS!$F$9*AG476+BMILMS!$G$9,IF(AG476&lt;150,BMILMS!$D$10*AG476^3+BMILMS!$E$10*AG476^2+BMILMS!$F$10*AG476+BMILMS!$G$10,BMILMS!$D$11*AG476^3+BMILMS!$E$11*AG476^2+BMILMS!$F$11*AG476+BMILMS!$G$11)))</f>
        <v>0.79584630099999998</v>
      </c>
      <c r="AE476" s="24">
        <f>IF(D476="M",(IF(AG476&lt;2.5,BMILMS!$D$21*AG476^3+BMILMS!$E$21*AG476^2+BMILMS!$F$21*AG476+BMILMS!$G$21,IF(AG476&lt;9.5,BMILMS!$D$22*AG476^3+BMILMS!$E$22*AG476^2+BMILMS!$F$22*AG476+BMILMS!$G$22,IF(AG476&lt;26.75,BMILMS!$D$23*AG476^3+BMILMS!$E$23*AG476^2+BMILMS!$F$23*AG476+BMILMS!$G$23,IF(AG476&lt;90,BMILMS!$D$24*AG476^3+BMILMS!$E$24*AG476^2+BMILMS!$F$24*AG476+BMILMS!$G$24,BMILMS!$D$25*AG476^3+BMILMS!$E$25*AG476^2+BMILMS!$F$25*AG476+BMILMS!$G$25))))),(IF(AG476&lt;2.5,BMILMS!$D$27*AG476^3+BMILMS!$E$27*AG476^2+BMILMS!$F$27*AG476+BMILMS!$G$27,IF(AG476&lt;9.5,BMILMS!$D$28*AG476^3+BMILMS!$E$28*AG476^2+BMILMS!$F$28*AG476+BMILMS!$G$28,IF(AG476&lt;26.75,BMILMS!$D$29*AG476^3+BMILMS!$E$29*AG476^2+BMILMS!$F$29*AG476+BMILMS!$G$29,IF(AG476&lt;90,BMILMS!$D$30*AG476^3+BMILMS!$E$30*AG476^2+BMILMS!$F$30*AG476+BMILMS!$G$30,IF(AG476&lt;150,BMILMS!$D$31*AG476^3+BMILMS!$E$31*AG476^2+BMILMS!$F$31*AG476+BMILMS!$G$31,BMILMS!$D$32*AG476^3+BMILMS!$E$32*AG476^2+BMILMS!$F$32*AG476+BMILMS!$G$32)))))))</f>
        <v>12.568967990000001</v>
      </c>
      <c r="AF476" s="24">
        <f>IF(D476="M",(IF(AG476&lt;90,BMILMS!$D$14*AG476^3+BMILMS!$E$14*AG476^2+BMILMS!$F$14*AG476+BMILMS!$G$14,BMILMS!$D$15*AG476^3+BMILMS!$E$15*AG476^2+BMILMS!$F$15*AG476+BMILMS!$G$15)),(IF(AG476&lt;90,BMILMS!$D$17*AG476^3+BMILMS!$E$17*AG476^2+BMILMS!$F$17*AG476+BMILMS!$G$17,BMILMS!$D$18*AG476^3+BMILMS!$E$18*AG476^2+BMILMS!$F$18*AG476+BMILMS!$G$18)))</f>
        <v>8.8969350000000003E-2</v>
      </c>
      <c r="AG476" s="24">
        <f t="shared" si="128"/>
        <v>0</v>
      </c>
      <c r="AI476" s="38">
        <f>IF(D476="M",WeightSDS!P$5*$AG476^7+WeightSDS!Q$5*$AG476^6+WeightSDS!R$5*$AG476^5+WeightSDS!S$5*$AG476^4+WeightSDS!T$5*$AG476^3+WeightSDS!U$5*$AG476^2+WeightSDS!V$5*$AG476+WeightSDS!W$5,IF($AG476&lt;186,WeightSDS!P$8*$AG476^7+WeightSDS!Q$8*$AG476^6+WeightSDS!R$8*$AG476^5+WeightSDS!S$8*$AG476^4+WeightSDS!T$8*$AG476^3+WeightSDS!U$8*$AG476^2+WeightSDS!V$8*$AG476+WeightSDS!W$8,WeightSDS!$U$9-WeightSDS!$V$9*($AG476-WeightSDS!$W$9)))</f>
        <v>0.75407122999999998</v>
      </c>
      <c r="AJ476" s="24">
        <f>IF(D476="M",IF($AG476&lt;45,WeightSDS!M$23*$AG476^10+WeightSDS!N$23*$AG476^9+WeightSDS!O$23*$AG476^8+WeightSDS!P$23*$AG476^7+WeightSDS!Q$23*$AG476^6+WeightSDS!R$23*$AG476^5+WeightSDS!S$23*$AG476^4+WeightSDS!T$23*$AG476^3+WeightSDS!U$23*$AG476^2+WeightSDS!V$23*$AG476+WeightSDS!W$23,IF($AG476&lt;153,WeightSDS!M$25*$AG476^10+WeightSDS!N$25*$AG476^9+WeightSDS!O$25*$AG476^8+WeightSDS!P$25*$AG476^7+WeightSDS!Q$25*$AG476^6+WeightSDS!R$25*$AG476^5+WeightSDS!S$25*$AG476^4+WeightSDS!T$25*$AG476^3+WeightSDS!U$25*$AG476^2+WeightSDS!V$25*$AG476+WeightSDS!W$25,WeightSDS!M$27+WeightSDS!N$27/(1+EXP(WeightSDS!O$27+WeightSDS!P$27*$AG476)))),IF($AG476&lt;43.8,WeightSDS!M$29*$AG476^10+WeightSDS!N$29*$AG476^9+WeightSDS!O$29*$AG476^8+WeightSDS!P$29*$AG476^7+WeightSDS!Q$29*$AG476^6+WeightSDS!R$29*$AG476^5+WeightSDS!S$29*$AG476^4+WeightSDS!T$29*$AG476^3+WeightSDS!U$29*$AG476^2+WeightSDS!V$29*$AG476+WeightSDS!W$29-0.010431*(1-$AG476/210),IF($AG476&lt;123,WeightSDS!M$30*$AG476^10+WeightSDS!N$30*$AG476^9+WeightSDS!O$30*$AG476^8+WeightSDS!P$30*$AG476^7+WeightSDS!Q$30*$AG476^6+WeightSDS!R$30*$AG476^5+WeightSDS!S$30*$AG476^4+WeightSDS!T$30*$AG476^3+WeightSDS!U$30*$AG476^2+WeightSDS!V$30*$AG476+WeightSDS!W$30-0.010431*(1-1/$AG476),WeightSDS!M$32+WeightSDS!N$32/(1+EXP(WeightSDS!O$32+WeightSDS!P$32*$AG476))-0.010431*(1-$AG476/210))))</f>
        <v>2.9500001032655536</v>
      </c>
      <c r="AK476" s="24">
        <f>IF(D476="M",IF($AG476&lt;162,WeightSDS!P$12*$AG476^7+WeightSDS!Q$12*$AG476^6+WeightSDS!R$12*$AG476^5+WeightSDS!S$12*$AG476^4+WeightSDS!T$12*$AG476^3+WeightSDS!U$12*$AG476^2+WeightSDS!V$12*$AG476+WeightSDS!W$12,WeightSDS!P$14*$AG476^7+WeightSDS!Q$14*$AG476^6+WeightSDS!R$14*$AG476^5+WeightSDS!S$14*$AG476^4+WeightSDS!T$14*$AG476^3+WeightSDS!U$14*$AG476^2+WeightSDS!V$14*$AG476+WeightSDS!W$14),IF($AG476&lt;156,WeightSDS!O$17*$AG476^8+WeightSDS!P$17*$AG476^7+WeightSDS!Q$17*$AG476^6+WeightSDS!R$17*$AG476^5+WeightSDS!S$17*$AG476^4+WeightSDS!T$17*$AG476^3+WeightSDS!U$17*$AG476^2+WeightSDS!V$17*$AG476+WeightSDS!W$17,IF($AG476&lt;186,WeightSDS!$U$18+(WeightSDS!$V$18-WeightSDS!$U$18)/24*($AG476-186)+WeightSDS!$W$18*(-$AG476+186)^2-0.005,WeightSDS!$U$18+(WeightSDS!$V$18-WeightSDS!$U$18)/24*($AG476-186)-0.005)))</f>
        <v>0.14604529399999999</v>
      </c>
    </row>
    <row r="477" spans="1:37">
      <c r="A477" s="4"/>
      <c r="B477" s="21"/>
      <c r="C477" s="21"/>
      <c r="D477" s="21"/>
      <c r="E477" s="22"/>
      <c r="F477" s="22"/>
      <c r="G477" s="23"/>
      <c r="H477" s="23"/>
      <c r="I477" s="8" t="str">
        <f t="shared" si="114"/>
        <v/>
      </c>
      <c r="J477" s="2" t="str">
        <f t="shared" si="121"/>
        <v/>
      </c>
      <c r="K477" s="2" t="str">
        <f t="shared" si="115"/>
        <v/>
      </c>
      <c r="L477" s="2" t="str">
        <f t="shared" si="122"/>
        <v/>
      </c>
      <c r="M477" s="2" t="str">
        <f t="shared" si="127"/>
        <v/>
      </c>
      <c r="N477" s="2" t="str">
        <f t="shared" si="123"/>
        <v/>
      </c>
      <c r="O477" s="8" t="str">
        <f t="shared" si="124"/>
        <v/>
      </c>
      <c r="P477" s="8" t="str">
        <f t="shared" si="125"/>
        <v/>
      </c>
      <c r="Q477" s="40" t="str">
        <f t="shared" si="116"/>
        <v/>
      </c>
      <c r="R477" s="48" t="str">
        <f t="shared" si="126"/>
        <v/>
      </c>
      <c r="S477" s="8"/>
      <c r="U477" s="35">
        <f t="shared" si="117"/>
        <v>0</v>
      </c>
      <c r="V477" s="24">
        <f t="shared" si="118"/>
        <v>0</v>
      </c>
      <c r="W477" s="41">
        <f t="shared" si="113"/>
        <v>0</v>
      </c>
      <c r="X477" s="31"/>
      <c r="Y477" s="31"/>
      <c r="Z477" s="31"/>
      <c r="AA477" s="25">
        <f t="shared" si="119"/>
        <v>9.0359999999999996</v>
      </c>
      <c r="AB477" s="25">
        <f t="shared" si="120"/>
        <v>-184.49199999999999</v>
      </c>
      <c r="AD477" s="24">
        <f>IF(D477="M",IF(AG477&lt;78,BMILMS!$D$5*AG477^3+BMILMS!$E$5*AG477^2+BMILMS!$F$5*AG477+BMILMS!$G$5,IF(AG477&lt;150,BMILMS!$D$6*AG477^3+BMILMS!$E$6*AG477^2+BMILMS!$F$6*AG477+BMILMS!$G$6,BMILMS!$D$7*AG477^3+BMILMS!$E$7*AG477^2+BMILMS!$F$7*AG477+BMILMS!$G$7)),IF(AG477&lt;69,BMILMS!$D$9*AG477^3+BMILMS!$E$9*AG477^2+BMILMS!$F$9*AG477+BMILMS!$G$9,IF(AG477&lt;150,BMILMS!$D$10*AG477^3+BMILMS!$E$10*AG477^2+BMILMS!$F$10*AG477+BMILMS!$G$10,BMILMS!$D$11*AG477^3+BMILMS!$E$11*AG477^2+BMILMS!$F$11*AG477+BMILMS!$G$11)))</f>
        <v>0.79584630099999998</v>
      </c>
      <c r="AE477" s="24">
        <f>IF(D477="M",(IF(AG477&lt;2.5,BMILMS!$D$21*AG477^3+BMILMS!$E$21*AG477^2+BMILMS!$F$21*AG477+BMILMS!$G$21,IF(AG477&lt;9.5,BMILMS!$D$22*AG477^3+BMILMS!$E$22*AG477^2+BMILMS!$F$22*AG477+BMILMS!$G$22,IF(AG477&lt;26.75,BMILMS!$D$23*AG477^3+BMILMS!$E$23*AG477^2+BMILMS!$F$23*AG477+BMILMS!$G$23,IF(AG477&lt;90,BMILMS!$D$24*AG477^3+BMILMS!$E$24*AG477^2+BMILMS!$F$24*AG477+BMILMS!$G$24,BMILMS!$D$25*AG477^3+BMILMS!$E$25*AG477^2+BMILMS!$F$25*AG477+BMILMS!$G$25))))),(IF(AG477&lt;2.5,BMILMS!$D$27*AG477^3+BMILMS!$E$27*AG477^2+BMILMS!$F$27*AG477+BMILMS!$G$27,IF(AG477&lt;9.5,BMILMS!$D$28*AG477^3+BMILMS!$E$28*AG477^2+BMILMS!$F$28*AG477+BMILMS!$G$28,IF(AG477&lt;26.75,BMILMS!$D$29*AG477^3+BMILMS!$E$29*AG477^2+BMILMS!$F$29*AG477+BMILMS!$G$29,IF(AG477&lt;90,BMILMS!$D$30*AG477^3+BMILMS!$E$30*AG477^2+BMILMS!$F$30*AG477+BMILMS!$G$30,IF(AG477&lt;150,BMILMS!$D$31*AG477^3+BMILMS!$E$31*AG477^2+BMILMS!$F$31*AG477+BMILMS!$G$31,BMILMS!$D$32*AG477^3+BMILMS!$E$32*AG477^2+BMILMS!$F$32*AG477+BMILMS!$G$32)))))))</f>
        <v>12.568967990000001</v>
      </c>
      <c r="AF477" s="24">
        <f>IF(D477="M",(IF(AG477&lt;90,BMILMS!$D$14*AG477^3+BMILMS!$E$14*AG477^2+BMILMS!$F$14*AG477+BMILMS!$G$14,BMILMS!$D$15*AG477^3+BMILMS!$E$15*AG477^2+BMILMS!$F$15*AG477+BMILMS!$G$15)),(IF(AG477&lt;90,BMILMS!$D$17*AG477^3+BMILMS!$E$17*AG477^2+BMILMS!$F$17*AG477+BMILMS!$G$17,BMILMS!$D$18*AG477^3+BMILMS!$E$18*AG477^2+BMILMS!$F$18*AG477+BMILMS!$G$18)))</f>
        <v>8.8969350000000003E-2</v>
      </c>
      <c r="AG477" s="24">
        <f t="shared" si="128"/>
        <v>0</v>
      </c>
      <c r="AI477" s="38">
        <f>IF(D477="M",WeightSDS!P$5*$AG477^7+WeightSDS!Q$5*$AG477^6+WeightSDS!R$5*$AG477^5+WeightSDS!S$5*$AG477^4+WeightSDS!T$5*$AG477^3+WeightSDS!U$5*$AG477^2+WeightSDS!V$5*$AG477+WeightSDS!W$5,IF($AG477&lt;186,WeightSDS!P$8*$AG477^7+WeightSDS!Q$8*$AG477^6+WeightSDS!R$8*$AG477^5+WeightSDS!S$8*$AG477^4+WeightSDS!T$8*$AG477^3+WeightSDS!U$8*$AG477^2+WeightSDS!V$8*$AG477+WeightSDS!W$8,WeightSDS!$U$9-WeightSDS!$V$9*($AG477-WeightSDS!$W$9)))</f>
        <v>0.75407122999999998</v>
      </c>
      <c r="AJ477" s="24">
        <f>IF(D477="M",IF($AG477&lt;45,WeightSDS!M$23*$AG477^10+WeightSDS!N$23*$AG477^9+WeightSDS!O$23*$AG477^8+WeightSDS!P$23*$AG477^7+WeightSDS!Q$23*$AG477^6+WeightSDS!R$23*$AG477^5+WeightSDS!S$23*$AG477^4+WeightSDS!T$23*$AG477^3+WeightSDS!U$23*$AG477^2+WeightSDS!V$23*$AG477+WeightSDS!W$23,IF($AG477&lt;153,WeightSDS!M$25*$AG477^10+WeightSDS!N$25*$AG477^9+WeightSDS!O$25*$AG477^8+WeightSDS!P$25*$AG477^7+WeightSDS!Q$25*$AG477^6+WeightSDS!R$25*$AG477^5+WeightSDS!S$25*$AG477^4+WeightSDS!T$25*$AG477^3+WeightSDS!U$25*$AG477^2+WeightSDS!V$25*$AG477+WeightSDS!W$25,WeightSDS!M$27+WeightSDS!N$27/(1+EXP(WeightSDS!O$27+WeightSDS!P$27*$AG477)))),IF($AG477&lt;43.8,WeightSDS!M$29*$AG477^10+WeightSDS!N$29*$AG477^9+WeightSDS!O$29*$AG477^8+WeightSDS!P$29*$AG477^7+WeightSDS!Q$29*$AG477^6+WeightSDS!R$29*$AG477^5+WeightSDS!S$29*$AG477^4+WeightSDS!T$29*$AG477^3+WeightSDS!U$29*$AG477^2+WeightSDS!V$29*$AG477+WeightSDS!W$29-0.010431*(1-$AG477/210),IF($AG477&lt;123,WeightSDS!M$30*$AG477^10+WeightSDS!N$30*$AG477^9+WeightSDS!O$30*$AG477^8+WeightSDS!P$30*$AG477^7+WeightSDS!Q$30*$AG477^6+WeightSDS!R$30*$AG477^5+WeightSDS!S$30*$AG477^4+WeightSDS!T$30*$AG477^3+WeightSDS!U$30*$AG477^2+WeightSDS!V$30*$AG477+WeightSDS!W$30-0.010431*(1-1/$AG477),WeightSDS!M$32+WeightSDS!N$32/(1+EXP(WeightSDS!O$32+WeightSDS!P$32*$AG477))-0.010431*(1-$AG477/210))))</f>
        <v>2.9500001032655536</v>
      </c>
      <c r="AK477" s="24">
        <f>IF(D477="M",IF($AG477&lt;162,WeightSDS!P$12*$AG477^7+WeightSDS!Q$12*$AG477^6+WeightSDS!R$12*$AG477^5+WeightSDS!S$12*$AG477^4+WeightSDS!T$12*$AG477^3+WeightSDS!U$12*$AG477^2+WeightSDS!V$12*$AG477+WeightSDS!W$12,WeightSDS!P$14*$AG477^7+WeightSDS!Q$14*$AG477^6+WeightSDS!R$14*$AG477^5+WeightSDS!S$14*$AG477^4+WeightSDS!T$14*$AG477^3+WeightSDS!U$14*$AG477^2+WeightSDS!V$14*$AG477+WeightSDS!W$14),IF($AG477&lt;156,WeightSDS!O$17*$AG477^8+WeightSDS!P$17*$AG477^7+WeightSDS!Q$17*$AG477^6+WeightSDS!R$17*$AG477^5+WeightSDS!S$17*$AG477^4+WeightSDS!T$17*$AG477^3+WeightSDS!U$17*$AG477^2+WeightSDS!V$17*$AG477+WeightSDS!W$17,IF($AG477&lt;186,WeightSDS!$U$18+(WeightSDS!$V$18-WeightSDS!$U$18)/24*($AG477-186)+WeightSDS!$W$18*(-$AG477+186)^2-0.005,WeightSDS!$U$18+(WeightSDS!$V$18-WeightSDS!$U$18)/24*($AG477-186)-0.005)))</f>
        <v>0.14604529399999999</v>
      </c>
    </row>
    <row r="478" spans="1:37">
      <c r="A478" s="4"/>
      <c r="B478" s="21"/>
      <c r="C478" s="21"/>
      <c r="D478" s="21"/>
      <c r="E478" s="22"/>
      <c r="F478" s="22"/>
      <c r="G478" s="23"/>
      <c r="H478" s="23"/>
      <c r="I478" s="8" t="str">
        <f t="shared" si="114"/>
        <v/>
      </c>
      <c r="J478" s="2" t="str">
        <f t="shared" si="121"/>
        <v/>
      </c>
      <c r="K478" s="2" t="str">
        <f t="shared" si="115"/>
        <v/>
      </c>
      <c r="L478" s="2" t="str">
        <f t="shared" si="122"/>
        <v/>
      </c>
      <c r="M478" s="2" t="str">
        <f t="shared" si="127"/>
        <v/>
      </c>
      <c r="N478" s="2" t="str">
        <f t="shared" si="123"/>
        <v/>
      </c>
      <c r="O478" s="8" t="str">
        <f t="shared" si="124"/>
        <v/>
      </c>
      <c r="P478" s="8" t="str">
        <f t="shared" si="125"/>
        <v/>
      </c>
      <c r="Q478" s="40" t="str">
        <f t="shared" si="116"/>
        <v/>
      </c>
      <c r="R478" s="48" t="str">
        <f t="shared" si="126"/>
        <v/>
      </c>
      <c r="S478" s="8"/>
      <c r="U478" s="35">
        <f t="shared" si="117"/>
        <v>0</v>
      </c>
      <c r="V478" s="24">
        <f t="shared" si="118"/>
        <v>0</v>
      </c>
      <c r="W478" s="41">
        <f t="shared" ref="W478:W541" si="129">DATEDIF(E478,F478,"Y")+(F478-(DATE(YEAR(E478)+DATEDIF(E478,F478,"Y"),MONTH(E478),DAY(E478))))/(365+IF(MOD(YEAR((DATE(YEAR(F478)-1,MONTH(E478),DAY(E478)))),4)=0,IF((DATE(YEAR(F478)-1,MONTH(E478),DAY(E478)))&gt;DATE(YEAR((DATE(YEAR(F478)-1,MONTH(E478),DAY(E478)))),2,29),0,1),0)+IF(MOD(YEAR(F478),4)=0,IF(F478&gt;DATE(YEAR(F478),2,29),1,0),0))</f>
        <v>0</v>
      </c>
      <c r="X478" s="31"/>
      <c r="Y478" s="31"/>
      <c r="Z478" s="31"/>
      <c r="AA478" s="25">
        <f t="shared" si="119"/>
        <v>9.0359999999999996</v>
      </c>
      <c r="AB478" s="25">
        <f t="shared" si="120"/>
        <v>-184.49199999999999</v>
      </c>
      <c r="AD478" s="24">
        <f>IF(D478="M",IF(AG478&lt;78,BMILMS!$D$5*AG478^3+BMILMS!$E$5*AG478^2+BMILMS!$F$5*AG478+BMILMS!$G$5,IF(AG478&lt;150,BMILMS!$D$6*AG478^3+BMILMS!$E$6*AG478^2+BMILMS!$F$6*AG478+BMILMS!$G$6,BMILMS!$D$7*AG478^3+BMILMS!$E$7*AG478^2+BMILMS!$F$7*AG478+BMILMS!$G$7)),IF(AG478&lt;69,BMILMS!$D$9*AG478^3+BMILMS!$E$9*AG478^2+BMILMS!$F$9*AG478+BMILMS!$G$9,IF(AG478&lt;150,BMILMS!$D$10*AG478^3+BMILMS!$E$10*AG478^2+BMILMS!$F$10*AG478+BMILMS!$G$10,BMILMS!$D$11*AG478^3+BMILMS!$E$11*AG478^2+BMILMS!$F$11*AG478+BMILMS!$G$11)))</f>
        <v>0.79584630099999998</v>
      </c>
      <c r="AE478" s="24">
        <f>IF(D478="M",(IF(AG478&lt;2.5,BMILMS!$D$21*AG478^3+BMILMS!$E$21*AG478^2+BMILMS!$F$21*AG478+BMILMS!$G$21,IF(AG478&lt;9.5,BMILMS!$D$22*AG478^3+BMILMS!$E$22*AG478^2+BMILMS!$F$22*AG478+BMILMS!$G$22,IF(AG478&lt;26.75,BMILMS!$D$23*AG478^3+BMILMS!$E$23*AG478^2+BMILMS!$F$23*AG478+BMILMS!$G$23,IF(AG478&lt;90,BMILMS!$D$24*AG478^3+BMILMS!$E$24*AG478^2+BMILMS!$F$24*AG478+BMILMS!$G$24,BMILMS!$D$25*AG478^3+BMILMS!$E$25*AG478^2+BMILMS!$F$25*AG478+BMILMS!$G$25))))),(IF(AG478&lt;2.5,BMILMS!$D$27*AG478^3+BMILMS!$E$27*AG478^2+BMILMS!$F$27*AG478+BMILMS!$G$27,IF(AG478&lt;9.5,BMILMS!$D$28*AG478^3+BMILMS!$E$28*AG478^2+BMILMS!$F$28*AG478+BMILMS!$G$28,IF(AG478&lt;26.75,BMILMS!$D$29*AG478^3+BMILMS!$E$29*AG478^2+BMILMS!$F$29*AG478+BMILMS!$G$29,IF(AG478&lt;90,BMILMS!$D$30*AG478^3+BMILMS!$E$30*AG478^2+BMILMS!$F$30*AG478+BMILMS!$G$30,IF(AG478&lt;150,BMILMS!$D$31*AG478^3+BMILMS!$E$31*AG478^2+BMILMS!$F$31*AG478+BMILMS!$G$31,BMILMS!$D$32*AG478^3+BMILMS!$E$32*AG478^2+BMILMS!$F$32*AG478+BMILMS!$G$32)))))))</f>
        <v>12.568967990000001</v>
      </c>
      <c r="AF478" s="24">
        <f>IF(D478="M",(IF(AG478&lt;90,BMILMS!$D$14*AG478^3+BMILMS!$E$14*AG478^2+BMILMS!$F$14*AG478+BMILMS!$G$14,BMILMS!$D$15*AG478^3+BMILMS!$E$15*AG478^2+BMILMS!$F$15*AG478+BMILMS!$G$15)),(IF(AG478&lt;90,BMILMS!$D$17*AG478^3+BMILMS!$E$17*AG478^2+BMILMS!$F$17*AG478+BMILMS!$G$17,BMILMS!$D$18*AG478^3+BMILMS!$E$18*AG478^2+BMILMS!$F$18*AG478+BMILMS!$G$18)))</f>
        <v>8.8969350000000003E-2</v>
      </c>
      <c r="AG478" s="24">
        <f t="shared" si="128"/>
        <v>0</v>
      </c>
      <c r="AI478" s="38">
        <f>IF(D478="M",WeightSDS!P$5*$AG478^7+WeightSDS!Q$5*$AG478^6+WeightSDS!R$5*$AG478^5+WeightSDS!S$5*$AG478^4+WeightSDS!T$5*$AG478^3+WeightSDS!U$5*$AG478^2+WeightSDS!V$5*$AG478+WeightSDS!W$5,IF($AG478&lt;186,WeightSDS!P$8*$AG478^7+WeightSDS!Q$8*$AG478^6+WeightSDS!R$8*$AG478^5+WeightSDS!S$8*$AG478^4+WeightSDS!T$8*$AG478^3+WeightSDS!U$8*$AG478^2+WeightSDS!V$8*$AG478+WeightSDS!W$8,WeightSDS!$U$9-WeightSDS!$V$9*($AG478-WeightSDS!$W$9)))</f>
        <v>0.75407122999999998</v>
      </c>
      <c r="AJ478" s="24">
        <f>IF(D478="M",IF($AG478&lt;45,WeightSDS!M$23*$AG478^10+WeightSDS!N$23*$AG478^9+WeightSDS!O$23*$AG478^8+WeightSDS!P$23*$AG478^7+WeightSDS!Q$23*$AG478^6+WeightSDS!R$23*$AG478^5+WeightSDS!S$23*$AG478^4+WeightSDS!T$23*$AG478^3+WeightSDS!U$23*$AG478^2+WeightSDS!V$23*$AG478+WeightSDS!W$23,IF($AG478&lt;153,WeightSDS!M$25*$AG478^10+WeightSDS!N$25*$AG478^9+WeightSDS!O$25*$AG478^8+WeightSDS!P$25*$AG478^7+WeightSDS!Q$25*$AG478^6+WeightSDS!R$25*$AG478^5+WeightSDS!S$25*$AG478^4+WeightSDS!T$25*$AG478^3+WeightSDS!U$25*$AG478^2+WeightSDS!V$25*$AG478+WeightSDS!W$25,WeightSDS!M$27+WeightSDS!N$27/(1+EXP(WeightSDS!O$27+WeightSDS!P$27*$AG478)))),IF($AG478&lt;43.8,WeightSDS!M$29*$AG478^10+WeightSDS!N$29*$AG478^9+WeightSDS!O$29*$AG478^8+WeightSDS!P$29*$AG478^7+WeightSDS!Q$29*$AG478^6+WeightSDS!R$29*$AG478^5+WeightSDS!S$29*$AG478^4+WeightSDS!T$29*$AG478^3+WeightSDS!U$29*$AG478^2+WeightSDS!V$29*$AG478+WeightSDS!W$29-0.010431*(1-$AG478/210),IF($AG478&lt;123,WeightSDS!M$30*$AG478^10+WeightSDS!N$30*$AG478^9+WeightSDS!O$30*$AG478^8+WeightSDS!P$30*$AG478^7+WeightSDS!Q$30*$AG478^6+WeightSDS!R$30*$AG478^5+WeightSDS!S$30*$AG478^4+WeightSDS!T$30*$AG478^3+WeightSDS!U$30*$AG478^2+WeightSDS!V$30*$AG478+WeightSDS!W$30-0.010431*(1-1/$AG478),WeightSDS!M$32+WeightSDS!N$32/(1+EXP(WeightSDS!O$32+WeightSDS!P$32*$AG478))-0.010431*(1-$AG478/210))))</f>
        <v>2.9500001032655536</v>
      </c>
      <c r="AK478" s="24">
        <f>IF(D478="M",IF($AG478&lt;162,WeightSDS!P$12*$AG478^7+WeightSDS!Q$12*$AG478^6+WeightSDS!R$12*$AG478^5+WeightSDS!S$12*$AG478^4+WeightSDS!T$12*$AG478^3+WeightSDS!U$12*$AG478^2+WeightSDS!V$12*$AG478+WeightSDS!W$12,WeightSDS!P$14*$AG478^7+WeightSDS!Q$14*$AG478^6+WeightSDS!R$14*$AG478^5+WeightSDS!S$14*$AG478^4+WeightSDS!T$14*$AG478^3+WeightSDS!U$14*$AG478^2+WeightSDS!V$14*$AG478+WeightSDS!W$14),IF($AG478&lt;156,WeightSDS!O$17*$AG478^8+WeightSDS!P$17*$AG478^7+WeightSDS!Q$17*$AG478^6+WeightSDS!R$17*$AG478^5+WeightSDS!S$17*$AG478^4+WeightSDS!T$17*$AG478^3+WeightSDS!U$17*$AG478^2+WeightSDS!V$17*$AG478+WeightSDS!W$17,IF($AG478&lt;186,WeightSDS!$U$18+(WeightSDS!$V$18-WeightSDS!$U$18)/24*($AG478-186)+WeightSDS!$W$18*(-$AG478+186)^2-0.005,WeightSDS!$U$18+(WeightSDS!$V$18-WeightSDS!$U$18)/24*($AG478-186)-0.005)))</f>
        <v>0.14604529399999999</v>
      </c>
    </row>
    <row r="479" spans="1:37">
      <c r="A479" s="4"/>
      <c r="B479" s="21"/>
      <c r="C479" s="21"/>
      <c r="D479" s="21"/>
      <c r="E479" s="22"/>
      <c r="F479" s="22"/>
      <c r="G479" s="23"/>
      <c r="H479" s="23"/>
      <c r="I479" s="8" t="str">
        <f t="shared" si="114"/>
        <v/>
      </c>
      <c r="J479" s="2" t="str">
        <f t="shared" si="121"/>
        <v/>
      </c>
      <c r="K479" s="2" t="str">
        <f t="shared" si="115"/>
        <v/>
      </c>
      <c r="L479" s="2" t="str">
        <f t="shared" si="122"/>
        <v/>
      </c>
      <c r="M479" s="2" t="str">
        <f t="shared" si="127"/>
        <v/>
      </c>
      <c r="N479" s="2" t="str">
        <f t="shared" si="123"/>
        <v/>
      </c>
      <c r="O479" s="8" t="str">
        <f t="shared" si="124"/>
        <v/>
      </c>
      <c r="P479" s="8" t="str">
        <f t="shared" si="125"/>
        <v/>
      </c>
      <c r="Q479" s="40" t="str">
        <f t="shared" si="116"/>
        <v/>
      </c>
      <c r="R479" s="48" t="str">
        <f t="shared" si="126"/>
        <v/>
      </c>
      <c r="S479" s="8"/>
      <c r="U479" s="35">
        <f t="shared" si="117"/>
        <v>0</v>
      </c>
      <c r="V479" s="24">
        <f t="shared" si="118"/>
        <v>0</v>
      </c>
      <c r="W479" s="41">
        <f t="shared" si="129"/>
        <v>0</v>
      </c>
      <c r="X479" s="31"/>
      <c r="Y479" s="31"/>
      <c r="Z479" s="31"/>
      <c r="AA479" s="25">
        <f t="shared" si="119"/>
        <v>9.0359999999999996</v>
      </c>
      <c r="AB479" s="25">
        <f t="shared" si="120"/>
        <v>-184.49199999999999</v>
      </c>
      <c r="AD479" s="24">
        <f>IF(D479="M",IF(AG479&lt;78,BMILMS!$D$5*AG479^3+BMILMS!$E$5*AG479^2+BMILMS!$F$5*AG479+BMILMS!$G$5,IF(AG479&lt;150,BMILMS!$D$6*AG479^3+BMILMS!$E$6*AG479^2+BMILMS!$F$6*AG479+BMILMS!$G$6,BMILMS!$D$7*AG479^3+BMILMS!$E$7*AG479^2+BMILMS!$F$7*AG479+BMILMS!$G$7)),IF(AG479&lt;69,BMILMS!$D$9*AG479^3+BMILMS!$E$9*AG479^2+BMILMS!$F$9*AG479+BMILMS!$G$9,IF(AG479&lt;150,BMILMS!$D$10*AG479^3+BMILMS!$E$10*AG479^2+BMILMS!$F$10*AG479+BMILMS!$G$10,BMILMS!$D$11*AG479^3+BMILMS!$E$11*AG479^2+BMILMS!$F$11*AG479+BMILMS!$G$11)))</f>
        <v>0.79584630099999998</v>
      </c>
      <c r="AE479" s="24">
        <f>IF(D479="M",(IF(AG479&lt;2.5,BMILMS!$D$21*AG479^3+BMILMS!$E$21*AG479^2+BMILMS!$F$21*AG479+BMILMS!$G$21,IF(AG479&lt;9.5,BMILMS!$D$22*AG479^3+BMILMS!$E$22*AG479^2+BMILMS!$F$22*AG479+BMILMS!$G$22,IF(AG479&lt;26.75,BMILMS!$D$23*AG479^3+BMILMS!$E$23*AG479^2+BMILMS!$F$23*AG479+BMILMS!$G$23,IF(AG479&lt;90,BMILMS!$D$24*AG479^3+BMILMS!$E$24*AG479^2+BMILMS!$F$24*AG479+BMILMS!$G$24,BMILMS!$D$25*AG479^3+BMILMS!$E$25*AG479^2+BMILMS!$F$25*AG479+BMILMS!$G$25))))),(IF(AG479&lt;2.5,BMILMS!$D$27*AG479^3+BMILMS!$E$27*AG479^2+BMILMS!$F$27*AG479+BMILMS!$G$27,IF(AG479&lt;9.5,BMILMS!$D$28*AG479^3+BMILMS!$E$28*AG479^2+BMILMS!$F$28*AG479+BMILMS!$G$28,IF(AG479&lt;26.75,BMILMS!$D$29*AG479^3+BMILMS!$E$29*AG479^2+BMILMS!$F$29*AG479+BMILMS!$G$29,IF(AG479&lt;90,BMILMS!$D$30*AG479^3+BMILMS!$E$30*AG479^2+BMILMS!$F$30*AG479+BMILMS!$G$30,IF(AG479&lt;150,BMILMS!$D$31*AG479^3+BMILMS!$E$31*AG479^2+BMILMS!$F$31*AG479+BMILMS!$G$31,BMILMS!$D$32*AG479^3+BMILMS!$E$32*AG479^2+BMILMS!$F$32*AG479+BMILMS!$G$32)))))))</f>
        <v>12.568967990000001</v>
      </c>
      <c r="AF479" s="24">
        <f>IF(D479="M",(IF(AG479&lt;90,BMILMS!$D$14*AG479^3+BMILMS!$E$14*AG479^2+BMILMS!$F$14*AG479+BMILMS!$G$14,BMILMS!$D$15*AG479^3+BMILMS!$E$15*AG479^2+BMILMS!$F$15*AG479+BMILMS!$G$15)),(IF(AG479&lt;90,BMILMS!$D$17*AG479^3+BMILMS!$E$17*AG479^2+BMILMS!$F$17*AG479+BMILMS!$G$17,BMILMS!$D$18*AG479^3+BMILMS!$E$18*AG479^2+BMILMS!$F$18*AG479+BMILMS!$G$18)))</f>
        <v>8.8969350000000003E-2</v>
      </c>
      <c r="AG479" s="24">
        <f t="shared" si="128"/>
        <v>0</v>
      </c>
      <c r="AI479" s="38">
        <f>IF(D479="M",WeightSDS!P$5*$AG479^7+WeightSDS!Q$5*$AG479^6+WeightSDS!R$5*$AG479^5+WeightSDS!S$5*$AG479^4+WeightSDS!T$5*$AG479^3+WeightSDS!U$5*$AG479^2+WeightSDS!V$5*$AG479+WeightSDS!W$5,IF($AG479&lt;186,WeightSDS!P$8*$AG479^7+WeightSDS!Q$8*$AG479^6+WeightSDS!R$8*$AG479^5+WeightSDS!S$8*$AG479^4+WeightSDS!T$8*$AG479^3+WeightSDS!U$8*$AG479^2+WeightSDS!V$8*$AG479+WeightSDS!W$8,WeightSDS!$U$9-WeightSDS!$V$9*($AG479-WeightSDS!$W$9)))</f>
        <v>0.75407122999999998</v>
      </c>
      <c r="AJ479" s="24">
        <f>IF(D479="M",IF($AG479&lt;45,WeightSDS!M$23*$AG479^10+WeightSDS!N$23*$AG479^9+WeightSDS!O$23*$AG479^8+WeightSDS!P$23*$AG479^7+WeightSDS!Q$23*$AG479^6+WeightSDS!R$23*$AG479^5+WeightSDS!S$23*$AG479^4+WeightSDS!T$23*$AG479^3+WeightSDS!U$23*$AG479^2+WeightSDS!V$23*$AG479+WeightSDS!W$23,IF($AG479&lt;153,WeightSDS!M$25*$AG479^10+WeightSDS!N$25*$AG479^9+WeightSDS!O$25*$AG479^8+WeightSDS!P$25*$AG479^7+WeightSDS!Q$25*$AG479^6+WeightSDS!R$25*$AG479^5+WeightSDS!S$25*$AG479^4+WeightSDS!T$25*$AG479^3+WeightSDS!U$25*$AG479^2+WeightSDS!V$25*$AG479+WeightSDS!W$25,WeightSDS!M$27+WeightSDS!N$27/(1+EXP(WeightSDS!O$27+WeightSDS!P$27*$AG479)))),IF($AG479&lt;43.8,WeightSDS!M$29*$AG479^10+WeightSDS!N$29*$AG479^9+WeightSDS!O$29*$AG479^8+WeightSDS!P$29*$AG479^7+WeightSDS!Q$29*$AG479^6+WeightSDS!R$29*$AG479^5+WeightSDS!S$29*$AG479^4+WeightSDS!T$29*$AG479^3+WeightSDS!U$29*$AG479^2+WeightSDS!V$29*$AG479+WeightSDS!W$29-0.010431*(1-$AG479/210),IF($AG479&lt;123,WeightSDS!M$30*$AG479^10+WeightSDS!N$30*$AG479^9+WeightSDS!O$30*$AG479^8+WeightSDS!P$30*$AG479^7+WeightSDS!Q$30*$AG479^6+WeightSDS!R$30*$AG479^5+WeightSDS!S$30*$AG479^4+WeightSDS!T$30*$AG479^3+WeightSDS!U$30*$AG479^2+WeightSDS!V$30*$AG479+WeightSDS!W$30-0.010431*(1-1/$AG479),WeightSDS!M$32+WeightSDS!N$32/(1+EXP(WeightSDS!O$32+WeightSDS!P$32*$AG479))-0.010431*(1-$AG479/210))))</f>
        <v>2.9500001032655536</v>
      </c>
      <c r="AK479" s="24">
        <f>IF(D479="M",IF($AG479&lt;162,WeightSDS!P$12*$AG479^7+WeightSDS!Q$12*$AG479^6+WeightSDS!R$12*$AG479^5+WeightSDS!S$12*$AG479^4+WeightSDS!T$12*$AG479^3+WeightSDS!U$12*$AG479^2+WeightSDS!V$12*$AG479+WeightSDS!W$12,WeightSDS!P$14*$AG479^7+WeightSDS!Q$14*$AG479^6+WeightSDS!R$14*$AG479^5+WeightSDS!S$14*$AG479^4+WeightSDS!T$14*$AG479^3+WeightSDS!U$14*$AG479^2+WeightSDS!V$14*$AG479+WeightSDS!W$14),IF($AG479&lt;156,WeightSDS!O$17*$AG479^8+WeightSDS!P$17*$AG479^7+WeightSDS!Q$17*$AG479^6+WeightSDS!R$17*$AG479^5+WeightSDS!S$17*$AG479^4+WeightSDS!T$17*$AG479^3+WeightSDS!U$17*$AG479^2+WeightSDS!V$17*$AG479+WeightSDS!W$17,IF($AG479&lt;186,WeightSDS!$U$18+(WeightSDS!$V$18-WeightSDS!$U$18)/24*($AG479-186)+WeightSDS!$W$18*(-$AG479+186)^2-0.005,WeightSDS!$U$18+(WeightSDS!$V$18-WeightSDS!$U$18)/24*($AG479-186)-0.005)))</f>
        <v>0.14604529399999999</v>
      </c>
    </row>
    <row r="480" spans="1:37">
      <c r="A480" s="4"/>
      <c r="B480" s="21"/>
      <c r="C480" s="21"/>
      <c r="D480" s="21"/>
      <c r="E480" s="22"/>
      <c r="F480" s="22"/>
      <c r="G480" s="23"/>
      <c r="H480" s="23"/>
      <c r="I480" s="8" t="str">
        <f t="shared" si="114"/>
        <v/>
      </c>
      <c r="J480" s="2" t="str">
        <f t="shared" si="121"/>
        <v/>
      </c>
      <c r="K480" s="2" t="str">
        <f t="shared" si="115"/>
        <v/>
      </c>
      <c r="L480" s="2" t="str">
        <f t="shared" si="122"/>
        <v/>
      </c>
      <c r="M480" s="2" t="str">
        <f t="shared" si="127"/>
        <v/>
      </c>
      <c r="N480" s="2" t="str">
        <f t="shared" si="123"/>
        <v/>
      </c>
      <c r="O480" s="8" t="str">
        <f t="shared" si="124"/>
        <v/>
      </c>
      <c r="P480" s="8" t="str">
        <f t="shared" si="125"/>
        <v/>
      </c>
      <c r="Q480" s="40" t="str">
        <f t="shared" si="116"/>
        <v/>
      </c>
      <c r="R480" s="48" t="str">
        <f t="shared" si="126"/>
        <v/>
      </c>
      <c r="S480" s="8"/>
      <c r="U480" s="35">
        <f t="shared" si="117"/>
        <v>0</v>
      </c>
      <c r="V480" s="24">
        <f t="shared" si="118"/>
        <v>0</v>
      </c>
      <c r="W480" s="41">
        <f t="shared" si="129"/>
        <v>0</v>
      </c>
      <c r="X480" s="31"/>
      <c r="Y480" s="31"/>
      <c r="Z480" s="31"/>
      <c r="AA480" s="25">
        <f t="shared" si="119"/>
        <v>9.0359999999999996</v>
      </c>
      <c r="AB480" s="25">
        <f t="shared" si="120"/>
        <v>-184.49199999999999</v>
      </c>
      <c r="AD480" s="24">
        <f>IF(D480="M",IF(AG480&lt;78,BMILMS!$D$5*AG480^3+BMILMS!$E$5*AG480^2+BMILMS!$F$5*AG480+BMILMS!$G$5,IF(AG480&lt;150,BMILMS!$D$6*AG480^3+BMILMS!$E$6*AG480^2+BMILMS!$F$6*AG480+BMILMS!$G$6,BMILMS!$D$7*AG480^3+BMILMS!$E$7*AG480^2+BMILMS!$F$7*AG480+BMILMS!$G$7)),IF(AG480&lt;69,BMILMS!$D$9*AG480^3+BMILMS!$E$9*AG480^2+BMILMS!$F$9*AG480+BMILMS!$G$9,IF(AG480&lt;150,BMILMS!$D$10*AG480^3+BMILMS!$E$10*AG480^2+BMILMS!$F$10*AG480+BMILMS!$G$10,BMILMS!$D$11*AG480^3+BMILMS!$E$11*AG480^2+BMILMS!$F$11*AG480+BMILMS!$G$11)))</f>
        <v>0.79584630099999998</v>
      </c>
      <c r="AE480" s="24">
        <f>IF(D480="M",(IF(AG480&lt;2.5,BMILMS!$D$21*AG480^3+BMILMS!$E$21*AG480^2+BMILMS!$F$21*AG480+BMILMS!$G$21,IF(AG480&lt;9.5,BMILMS!$D$22*AG480^3+BMILMS!$E$22*AG480^2+BMILMS!$F$22*AG480+BMILMS!$G$22,IF(AG480&lt;26.75,BMILMS!$D$23*AG480^3+BMILMS!$E$23*AG480^2+BMILMS!$F$23*AG480+BMILMS!$G$23,IF(AG480&lt;90,BMILMS!$D$24*AG480^3+BMILMS!$E$24*AG480^2+BMILMS!$F$24*AG480+BMILMS!$G$24,BMILMS!$D$25*AG480^3+BMILMS!$E$25*AG480^2+BMILMS!$F$25*AG480+BMILMS!$G$25))))),(IF(AG480&lt;2.5,BMILMS!$D$27*AG480^3+BMILMS!$E$27*AG480^2+BMILMS!$F$27*AG480+BMILMS!$G$27,IF(AG480&lt;9.5,BMILMS!$D$28*AG480^3+BMILMS!$E$28*AG480^2+BMILMS!$F$28*AG480+BMILMS!$G$28,IF(AG480&lt;26.75,BMILMS!$D$29*AG480^3+BMILMS!$E$29*AG480^2+BMILMS!$F$29*AG480+BMILMS!$G$29,IF(AG480&lt;90,BMILMS!$D$30*AG480^3+BMILMS!$E$30*AG480^2+BMILMS!$F$30*AG480+BMILMS!$G$30,IF(AG480&lt;150,BMILMS!$D$31*AG480^3+BMILMS!$E$31*AG480^2+BMILMS!$F$31*AG480+BMILMS!$G$31,BMILMS!$D$32*AG480^3+BMILMS!$E$32*AG480^2+BMILMS!$F$32*AG480+BMILMS!$G$32)))))))</f>
        <v>12.568967990000001</v>
      </c>
      <c r="AF480" s="24">
        <f>IF(D480="M",(IF(AG480&lt;90,BMILMS!$D$14*AG480^3+BMILMS!$E$14*AG480^2+BMILMS!$F$14*AG480+BMILMS!$G$14,BMILMS!$D$15*AG480^3+BMILMS!$E$15*AG480^2+BMILMS!$F$15*AG480+BMILMS!$G$15)),(IF(AG480&lt;90,BMILMS!$D$17*AG480^3+BMILMS!$E$17*AG480^2+BMILMS!$F$17*AG480+BMILMS!$G$17,BMILMS!$D$18*AG480^3+BMILMS!$E$18*AG480^2+BMILMS!$F$18*AG480+BMILMS!$G$18)))</f>
        <v>8.8969350000000003E-2</v>
      </c>
      <c r="AG480" s="24">
        <f t="shared" si="128"/>
        <v>0</v>
      </c>
      <c r="AI480" s="38">
        <f>IF(D480="M",WeightSDS!P$5*$AG480^7+WeightSDS!Q$5*$AG480^6+WeightSDS!R$5*$AG480^5+WeightSDS!S$5*$AG480^4+WeightSDS!T$5*$AG480^3+WeightSDS!U$5*$AG480^2+WeightSDS!V$5*$AG480+WeightSDS!W$5,IF($AG480&lt;186,WeightSDS!P$8*$AG480^7+WeightSDS!Q$8*$AG480^6+WeightSDS!R$8*$AG480^5+WeightSDS!S$8*$AG480^4+WeightSDS!T$8*$AG480^3+WeightSDS!U$8*$AG480^2+WeightSDS!V$8*$AG480+WeightSDS!W$8,WeightSDS!$U$9-WeightSDS!$V$9*($AG480-WeightSDS!$W$9)))</f>
        <v>0.75407122999999998</v>
      </c>
      <c r="AJ480" s="24">
        <f>IF(D480="M",IF($AG480&lt;45,WeightSDS!M$23*$AG480^10+WeightSDS!N$23*$AG480^9+WeightSDS!O$23*$AG480^8+WeightSDS!P$23*$AG480^7+WeightSDS!Q$23*$AG480^6+WeightSDS!R$23*$AG480^5+WeightSDS!S$23*$AG480^4+WeightSDS!T$23*$AG480^3+WeightSDS!U$23*$AG480^2+WeightSDS!V$23*$AG480+WeightSDS!W$23,IF($AG480&lt;153,WeightSDS!M$25*$AG480^10+WeightSDS!N$25*$AG480^9+WeightSDS!O$25*$AG480^8+WeightSDS!P$25*$AG480^7+WeightSDS!Q$25*$AG480^6+WeightSDS!R$25*$AG480^5+WeightSDS!S$25*$AG480^4+WeightSDS!T$25*$AG480^3+WeightSDS!U$25*$AG480^2+WeightSDS!V$25*$AG480+WeightSDS!W$25,WeightSDS!M$27+WeightSDS!N$27/(1+EXP(WeightSDS!O$27+WeightSDS!P$27*$AG480)))),IF($AG480&lt;43.8,WeightSDS!M$29*$AG480^10+WeightSDS!N$29*$AG480^9+WeightSDS!O$29*$AG480^8+WeightSDS!P$29*$AG480^7+WeightSDS!Q$29*$AG480^6+WeightSDS!R$29*$AG480^5+WeightSDS!S$29*$AG480^4+WeightSDS!T$29*$AG480^3+WeightSDS!U$29*$AG480^2+WeightSDS!V$29*$AG480+WeightSDS!W$29-0.010431*(1-$AG480/210),IF($AG480&lt;123,WeightSDS!M$30*$AG480^10+WeightSDS!N$30*$AG480^9+WeightSDS!O$30*$AG480^8+WeightSDS!P$30*$AG480^7+WeightSDS!Q$30*$AG480^6+WeightSDS!R$30*$AG480^5+WeightSDS!S$30*$AG480^4+WeightSDS!T$30*$AG480^3+WeightSDS!U$30*$AG480^2+WeightSDS!V$30*$AG480+WeightSDS!W$30-0.010431*(1-1/$AG480),WeightSDS!M$32+WeightSDS!N$32/(1+EXP(WeightSDS!O$32+WeightSDS!P$32*$AG480))-0.010431*(1-$AG480/210))))</f>
        <v>2.9500001032655536</v>
      </c>
      <c r="AK480" s="24">
        <f>IF(D480="M",IF($AG480&lt;162,WeightSDS!P$12*$AG480^7+WeightSDS!Q$12*$AG480^6+WeightSDS!R$12*$AG480^5+WeightSDS!S$12*$AG480^4+WeightSDS!T$12*$AG480^3+WeightSDS!U$12*$AG480^2+WeightSDS!V$12*$AG480+WeightSDS!W$12,WeightSDS!P$14*$AG480^7+WeightSDS!Q$14*$AG480^6+WeightSDS!R$14*$AG480^5+WeightSDS!S$14*$AG480^4+WeightSDS!T$14*$AG480^3+WeightSDS!U$14*$AG480^2+WeightSDS!V$14*$AG480+WeightSDS!W$14),IF($AG480&lt;156,WeightSDS!O$17*$AG480^8+WeightSDS!P$17*$AG480^7+WeightSDS!Q$17*$AG480^6+WeightSDS!R$17*$AG480^5+WeightSDS!S$17*$AG480^4+WeightSDS!T$17*$AG480^3+WeightSDS!U$17*$AG480^2+WeightSDS!V$17*$AG480+WeightSDS!W$17,IF($AG480&lt;186,WeightSDS!$U$18+(WeightSDS!$V$18-WeightSDS!$U$18)/24*($AG480-186)+WeightSDS!$W$18*(-$AG480+186)^2-0.005,WeightSDS!$U$18+(WeightSDS!$V$18-WeightSDS!$U$18)/24*($AG480-186)-0.005)))</f>
        <v>0.14604529399999999</v>
      </c>
    </row>
    <row r="481" spans="1:37">
      <c r="A481" s="4"/>
      <c r="B481" s="21"/>
      <c r="C481" s="21"/>
      <c r="D481" s="21"/>
      <c r="E481" s="22"/>
      <c r="F481" s="22"/>
      <c r="G481" s="23"/>
      <c r="H481" s="23"/>
      <c r="I481" s="8" t="str">
        <f t="shared" si="114"/>
        <v/>
      </c>
      <c r="J481" s="2" t="str">
        <f t="shared" si="121"/>
        <v/>
      </c>
      <c r="K481" s="2" t="str">
        <f t="shared" si="115"/>
        <v/>
      </c>
      <c r="L481" s="2" t="str">
        <f t="shared" si="122"/>
        <v/>
      </c>
      <c r="M481" s="2" t="str">
        <f t="shared" si="127"/>
        <v/>
      </c>
      <c r="N481" s="2" t="str">
        <f t="shared" si="123"/>
        <v/>
      </c>
      <c r="O481" s="8" t="str">
        <f t="shared" si="124"/>
        <v/>
      </c>
      <c r="P481" s="8" t="str">
        <f t="shared" si="125"/>
        <v/>
      </c>
      <c r="Q481" s="40" t="str">
        <f t="shared" si="116"/>
        <v/>
      </c>
      <c r="R481" s="48" t="str">
        <f t="shared" si="126"/>
        <v/>
      </c>
      <c r="S481" s="8"/>
      <c r="U481" s="35">
        <f t="shared" si="117"/>
        <v>0</v>
      </c>
      <c r="V481" s="24">
        <f t="shared" si="118"/>
        <v>0</v>
      </c>
      <c r="W481" s="41">
        <f t="shared" si="129"/>
        <v>0</v>
      </c>
      <c r="X481" s="31"/>
      <c r="Y481" s="31"/>
      <c r="Z481" s="31"/>
      <c r="AA481" s="25">
        <f t="shared" si="119"/>
        <v>9.0359999999999996</v>
      </c>
      <c r="AB481" s="25">
        <f t="shared" si="120"/>
        <v>-184.49199999999999</v>
      </c>
      <c r="AD481" s="24">
        <f>IF(D481="M",IF(AG481&lt;78,BMILMS!$D$5*AG481^3+BMILMS!$E$5*AG481^2+BMILMS!$F$5*AG481+BMILMS!$G$5,IF(AG481&lt;150,BMILMS!$D$6*AG481^3+BMILMS!$E$6*AG481^2+BMILMS!$F$6*AG481+BMILMS!$G$6,BMILMS!$D$7*AG481^3+BMILMS!$E$7*AG481^2+BMILMS!$F$7*AG481+BMILMS!$G$7)),IF(AG481&lt;69,BMILMS!$D$9*AG481^3+BMILMS!$E$9*AG481^2+BMILMS!$F$9*AG481+BMILMS!$G$9,IF(AG481&lt;150,BMILMS!$D$10*AG481^3+BMILMS!$E$10*AG481^2+BMILMS!$F$10*AG481+BMILMS!$G$10,BMILMS!$D$11*AG481^3+BMILMS!$E$11*AG481^2+BMILMS!$F$11*AG481+BMILMS!$G$11)))</f>
        <v>0.79584630099999998</v>
      </c>
      <c r="AE481" s="24">
        <f>IF(D481="M",(IF(AG481&lt;2.5,BMILMS!$D$21*AG481^3+BMILMS!$E$21*AG481^2+BMILMS!$F$21*AG481+BMILMS!$G$21,IF(AG481&lt;9.5,BMILMS!$D$22*AG481^3+BMILMS!$E$22*AG481^2+BMILMS!$F$22*AG481+BMILMS!$G$22,IF(AG481&lt;26.75,BMILMS!$D$23*AG481^3+BMILMS!$E$23*AG481^2+BMILMS!$F$23*AG481+BMILMS!$G$23,IF(AG481&lt;90,BMILMS!$D$24*AG481^3+BMILMS!$E$24*AG481^2+BMILMS!$F$24*AG481+BMILMS!$G$24,BMILMS!$D$25*AG481^3+BMILMS!$E$25*AG481^2+BMILMS!$F$25*AG481+BMILMS!$G$25))))),(IF(AG481&lt;2.5,BMILMS!$D$27*AG481^3+BMILMS!$E$27*AG481^2+BMILMS!$F$27*AG481+BMILMS!$G$27,IF(AG481&lt;9.5,BMILMS!$D$28*AG481^3+BMILMS!$E$28*AG481^2+BMILMS!$F$28*AG481+BMILMS!$G$28,IF(AG481&lt;26.75,BMILMS!$D$29*AG481^3+BMILMS!$E$29*AG481^2+BMILMS!$F$29*AG481+BMILMS!$G$29,IF(AG481&lt;90,BMILMS!$D$30*AG481^3+BMILMS!$E$30*AG481^2+BMILMS!$F$30*AG481+BMILMS!$G$30,IF(AG481&lt;150,BMILMS!$D$31*AG481^3+BMILMS!$E$31*AG481^2+BMILMS!$F$31*AG481+BMILMS!$G$31,BMILMS!$D$32*AG481^3+BMILMS!$E$32*AG481^2+BMILMS!$F$32*AG481+BMILMS!$G$32)))))))</f>
        <v>12.568967990000001</v>
      </c>
      <c r="AF481" s="24">
        <f>IF(D481="M",(IF(AG481&lt;90,BMILMS!$D$14*AG481^3+BMILMS!$E$14*AG481^2+BMILMS!$F$14*AG481+BMILMS!$G$14,BMILMS!$D$15*AG481^3+BMILMS!$E$15*AG481^2+BMILMS!$F$15*AG481+BMILMS!$G$15)),(IF(AG481&lt;90,BMILMS!$D$17*AG481^3+BMILMS!$E$17*AG481^2+BMILMS!$F$17*AG481+BMILMS!$G$17,BMILMS!$D$18*AG481^3+BMILMS!$E$18*AG481^2+BMILMS!$F$18*AG481+BMILMS!$G$18)))</f>
        <v>8.8969350000000003E-2</v>
      </c>
      <c r="AG481" s="24">
        <f t="shared" si="128"/>
        <v>0</v>
      </c>
      <c r="AI481" s="38">
        <f>IF(D481="M",WeightSDS!P$5*$AG481^7+WeightSDS!Q$5*$AG481^6+WeightSDS!R$5*$AG481^5+WeightSDS!S$5*$AG481^4+WeightSDS!T$5*$AG481^3+WeightSDS!U$5*$AG481^2+WeightSDS!V$5*$AG481+WeightSDS!W$5,IF($AG481&lt;186,WeightSDS!P$8*$AG481^7+WeightSDS!Q$8*$AG481^6+WeightSDS!R$8*$AG481^5+WeightSDS!S$8*$AG481^4+WeightSDS!T$8*$AG481^3+WeightSDS!U$8*$AG481^2+WeightSDS!V$8*$AG481+WeightSDS!W$8,WeightSDS!$U$9-WeightSDS!$V$9*($AG481-WeightSDS!$W$9)))</f>
        <v>0.75407122999999998</v>
      </c>
      <c r="AJ481" s="24">
        <f>IF(D481="M",IF($AG481&lt;45,WeightSDS!M$23*$AG481^10+WeightSDS!N$23*$AG481^9+WeightSDS!O$23*$AG481^8+WeightSDS!P$23*$AG481^7+WeightSDS!Q$23*$AG481^6+WeightSDS!R$23*$AG481^5+WeightSDS!S$23*$AG481^4+WeightSDS!T$23*$AG481^3+WeightSDS!U$23*$AG481^2+WeightSDS!V$23*$AG481+WeightSDS!W$23,IF($AG481&lt;153,WeightSDS!M$25*$AG481^10+WeightSDS!N$25*$AG481^9+WeightSDS!O$25*$AG481^8+WeightSDS!P$25*$AG481^7+WeightSDS!Q$25*$AG481^6+WeightSDS!R$25*$AG481^5+WeightSDS!S$25*$AG481^4+WeightSDS!T$25*$AG481^3+WeightSDS!U$25*$AG481^2+WeightSDS!V$25*$AG481+WeightSDS!W$25,WeightSDS!M$27+WeightSDS!N$27/(1+EXP(WeightSDS!O$27+WeightSDS!P$27*$AG481)))),IF($AG481&lt;43.8,WeightSDS!M$29*$AG481^10+WeightSDS!N$29*$AG481^9+WeightSDS!O$29*$AG481^8+WeightSDS!P$29*$AG481^7+WeightSDS!Q$29*$AG481^6+WeightSDS!R$29*$AG481^5+WeightSDS!S$29*$AG481^4+WeightSDS!T$29*$AG481^3+WeightSDS!U$29*$AG481^2+WeightSDS!V$29*$AG481+WeightSDS!W$29-0.010431*(1-$AG481/210),IF($AG481&lt;123,WeightSDS!M$30*$AG481^10+WeightSDS!N$30*$AG481^9+WeightSDS!O$30*$AG481^8+WeightSDS!P$30*$AG481^7+WeightSDS!Q$30*$AG481^6+WeightSDS!R$30*$AG481^5+WeightSDS!S$30*$AG481^4+WeightSDS!T$30*$AG481^3+WeightSDS!U$30*$AG481^2+WeightSDS!V$30*$AG481+WeightSDS!W$30-0.010431*(1-1/$AG481),WeightSDS!M$32+WeightSDS!N$32/(1+EXP(WeightSDS!O$32+WeightSDS!P$32*$AG481))-0.010431*(1-$AG481/210))))</f>
        <v>2.9500001032655536</v>
      </c>
      <c r="AK481" s="24">
        <f>IF(D481="M",IF($AG481&lt;162,WeightSDS!P$12*$AG481^7+WeightSDS!Q$12*$AG481^6+WeightSDS!R$12*$AG481^5+WeightSDS!S$12*$AG481^4+WeightSDS!T$12*$AG481^3+WeightSDS!U$12*$AG481^2+WeightSDS!V$12*$AG481+WeightSDS!W$12,WeightSDS!P$14*$AG481^7+WeightSDS!Q$14*$AG481^6+WeightSDS!R$14*$AG481^5+WeightSDS!S$14*$AG481^4+WeightSDS!T$14*$AG481^3+WeightSDS!U$14*$AG481^2+WeightSDS!V$14*$AG481+WeightSDS!W$14),IF($AG481&lt;156,WeightSDS!O$17*$AG481^8+WeightSDS!P$17*$AG481^7+WeightSDS!Q$17*$AG481^6+WeightSDS!R$17*$AG481^5+WeightSDS!S$17*$AG481^4+WeightSDS!T$17*$AG481^3+WeightSDS!U$17*$AG481^2+WeightSDS!V$17*$AG481+WeightSDS!W$17,IF($AG481&lt;186,WeightSDS!$U$18+(WeightSDS!$V$18-WeightSDS!$U$18)/24*($AG481-186)+WeightSDS!$W$18*(-$AG481+186)^2-0.005,WeightSDS!$U$18+(WeightSDS!$V$18-WeightSDS!$U$18)/24*($AG481-186)-0.005)))</f>
        <v>0.14604529399999999</v>
      </c>
    </row>
    <row r="482" spans="1:37">
      <c r="A482" s="4"/>
      <c r="B482" s="21"/>
      <c r="C482" s="21"/>
      <c r="D482" s="21"/>
      <c r="E482" s="22"/>
      <c r="F482" s="22"/>
      <c r="G482" s="23"/>
      <c r="H482" s="23"/>
      <c r="I482" s="8" t="str">
        <f t="shared" si="114"/>
        <v/>
      </c>
      <c r="J482" s="2" t="str">
        <f t="shared" si="121"/>
        <v/>
      </c>
      <c r="K482" s="2" t="str">
        <f t="shared" si="115"/>
        <v/>
      </c>
      <c r="L482" s="2" t="str">
        <f t="shared" si="122"/>
        <v/>
      </c>
      <c r="M482" s="2" t="str">
        <f t="shared" si="127"/>
        <v/>
      </c>
      <c r="N482" s="2" t="str">
        <f t="shared" si="123"/>
        <v/>
      </c>
      <c r="O482" s="8" t="str">
        <f t="shared" si="124"/>
        <v/>
      </c>
      <c r="P482" s="8" t="str">
        <f t="shared" si="125"/>
        <v/>
      </c>
      <c r="Q482" s="40" t="str">
        <f t="shared" si="116"/>
        <v/>
      </c>
      <c r="R482" s="48" t="str">
        <f t="shared" si="126"/>
        <v/>
      </c>
      <c r="S482" s="8"/>
      <c r="U482" s="35">
        <f t="shared" si="117"/>
        <v>0</v>
      </c>
      <c r="V482" s="24">
        <f t="shared" si="118"/>
        <v>0</v>
      </c>
      <c r="W482" s="41">
        <f t="shared" si="129"/>
        <v>0</v>
      </c>
      <c r="X482" s="31"/>
      <c r="Y482" s="31"/>
      <c r="Z482" s="31"/>
      <c r="AA482" s="25">
        <f t="shared" si="119"/>
        <v>9.0359999999999996</v>
      </c>
      <c r="AB482" s="25">
        <f t="shared" si="120"/>
        <v>-184.49199999999999</v>
      </c>
      <c r="AD482" s="24">
        <f>IF(D482="M",IF(AG482&lt;78,BMILMS!$D$5*AG482^3+BMILMS!$E$5*AG482^2+BMILMS!$F$5*AG482+BMILMS!$G$5,IF(AG482&lt;150,BMILMS!$D$6*AG482^3+BMILMS!$E$6*AG482^2+BMILMS!$F$6*AG482+BMILMS!$G$6,BMILMS!$D$7*AG482^3+BMILMS!$E$7*AG482^2+BMILMS!$F$7*AG482+BMILMS!$G$7)),IF(AG482&lt;69,BMILMS!$D$9*AG482^3+BMILMS!$E$9*AG482^2+BMILMS!$F$9*AG482+BMILMS!$G$9,IF(AG482&lt;150,BMILMS!$D$10*AG482^3+BMILMS!$E$10*AG482^2+BMILMS!$F$10*AG482+BMILMS!$G$10,BMILMS!$D$11*AG482^3+BMILMS!$E$11*AG482^2+BMILMS!$F$11*AG482+BMILMS!$G$11)))</f>
        <v>0.79584630099999998</v>
      </c>
      <c r="AE482" s="24">
        <f>IF(D482="M",(IF(AG482&lt;2.5,BMILMS!$D$21*AG482^3+BMILMS!$E$21*AG482^2+BMILMS!$F$21*AG482+BMILMS!$G$21,IF(AG482&lt;9.5,BMILMS!$D$22*AG482^3+BMILMS!$E$22*AG482^2+BMILMS!$F$22*AG482+BMILMS!$G$22,IF(AG482&lt;26.75,BMILMS!$D$23*AG482^3+BMILMS!$E$23*AG482^2+BMILMS!$F$23*AG482+BMILMS!$G$23,IF(AG482&lt;90,BMILMS!$D$24*AG482^3+BMILMS!$E$24*AG482^2+BMILMS!$F$24*AG482+BMILMS!$G$24,BMILMS!$D$25*AG482^3+BMILMS!$E$25*AG482^2+BMILMS!$F$25*AG482+BMILMS!$G$25))))),(IF(AG482&lt;2.5,BMILMS!$D$27*AG482^3+BMILMS!$E$27*AG482^2+BMILMS!$F$27*AG482+BMILMS!$G$27,IF(AG482&lt;9.5,BMILMS!$D$28*AG482^3+BMILMS!$E$28*AG482^2+BMILMS!$F$28*AG482+BMILMS!$G$28,IF(AG482&lt;26.75,BMILMS!$D$29*AG482^3+BMILMS!$E$29*AG482^2+BMILMS!$F$29*AG482+BMILMS!$G$29,IF(AG482&lt;90,BMILMS!$D$30*AG482^3+BMILMS!$E$30*AG482^2+BMILMS!$F$30*AG482+BMILMS!$G$30,IF(AG482&lt;150,BMILMS!$D$31*AG482^3+BMILMS!$E$31*AG482^2+BMILMS!$F$31*AG482+BMILMS!$G$31,BMILMS!$D$32*AG482^3+BMILMS!$E$32*AG482^2+BMILMS!$F$32*AG482+BMILMS!$G$32)))))))</f>
        <v>12.568967990000001</v>
      </c>
      <c r="AF482" s="24">
        <f>IF(D482="M",(IF(AG482&lt;90,BMILMS!$D$14*AG482^3+BMILMS!$E$14*AG482^2+BMILMS!$F$14*AG482+BMILMS!$G$14,BMILMS!$D$15*AG482^3+BMILMS!$E$15*AG482^2+BMILMS!$F$15*AG482+BMILMS!$G$15)),(IF(AG482&lt;90,BMILMS!$D$17*AG482^3+BMILMS!$E$17*AG482^2+BMILMS!$F$17*AG482+BMILMS!$G$17,BMILMS!$D$18*AG482^3+BMILMS!$E$18*AG482^2+BMILMS!$F$18*AG482+BMILMS!$G$18)))</f>
        <v>8.8969350000000003E-2</v>
      </c>
      <c r="AG482" s="24">
        <f t="shared" si="128"/>
        <v>0</v>
      </c>
      <c r="AI482" s="38">
        <f>IF(D482="M",WeightSDS!P$5*$AG482^7+WeightSDS!Q$5*$AG482^6+WeightSDS!R$5*$AG482^5+WeightSDS!S$5*$AG482^4+WeightSDS!T$5*$AG482^3+WeightSDS!U$5*$AG482^2+WeightSDS!V$5*$AG482+WeightSDS!W$5,IF($AG482&lt;186,WeightSDS!P$8*$AG482^7+WeightSDS!Q$8*$AG482^6+WeightSDS!R$8*$AG482^5+WeightSDS!S$8*$AG482^4+WeightSDS!T$8*$AG482^3+WeightSDS!U$8*$AG482^2+WeightSDS!V$8*$AG482+WeightSDS!W$8,WeightSDS!$U$9-WeightSDS!$V$9*($AG482-WeightSDS!$W$9)))</f>
        <v>0.75407122999999998</v>
      </c>
      <c r="AJ482" s="24">
        <f>IF(D482="M",IF($AG482&lt;45,WeightSDS!M$23*$AG482^10+WeightSDS!N$23*$AG482^9+WeightSDS!O$23*$AG482^8+WeightSDS!P$23*$AG482^7+WeightSDS!Q$23*$AG482^6+WeightSDS!R$23*$AG482^5+WeightSDS!S$23*$AG482^4+WeightSDS!T$23*$AG482^3+WeightSDS!U$23*$AG482^2+WeightSDS!V$23*$AG482+WeightSDS!W$23,IF($AG482&lt;153,WeightSDS!M$25*$AG482^10+WeightSDS!N$25*$AG482^9+WeightSDS!O$25*$AG482^8+WeightSDS!P$25*$AG482^7+WeightSDS!Q$25*$AG482^6+WeightSDS!R$25*$AG482^5+WeightSDS!S$25*$AG482^4+WeightSDS!T$25*$AG482^3+WeightSDS!U$25*$AG482^2+WeightSDS!V$25*$AG482+WeightSDS!W$25,WeightSDS!M$27+WeightSDS!N$27/(1+EXP(WeightSDS!O$27+WeightSDS!P$27*$AG482)))),IF($AG482&lt;43.8,WeightSDS!M$29*$AG482^10+WeightSDS!N$29*$AG482^9+WeightSDS!O$29*$AG482^8+WeightSDS!P$29*$AG482^7+WeightSDS!Q$29*$AG482^6+WeightSDS!R$29*$AG482^5+WeightSDS!S$29*$AG482^4+WeightSDS!T$29*$AG482^3+WeightSDS!U$29*$AG482^2+WeightSDS!V$29*$AG482+WeightSDS!W$29-0.010431*(1-$AG482/210),IF($AG482&lt;123,WeightSDS!M$30*$AG482^10+WeightSDS!N$30*$AG482^9+WeightSDS!O$30*$AG482^8+WeightSDS!P$30*$AG482^7+WeightSDS!Q$30*$AG482^6+WeightSDS!R$30*$AG482^5+WeightSDS!S$30*$AG482^4+WeightSDS!T$30*$AG482^3+WeightSDS!U$30*$AG482^2+WeightSDS!V$30*$AG482+WeightSDS!W$30-0.010431*(1-1/$AG482),WeightSDS!M$32+WeightSDS!N$32/(1+EXP(WeightSDS!O$32+WeightSDS!P$32*$AG482))-0.010431*(1-$AG482/210))))</f>
        <v>2.9500001032655536</v>
      </c>
      <c r="AK482" s="24">
        <f>IF(D482="M",IF($AG482&lt;162,WeightSDS!P$12*$AG482^7+WeightSDS!Q$12*$AG482^6+WeightSDS!R$12*$AG482^5+WeightSDS!S$12*$AG482^4+WeightSDS!T$12*$AG482^3+WeightSDS!U$12*$AG482^2+WeightSDS!V$12*$AG482+WeightSDS!W$12,WeightSDS!P$14*$AG482^7+WeightSDS!Q$14*$AG482^6+WeightSDS!R$14*$AG482^5+WeightSDS!S$14*$AG482^4+WeightSDS!T$14*$AG482^3+WeightSDS!U$14*$AG482^2+WeightSDS!V$14*$AG482+WeightSDS!W$14),IF($AG482&lt;156,WeightSDS!O$17*$AG482^8+WeightSDS!P$17*$AG482^7+WeightSDS!Q$17*$AG482^6+WeightSDS!R$17*$AG482^5+WeightSDS!S$17*$AG482^4+WeightSDS!T$17*$AG482^3+WeightSDS!U$17*$AG482^2+WeightSDS!V$17*$AG482+WeightSDS!W$17,IF($AG482&lt;186,WeightSDS!$U$18+(WeightSDS!$V$18-WeightSDS!$U$18)/24*($AG482-186)+WeightSDS!$W$18*(-$AG482+186)^2-0.005,WeightSDS!$U$18+(WeightSDS!$V$18-WeightSDS!$U$18)/24*($AG482-186)-0.005)))</f>
        <v>0.14604529399999999</v>
      </c>
    </row>
    <row r="483" spans="1:37">
      <c r="A483" s="4"/>
      <c r="B483" s="21"/>
      <c r="C483" s="21"/>
      <c r="D483" s="21"/>
      <c r="E483" s="22"/>
      <c r="F483" s="22"/>
      <c r="G483" s="23"/>
      <c r="H483" s="23"/>
      <c r="I483" s="8" t="str">
        <f t="shared" si="114"/>
        <v/>
      </c>
      <c r="J483" s="2" t="str">
        <f t="shared" si="121"/>
        <v/>
      </c>
      <c r="K483" s="2" t="str">
        <f t="shared" si="115"/>
        <v/>
      </c>
      <c r="L483" s="2" t="str">
        <f t="shared" si="122"/>
        <v/>
      </c>
      <c r="M483" s="2" t="str">
        <f t="shared" si="127"/>
        <v/>
      </c>
      <c r="N483" s="2" t="str">
        <f t="shared" si="123"/>
        <v/>
      </c>
      <c r="O483" s="8" t="str">
        <f t="shared" si="124"/>
        <v/>
      </c>
      <c r="P483" s="8" t="str">
        <f t="shared" si="125"/>
        <v/>
      </c>
      <c r="Q483" s="40" t="str">
        <f t="shared" si="116"/>
        <v/>
      </c>
      <c r="R483" s="48" t="str">
        <f t="shared" si="126"/>
        <v/>
      </c>
      <c r="S483" s="8"/>
      <c r="U483" s="35">
        <f t="shared" si="117"/>
        <v>0</v>
      </c>
      <c r="V483" s="24">
        <f t="shared" si="118"/>
        <v>0</v>
      </c>
      <c r="W483" s="41">
        <f t="shared" si="129"/>
        <v>0</v>
      </c>
      <c r="X483" s="31"/>
      <c r="Y483" s="31"/>
      <c r="Z483" s="31"/>
      <c r="AA483" s="25">
        <f t="shared" si="119"/>
        <v>9.0359999999999996</v>
      </c>
      <c r="AB483" s="25">
        <f t="shared" si="120"/>
        <v>-184.49199999999999</v>
      </c>
      <c r="AD483" s="24">
        <f>IF(D483="M",IF(AG483&lt;78,BMILMS!$D$5*AG483^3+BMILMS!$E$5*AG483^2+BMILMS!$F$5*AG483+BMILMS!$G$5,IF(AG483&lt;150,BMILMS!$D$6*AG483^3+BMILMS!$E$6*AG483^2+BMILMS!$F$6*AG483+BMILMS!$G$6,BMILMS!$D$7*AG483^3+BMILMS!$E$7*AG483^2+BMILMS!$F$7*AG483+BMILMS!$G$7)),IF(AG483&lt;69,BMILMS!$D$9*AG483^3+BMILMS!$E$9*AG483^2+BMILMS!$F$9*AG483+BMILMS!$G$9,IF(AG483&lt;150,BMILMS!$D$10*AG483^3+BMILMS!$E$10*AG483^2+BMILMS!$F$10*AG483+BMILMS!$G$10,BMILMS!$D$11*AG483^3+BMILMS!$E$11*AG483^2+BMILMS!$F$11*AG483+BMILMS!$G$11)))</f>
        <v>0.79584630099999998</v>
      </c>
      <c r="AE483" s="24">
        <f>IF(D483="M",(IF(AG483&lt;2.5,BMILMS!$D$21*AG483^3+BMILMS!$E$21*AG483^2+BMILMS!$F$21*AG483+BMILMS!$G$21,IF(AG483&lt;9.5,BMILMS!$D$22*AG483^3+BMILMS!$E$22*AG483^2+BMILMS!$F$22*AG483+BMILMS!$G$22,IF(AG483&lt;26.75,BMILMS!$D$23*AG483^3+BMILMS!$E$23*AG483^2+BMILMS!$F$23*AG483+BMILMS!$G$23,IF(AG483&lt;90,BMILMS!$D$24*AG483^3+BMILMS!$E$24*AG483^2+BMILMS!$F$24*AG483+BMILMS!$G$24,BMILMS!$D$25*AG483^3+BMILMS!$E$25*AG483^2+BMILMS!$F$25*AG483+BMILMS!$G$25))))),(IF(AG483&lt;2.5,BMILMS!$D$27*AG483^3+BMILMS!$E$27*AG483^2+BMILMS!$F$27*AG483+BMILMS!$G$27,IF(AG483&lt;9.5,BMILMS!$D$28*AG483^3+BMILMS!$E$28*AG483^2+BMILMS!$F$28*AG483+BMILMS!$G$28,IF(AG483&lt;26.75,BMILMS!$D$29*AG483^3+BMILMS!$E$29*AG483^2+BMILMS!$F$29*AG483+BMILMS!$G$29,IF(AG483&lt;90,BMILMS!$D$30*AG483^3+BMILMS!$E$30*AG483^2+BMILMS!$F$30*AG483+BMILMS!$G$30,IF(AG483&lt;150,BMILMS!$D$31*AG483^3+BMILMS!$E$31*AG483^2+BMILMS!$F$31*AG483+BMILMS!$G$31,BMILMS!$D$32*AG483^3+BMILMS!$E$32*AG483^2+BMILMS!$F$32*AG483+BMILMS!$G$32)))))))</f>
        <v>12.568967990000001</v>
      </c>
      <c r="AF483" s="24">
        <f>IF(D483="M",(IF(AG483&lt;90,BMILMS!$D$14*AG483^3+BMILMS!$E$14*AG483^2+BMILMS!$F$14*AG483+BMILMS!$G$14,BMILMS!$D$15*AG483^3+BMILMS!$E$15*AG483^2+BMILMS!$F$15*AG483+BMILMS!$G$15)),(IF(AG483&lt;90,BMILMS!$D$17*AG483^3+BMILMS!$E$17*AG483^2+BMILMS!$F$17*AG483+BMILMS!$G$17,BMILMS!$D$18*AG483^3+BMILMS!$E$18*AG483^2+BMILMS!$F$18*AG483+BMILMS!$G$18)))</f>
        <v>8.8969350000000003E-2</v>
      </c>
      <c r="AG483" s="24">
        <f t="shared" si="128"/>
        <v>0</v>
      </c>
      <c r="AI483" s="38">
        <f>IF(D483="M",WeightSDS!P$5*$AG483^7+WeightSDS!Q$5*$AG483^6+WeightSDS!R$5*$AG483^5+WeightSDS!S$5*$AG483^4+WeightSDS!T$5*$AG483^3+WeightSDS!U$5*$AG483^2+WeightSDS!V$5*$AG483+WeightSDS!W$5,IF($AG483&lt;186,WeightSDS!P$8*$AG483^7+WeightSDS!Q$8*$AG483^6+WeightSDS!R$8*$AG483^5+WeightSDS!S$8*$AG483^4+WeightSDS!T$8*$AG483^3+WeightSDS!U$8*$AG483^2+WeightSDS!V$8*$AG483+WeightSDS!W$8,WeightSDS!$U$9-WeightSDS!$V$9*($AG483-WeightSDS!$W$9)))</f>
        <v>0.75407122999999998</v>
      </c>
      <c r="AJ483" s="24">
        <f>IF(D483="M",IF($AG483&lt;45,WeightSDS!M$23*$AG483^10+WeightSDS!N$23*$AG483^9+WeightSDS!O$23*$AG483^8+WeightSDS!P$23*$AG483^7+WeightSDS!Q$23*$AG483^6+WeightSDS!R$23*$AG483^5+WeightSDS!S$23*$AG483^4+WeightSDS!T$23*$AG483^3+WeightSDS!U$23*$AG483^2+WeightSDS!V$23*$AG483+WeightSDS!W$23,IF($AG483&lt;153,WeightSDS!M$25*$AG483^10+WeightSDS!N$25*$AG483^9+WeightSDS!O$25*$AG483^8+WeightSDS!P$25*$AG483^7+WeightSDS!Q$25*$AG483^6+WeightSDS!R$25*$AG483^5+WeightSDS!S$25*$AG483^4+WeightSDS!T$25*$AG483^3+WeightSDS!U$25*$AG483^2+WeightSDS!V$25*$AG483+WeightSDS!W$25,WeightSDS!M$27+WeightSDS!N$27/(1+EXP(WeightSDS!O$27+WeightSDS!P$27*$AG483)))),IF($AG483&lt;43.8,WeightSDS!M$29*$AG483^10+WeightSDS!N$29*$AG483^9+WeightSDS!O$29*$AG483^8+WeightSDS!P$29*$AG483^7+WeightSDS!Q$29*$AG483^6+WeightSDS!R$29*$AG483^5+WeightSDS!S$29*$AG483^4+WeightSDS!T$29*$AG483^3+WeightSDS!U$29*$AG483^2+WeightSDS!V$29*$AG483+WeightSDS!W$29-0.010431*(1-$AG483/210),IF($AG483&lt;123,WeightSDS!M$30*$AG483^10+WeightSDS!N$30*$AG483^9+WeightSDS!O$30*$AG483^8+WeightSDS!P$30*$AG483^7+WeightSDS!Q$30*$AG483^6+WeightSDS!R$30*$AG483^5+WeightSDS!S$30*$AG483^4+WeightSDS!T$30*$AG483^3+WeightSDS!U$30*$AG483^2+WeightSDS!V$30*$AG483+WeightSDS!W$30-0.010431*(1-1/$AG483),WeightSDS!M$32+WeightSDS!N$32/(1+EXP(WeightSDS!O$32+WeightSDS!P$32*$AG483))-0.010431*(1-$AG483/210))))</f>
        <v>2.9500001032655536</v>
      </c>
      <c r="AK483" s="24">
        <f>IF(D483="M",IF($AG483&lt;162,WeightSDS!P$12*$AG483^7+WeightSDS!Q$12*$AG483^6+WeightSDS!R$12*$AG483^5+WeightSDS!S$12*$AG483^4+WeightSDS!T$12*$AG483^3+WeightSDS!U$12*$AG483^2+WeightSDS!V$12*$AG483+WeightSDS!W$12,WeightSDS!P$14*$AG483^7+WeightSDS!Q$14*$AG483^6+WeightSDS!R$14*$AG483^5+WeightSDS!S$14*$AG483^4+WeightSDS!T$14*$AG483^3+WeightSDS!U$14*$AG483^2+WeightSDS!V$14*$AG483+WeightSDS!W$14),IF($AG483&lt;156,WeightSDS!O$17*$AG483^8+WeightSDS!P$17*$AG483^7+WeightSDS!Q$17*$AG483^6+WeightSDS!R$17*$AG483^5+WeightSDS!S$17*$AG483^4+WeightSDS!T$17*$AG483^3+WeightSDS!U$17*$AG483^2+WeightSDS!V$17*$AG483+WeightSDS!W$17,IF($AG483&lt;186,WeightSDS!$U$18+(WeightSDS!$V$18-WeightSDS!$U$18)/24*($AG483-186)+WeightSDS!$W$18*(-$AG483+186)^2-0.005,WeightSDS!$U$18+(WeightSDS!$V$18-WeightSDS!$U$18)/24*($AG483-186)-0.005)))</f>
        <v>0.14604529399999999</v>
      </c>
    </row>
    <row r="484" spans="1:37">
      <c r="A484" s="4"/>
      <c r="B484" s="21"/>
      <c r="C484" s="21"/>
      <c r="D484" s="21"/>
      <c r="E484" s="22"/>
      <c r="F484" s="22"/>
      <c r="G484" s="23"/>
      <c r="H484" s="23"/>
      <c r="I484" s="8" t="str">
        <f t="shared" si="114"/>
        <v/>
      </c>
      <c r="J484" s="2" t="str">
        <f t="shared" si="121"/>
        <v/>
      </c>
      <c r="K484" s="2" t="str">
        <f t="shared" si="115"/>
        <v/>
      </c>
      <c r="L484" s="2" t="str">
        <f t="shared" si="122"/>
        <v/>
      </c>
      <c r="M484" s="2" t="str">
        <f t="shared" si="127"/>
        <v/>
      </c>
      <c r="N484" s="2" t="str">
        <f t="shared" si="123"/>
        <v/>
      </c>
      <c r="O484" s="8" t="str">
        <f t="shared" si="124"/>
        <v/>
      </c>
      <c r="P484" s="8" t="str">
        <f t="shared" si="125"/>
        <v/>
      </c>
      <c r="Q484" s="40" t="str">
        <f t="shared" si="116"/>
        <v/>
      </c>
      <c r="R484" s="48" t="str">
        <f t="shared" si="126"/>
        <v/>
      </c>
      <c r="S484" s="8"/>
      <c r="U484" s="35">
        <f t="shared" si="117"/>
        <v>0</v>
      </c>
      <c r="V484" s="24">
        <f t="shared" si="118"/>
        <v>0</v>
      </c>
      <c r="W484" s="41">
        <f t="shared" si="129"/>
        <v>0</v>
      </c>
      <c r="X484" s="31"/>
      <c r="Y484" s="31"/>
      <c r="Z484" s="31"/>
      <c r="AA484" s="25">
        <f t="shared" si="119"/>
        <v>9.0359999999999996</v>
      </c>
      <c r="AB484" s="25">
        <f t="shared" si="120"/>
        <v>-184.49199999999999</v>
      </c>
      <c r="AD484" s="24">
        <f>IF(D484="M",IF(AG484&lt;78,BMILMS!$D$5*AG484^3+BMILMS!$E$5*AG484^2+BMILMS!$F$5*AG484+BMILMS!$G$5,IF(AG484&lt;150,BMILMS!$D$6*AG484^3+BMILMS!$E$6*AG484^2+BMILMS!$F$6*AG484+BMILMS!$G$6,BMILMS!$D$7*AG484^3+BMILMS!$E$7*AG484^2+BMILMS!$F$7*AG484+BMILMS!$G$7)),IF(AG484&lt;69,BMILMS!$D$9*AG484^3+BMILMS!$E$9*AG484^2+BMILMS!$F$9*AG484+BMILMS!$G$9,IF(AG484&lt;150,BMILMS!$D$10*AG484^3+BMILMS!$E$10*AG484^2+BMILMS!$F$10*AG484+BMILMS!$G$10,BMILMS!$D$11*AG484^3+BMILMS!$E$11*AG484^2+BMILMS!$F$11*AG484+BMILMS!$G$11)))</f>
        <v>0.79584630099999998</v>
      </c>
      <c r="AE484" s="24">
        <f>IF(D484="M",(IF(AG484&lt;2.5,BMILMS!$D$21*AG484^3+BMILMS!$E$21*AG484^2+BMILMS!$F$21*AG484+BMILMS!$G$21,IF(AG484&lt;9.5,BMILMS!$D$22*AG484^3+BMILMS!$E$22*AG484^2+BMILMS!$F$22*AG484+BMILMS!$G$22,IF(AG484&lt;26.75,BMILMS!$D$23*AG484^3+BMILMS!$E$23*AG484^2+BMILMS!$F$23*AG484+BMILMS!$G$23,IF(AG484&lt;90,BMILMS!$D$24*AG484^3+BMILMS!$E$24*AG484^2+BMILMS!$F$24*AG484+BMILMS!$G$24,BMILMS!$D$25*AG484^3+BMILMS!$E$25*AG484^2+BMILMS!$F$25*AG484+BMILMS!$G$25))))),(IF(AG484&lt;2.5,BMILMS!$D$27*AG484^3+BMILMS!$E$27*AG484^2+BMILMS!$F$27*AG484+BMILMS!$G$27,IF(AG484&lt;9.5,BMILMS!$D$28*AG484^3+BMILMS!$E$28*AG484^2+BMILMS!$F$28*AG484+BMILMS!$G$28,IF(AG484&lt;26.75,BMILMS!$D$29*AG484^3+BMILMS!$E$29*AG484^2+BMILMS!$F$29*AG484+BMILMS!$G$29,IF(AG484&lt;90,BMILMS!$D$30*AG484^3+BMILMS!$E$30*AG484^2+BMILMS!$F$30*AG484+BMILMS!$G$30,IF(AG484&lt;150,BMILMS!$D$31*AG484^3+BMILMS!$E$31*AG484^2+BMILMS!$F$31*AG484+BMILMS!$G$31,BMILMS!$D$32*AG484^3+BMILMS!$E$32*AG484^2+BMILMS!$F$32*AG484+BMILMS!$G$32)))))))</f>
        <v>12.568967990000001</v>
      </c>
      <c r="AF484" s="24">
        <f>IF(D484="M",(IF(AG484&lt;90,BMILMS!$D$14*AG484^3+BMILMS!$E$14*AG484^2+BMILMS!$F$14*AG484+BMILMS!$G$14,BMILMS!$D$15*AG484^3+BMILMS!$E$15*AG484^2+BMILMS!$F$15*AG484+BMILMS!$G$15)),(IF(AG484&lt;90,BMILMS!$D$17*AG484^3+BMILMS!$E$17*AG484^2+BMILMS!$F$17*AG484+BMILMS!$G$17,BMILMS!$D$18*AG484^3+BMILMS!$E$18*AG484^2+BMILMS!$F$18*AG484+BMILMS!$G$18)))</f>
        <v>8.8969350000000003E-2</v>
      </c>
      <c r="AG484" s="24">
        <f t="shared" si="128"/>
        <v>0</v>
      </c>
      <c r="AI484" s="38">
        <f>IF(D484="M",WeightSDS!P$5*$AG484^7+WeightSDS!Q$5*$AG484^6+WeightSDS!R$5*$AG484^5+WeightSDS!S$5*$AG484^4+WeightSDS!T$5*$AG484^3+WeightSDS!U$5*$AG484^2+WeightSDS!V$5*$AG484+WeightSDS!W$5,IF($AG484&lt;186,WeightSDS!P$8*$AG484^7+WeightSDS!Q$8*$AG484^6+WeightSDS!R$8*$AG484^5+WeightSDS!S$8*$AG484^4+WeightSDS!T$8*$AG484^3+WeightSDS!U$8*$AG484^2+WeightSDS!V$8*$AG484+WeightSDS!W$8,WeightSDS!$U$9-WeightSDS!$V$9*($AG484-WeightSDS!$W$9)))</f>
        <v>0.75407122999999998</v>
      </c>
      <c r="AJ484" s="24">
        <f>IF(D484="M",IF($AG484&lt;45,WeightSDS!M$23*$AG484^10+WeightSDS!N$23*$AG484^9+WeightSDS!O$23*$AG484^8+WeightSDS!P$23*$AG484^7+WeightSDS!Q$23*$AG484^6+WeightSDS!R$23*$AG484^5+WeightSDS!S$23*$AG484^4+WeightSDS!T$23*$AG484^3+WeightSDS!U$23*$AG484^2+WeightSDS!V$23*$AG484+WeightSDS!W$23,IF($AG484&lt;153,WeightSDS!M$25*$AG484^10+WeightSDS!N$25*$AG484^9+WeightSDS!O$25*$AG484^8+WeightSDS!P$25*$AG484^7+WeightSDS!Q$25*$AG484^6+WeightSDS!R$25*$AG484^5+WeightSDS!S$25*$AG484^4+WeightSDS!T$25*$AG484^3+WeightSDS!U$25*$AG484^2+WeightSDS!V$25*$AG484+WeightSDS!W$25,WeightSDS!M$27+WeightSDS!N$27/(1+EXP(WeightSDS!O$27+WeightSDS!P$27*$AG484)))),IF($AG484&lt;43.8,WeightSDS!M$29*$AG484^10+WeightSDS!N$29*$AG484^9+WeightSDS!O$29*$AG484^8+WeightSDS!P$29*$AG484^7+WeightSDS!Q$29*$AG484^6+WeightSDS!R$29*$AG484^5+WeightSDS!S$29*$AG484^4+WeightSDS!T$29*$AG484^3+WeightSDS!U$29*$AG484^2+WeightSDS!V$29*$AG484+WeightSDS!W$29-0.010431*(1-$AG484/210),IF($AG484&lt;123,WeightSDS!M$30*$AG484^10+WeightSDS!N$30*$AG484^9+WeightSDS!O$30*$AG484^8+WeightSDS!P$30*$AG484^7+WeightSDS!Q$30*$AG484^6+WeightSDS!R$30*$AG484^5+WeightSDS!S$30*$AG484^4+WeightSDS!T$30*$AG484^3+WeightSDS!U$30*$AG484^2+WeightSDS!V$30*$AG484+WeightSDS!W$30-0.010431*(1-1/$AG484),WeightSDS!M$32+WeightSDS!N$32/(1+EXP(WeightSDS!O$32+WeightSDS!P$32*$AG484))-0.010431*(1-$AG484/210))))</f>
        <v>2.9500001032655536</v>
      </c>
      <c r="AK484" s="24">
        <f>IF(D484="M",IF($AG484&lt;162,WeightSDS!P$12*$AG484^7+WeightSDS!Q$12*$AG484^6+WeightSDS!R$12*$AG484^5+WeightSDS!S$12*$AG484^4+WeightSDS!T$12*$AG484^3+WeightSDS!U$12*$AG484^2+WeightSDS!V$12*$AG484+WeightSDS!W$12,WeightSDS!P$14*$AG484^7+WeightSDS!Q$14*$AG484^6+WeightSDS!R$14*$AG484^5+WeightSDS!S$14*$AG484^4+WeightSDS!T$14*$AG484^3+WeightSDS!U$14*$AG484^2+WeightSDS!V$14*$AG484+WeightSDS!W$14),IF($AG484&lt;156,WeightSDS!O$17*$AG484^8+WeightSDS!P$17*$AG484^7+WeightSDS!Q$17*$AG484^6+WeightSDS!R$17*$AG484^5+WeightSDS!S$17*$AG484^4+WeightSDS!T$17*$AG484^3+WeightSDS!U$17*$AG484^2+WeightSDS!V$17*$AG484+WeightSDS!W$17,IF($AG484&lt;186,WeightSDS!$U$18+(WeightSDS!$V$18-WeightSDS!$U$18)/24*($AG484-186)+WeightSDS!$W$18*(-$AG484+186)^2-0.005,WeightSDS!$U$18+(WeightSDS!$V$18-WeightSDS!$U$18)/24*($AG484-186)-0.005)))</f>
        <v>0.14604529399999999</v>
      </c>
    </row>
    <row r="485" spans="1:37">
      <c r="A485" s="4"/>
      <c r="B485" s="21"/>
      <c r="C485" s="21"/>
      <c r="D485" s="21"/>
      <c r="E485" s="22"/>
      <c r="F485" s="22"/>
      <c r="G485" s="23"/>
      <c r="H485" s="23"/>
      <c r="I485" s="8" t="str">
        <f t="shared" si="114"/>
        <v/>
      </c>
      <c r="J485" s="2" t="str">
        <f t="shared" si="121"/>
        <v/>
      </c>
      <c r="K485" s="2" t="str">
        <f t="shared" si="115"/>
        <v/>
      </c>
      <c r="L485" s="2" t="str">
        <f t="shared" si="122"/>
        <v/>
      </c>
      <c r="M485" s="2" t="str">
        <f t="shared" si="127"/>
        <v/>
      </c>
      <c r="N485" s="2" t="str">
        <f t="shared" si="123"/>
        <v/>
      </c>
      <c r="O485" s="8" t="str">
        <f t="shared" si="124"/>
        <v/>
      </c>
      <c r="P485" s="8" t="str">
        <f t="shared" si="125"/>
        <v/>
      </c>
      <c r="Q485" s="40" t="str">
        <f t="shared" si="116"/>
        <v/>
      </c>
      <c r="R485" s="48" t="str">
        <f t="shared" si="126"/>
        <v/>
      </c>
      <c r="S485" s="8"/>
      <c r="U485" s="35">
        <f t="shared" si="117"/>
        <v>0</v>
      </c>
      <c r="V485" s="24">
        <f t="shared" si="118"/>
        <v>0</v>
      </c>
      <c r="W485" s="41">
        <f t="shared" si="129"/>
        <v>0</v>
      </c>
      <c r="X485" s="31"/>
      <c r="Y485" s="31"/>
      <c r="Z485" s="31"/>
      <c r="AA485" s="25">
        <f t="shared" si="119"/>
        <v>9.0359999999999996</v>
      </c>
      <c r="AB485" s="25">
        <f t="shared" si="120"/>
        <v>-184.49199999999999</v>
      </c>
      <c r="AD485" s="24">
        <f>IF(D485="M",IF(AG485&lt;78,BMILMS!$D$5*AG485^3+BMILMS!$E$5*AG485^2+BMILMS!$F$5*AG485+BMILMS!$G$5,IF(AG485&lt;150,BMILMS!$D$6*AG485^3+BMILMS!$E$6*AG485^2+BMILMS!$F$6*AG485+BMILMS!$G$6,BMILMS!$D$7*AG485^3+BMILMS!$E$7*AG485^2+BMILMS!$F$7*AG485+BMILMS!$G$7)),IF(AG485&lt;69,BMILMS!$D$9*AG485^3+BMILMS!$E$9*AG485^2+BMILMS!$F$9*AG485+BMILMS!$G$9,IF(AG485&lt;150,BMILMS!$D$10*AG485^3+BMILMS!$E$10*AG485^2+BMILMS!$F$10*AG485+BMILMS!$G$10,BMILMS!$D$11*AG485^3+BMILMS!$E$11*AG485^2+BMILMS!$F$11*AG485+BMILMS!$G$11)))</f>
        <v>0.79584630099999998</v>
      </c>
      <c r="AE485" s="24">
        <f>IF(D485="M",(IF(AG485&lt;2.5,BMILMS!$D$21*AG485^3+BMILMS!$E$21*AG485^2+BMILMS!$F$21*AG485+BMILMS!$G$21,IF(AG485&lt;9.5,BMILMS!$D$22*AG485^3+BMILMS!$E$22*AG485^2+BMILMS!$F$22*AG485+BMILMS!$G$22,IF(AG485&lt;26.75,BMILMS!$D$23*AG485^3+BMILMS!$E$23*AG485^2+BMILMS!$F$23*AG485+BMILMS!$G$23,IF(AG485&lt;90,BMILMS!$D$24*AG485^3+BMILMS!$E$24*AG485^2+BMILMS!$F$24*AG485+BMILMS!$G$24,BMILMS!$D$25*AG485^3+BMILMS!$E$25*AG485^2+BMILMS!$F$25*AG485+BMILMS!$G$25))))),(IF(AG485&lt;2.5,BMILMS!$D$27*AG485^3+BMILMS!$E$27*AG485^2+BMILMS!$F$27*AG485+BMILMS!$G$27,IF(AG485&lt;9.5,BMILMS!$D$28*AG485^3+BMILMS!$E$28*AG485^2+BMILMS!$F$28*AG485+BMILMS!$G$28,IF(AG485&lt;26.75,BMILMS!$D$29*AG485^3+BMILMS!$E$29*AG485^2+BMILMS!$F$29*AG485+BMILMS!$G$29,IF(AG485&lt;90,BMILMS!$D$30*AG485^3+BMILMS!$E$30*AG485^2+BMILMS!$F$30*AG485+BMILMS!$G$30,IF(AG485&lt;150,BMILMS!$D$31*AG485^3+BMILMS!$E$31*AG485^2+BMILMS!$F$31*AG485+BMILMS!$G$31,BMILMS!$D$32*AG485^3+BMILMS!$E$32*AG485^2+BMILMS!$F$32*AG485+BMILMS!$G$32)))))))</f>
        <v>12.568967990000001</v>
      </c>
      <c r="AF485" s="24">
        <f>IF(D485="M",(IF(AG485&lt;90,BMILMS!$D$14*AG485^3+BMILMS!$E$14*AG485^2+BMILMS!$F$14*AG485+BMILMS!$G$14,BMILMS!$D$15*AG485^3+BMILMS!$E$15*AG485^2+BMILMS!$F$15*AG485+BMILMS!$G$15)),(IF(AG485&lt;90,BMILMS!$D$17*AG485^3+BMILMS!$E$17*AG485^2+BMILMS!$F$17*AG485+BMILMS!$G$17,BMILMS!$D$18*AG485^3+BMILMS!$E$18*AG485^2+BMILMS!$F$18*AG485+BMILMS!$G$18)))</f>
        <v>8.8969350000000003E-2</v>
      </c>
      <c r="AG485" s="24">
        <f t="shared" si="128"/>
        <v>0</v>
      </c>
      <c r="AI485" s="38">
        <f>IF(D485="M",WeightSDS!P$5*$AG485^7+WeightSDS!Q$5*$AG485^6+WeightSDS!R$5*$AG485^5+WeightSDS!S$5*$AG485^4+WeightSDS!T$5*$AG485^3+WeightSDS!U$5*$AG485^2+WeightSDS!V$5*$AG485+WeightSDS!W$5,IF($AG485&lt;186,WeightSDS!P$8*$AG485^7+WeightSDS!Q$8*$AG485^6+WeightSDS!R$8*$AG485^5+WeightSDS!S$8*$AG485^4+WeightSDS!T$8*$AG485^3+WeightSDS!U$8*$AG485^2+WeightSDS!V$8*$AG485+WeightSDS!W$8,WeightSDS!$U$9-WeightSDS!$V$9*($AG485-WeightSDS!$W$9)))</f>
        <v>0.75407122999999998</v>
      </c>
      <c r="AJ485" s="24">
        <f>IF(D485="M",IF($AG485&lt;45,WeightSDS!M$23*$AG485^10+WeightSDS!N$23*$AG485^9+WeightSDS!O$23*$AG485^8+WeightSDS!P$23*$AG485^7+WeightSDS!Q$23*$AG485^6+WeightSDS!R$23*$AG485^5+WeightSDS!S$23*$AG485^4+WeightSDS!T$23*$AG485^3+WeightSDS!U$23*$AG485^2+WeightSDS!V$23*$AG485+WeightSDS!W$23,IF($AG485&lt;153,WeightSDS!M$25*$AG485^10+WeightSDS!N$25*$AG485^9+WeightSDS!O$25*$AG485^8+WeightSDS!P$25*$AG485^7+WeightSDS!Q$25*$AG485^6+WeightSDS!R$25*$AG485^5+WeightSDS!S$25*$AG485^4+WeightSDS!T$25*$AG485^3+WeightSDS!U$25*$AG485^2+WeightSDS!V$25*$AG485+WeightSDS!W$25,WeightSDS!M$27+WeightSDS!N$27/(1+EXP(WeightSDS!O$27+WeightSDS!P$27*$AG485)))),IF($AG485&lt;43.8,WeightSDS!M$29*$AG485^10+WeightSDS!N$29*$AG485^9+WeightSDS!O$29*$AG485^8+WeightSDS!P$29*$AG485^7+WeightSDS!Q$29*$AG485^6+WeightSDS!R$29*$AG485^5+WeightSDS!S$29*$AG485^4+WeightSDS!T$29*$AG485^3+WeightSDS!U$29*$AG485^2+WeightSDS!V$29*$AG485+WeightSDS!W$29-0.010431*(1-$AG485/210),IF($AG485&lt;123,WeightSDS!M$30*$AG485^10+WeightSDS!N$30*$AG485^9+WeightSDS!O$30*$AG485^8+WeightSDS!P$30*$AG485^7+WeightSDS!Q$30*$AG485^6+WeightSDS!R$30*$AG485^5+WeightSDS!S$30*$AG485^4+WeightSDS!T$30*$AG485^3+WeightSDS!U$30*$AG485^2+WeightSDS!V$30*$AG485+WeightSDS!W$30-0.010431*(1-1/$AG485),WeightSDS!M$32+WeightSDS!N$32/(1+EXP(WeightSDS!O$32+WeightSDS!P$32*$AG485))-0.010431*(1-$AG485/210))))</f>
        <v>2.9500001032655536</v>
      </c>
      <c r="AK485" s="24">
        <f>IF(D485="M",IF($AG485&lt;162,WeightSDS!P$12*$AG485^7+WeightSDS!Q$12*$AG485^6+WeightSDS!R$12*$AG485^5+WeightSDS!S$12*$AG485^4+WeightSDS!T$12*$AG485^3+WeightSDS!U$12*$AG485^2+WeightSDS!V$12*$AG485+WeightSDS!W$12,WeightSDS!P$14*$AG485^7+WeightSDS!Q$14*$AG485^6+WeightSDS!R$14*$AG485^5+WeightSDS!S$14*$AG485^4+WeightSDS!T$14*$AG485^3+WeightSDS!U$14*$AG485^2+WeightSDS!V$14*$AG485+WeightSDS!W$14),IF($AG485&lt;156,WeightSDS!O$17*$AG485^8+WeightSDS!P$17*$AG485^7+WeightSDS!Q$17*$AG485^6+WeightSDS!R$17*$AG485^5+WeightSDS!S$17*$AG485^4+WeightSDS!T$17*$AG485^3+WeightSDS!U$17*$AG485^2+WeightSDS!V$17*$AG485+WeightSDS!W$17,IF($AG485&lt;186,WeightSDS!$U$18+(WeightSDS!$V$18-WeightSDS!$U$18)/24*($AG485-186)+WeightSDS!$W$18*(-$AG485+186)^2-0.005,WeightSDS!$U$18+(WeightSDS!$V$18-WeightSDS!$U$18)/24*($AG485-186)-0.005)))</f>
        <v>0.14604529399999999</v>
      </c>
    </row>
    <row r="486" spans="1:37">
      <c r="A486" s="4"/>
      <c r="B486" s="21"/>
      <c r="C486" s="21"/>
      <c r="D486" s="21"/>
      <c r="E486" s="22"/>
      <c r="F486" s="22"/>
      <c r="G486" s="23"/>
      <c r="H486" s="23"/>
      <c r="I486" s="8" t="str">
        <f t="shared" si="114"/>
        <v/>
      </c>
      <c r="J486" s="2" t="str">
        <f t="shared" si="121"/>
        <v/>
      </c>
      <c r="K486" s="2" t="str">
        <f t="shared" si="115"/>
        <v/>
      </c>
      <c r="L486" s="2" t="str">
        <f t="shared" si="122"/>
        <v/>
      </c>
      <c r="M486" s="2" t="str">
        <f t="shared" si="127"/>
        <v/>
      </c>
      <c r="N486" s="2" t="str">
        <f t="shared" si="123"/>
        <v/>
      </c>
      <c r="O486" s="8" t="str">
        <f t="shared" si="124"/>
        <v/>
      </c>
      <c r="P486" s="8" t="str">
        <f t="shared" si="125"/>
        <v/>
      </c>
      <c r="Q486" s="40" t="str">
        <f t="shared" si="116"/>
        <v/>
      </c>
      <c r="R486" s="48" t="str">
        <f t="shared" si="126"/>
        <v/>
      </c>
      <c r="S486" s="8"/>
      <c r="U486" s="35">
        <f t="shared" si="117"/>
        <v>0</v>
      </c>
      <c r="V486" s="24">
        <f t="shared" si="118"/>
        <v>0</v>
      </c>
      <c r="W486" s="41">
        <f t="shared" si="129"/>
        <v>0</v>
      </c>
      <c r="X486" s="31"/>
      <c r="Y486" s="31"/>
      <c r="Z486" s="31"/>
      <c r="AA486" s="25">
        <f t="shared" si="119"/>
        <v>9.0359999999999996</v>
      </c>
      <c r="AB486" s="25">
        <f t="shared" si="120"/>
        <v>-184.49199999999999</v>
      </c>
      <c r="AD486" s="24">
        <f>IF(D486="M",IF(AG486&lt;78,BMILMS!$D$5*AG486^3+BMILMS!$E$5*AG486^2+BMILMS!$F$5*AG486+BMILMS!$G$5,IF(AG486&lt;150,BMILMS!$D$6*AG486^3+BMILMS!$E$6*AG486^2+BMILMS!$F$6*AG486+BMILMS!$G$6,BMILMS!$D$7*AG486^3+BMILMS!$E$7*AG486^2+BMILMS!$F$7*AG486+BMILMS!$G$7)),IF(AG486&lt;69,BMILMS!$D$9*AG486^3+BMILMS!$E$9*AG486^2+BMILMS!$F$9*AG486+BMILMS!$G$9,IF(AG486&lt;150,BMILMS!$D$10*AG486^3+BMILMS!$E$10*AG486^2+BMILMS!$F$10*AG486+BMILMS!$G$10,BMILMS!$D$11*AG486^3+BMILMS!$E$11*AG486^2+BMILMS!$F$11*AG486+BMILMS!$G$11)))</f>
        <v>0.79584630099999998</v>
      </c>
      <c r="AE486" s="24">
        <f>IF(D486="M",(IF(AG486&lt;2.5,BMILMS!$D$21*AG486^3+BMILMS!$E$21*AG486^2+BMILMS!$F$21*AG486+BMILMS!$G$21,IF(AG486&lt;9.5,BMILMS!$D$22*AG486^3+BMILMS!$E$22*AG486^2+BMILMS!$F$22*AG486+BMILMS!$G$22,IF(AG486&lt;26.75,BMILMS!$D$23*AG486^3+BMILMS!$E$23*AG486^2+BMILMS!$F$23*AG486+BMILMS!$G$23,IF(AG486&lt;90,BMILMS!$D$24*AG486^3+BMILMS!$E$24*AG486^2+BMILMS!$F$24*AG486+BMILMS!$G$24,BMILMS!$D$25*AG486^3+BMILMS!$E$25*AG486^2+BMILMS!$F$25*AG486+BMILMS!$G$25))))),(IF(AG486&lt;2.5,BMILMS!$D$27*AG486^3+BMILMS!$E$27*AG486^2+BMILMS!$F$27*AG486+BMILMS!$G$27,IF(AG486&lt;9.5,BMILMS!$D$28*AG486^3+BMILMS!$E$28*AG486^2+BMILMS!$F$28*AG486+BMILMS!$G$28,IF(AG486&lt;26.75,BMILMS!$D$29*AG486^3+BMILMS!$E$29*AG486^2+BMILMS!$F$29*AG486+BMILMS!$G$29,IF(AG486&lt;90,BMILMS!$D$30*AG486^3+BMILMS!$E$30*AG486^2+BMILMS!$F$30*AG486+BMILMS!$G$30,IF(AG486&lt;150,BMILMS!$D$31*AG486^3+BMILMS!$E$31*AG486^2+BMILMS!$F$31*AG486+BMILMS!$G$31,BMILMS!$D$32*AG486^3+BMILMS!$E$32*AG486^2+BMILMS!$F$32*AG486+BMILMS!$G$32)))))))</f>
        <v>12.568967990000001</v>
      </c>
      <c r="AF486" s="24">
        <f>IF(D486="M",(IF(AG486&lt;90,BMILMS!$D$14*AG486^3+BMILMS!$E$14*AG486^2+BMILMS!$F$14*AG486+BMILMS!$G$14,BMILMS!$D$15*AG486^3+BMILMS!$E$15*AG486^2+BMILMS!$F$15*AG486+BMILMS!$G$15)),(IF(AG486&lt;90,BMILMS!$D$17*AG486^3+BMILMS!$E$17*AG486^2+BMILMS!$F$17*AG486+BMILMS!$G$17,BMILMS!$D$18*AG486^3+BMILMS!$E$18*AG486^2+BMILMS!$F$18*AG486+BMILMS!$G$18)))</f>
        <v>8.8969350000000003E-2</v>
      </c>
      <c r="AG486" s="24">
        <f t="shared" si="128"/>
        <v>0</v>
      </c>
      <c r="AI486" s="38">
        <f>IF(D486="M",WeightSDS!P$5*$AG486^7+WeightSDS!Q$5*$AG486^6+WeightSDS!R$5*$AG486^5+WeightSDS!S$5*$AG486^4+WeightSDS!T$5*$AG486^3+WeightSDS!U$5*$AG486^2+WeightSDS!V$5*$AG486+WeightSDS!W$5,IF($AG486&lt;186,WeightSDS!P$8*$AG486^7+WeightSDS!Q$8*$AG486^6+WeightSDS!R$8*$AG486^5+WeightSDS!S$8*$AG486^4+WeightSDS!T$8*$AG486^3+WeightSDS!U$8*$AG486^2+WeightSDS!V$8*$AG486+WeightSDS!W$8,WeightSDS!$U$9-WeightSDS!$V$9*($AG486-WeightSDS!$W$9)))</f>
        <v>0.75407122999999998</v>
      </c>
      <c r="AJ486" s="24">
        <f>IF(D486="M",IF($AG486&lt;45,WeightSDS!M$23*$AG486^10+WeightSDS!N$23*$AG486^9+WeightSDS!O$23*$AG486^8+WeightSDS!P$23*$AG486^7+WeightSDS!Q$23*$AG486^6+WeightSDS!R$23*$AG486^5+WeightSDS!S$23*$AG486^4+WeightSDS!T$23*$AG486^3+WeightSDS!U$23*$AG486^2+WeightSDS!V$23*$AG486+WeightSDS!W$23,IF($AG486&lt;153,WeightSDS!M$25*$AG486^10+WeightSDS!N$25*$AG486^9+WeightSDS!O$25*$AG486^8+WeightSDS!P$25*$AG486^7+WeightSDS!Q$25*$AG486^6+WeightSDS!R$25*$AG486^5+WeightSDS!S$25*$AG486^4+WeightSDS!T$25*$AG486^3+WeightSDS!U$25*$AG486^2+WeightSDS!V$25*$AG486+WeightSDS!W$25,WeightSDS!M$27+WeightSDS!N$27/(1+EXP(WeightSDS!O$27+WeightSDS!P$27*$AG486)))),IF($AG486&lt;43.8,WeightSDS!M$29*$AG486^10+WeightSDS!N$29*$AG486^9+WeightSDS!O$29*$AG486^8+WeightSDS!P$29*$AG486^7+WeightSDS!Q$29*$AG486^6+WeightSDS!R$29*$AG486^5+WeightSDS!S$29*$AG486^4+WeightSDS!T$29*$AG486^3+WeightSDS!U$29*$AG486^2+WeightSDS!V$29*$AG486+WeightSDS!W$29-0.010431*(1-$AG486/210),IF($AG486&lt;123,WeightSDS!M$30*$AG486^10+WeightSDS!N$30*$AG486^9+WeightSDS!O$30*$AG486^8+WeightSDS!P$30*$AG486^7+WeightSDS!Q$30*$AG486^6+WeightSDS!R$30*$AG486^5+WeightSDS!S$30*$AG486^4+WeightSDS!T$30*$AG486^3+WeightSDS!U$30*$AG486^2+WeightSDS!V$30*$AG486+WeightSDS!W$30-0.010431*(1-1/$AG486),WeightSDS!M$32+WeightSDS!N$32/(1+EXP(WeightSDS!O$32+WeightSDS!P$32*$AG486))-0.010431*(1-$AG486/210))))</f>
        <v>2.9500001032655536</v>
      </c>
      <c r="AK486" s="24">
        <f>IF(D486="M",IF($AG486&lt;162,WeightSDS!P$12*$AG486^7+WeightSDS!Q$12*$AG486^6+WeightSDS!R$12*$AG486^5+WeightSDS!S$12*$AG486^4+WeightSDS!T$12*$AG486^3+WeightSDS!U$12*$AG486^2+WeightSDS!V$12*$AG486+WeightSDS!W$12,WeightSDS!P$14*$AG486^7+WeightSDS!Q$14*$AG486^6+WeightSDS!R$14*$AG486^5+WeightSDS!S$14*$AG486^4+WeightSDS!T$14*$AG486^3+WeightSDS!U$14*$AG486^2+WeightSDS!V$14*$AG486+WeightSDS!W$14),IF($AG486&lt;156,WeightSDS!O$17*$AG486^8+WeightSDS!P$17*$AG486^7+WeightSDS!Q$17*$AG486^6+WeightSDS!R$17*$AG486^5+WeightSDS!S$17*$AG486^4+WeightSDS!T$17*$AG486^3+WeightSDS!U$17*$AG486^2+WeightSDS!V$17*$AG486+WeightSDS!W$17,IF($AG486&lt;186,WeightSDS!$U$18+(WeightSDS!$V$18-WeightSDS!$U$18)/24*($AG486-186)+WeightSDS!$W$18*(-$AG486+186)^2-0.005,WeightSDS!$U$18+(WeightSDS!$V$18-WeightSDS!$U$18)/24*($AG486-186)-0.005)))</f>
        <v>0.14604529399999999</v>
      </c>
    </row>
    <row r="487" spans="1:37">
      <c r="A487" s="4"/>
      <c r="B487" s="21"/>
      <c r="C487" s="21"/>
      <c r="D487" s="21"/>
      <c r="E487" s="22"/>
      <c r="F487" s="22"/>
      <c r="G487" s="23"/>
      <c r="H487" s="23"/>
      <c r="I487" s="8" t="str">
        <f t="shared" si="114"/>
        <v/>
      </c>
      <c r="J487" s="2" t="str">
        <f t="shared" si="121"/>
        <v/>
      </c>
      <c r="K487" s="2" t="str">
        <f t="shared" si="115"/>
        <v/>
      </c>
      <c r="L487" s="2" t="str">
        <f t="shared" si="122"/>
        <v/>
      </c>
      <c r="M487" s="2" t="str">
        <f t="shared" si="127"/>
        <v/>
      </c>
      <c r="N487" s="2" t="str">
        <f t="shared" si="123"/>
        <v/>
      </c>
      <c r="O487" s="8" t="str">
        <f t="shared" si="124"/>
        <v/>
      </c>
      <c r="P487" s="8" t="str">
        <f t="shared" si="125"/>
        <v/>
      </c>
      <c r="Q487" s="40" t="str">
        <f t="shared" si="116"/>
        <v/>
      </c>
      <c r="R487" s="48" t="str">
        <f t="shared" si="126"/>
        <v/>
      </c>
      <c r="S487" s="8"/>
      <c r="U487" s="35">
        <f t="shared" si="117"/>
        <v>0</v>
      </c>
      <c r="V487" s="24">
        <f t="shared" si="118"/>
        <v>0</v>
      </c>
      <c r="W487" s="41">
        <f t="shared" si="129"/>
        <v>0</v>
      </c>
      <c r="X487" s="31"/>
      <c r="Y487" s="31"/>
      <c r="Z487" s="31"/>
      <c r="AA487" s="25">
        <f t="shared" si="119"/>
        <v>9.0359999999999996</v>
      </c>
      <c r="AB487" s="25">
        <f t="shared" si="120"/>
        <v>-184.49199999999999</v>
      </c>
      <c r="AD487" s="24">
        <f>IF(D487="M",IF(AG487&lt;78,BMILMS!$D$5*AG487^3+BMILMS!$E$5*AG487^2+BMILMS!$F$5*AG487+BMILMS!$G$5,IF(AG487&lt;150,BMILMS!$D$6*AG487^3+BMILMS!$E$6*AG487^2+BMILMS!$F$6*AG487+BMILMS!$G$6,BMILMS!$D$7*AG487^3+BMILMS!$E$7*AG487^2+BMILMS!$F$7*AG487+BMILMS!$G$7)),IF(AG487&lt;69,BMILMS!$D$9*AG487^3+BMILMS!$E$9*AG487^2+BMILMS!$F$9*AG487+BMILMS!$G$9,IF(AG487&lt;150,BMILMS!$D$10*AG487^3+BMILMS!$E$10*AG487^2+BMILMS!$F$10*AG487+BMILMS!$G$10,BMILMS!$D$11*AG487^3+BMILMS!$E$11*AG487^2+BMILMS!$F$11*AG487+BMILMS!$G$11)))</f>
        <v>0.79584630099999998</v>
      </c>
      <c r="AE487" s="24">
        <f>IF(D487="M",(IF(AG487&lt;2.5,BMILMS!$D$21*AG487^3+BMILMS!$E$21*AG487^2+BMILMS!$F$21*AG487+BMILMS!$G$21,IF(AG487&lt;9.5,BMILMS!$D$22*AG487^3+BMILMS!$E$22*AG487^2+BMILMS!$F$22*AG487+BMILMS!$G$22,IF(AG487&lt;26.75,BMILMS!$D$23*AG487^3+BMILMS!$E$23*AG487^2+BMILMS!$F$23*AG487+BMILMS!$G$23,IF(AG487&lt;90,BMILMS!$D$24*AG487^3+BMILMS!$E$24*AG487^2+BMILMS!$F$24*AG487+BMILMS!$G$24,BMILMS!$D$25*AG487^3+BMILMS!$E$25*AG487^2+BMILMS!$F$25*AG487+BMILMS!$G$25))))),(IF(AG487&lt;2.5,BMILMS!$D$27*AG487^3+BMILMS!$E$27*AG487^2+BMILMS!$F$27*AG487+BMILMS!$G$27,IF(AG487&lt;9.5,BMILMS!$D$28*AG487^3+BMILMS!$E$28*AG487^2+BMILMS!$F$28*AG487+BMILMS!$G$28,IF(AG487&lt;26.75,BMILMS!$D$29*AG487^3+BMILMS!$E$29*AG487^2+BMILMS!$F$29*AG487+BMILMS!$G$29,IF(AG487&lt;90,BMILMS!$D$30*AG487^3+BMILMS!$E$30*AG487^2+BMILMS!$F$30*AG487+BMILMS!$G$30,IF(AG487&lt;150,BMILMS!$D$31*AG487^3+BMILMS!$E$31*AG487^2+BMILMS!$F$31*AG487+BMILMS!$G$31,BMILMS!$D$32*AG487^3+BMILMS!$E$32*AG487^2+BMILMS!$F$32*AG487+BMILMS!$G$32)))))))</f>
        <v>12.568967990000001</v>
      </c>
      <c r="AF487" s="24">
        <f>IF(D487="M",(IF(AG487&lt;90,BMILMS!$D$14*AG487^3+BMILMS!$E$14*AG487^2+BMILMS!$F$14*AG487+BMILMS!$G$14,BMILMS!$D$15*AG487^3+BMILMS!$E$15*AG487^2+BMILMS!$F$15*AG487+BMILMS!$G$15)),(IF(AG487&lt;90,BMILMS!$D$17*AG487^3+BMILMS!$E$17*AG487^2+BMILMS!$F$17*AG487+BMILMS!$G$17,BMILMS!$D$18*AG487^3+BMILMS!$E$18*AG487^2+BMILMS!$F$18*AG487+BMILMS!$G$18)))</f>
        <v>8.8969350000000003E-2</v>
      </c>
      <c r="AG487" s="24">
        <f t="shared" si="128"/>
        <v>0</v>
      </c>
      <c r="AI487" s="38">
        <f>IF(D487="M",WeightSDS!P$5*$AG487^7+WeightSDS!Q$5*$AG487^6+WeightSDS!R$5*$AG487^5+WeightSDS!S$5*$AG487^4+WeightSDS!T$5*$AG487^3+WeightSDS!U$5*$AG487^2+WeightSDS!V$5*$AG487+WeightSDS!W$5,IF($AG487&lt;186,WeightSDS!P$8*$AG487^7+WeightSDS!Q$8*$AG487^6+WeightSDS!R$8*$AG487^5+WeightSDS!S$8*$AG487^4+WeightSDS!T$8*$AG487^3+WeightSDS!U$8*$AG487^2+WeightSDS!V$8*$AG487+WeightSDS!W$8,WeightSDS!$U$9-WeightSDS!$V$9*($AG487-WeightSDS!$W$9)))</f>
        <v>0.75407122999999998</v>
      </c>
      <c r="AJ487" s="24">
        <f>IF(D487="M",IF($AG487&lt;45,WeightSDS!M$23*$AG487^10+WeightSDS!N$23*$AG487^9+WeightSDS!O$23*$AG487^8+WeightSDS!P$23*$AG487^7+WeightSDS!Q$23*$AG487^6+WeightSDS!R$23*$AG487^5+WeightSDS!S$23*$AG487^4+WeightSDS!T$23*$AG487^3+WeightSDS!U$23*$AG487^2+WeightSDS!V$23*$AG487+WeightSDS!W$23,IF($AG487&lt;153,WeightSDS!M$25*$AG487^10+WeightSDS!N$25*$AG487^9+WeightSDS!O$25*$AG487^8+WeightSDS!P$25*$AG487^7+WeightSDS!Q$25*$AG487^6+WeightSDS!R$25*$AG487^5+WeightSDS!S$25*$AG487^4+WeightSDS!T$25*$AG487^3+WeightSDS!U$25*$AG487^2+WeightSDS!V$25*$AG487+WeightSDS!W$25,WeightSDS!M$27+WeightSDS!N$27/(1+EXP(WeightSDS!O$27+WeightSDS!P$27*$AG487)))),IF($AG487&lt;43.8,WeightSDS!M$29*$AG487^10+WeightSDS!N$29*$AG487^9+WeightSDS!O$29*$AG487^8+WeightSDS!P$29*$AG487^7+WeightSDS!Q$29*$AG487^6+WeightSDS!R$29*$AG487^5+WeightSDS!S$29*$AG487^4+WeightSDS!T$29*$AG487^3+WeightSDS!U$29*$AG487^2+WeightSDS!V$29*$AG487+WeightSDS!W$29-0.010431*(1-$AG487/210),IF($AG487&lt;123,WeightSDS!M$30*$AG487^10+WeightSDS!N$30*$AG487^9+WeightSDS!O$30*$AG487^8+WeightSDS!P$30*$AG487^7+WeightSDS!Q$30*$AG487^6+WeightSDS!R$30*$AG487^5+WeightSDS!S$30*$AG487^4+WeightSDS!T$30*$AG487^3+WeightSDS!U$30*$AG487^2+WeightSDS!V$30*$AG487+WeightSDS!W$30-0.010431*(1-1/$AG487),WeightSDS!M$32+WeightSDS!N$32/(1+EXP(WeightSDS!O$32+WeightSDS!P$32*$AG487))-0.010431*(1-$AG487/210))))</f>
        <v>2.9500001032655536</v>
      </c>
      <c r="AK487" s="24">
        <f>IF(D487="M",IF($AG487&lt;162,WeightSDS!P$12*$AG487^7+WeightSDS!Q$12*$AG487^6+WeightSDS!R$12*$AG487^5+WeightSDS!S$12*$AG487^4+WeightSDS!T$12*$AG487^3+WeightSDS!U$12*$AG487^2+WeightSDS!V$12*$AG487+WeightSDS!W$12,WeightSDS!P$14*$AG487^7+WeightSDS!Q$14*$AG487^6+WeightSDS!R$14*$AG487^5+WeightSDS!S$14*$AG487^4+WeightSDS!T$14*$AG487^3+WeightSDS!U$14*$AG487^2+WeightSDS!V$14*$AG487+WeightSDS!W$14),IF($AG487&lt;156,WeightSDS!O$17*$AG487^8+WeightSDS!P$17*$AG487^7+WeightSDS!Q$17*$AG487^6+WeightSDS!R$17*$AG487^5+WeightSDS!S$17*$AG487^4+WeightSDS!T$17*$AG487^3+WeightSDS!U$17*$AG487^2+WeightSDS!V$17*$AG487+WeightSDS!W$17,IF($AG487&lt;186,WeightSDS!$U$18+(WeightSDS!$V$18-WeightSDS!$U$18)/24*($AG487-186)+WeightSDS!$W$18*(-$AG487+186)^2-0.005,WeightSDS!$U$18+(WeightSDS!$V$18-WeightSDS!$U$18)/24*($AG487-186)-0.005)))</f>
        <v>0.14604529399999999</v>
      </c>
    </row>
    <row r="488" spans="1:37">
      <c r="A488" s="4"/>
      <c r="B488" s="21"/>
      <c r="C488" s="21"/>
      <c r="D488" s="21"/>
      <c r="E488" s="22"/>
      <c r="F488" s="22"/>
      <c r="G488" s="23"/>
      <c r="H488" s="23"/>
      <c r="I488" s="8" t="str">
        <f t="shared" si="114"/>
        <v/>
      </c>
      <c r="J488" s="2" t="str">
        <f t="shared" si="121"/>
        <v/>
      </c>
      <c r="K488" s="2" t="str">
        <f t="shared" si="115"/>
        <v/>
      </c>
      <c r="L488" s="2" t="str">
        <f t="shared" si="122"/>
        <v/>
      </c>
      <c r="M488" s="2" t="str">
        <f t="shared" si="127"/>
        <v/>
      </c>
      <c r="N488" s="2" t="str">
        <f t="shared" si="123"/>
        <v/>
      </c>
      <c r="O488" s="8" t="str">
        <f t="shared" si="124"/>
        <v/>
      </c>
      <c r="P488" s="8" t="str">
        <f t="shared" si="125"/>
        <v/>
      </c>
      <c r="Q488" s="40" t="str">
        <f t="shared" si="116"/>
        <v/>
      </c>
      <c r="R488" s="48" t="str">
        <f t="shared" si="126"/>
        <v/>
      </c>
      <c r="S488" s="8"/>
      <c r="U488" s="35">
        <f t="shared" si="117"/>
        <v>0</v>
      </c>
      <c r="V488" s="24">
        <f t="shared" si="118"/>
        <v>0</v>
      </c>
      <c r="W488" s="41">
        <f t="shared" si="129"/>
        <v>0</v>
      </c>
      <c r="X488" s="31"/>
      <c r="Y488" s="31"/>
      <c r="Z488" s="31"/>
      <c r="AA488" s="25">
        <f t="shared" si="119"/>
        <v>9.0359999999999996</v>
      </c>
      <c r="AB488" s="25">
        <f t="shared" si="120"/>
        <v>-184.49199999999999</v>
      </c>
      <c r="AD488" s="24">
        <f>IF(D488="M",IF(AG488&lt;78,BMILMS!$D$5*AG488^3+BMILMS!$E$5*AG488^2+BMILMS!$F$5*AG488+BMILMS!$G$5,IF(AG488&lt;150,BMILMS!$D$6*AG488^3+BMILMS!$E$6*AG488^2+BMILMS!$F$6*AG488+BMILMS!$G$6,BMILMS!$D$7*AG488^3+BMILMS!$E$7*AG488^2+BMILMS!$F$7*AG488+BMILMS!$G$7)),IF(AG488&lt;69,BMILMS!$D$9*AG488^3+BMILMS!$E$9*AG488^2+BMILMS!$F$9*AG488+BMILMS!$G$9,IF(AG488&lt;150,BMILMS!$D$10*AG488^3+BMILMS!$E$10*AG488^2+BMILMS!$F$10*AG488+BMILMS!$G$10,BMILMS!$D$11*AG488^3+BMILMS!$E$11*AG488^2+BMILMS!$F$11*AG488+BMILMS!$G$11)))</f>
        <v>0.79584630099999998</v>
      </c>
      <c r="AE488" s="24">
        <f>IF(D488="M",(IF(AG488&lt;2.5,BMILMS!$D$21*AG488^3+BMILMS!$E$21*AG488^2+BMILMS!$F$21*AG488+BMILMS!$G$21,IF(AG488&lt;9.5,BMILMS!$D$22*AG488^3+BMILMS!$E$22*AG488^2+BMILMS!$F$22*AG488+BMILMS!$G$22,IF(AG488&lt;26.75,BMILMS!$D$23*AG488^3+BMILMS!$E$23*AG488^2+BMILMS!$F$23*AG488+BMILMS!$G$23,IF(AG488&lt;90,BMILMS!$D$24*AG488^3+BMILMS!$E$24*AG488^2+BMILMS!$F$24*AG488+BMILMS!$G$24,BMILMS!$D$25*AG488^3+BMILMS!$E$25*AG488^2+BMILMS!$F$25*AG488+BMILMS!$G$25))))),(IF(AG488&lt;2.5,BMILMS!$D$27*AG488^3+BMILMS!$E$27*AG488^2+BMILMS!$F$27*AG488+BMILMS!$G$27,IF(AG488&lt;9.5,BMILMS!$D$28*AG488^3+BMILMS!$E$28*AG488^2+BMILMS!$F$28*AG488+BMILMS!$G$28,IF(AG488&lt;26.75,BMILMS!$D$29*AG488^3+BMILMS!$E$29*AG488^2+BMILMS!$F$29*AG488+BMILMS!$G$29,IF(AG488&lt;90,BMILMS!$D$30*AG488^3+BMILMS!$E$30*AG488^2+BMILMS!$F$30*AG488+BMILMS!$G$30,IF(AG488&lt;150,BMILMS!$D$31*AG488^3+BMILMS!$E$31*AG488^2+BMILMS!$F$31*AG488+BMILMS!$G$31,BMILMS!$D$32*AG488^3+BMILMS!$E$32*AG488^2+BMILMS!$F$32*AG488+BMILMS!$G$32)))))))</f>
        <v>12.568967990000001</v>
      </c>
      <c r="AF488" s="24">
        <f>IF(D488="M",(IF(AG488&lt;90,BMILMS!$D$14*AG488^3+BMILMS!$E$14*AG488^2+BMILMS!$F$14*AG488+BMILMS!$G$14,BMILMS!$D$15*AG488^3+BMILMS!$E$15*AG488^2+BMILMS!$F$15*AG488+BMILMS!$G$15)),(IF(AG488&lt;90,BMILMS!$D$17*AG488^3+BMILMS!$E$17*AG488^2+BMILMS!$F$17*AG488+BMILMS!$G$17,BMILMS!$D$18*AG488^3+BMILMS!$E$18*AG488^2+BMILMS!$F$18*AG488+BMILMS!$G$18)))</f>
        <v>8.8969350000000003E-2</v>
      </c>
      <c r="AG488" s="24">
        <f t="shared" si="128"/>
        <v>0</v>
      </c>
      <c r="AI488" s="38">
        <f>IF(D488="M",WeightSDS!P$5*$AG488^7+WeightSDS!Q$5*$AG488^6+WeightSDS!R$5*$AG488^5+WeightSDS!S$5*$AG488^4+WeightSDS!T$5*$AG488^3+WeightSDS!U$5*$AG488^2+WeightSDS!V$5*$AG488+WeightSDS!W$5,IF($AG488&lt;186,WeightSDS!P$8*$AG488^7+WeightSDS!Q$8*$AG488^6+WeightSDS!R$8*$AG488^5+WeightSDS!S$8*$AG488^4+WeightSDS!T$8*$AG488^3+WeightSDS!U$8*$AG488^2+WeightSDS!V$8*$AG488+WeightSDS!W$8,WeightSDS!$U$9-WeightSDS!$V$9*($AG488-WeightSDS!$W$9)))</f>
        <v>0.75407122999999998</v>
      </c>
      <c r="AJ488" s="24">
        <f>IF(D488="M",IF($AG488&lt;45,WeightSDS!M$23*$AG488^10+WeightSDS!N$23*$AG488^9+WeightSDS!O$23*$AG488^8+WeightSDS!P$23*$AG488^7+WeightSDS!Q$23*$AG488^6+WeightSDS!R$23*$AG488^5+WeightSDS!S$23*$AG488^4+WeightSDS!T$23*$AG488^3+WeightSDS!U$23*$AG488^2+WeightSDS!V$23*$AG488+WeightSDS!W$23,IF($AG488&lt;153,WeightSDS!M$25*$AG488^10+WeightSDS!N$25*$AG488^9+WeightSDS!O$25*$AG488^8+WeightSDS!P$25*$AG488^7+WeightSDS!Q$25*$AG488^6+WeightSDS!R$25*$AG488^5+WeightSDS!S$25*$AG488^4+WeightSDS!T$25*$AG488^3+WeightSDS!U$25*$AG488^2+WeightSDS!V$25*$AG488+WeightSDS!W$25,WeightSDS!M$27+WeightSDS!N$27/(1+EXP(WeightSDS!O$27+WeightSDS!P$27*$AG488)))),IF($AG488&lt;43.8,WeightSDS!M$29*$AG488^10+WeightSDS!N$29*$AG488^9+WeightSDS!O$29*$AG488^8+WeightSDS!P$29*$AG488^7+WeightSDS!Q$29*$AG488^6+WeightSDS!R$29*$AG488^5+WeightSDS!S$29*$AG488^4+WeightSDS!T$29*$AG488^3+WeightSDS!U$29*$AG488^2+WeightSDS!V$29*$AG488+WeightSDS!W$29-0.010431*(1-$AG488/210),IF($AG488&lt;123,WeightSDS!M$30*$AG488^10+WeightSDS!N$30*$AG488^9+WeightSDS!O$30*$AG488^8+WeightSDS!P$30*$AG488^7+WeightSDS!Q$30*$AG488^6+WeightSDS!R$30*$AG488^5+WeightSDS!S$30*$AG488^4+WeightSDS!T$30*$AG488^3+WeightSDS!U$30*$AG488^2+WeightSDS!V$30*$AG488+WeightSDS!W$30-0.010431*(1-1/$AG488),WeightSDS!M$32+WeightSDS!N$32/(1+EXP(WeightSDS!O$32+WeightSDS!P$32*$AG488))-0.010431*(1-$AG488/210))))</f>
        <v>2.9500001032655536</v>
      </c>
      <c r="AK488" s="24">
        <f>IF(D488="M",IF($AG488&lt;162,WeightSDS!P$12*$AG488^7+WeightSDS!Q$12*$AG488^6+WeightSDS!R$12*$AG488^5+WeightSDS!S$12*$AG488^4+WeightSDS!T$12*$AG488^3+WeightSDS!U$12*$AG488^2+WeightSDS!V$12*$AG488+WeightSDS!W$12,WeightSDS!P$14*$AG488^7+WeightSDS!Q$14*$AG488^6+WeightSDS!R$14*$AG488^5+WeightSDS!S$14*$AG488^4+WeightSDS!T$14*$AG488^3+WeightSDS!U$14*$AG488^2+WeightSDS!V$14*$AG488+WeightSDS!W$14),IF($AG488&lt;156,WeightSDS!O$17*$AG488^8+WeightSDS!P$17*$AG488^7+WeightSDS!Q$17*$AG488^6+WeightSDS!R$17*$AG488^5+WeightSDS!S$17*$AG488^4+WeightSDS!T$17*$AG488^3+WeightSDS!U$17*$AG488^2+WeightSDS!V$17*$AG488+WeightSDS!W$17,IF($AG488&lt;186,WeightSDS!$U$18+(WeightSDS!$V$18-WeightSDS!$U$18)/24*($AG488-186)+WeightSDS!$W$18*(-$AG488+186)^2-0.005,WeightSDS!$U$18+(WeightSDS!$V$18-WeightSDS!$U$18)/24*($AG488-186)-0.005)))</f>
        <v>0.14604529399999999</v>
      </c>
    </row>
    <row r="489" spans="1:37">
      <c r="A489" s="4"/>
      <c r="B489" s="21"/>
      <c r="C489" s="21"/>
      <c r="D489" s="21"/>
      <c r="E489" s="22"/>
      <c r="F489" s="22"/>
      <c r="G489" s="23"/>
      <c r="H489" s="23"/>
      <c r="I489" s="8" t="str">
        <f t="shared" si="114"/>
        <v/>
      </c>
      <c r="J489" s="2" t="str">
        <f t="shared" si="121"/>
        <v/>
      </c>
      <c r="K489" s="2" t="str">
        <f t="shared" si="115"/>
        <v/>
      </c>
      <c r="L489" s="2" t="str">
        <f t="shared" si="122"/>
        <v/>
      </c>
      <c r="M489" s="2" t="str">
        <f t="shared" si="127"/>
        <v/>
      </c>
      <c r="N489" s="2" t="str">
        <f t="shared" si="123"/>
        <v/>
      </c>
      <c r="O489" s="8" t="str">
        <f t="shared" si="124"/>
        <v/>
      </c>
      <c r="P489" s="8" t="str">
        <f t="shared" si="125"/>
        <v/>
      </c>
      <c r="Q489" s="40" t="str">
        <f t="shared" si="116"/>
        <v/>
      </c>
      <c r="R489" s="48" t="str">
        <f t="shared" si="126"/>
        <v/>
      </c>
      <c r="S489" s="8"/>
      <c r="U489" s="35">
        <f t="shared" si="117"/>
        <v>0</v>
      </c>
      <c r="V489" s="24">
        <f t="shared" si="118"/>
        <v>0</v>
      </c>
      <c r="W489" s="41">
        <f t="shared" si="129"/>
        <v>0</v>
      </c>
      <c r="X489" s="31"/>
      <c r="Y489" s="31"/>
      <c r="Z489" s="31"/>
      <c r="AA489" s="25">
        <f t="shared" si="119"/>
        <v>9.0359999999999996</v>
      </c>
      <c r="AB489" s="25">
        <f t="shared" si="120"/>
        <v>-184.49199999999999</v>
      </c>
      <c r="AD489" s="24">
        <f>IF(D489="M",IF(AG489&lt;78,BMILMS!$D$5*AG489^3+BMILMS!$E$5*AG489^2+BMILMS!$F$5*AG489+BMILMS!$G$5,IF(AG489&lt;150,BMILMS!$D$6*AG489^3+BMILMS!$E$6*AG489^2+BMILMS!$F$6*AG489+BMILMS!$G$6,BMILMS!$D$7*AG489^3+BMILMS!$E$7*AG489^2+BMILMS!$F$7*AG489+BMILMS!$G$7)),IF(AG489&lt;69,BMILMS!$D$9*AG489^3+BMILMS!$E$9*AG489^2+BMILMS!$F$9*AG489+BMILMS!$G$9,IF(AG489&lt;150,BMILMS!$D$10*AG489^3+BMILMS!$E$10*AG489^2+BMILMS!$F$10*AG489+BMILMS!$G$10,BMILMS!$D$11*AG489^3+BMILMS!$E$11*AG489^2+BMILMS!$F$11*AG489+BMILMS!$G$11)))</f>
        <v>0.79584630099999998</v>
      </c>
      <c r="AE489" s="24">
        <f>IF(D489="M",(IF(AG489&lt;2.5,BMILMS!$D$21*AG489^3+BMILMS!$E$21*AG489^2+BMILMS!$F$21*AG489+BMILMS!$G$21,IF(AG489&lt;9.5,BMILMS!$D$22*AG489^3+BMILMS!$E$22*AG489^2+BMILMS!$F$22*AG489+BMILMS!$G$22,IF(AG489&lt;26.75,BMILMS!$D$23*AG489^3+BMILMS!$E$23*AG489^2+BMILMS!$F$23*AG489+BMILMS!$G$23,IF(AG489&lt;90,BMILMS!$D$24*AG489^3+BMILMS!$E$24*AG489^2+BMILMS!$F$24*AG489+BMILMS!$G$24,BMILMS!$D$25*AG489^3+BMILMS!$E$25*AG489^2+BMILMS!$F$25*AG489+BMILMS!$G$25))))),(IF(AG489&lt;2.5,BMILMS!$D$27*AG489^3+BMILMS!$E$27*AG489^2+BMILMS!$F$27*AG489+BMILMS!$G$27,IF(AG489&lt;9.5,BMILMS!$D$28*AG489^3+BMILMS!$E$28*AG489^2+BMILMS!$F$28*AG489+BMILMS!$G$28,IF(AG489&lt;26.75,BMILMS!$D$29*AG489^3+BMILMS!$E$29*AG489^2+BMILMS!$F$29*AG489+BMILMS!$G$29,IF(AG489&lt;90,BMILMS!$D$30*AG489^3+BMILMS!$E$30*AG489^2+BMILMS!$F$30*AG489+BMILMS!$G$30,IF(AG489&lt;150,BMILMS!$D$31*AG489^3+BMILMS!$E$31*AG489^2+BMILMS!$F$31*AG489+BMILMS!$G$31,BMILMS!$D$32*AG489^3+BMILMS!$E$32*AG489^2+BMILMS!$F$32*AG489+BMILMS!$G$32)))))))</f>
        <v>12.568967990000001</v>
      </c>
      <c r="AF489" s="24">
        <f>IF(D489="M",(IF(AG489&lt;90,BMILMS!$D$14*AG489^3+BMILMS!$E$14*AG489^2+BMILMS!$F$14*AG489+BMILMS!$G$14,BMILMS!$D$15*AG489^3+BMILMS!$E$15*AG489^2+BMILMS!$F$15*AG489+BMILMS!$G$15)),(IF(AG489&lt;90,BMILMS!$D$17*AG489^3+BMILMS!$E$17*AG489^2+BMILMS!$F$17*AG489+BMILMS!$G$17,BMILMS!$D$18*AG489^3+BMILMS!$E$18*AG489^2+BMILMS!$F$18*AG489+BMILMS!$G$18)))</f>
        <v>8.8969350000000003E-2</v>
      </c>
      <c r="AG489" s="24">
        <f t="shared" si="128"/>
        <v>0</v>
      </c>
      <c r="AI489" s="38">
        <f>IF(D489="M",WeightSDS!P$5*$AG489^7+WeightSDS!Q$5*$AG489^6+WeightSDS!R$5*$AG489^5+WeightSDS!S$5*$AG489^4+WeightSDS!T$5*$AG489^3+WeightSDS!U$5*$AG489^2+WeightSDS!V$5*$AG489+WeightSDS!W$5,IF($AG489&lt;186,WeightSDS!P$8*$AG489^7+WeightSDS!Q$8*$AG489^6+WeightSDS!R$8*$AG489^5+WeightSDS!S$8*$AG489^4+WeightSDS!T$8*$AG489^3+WeightSDS!U$8*$AG489^2+WeightSDS!V$8*$AG489+WeightSDS!W$8,WeightSDS!$U$9-WeightSDS!$V$9*($AG489-WeightSDS!$W$9)))</f>
        <v>0.75407122999999998</v>
      </c>
      <c r="AJ489" s="24">
        <f>IF(D489="M",IF($AG489&lt;45,WeightSDS!M$23*$AG489^10+WeightSDS!N$23*$AG489^9+WeightSDS!O$23*$AG489^8+WeightSDS!P$23*$AG489^7+WeightSDS!Q$23*$AG489^6+WeightSDS!R$23*$AG489^5+WeightSDS!S$23*$AG489^4+WeightSDS!T$23*$AG489^3+WeightSDS!U$23*$AG489^2+WeightSDS!V$23*$AG489+WeightSDS!W$23,IF($AG489&lt;153,WeightSDS!M$25*$AG489^10+WeightSDS!N$25*$AG489^9+WeightSDS!O$25*$AG489^8+WeightSDS!P$25*$AG489^7+WeightSDS!Q$25*$AG489^6+WeightSDS!R$25*$AG489^5+WeightSDS!S$25*$AG489^4+WeightSDS!T$25*$AG489^3+WeightSDS!U$25*$AG489^2+WeightSDS!V$25*$AG489+WeightSDS!W$25,WeightSDS!M$27+WeightSDS!N$27/(1+EXP(WeightSDS!O$27+WeightSDS!P$27*$AG489)))),IF($AG489&lt;43.8,WeightSDS!M$29*$AG489^10+WeightSDS!N$29*$AG489^9+WeightSDS!O$29*$AG489^8+WeightSDS!P$29*$AG489^7+WeightSDS!Q$29*$AG489^6+WeightSDS!R$29*$AG489^5+WeightSDS!S$29*$AG489^4+WeightSDS!T$29*$AG489^3+WeightSDS!U$29*$AG489^2+WeightSDS!V$29*$AG489+WeightSDS!W$29-0.010431*(1-$AG489/210),IF($AG489&lt;123,WeightSDS!M$30*$AG489^10+WeightSDS!N$30*$AG489^9+WeightSDS!O$30*$AG489^8+WeightSDS!P$30*$AG489^7+WeightSDS!Q$30*$AG489^6+WeightSDS!R$30*$AG489^5+WeightSDS!S$30*$AG489^4+WeightSDS!T$30*$AG489^3+WeightSDS!U$30*$AG489^2+WeightSDS!V$30*$AG489+WeightSDS!W$30-0.010431*(1-1/$AG489),WeightSDS!M$32+WeightSDS!N$32/(1+EXP(WeightSDS!O$32+WeightSDS!P$32*$AG489))-0.010431*(1-$AG489/210))))</f>
        <v>2.9500001032655536</v>
      </c>
      <c r="AK489" s="24">
        <f>IF(D489="M",IF($AG489&lt;162,WeightSDS!P$12*$AG489^7+WeightSDS!Q$12*$AG489^6+WeightSDS!R$12*$AG489^5+WeightSDS!S$12*$AG489^4+WeightSDS!T$12*$AG489^3+WeightSDS!U$12*$AG489^2+WeightSDS!V$12*$AG489+WeightSDS!W$12,WeightSDS!P$14*$AG489^7+WeightSDS!Q$14*$AG489^6+WeightSDS!R$14*$AG489^5+WeightSDS!S$14*$AG489^4+WeightSDS!T$14*$AG489^3+WeightSDS!U$14*$AG489^2+WeightSDS!V$14*$AG489+WeightSDS!W$14),IF($AG489&lt;156,WeightSDS!O$17*$AG489^8+WeightSDS!P$17*$AG489^7+WeightSDS!Q$17*$AG489^6+WeightSDS!R$17*$AG489^5+WeightSDS!S$17*$AG489^4+WeightSDS!T$17*$AG489^3+WeightSDS!U$17*$AG489^2+WeightSDS!V$17*$AG489+WeightSDS!W$17,IF($AG489&lt;186,WeightSDS!$U$18+(WeightSDS!$V$18-WeightSDS!$U$18)/24*($AG489-186)+WeightSDS!$W$18*(-$AG489+186)^2-0.005,WeightSDS!$U$18+(WeightSDS!$V$18-WeightSDS!$U$18)/24*($AG489-186)-0.005)))</f>
        <v>0.14604529399999999</v>
      </c>
    </row>
    <row r="490" spans="1:37">
      <c r="A490" s="4"/>
      <c r="B490" s="21"/>
      <c r="C490" s="21"/>
      <c r="D490" s="21"/>
      <c r="E490" s="22"/>
      <c r="F490" s="22"/>
      <c r="G490" s="23"/>
      <c r="H490" s="23"/>
      <c r="I490" s="8" t="str">
        <f t="shared" si="114"/>
        <v/>
      </c>
      <c r="J490" s="2" t="str">
        <f t="shared" si="121"/>
        <v/>
      </c>
      <c r="K490" s="2" t="str">
        <f t="shared" si="115"/>
        <v/>
      </c>
      <c r="L490" s="2" t="str">
        <f t="shared" si="122"/>
        <v/>
      </c>
      <c r="M490" s="2" t="str">
        <f t="shared" si="127"/>
        <v/>
      </c>
      <c r="N490" s="2" t="str">
        <f t="shared" si="123"/>
        <v/>
      </c>
      <c r="O490" s="8" t="str">
        <f t="shared" si="124"/>
        <v/>
      </c>
      <c r="P490" s="8" t="str">
        <f t="shared" si="125"/>
        <v/>
      </c>
      <c r="Q490" s="40" t="str">
        <f t="shared" si="116"/>
        <v/>
      </c>
      <c r="R490" s="48" t="str">
        <f t="shared" si="126"/>
        <v/>
      </c>
      <c r="S490" s="8"/>
      <c r="U490" s="35">
        <f t="shared" si="117"/>
        <v>0</v>
      </c>
      <c r="V490" s="24">
        <f t="shared" si="118"/>
        <v>0</v>
      </c>
      <c r="W490" s="41">
        <f t="shared" si="129"/>
        <v>0</v>
      </c>
      <c r="X490" s="31"/>
      <c r="Y490" s="31"/>
      <c r="Z490" s="31"/>
      <c r="AA490" s="25">
        <f t="shared" si="119"/>
        <v>9.0359999999999996</v>
      </c>
      <c r="AB490" s="25">
        <f t="shared" si="120"/>
        <v>-184.49199999999999</v>
      </c>
      <c r="AD490" s="24">
        <f>IF(D490="M",IF(AG490&lt;78,BMILMS!$D$5*AG490^3+BMILMS!$E$5*AG490^2+BMILMS!$F$5*AG490+BMILMS!$G$5,IF(AG490&lt;150,BMILMS!$D$6*AG490^3+BMILMS!$E$6*AG490^2+BMILMS!$F$6*AG490+BMILMS!$G$6,BMILMS!$D$7*AG490^3+BMILMS!$E$7*AG490^2+BMILMS!$F$7*AG490+BMILMS!$G$7)),IF(AG490&lt;69,BMILMS!$D$9*AG490^3+BMILMS!$E$9*AG490^2+BMILMS!$F$9*AG490+BMILMS!$G$9,IF(AG490&lt;150,BMILMS!$D$10*AG490^3+BMILMS!$E$10*AG490^2+BMILMS!$F$10*AG490+BMILMS!$G$10,BMILMS!$D$11*AG490^3+BMILMS!$E$11*AG490^2+BMILMS!$F$11*AG490+BMILMS!$G$11)))</f>
        <v>0.79584630099999998</v>
      </c>
      <c r="AE490" s="24">
        <f>IF(D490="M",(IF(AG490&lt;2.5,BMILMS!$D$21*AG490^3+BMILMS!$E$21*AG490^2+BMILMS!$F$21*AG490+BMILMS!$G$21,IF(AG490&lt;9.5,BMILMS!$D$22*AG490^3+BMILMS!$E$22*AG490^2+BMILMS!$F$22*AG490+BMILMS!$G$22,IF(AG490&lt;26.75,BMILMS!$D$23*AG490^3+BMILMS!$E$23*AG490^2+BMILMS!$F$23*AG490+BMILMS!$G$23,IF(AG490&lt;90,BMILMS!$D$24*AG490^3+BMILMS!$E$24*AG490^2+BMILMS!$F$24*AG490+BMILMS!$G$24,BMILMS!$D$25*AG490^3+BMILMS!$E$25*AG490^2+BMILMS!$F$25*AG490+BMILMS!$G$25))))),(IF(AG490&lt;2.5,BMILMS!$D$27*AG490^3+BMILMS!$E$27*AG490^2+BMILMS!$F$27*AG490+BMILMS!$G$27,IF(AG490&lt;9.5,BMILMS!$D$28*AG490^3+BMILMS!$E$28*AG490^2+BMILMS!$F$28*AG490+BMILMS!$G$28,IF(AG490&lt;26.75,BMILMS!$D$29*AG490^3+BMILMS!$E$29*AG490^2+BMILMS!$F$29*AG490+BMILMS!$G$29,IF(AG490&lt;90,BMILMS!$D$30*AG490^3+BMILMS!$E$30*AG490^2+BMILMS!$F$30*AG490+BMILMS!$G$30,IF(AG490&lt;150,BMILMS!$D$31*AG490^3+BMILMS!$E$31*AG490^2+BMILMS!$F$31*AG490+BMILMS!$G$31,BMILMS!$D$32*AG490^3+BMILMS!$E$32*AG490^2+BMILMS!$F$32*AG490+BMILMS!$G$32)))))))</f>
        <v>12.568967990000001</v>
      </c>
      <c r="AF490" s="24">
        <f>IF(D490="M",(IF(AG490&lt;90,BMILMS!$D$14*AG490^3+BMILMS!$E$14*AG490^2+BMILMS!$F$14*AG490+BMILMS!$G$14,BMILMS!$D$15*AG490^3+BMILMS!$E$15*AG490^2+BMILMS!$F$15*AG490+BMILMS!$G$15)),(IF(AG490&lt;90,BMILMS!$D$17*AG490^3+BMILMS!$E$17*AG490^2+BMILMS!$F$17*AG490+BMILMS!$G$17,BMILMS!$D$18*AG490^3+BMILMS!$E$18*AG490^2+BMILMS!$F$18*AG490+BMILMS!$G$18)))</f>
        <v>8.8969350000000003E-2</v>
      </c>
      <c r="AG490" s="24">
        <f t="shared" si="128"/>
        <v>0</v>
      </c>
      <c r="AI490" s="38">
        <f>IF(D490="M",WeightSDS!P$5*$AG490^7+WeightSDS!Q$5*$AG490^6+WeightSDS!R$5*$AG490^5+WeightSDS!S$5*$AG490^4+WeightSDS!T$5*$AG490^3+WeightSDS!U$5*$AG490^2+WeightSDS!V$5*$AG490+WeightSDS!W$5,IF($AG490&lt;186,WeightSDS!P$8*$AG490^7+WeightSDS!Q$8*$AG490^6+WeightSDS!R$8*$AG490^5+WeightSDS!S$8*$AG490^4+WeightSDS!T$8*$AG490^3+WeightSDS!U$8*$AG490^2+WeightSDS!V$8*$AG490+WeightSDS!W$8,WeightSDS!$U$9-WeightSDS!$V$9*($AG490-WeightSDS!$W$9)))</f>
        <v>0.75407122999999998</v>
      </c>
      <c r="AJ490" s="24">
        <f>IF(D490="M",IF($AG490&lt;45,WeightSDS!M$23*$AG490^10+WeightSDS!N$23*$AG490^9+WeightSDS!O$23*$AG490^8+WeightSDS!P$23*$AG490^7+WeightSDS!Q$23*$AG490^6+WeightSDS!R$23*$AG490^5+WeightSDS!S$23*$AG490^4+WeightSDS!T$23*$AG490^3+WeightSDS!U$23*$AG490^2+WeightSDS!V$23*$AG490+WeightSDS!W$23,IF($AG490&lt;153,WeightSDS!M$25*$AG490^10+WeightSDS!N$25*$AG490^9+WeightSDS!O$25*$AG490^8+WeightSDS!P$25*$AG490^7+WeightSDS!Q$25*$AG490^6+WeightSDS!R$25*$AG490^5+WeightSDS!S$25*$AG490^4+WeightSDS!T$25*$AG490^3+WeightSDS!U$25*$AG490^2+WeightSDS!V$25*$AG490+WeightSDS!W$25,WeightSDS!M$27+WeightSDS!N$27/(1+EXP(WeightSDS!O$27+WeightSDS!P$27*$AG490)))),IF($AG490&lt;43.8,WeightSDS!M$29*$AG490^10+WeightSDS!N$29*$AG490^9+WeightSDS!O$29*$AG490^8+WeightSDS!P$29*$AG490^7+WeightSDS!Q$29*$AG490^6+WeightSDS!R$29*$AG490^5+WeightSDS!S$29*$AG490^4+WeightSDS!T$29*$AG490^3+WeightSDS!U$29*$AG490^2+WeightSDS!V$29*$AG490+WeightSDS!W$29-0.010431*(1-$AG490/210),IF($AG490&lt;123,WeightSDS!M$30*$AG490^10+WeightSDS!N$30*$AG490^9+WeightSDS!O$30*$AG490^8+WeightSDS!P$30*$AG490^7+WeightSDS!Q$30*$AG490^6+WeightSDS!R$30*$AG490^5+WeightSDS!S$30*$AG490^4+WeightSDS!T$30*$AG490^3+WeightSDS!U$30*$AG490^2+WeightSDS!V$30*$AG490+WeightSDS!W$30-0.010431*(1-1/$AG490),WeightSDS!M$32+WeightSDS!N$32/(1+EXP(WeightSDS!O$32+WeightSDS!P$32*$AG490))-0.010431*(1-$AG490/210))))</f>
        <v>2.9500001032655536</v>
      </c>
      <c r="AK490" s="24">
        <f>IF(D490="M",IF($AG490&lt;162,WeightSDS!P$12*$AG490^7+WeightSDS!Q$12*$AG490^6+WeightSDS!R$12*$AG490^5+WeightSDS!S$12*$AG490^4+WeightSDS!T$12*$AG490^3+WeightSDS!U$12*$AG490^2+WeightSDS!V$12*$AG490+WeightSDS!W$12,WeightSDS!P$14*$AG490^7+WeightSDS!Q$14*$AG490^6+WeightSDS!R$14*$AG490^5+WeightSDS!S$14*$AG490^4+WeightSDS!T$14*$AG490^3+WeightSDS!U$14*$AG490^2+WeightSDS!V$14*$AG490+WeightSDS!W$14),IF($AG490&lt;156,WeightSDS!O$17*$AG490^8+WeightSDS!P$17*$AG490^7+WeightSDS!Q$17*$AG490^6+WeightSDS!R$17*$AG490^5+WeightSDS!S$17*$AG490^4+WeightSDS!T$17*$AG490^3+WeightSDS!U$17*$AG490^2+WeightSDS!V$17*$AG490+WeightSDS!W$17,IF($AG490&lt;186,WeightSDS!$U$18+(WeightSDS!$V$18-WeightSDS!$U$18)/24*($AG490-186)+WeightSDS!$W$18*(-$AG490+186)^2-0.005,WeightSDS!$U$18+(WeightSDS!$V$18-WeightSDS!$U$18)/24*($AG490-186)-0.005)))</f>
        <v>0.14604529399999999</v>
      </c>
    </row>
    <row r="491" spans="1:37">
      <c r="A491" s="4"/>
      <c r="B491" s="21"/>
      <c r="C491" s="21"/>
      <c r="D491" s="21"/>
      <c r="E491" s="22"/>
      <c r="F491" s="22"/>
      <c r="G491" s="23"/>
      <c r="H491" s="23"/>
      <c r="I491" s="8" t="str">
        <f t="shared" si="114"/>
        <v/>
      </c>
      <c r="J491" s="2" t="str">
        <f t="shared" si="121"/>
        <v/>
      </c>
      <c r="K491" s="2" t="str">
        <f t="shared" si="115"/>
        <v/>
      </c>
      <c r="L491" s="2" t="str">
        <f t="shared" si="122"/>
        <v/>
      </c>
      <c r="M491" s="2" t="str">
        <f t="shared" si="127"/>
        <v/>
      </c>
      <c r="N491" s="2" t="str">
        <f t="shared" si="123"/>
        <v/>
      </c>
      <c r="O491" s="8" t="str">
        <f t="shared" si="124"/>
        <v/>
      </c>
      <c r="P491" s="8" t="str">
        <f t="shared" si="125"/>
        <v/>
      </c>
      <c r="Q491" s="40" t="str">
        <f t="shared" si="116"/>
        <v/>
      </c>
      <c r="R491" s="48" t="str">
        <f t="shared" si="126"/>
        <v/>
      </c>
      <c r="S491" s="8"/>
      <c r="U491" s="35">
        <f t="shared" si="117"/>
        <v>0</v>
      </c>
      <c r="V491" s="24">
        <f t="shared" si="118"/>
        <v>0</v>
      </c>
      <c r="W491" s="41">
        <f t="shared" si="129"/>
        <v>0</v>
      </c>
      <c r="X491" s="31"/>
      <c r="Y491" s="31"/>
      <c r="Z491" s="31"/>
      <c r="AA491" s="25">
        <f t="shared" si="119"/>
        <v>9.0359999999999996</v>
      </c>
      <c r="AB491" s="25">
        <f t="shared" si="120"/>
        <v>-184.49199999999999</v>
      </c>
      <c r="AD491" s="24">
        <f>IF(D491="M",IF(AG491&lt;78,BMILMS!$D$5*AG491^3+BMILMS!$E$5*AG491^2+BMILMS!$F$5*AG491+BMILMS!$G$5,IF(AG491&lt;150,BMILMS!$D$6*AG491^3+BMILMS!$E$6*AG491^2+BMILMS!$F$6*AG491+BMILMS!$G$6,BMILMS!$D$7*AG491^3+BMILMS!$E$7*AG491^2+BMILMS!$F$7*AG491+BMILMS!$G$7)),IF(AG491&lt;69,BMILMS!$D$9*AG491^3+BMILMS!$E$9*AG491^2+BMILMS!$F$9*AG491+BMILMS!$G$9,IF(AG491&lt;150,BMILMS!$D$10*AG491^3+BMILMS!$E$10*AG491^2+BMILMS!$F$10*AG491+BMILMS!$G$10,BMILMS!$D$11*AG491^3+BMILMS!$E$11*AG491^2+BMILMS!$F$11*AG491+BMILMS!$G$11)))</f>
        <v>0.79584630099999998</v>
      </c>
      <c r="AE491" s="24">
        <f>IF(D491="M",(IF(AG491&lt;2.5,BMILMS!$D$21*AG491^3+BMILMS!$E$21*AG491^2+BMILMS!$F$21*AG491+BMILMS!$G$21,IF(AG491&lt;9.5,BMILMS!$D$22*AG491^3+BMILMS!$E$22*AG491^2+BMILMS!$F$22*AG491+BMILMS!$G$22,IF(AG491&lt;26.75,BMILMS!$D$23*AG491^3+BMILMS!$E$23*AG491^2+BMILMS!$F$23*AG491+BMILMS!$G$23,IF(AG491&lt;90,BMILMS!$D$24*AG491^3+BMILMS!$E$24*AG491^2+BMILMS!$F$24*AG491+BMILMS!$G$24,BMILMS!$D$25*AG491^3+BMILMS!$E$25*AG491^2+BMILMS!$F$25*AG491+BMILMS!$G$25))))),(IF(AG491&lt;2.5,BMILMS!$D$27*AG491^3+BMILMS!$E$27*AG491^2+BMILMS!$F$27*AG491+BMILMS!$G$27,IF(AG491&lt;9.5,BMILMS!$D$28*AG491^3+BMILMS!$E$28*AG491^2+BMILMS!$F$28*AG491+BMILMS!$G$28,IF(AG491&lt;26.75,BMILMS!$D$29*AG491^3+BMILMS!$E$29*AG491^2+BMILMS!$F$29*AG491+BMILMS!$G$29,IF(AG491&lt;90,BMILMS!$D$30*AG491^3+BMILMS!$E$30*AG491^2+BMILMS!$F$30*AG491+BMILMS!$G$30,IF(AG491&lt;150,BMILMS!$D$31*AG491^3+BMILMS!$E$31*AG491^2+BMILMS!$F$31*AG491+BMILMS!$G$31,BMILMS!$D$32*AG491^3+BMILMS!$E$32*AG491^2+BMILMS!$F$32*AG491+BMILMS!$G$32)))))))</f>
        <v>12.568967990000001</v>
      </c>
      <c r="AF491" s="24">
        <f>IF(D491="M",(IF(AG491&lt;90,BMILMS!$D$14*AG491^3+BMILMS!$E$14*AG491^2+BMILMS!$F$14*AG491+BMILMS!$G$14,BMILMS!$D$15*AG491^3+BMILMS!$E$15*AG491^2+BMILMS!$F$15*AG491+BMILMS!$G$15)),(IF(AG491&lt;90,BMILMS!$D$17*AG491^3+BMILMS!$E$17*AG491^2+BMILMS!$F$17*AG491+BMILMS!$G$17,BMILMS!$D$18*AG491^3+BMILMS!$E$18*AG491^2+BMILMS!$F$18*AG491+BMILMS!$G$18)))</f>
        <v>8.8969350000000003E-2</v>
      </c>
      <c r="AG491" s="24">
        <f t="shared" si="128"/>
        <v>0</v>
      </c>
      <c r="AI491" s="38">
        <f>IF(D491="M",WeightSDS!P$5*$AG491^7+WeightSDS!Q$5*$AG491^6+WeightSDS!R$5*$AG491^5+WeightSDS!S$5*$AG491^4+WeightSDS!T$5*$AG491^3+WeightSDS!U$5*$AG491^2+WeightSDS!V$5*$AG491+WeightSDS!W$5,IF($AG491&lt;186,WeightSDS!P$8*$AG491^7+WeightSDS!Q$8*$AG491^6+WeightSDS!R$8*$AG491^5+WeightSDS!S$8*$AG491^4+WeightSDS!T$8*$AG491^3+WeightSDS!U$8*$AG491^2+WeightSDS!V$8*$AG491+WeightSDS!W$8,WeightSDS!$U$9-WeightSDS!$V$9*($AG491-WeightSDS!$W$9)))</f>
        <v>0.75407122999999998</v>
      </c>
      <c r="AJ491" s="24">
        <f>IF(D491="M",IF($AG491&lt;45,WeightSDS!M$23*$AG491^10+WeightSDS!N$23*$AG491^9+WeightSDS!O$23*$AG491^8+WeightSDS!P$23*$AG491^7+WeightSDS!Q$23*$AG491^6+WeightSDS!R$23*$AG491^5+WeightSDS!S$23*$AG491^4+WeightSDS!T$23*$AG491^3+WeightSDS!U$23*$AG491^2+WeightSDS!V$23*$AG491+WeightSDS!W$23,IF($AG491&lt;153,WeightSDS!M$25*$AG491^10+WeightSDS!N$25*$AG491^9+WeightSDS!O$25*$AG491^8+WeightSDS!P$25*$AG491^7+WeightSDS!Q$25*$AG491^6+WeightSDS!R$25*$AG491^5+WeightSDS!S$25*$AG491^4+WeightSDS!T$25*$AG491^3+WeightSDS!U$25*$AG491^2+WeightSDS!V$25*$AG491+WeightSDS!W$25,WeightSDS!M$27+WeightSDS!N$27/(1+EXP(WeightSDS!O$27+WeightSDS!P$27*$AG491)))),IF($AG491&lt;43.8,WeightSDS!M$29*$AG491^10+WeightSDS!N$29*$AG491^9+WeightSDS!O$29*$AG491^8+WeightSDS!P$29*$AG491^7+WeightSDS!Q$29*$AG491^6+WeightSDS!R$29*$AG491^5+WeightSDS!S$29*$AG491^4+WeightSDS!T$29*$AG491^3+WeightSDS!U$29*$AG491^2+WeightSDS!V$29*$AG491+WeightSDS!W$29-0.010431*(1-$AG491/210),IF($AG491&lt;123,WeightSDS!M$30*$AG491^10+WeightSDS!N$30*$AG491^9+WeightSDS!O$30*$AG491^8+WeightSDS!P$30*$AG491^7+WeightSDS!Q$30*$AG491^6+WeightSDS!R$30*$AG491^5+WeightSDS!S$30*$AG491^4+WeightSDS!T$30*$AG491^3+WeightSDS!U$30*$AG491^2+WeightSDS!V$30*$AG491+WeightSDS!W$30-0.010431*(1-1/$AG491),WeightSDS!M$32+WeightSDS!N$32/(1+EXP(WeightSDS!O$32+WeightSDS!P$32*$AG491))-0.010431*(1-$AG491/210))))</f>
        <v>2.9500001032655536</v>
      </c>
      <c r="AK491" s="24">
        <f>IF(D491="M",IF($AG491&lt;162,WeightSDS!P$12*$AG491^7+WeightSDS!Q$12*$AG491^6+WeightSDS!R$12*$AG491^5+WeightSDS!S$12*$AG491^4+WeightSDS!T$12*$AG491^3+WeightSDS!U$12*$AG491^2+WeightSDS!V$12*$AG491+WeightSDS!W$12,WeightSDS!P$14*$AG491^7+WeightSDS!Q$14*$AG491^6+WeightSDS!R$14*$AG491^5+WeightSDS!S$14*$AG491^4+WeightSDS!T$14*$AG491^3+WeightSDS!U$14*$AG491^2+WeightSDS!V$14*$AG491+WeightSDS!W$14),IF($AG491&lt;156,WeightSDS!O$17*$AG491^8+WeightSDS!P$17*$AG491^7+WeightSDS!Q$17*$AG491^6+WeightSDS!R$17*$AG491^5+WeightSDS!S$17*$AG491^4+WeightSDS!T$17*$AG491^3+WeightSDS!U$17*$AG491^2+WeightSDS!V$17*$AG491+WeightSDS!W$17,IF($AG491&lt;186,WeightSDS!$U$18+(WeightSDS!$V$18-WeightSDS!$U$18)/24*($AG491-186)+WeightSDS!$W$18*(-$AG491+186)^2-0.005,WeightSDS!$U$18+(WeightSDS!$V$18-WeightSDS!$U$18)/24*($AG491-186)-0.005)))</f>
        <v>0.14604529399999999</v>
      </c>
    </row>
    <row r="492" spans="1:37">
      <c r="A492" s="4"/>
      <c r="B492" s="21"/>
      <c r="C492" s="21"/>
      <c r="D492" s="21"/>
      <c r="E492" s="22"/>
      <c r="F492" s="22"/>
      <c r="G492" s="23"/>
      <c r="H492" s="23"/>
      <c r="I492" s="8" t="str">
        <f t="shared" si="114"/>
        <v/>
      </c>
      <c r="J492" s="2" t="str">
        <f t="shared" si="121"/>
        <v/>
      </c>
      <c r="K492" s="2" t="str">
        <f t="shared" si="115"/>
        <v/>
      </c>
      <c r="L492" s="2" t="str">
        <f t="shared" si="122"/>
        <v/>
      </c>
      <c r="M492" s="2" t="str">
        <f t="shared" si="127"/>
        <v/>
      </c>
      <c r="N492" s="2" t="str">
        <f t="shared" si="123"/>
        <v/>
      </c>
      <c r="O492" s="8" t="str">
        <f t="shared" si="124"/>
        <v/>
      </c>
      <c r="P492" s="8" t="str">
        <f t="shared" si="125"/>
        <v/>
      </c>
      <c r="Q492" s="40" t="str">
        <f t="shared" si="116"/>
        <v/>
      </c>
      <c r="R492" s="48" t="str">
        <f t="shared" si="126"/>
        <v/>
      </c>
      <c r="S492" s="8"/>
      <c r="U492" s="35">
        <f t="shared" si="117"/>
        <v>0</v>
      </c>
      <c r="V492" s="24">
        <f t="shared" si="118"/>
        <v>0</v>
      </c>
      <c r="W492" s="41">
        <f t="shared" si="129"/>
        <v>0</v>
      </c>
      <c r="X492" s="31"/>
      <c r="Y492" s="31"/>
      <c r="Z492" s="31"/>
      <c r="AA492" s="25">
        <f t="shared" si="119"/>
        <v>9.0359999999999996</v>
      </c>
      <c r="AB492" s="25">
        <f t="shared" si="120"/>
        <v>-184.49199999999999</v>
      </c>
      <c r="AD492" s="24">
        <f>IF(D492="M",IF(AG492&lt;78,BMILMS!$D$5*AG492^3+BMILMS!$E$5*AG492^2+BMILMS!$F$5*AG492+BMILMS!$G$5,IF(AG492&lt;150,BMILMS!$D$6*AG492^3+BMILMS!$E$6*AG492^2+BMILMS!$F$6*AG492+BMILMS!$G$6,BMILMS!$D$7*AG492^3+BMILMS!$E$7*AG492^2+BMILMS!$F$7*AG492+BMILMS!$G$7)),IF(AG492&lt;69,BMILMS!$D$9*AG492^3+BMILMS!$E$9*AG492^2+BMILMS!$F$9*AG492+BMILMS!$G$9,IF(AG492&lt;150,BMILMS!$D$10*AG492^3+BMILMS!$E$10*AG492^2+BMILMS!$F$10*AG492+BMILMS!$G$10,BMILMS!$D$11*AG492^3+BMILMS!$E$11*AG492^2+BMILMS!$F$11*AG492+BMILMS!$G$11)))</f>
        <v>0.79584630099999998</v>
      </c>
      <c r="AE492" s="24">
        <f>IF(D492="M",(IF(AG492&lt;2.5,BMILMS!$D$21*AG492^3+BMILMS!$E$21*AG492^2+BMILMS!$F$21*AG492+BMILMS!$G$21,IF(AG492&lt;9.5,BMILMS!$D$22*AG492^3+BMILMS!$E$22*AG492^2+BMILMS!$F$22*AG492+BMILMS!$G$22,IF(AG492&lt;26.75,BMILMS!$D$23*AG492^3+BMILMS!$E$23*AG492^2+BMILMS!$F$23*AG492+BMILMS!$G$23,IF(AG492&lt;90,BMILMS!$D$24*AG492^3+BMILMS!$E$24*AG492^2+BMILMS!$F$24*AG492+BMILMS!$G$24,BMILMS!$D$25*AG492^3+BMILMS!$E$25*AG492^2+BMILMS!$F$25*AG492+BMILMS!$G$25))))),(IF(AG492&lt;2.5,BMILMS!$D$27*AG492^3+BMILMS!$E$27*AG492^2+BMILMS!$F$27*AG492+BMILMS!$G$27,IF(AG492&lt;9.5,BMILMS!$D$28*AG492^3+BMILMS!$E$28*AG492^2+BMILMS!$F$28*AG492+BMILMS!$G$28,IF(AG492&lt;26.75,BMILMS!$D$29*AG492^3+BMILMS!$E$29*AG492^2+BMILMS!$F$29*AG492+BMILMS!$G$29,IF(AG492&lt;90,BMILMS!$D$30*AG492^3+BMILMS!$E$30*AG492^2+BMILMS!$F$30*AG492+BMILMS!$G$30,IF(AG492&lt;150,BMILMS!$D$31*AG492^3+BMILMS!$E$31*AG492^2+BMILMS!$F$31*AG492+BMILMS!$G$31,BMILMS!$D$32*AG492^3+BMILMS!$E$32*AG492^2+BMILMS!$F$32*AG492+BMILMS!$G$32)))))))</f>
        <v>12.568967990000001</v>
      </c>
      <c r="AF492" s="24">
        <f>IF(D492="M",(IF(AG492&lt;90,BMILMS!$D$14*AG492^3+BMILMS!$E$14*AG492^2+BMILMS!$F$14*AG492+BMILMS!$G$14,BMILMS!$D$15*AG492^3+BMILMS!$E$15*AG492^2+BMILMS!$F$15*AG492+BMILMS!$G$15)),(IF(AG492&lt;90,BMILMS!$D$17*AG492^3+BMILMS!$E$17*AG492^2+BMILMS!$F$17*AG492+BMILMS!$G$17,BMILMS!$D$18*AG492^3+BMILMS!$E$18*AG492^2+BMILMS!$F$18*AG492+BMILMS!$G$18)))</f>
        <v>8.8969350000000003E-2</v>
      </c>
      <c r="AG492" s="24">
        <f t="shared" si="128"/>
        <v>0</v>
      </c>
      <c r="AI492" s="38">
        <f>IF(D492="M",WeightSDS!P$5*$AG492^7+WeightSDS!Q$5*$AG492^6+WeightSDS!R$5*$AG492^5+WeightSDS!S$5*$AG492^4+WeightSDS!T$5*$AG492^3+WeightSDS!U$5*$AG492^2+WeightSDS!V$5*$AG492+WeightSDS!W$5,IF($AG492&lt;186,WeightSDS!P$8*$AG492^7+WeightSDS!Q$8*$AG492^6+WeightSDS!R$8*$AG492^5+WeightSDS!S$8*$AG492^4+WeightSDS!T$8*$AG492^3+WeightSDS!U$8*$AG492^2+WeightSDS!V$8*$AG492+WeightSDS!W$8,WeightSDS!$U$9-WeightSDS!$V$9*($AG492-WeightSDS!$W$9)))</f>
        <v>0.75407122999999998</v>
      </c>
      <c r="AJ492" s="24">
        <f>IF(D492="M",IF($AG492&lt;45,WeightSDS!M$23*$AG492^10+WeightSDS!N$23*$AG492^9+WeightSDS!O$23*$AG492^8+WeightSDS!P$23*$AG492^7+WeightSDS!Q$23*$AG492^6+WeightSDS!R$23*$AG492^5+WeightSDS!S$23*$AG492^4+WeightSDS!T$23*$AG492^3+WeightSDS!U$23*$AG492^2+WeightSDS!V$23*$AG492+WeightSDS!W$23,IF($AG492&lt;153,WeightSDS!M$25*$AG492^10+WeightSDS!N$25*$AG492^9+WeightSDS!O$25*$AG492^8+WeightSDS!P$25*$AG492^7+WeightSDS!Q$25*$AG492^6+WeightSDS!R$25*$AG492^5+WeightSDS!S$25*$AG492^4+WeightSDS!T$25*$AG492^3+WeightSDS!U$25*$AG492^2+WeightSDS!V$25*$AG492+WeightSDS!W$25,WeightSDS!M$27+WeightSDS!N$27/(1+EXP(WeightSDS!O$27+WeightSDS!P$27*$AG492)))),IF($AG492&lt;43.8,WeightSDS!M$29*$AG492^10+WeightSDS!N$29*$AG492^9+WeightSDS!O$29*$AG492^8+WeightSDS!P$29*$AG492^7+WeightSDS!Q$29*$AG492^6+WeightSDS!R$29*$AG492^5+WeightSDS!S$29*$AG492^4+WeightSDS!T$29*$AG492^3+WeightSDS!U$29*$AG492^2+WeightSDS!V$29*$AG492+WeightSDS!W$29-0.010431*(1-$AG492/210),IF($AG492&lt;123,WeightSDS!M$30*$AG492^10+WeightSDS!N$30*$AG492^9+WeightSDS!O$30*$AG492^8+WeightSDS!P$30*$AG492^7+WeightSDS!Q$30*$AG492^6+WeightSDS!R$30*$AG492^5+WeightSDS!S$30*$AG492^4+WeightSDS!T$30*$AG492^3+WeightSDS!U$30*$AG492^2+WeightSDS!V$30*$AG492+WeightSDS!W$30-0.010431*(1-1/$AG492),WeightSDS!M$32+WeightSDS!N$32/(1+EXP(WeightSDS!O$32+WeightSDS!P$32*$AG492))-0.010431*(1-$AG492/210))))</f>
        <v>2.9500001032655536</v>
      </c>
      <c r="AK492" s="24">
        <f>IF(D492="M",IF($AG492&lt;162,WeightSDS!P$12*$AG492^7+WeightSDS!Q$12*$AG492^6+WeightSDS!R$12*$AG492^5+WeightSDS!S$12*$AG492^4+WeightSDS!T$12*$AG492^3+WeightSDS!U$12*$AG492^2+WeightSDS!V$12*$AG492+WeightSDS!W$12,WeightSDS!P$14*$AG492^7+WeightSDS!Q$14*$AG492^6+WeightSDS!R$14*$AG492^5+WeightSDS!S$14*$AG492^4+WeightSDS!T$14*$AG492^3+WeightSDS!U$14*$AG492^2+WeightSDS!V$14*$AG492+WeightSDS!W$14),IF($AG492&lt;156,WeightSDS!O$17*$AG492^8+WeightSDS!P$17*$AG492^7+WeightSDS!Q$17*$AG492^6+WeightSDS!R$17*$AG492^5+WeightSDS!S$17*$AG492^4+WeightSDS!T$17*$AG492^3+WeightSDS!U$17*$AG492^2+WeightSDS!V$17*$AG492+WeightSDS!W$17,IF($AG492&lt;186,WeightSDS!$U$18+(WeightSDS!$V$18-WeightSDS!$U$18)/24*($AG492-186)+WeightSDS!$W$18*(-$AG492+186)^2-0.005,WeightSDS!$U$18+(WeightSDS!$V$18-WeightSDS!$U$18)/24*($AG492-186)-0.005)))</f>
        <v>0.14604529399999999</v>
      </c>
    </row>
    <row r="493" spans="1:37">
      <c r="A493" s="4"/>
      <c r="B493" s="21"/>
      <c r="C493" s="21"/>
      <c r="D493" s="21"/>
      <c r="E493" s="22"/>
      <c r="F493" s="22"/>
      <c r="G493" s="23"/>
      <c r="H493" s="23"/>
      <c r="I493" s="8" t="str">
        <f t="shared" si="114"/>
        <v/>
      </c>
      <c r="J493" s="2" t="str">
        <f t="shared" si="121"/>
        <v/>
      </c>
      <c r="K493" s="2" t="str">
        <f t="shared" si="115"/>
        <v/>
      </c>
      <c r="L493" s="2" t="str">
        <f t="shared" si="122"/>
        <v/>
      </c>
      <c r="M493" s="2" t="str">
        <f t="shared" si="127"/>
        <v/>
      </c>
      <c r="N493" s="2" t="str">
        <f t="shared" si="123"/>
        <v/>
      </c>
      <c r="O493" s="8" t="str">
        <f t="shared" si="124"/>
        <v/>
      </c>
      <c r="P493" s="8" t="str">
        <f t="shared" si="125"/>
        <v/>
      </c>
      <c r="Q493" s="40" t="str">
        <f t="shared" si="116"/>
        <v/>
      </c>
      <c r="R493" s="48" t="str">
        <f t="shared" si="126"/>
        <v/>
      </c>
      <c r="S493" s="8"/>
      <c r="U493" s="35">
        <f t="shared" si="117"/>
        <v>0</v>
      </c>
      <c r="V493" s="24">
        <f t="shared" si="118"/>
        <v>0</v>
      </c>
      <c r="W493" s="41">
        <f t="shared" si="129"/>
        <v>0</v>
      </c>
      <c r="X493" s="31"/>
      <c r="Y493" s="31"/>
      <c r="Z493" s="31"/>
      <c r="AA493" s="25">
        <f t="shared" si="119"/>
        <v>9.0359999999999996</v>
      </c>
      <c r="AB493" s="25">
        <f t="shared" si="120"/>
        <v>-184.49199999999999</v>
      </c>
      <c r="AD493" s="24">
        <f>IF(D493="M",IF(AG493&lt;78,BMILMS!$D$5*AG493^3+BMILMS!$E$5*AG493^2+BMILMS!$F$5*AG493+BMILMS!$G$5,IF(AG493&lt;150,BMILMS!$D$6*AG493^3+BMILMS!$E$6*AG493^2+BMILMS!$F$6*AG493+BMILMS!$G$6,BMILMS!$D$7*AG493^3+BMILMS!$E$7*AG493^2+BMILMS!$F$7*AG493+BMILMS!$G$7)),IF(AG493&lt;69,BMILMS!$D$9*AG493^3+BMILMS!$E$9*AG493^2+BMILMS!$F$9*AG493+BMILMS!$G$9,IF(AG493&lt;150,BMILMS!$D$10*AG493^3+BMILMS!$E$10*AG493^2+BMILMS!$F$10*AG493+BMILMS!$G$10,BMILMS!$D$11*AG493^3+BMILMS!$E$11*AG493^2+BMILMS!$F$11*AG493+BMILMS!$G$11)))</f>
        <v>0.79584630099999998</v>
      </c>
      <c r="AE493" s="24">
        <f>IF(D493="M",(IF(AG493&lt;2.5,BMILMS!$D$21*AG493^3+BMILMS!$E$21*AG493^2+BMILMS!$F$21*AG493+BMILMS!$G$21,IF(AG493&lt;9.5,BMILMS!$D$22*AG493^3+BMILMS!$E$22*AG493^2+BMILMS!$F$22*AG493+BMILMS!$G$22,IF(AG493&lt;26.75,BMILMS!$D$23*AG493^3+BMILMS!$E$23*AG493^2+BMILMS!$F$23*AG493+BMILMS!$G$23,IF(AG493&lt;90,BMILMS!$D$24*AG493^3+BMILMS!$E$24*AG493^2+BMILMS!$F$24*AG493+BMILMS!$G$24,BMILMS!$D$25*AG493^3+BMILMS!$E$25*AG493^2+BMILMS!$F$25*AG493+BMILMS!$G$25))))),(IF(AG493&lt;2.5,BMILMS!$D$27*AG493^3+BMILMS!$E$27*AG493^2+BMILMS!$F$27*AG493+BMILMS!$G$27,IF(AG493&lt;9.5,BMILMS!$D$28*AG493^3+BMILMS!$E$28*AG493^2+BMILMS!$F$28*AG493+BMILMS!$G$28,IF(AG493&lt;26.75,BMILMS!$D$29*AG493^3+BMILMS!$E$29*AG493^2+BMILMS!$F$29*AG493+BMILMS!$G$29,IF(AG493&lt;90,BMILMS!$D$30*AG493^3+BMILMS!$E$30*AG493^2+BMILMS!$F$30*AG493+BMILMS!$G$30,IF(AG493&lt;150,BMILMS!$D$31*AG493^3+BMILMS!$E$31*AG493^2+BMILMS!$F$31*AG493+BMILMS!$G$31,BMILMS!$D$32*AG493^3+BMILMS!$E$32*AG493^2+BMILMS!$F$32*AG493+BMILMS!$G$32)))))))</f>
        <v>12.568967990000001</v>
      </c>
      <c r="AF493" s="24">
        <f>IF(D493="M",(IF(AG493&lt;90,BMILMS!$D$14*AG493^3+BMILMS!$E$14*AG493^2+BMILMS!$F$14*AG493+BMILMS!$G$14,BMILMS!$D$15*AG493^3+BMILMS!$E$15*AG493^2+BMILMS!$F$15*AG493+BMILMS!$G$15)),(IF(AG493&lt;90,BMILMS!$D$17*AG493^3+BMILMS!$E$17*AG493^2+BMILMS!$F$17*AG493+BMILMS!$G$17,BMILMS!$D$18*AG493^3+BMILMS!$E$18*AG493^2+BMILMS!$F$18*AG493+BMILMS!$G$18)))</f>
        <v>8.8969350000000003E-2</v>
      </c>
      <c r="AG493" s="24">
        <f t="shared" si="128"/>
        <v>0</v>
      </c>
      <c r="AI493" s="38">
        <f>IF(D493="M",WeightSDS!P$5*$AG493^7+WeightSDS!Q$5*$AG493^6+WeightSDS!R$5*$AG493^5+WeightSDS!S$5*$AG493^4+WeightSDS!T$5*$AG493^3+WeightSDS!U$5*$AG493^2+WeightSDS!V$5*$AG493+WeightSDS!W$5,IF($AG493&lt;186,WeightSDS!P$8*$AG493^7+WeightSDS!Q$8*$AG493^6+WeightSDS!R$8*$AG493^5+WeightSDS!S$8*$AG493^4+WeightSDS!T$8*$AG493^3+WeightSDS!U$8*$AG493^2+WeightSDS!V$8*$AG493+WeightSDS!W$8,WeightSDS!$U$9-WeightSDS!$V$9*($AG493-WeightSDS!$W$9)))</f>
        <v>0.75407122999999998</v>
      </c>
      <c r="AJ493" s="24">
        <f>IF(D493="M",IF($AG493&lt;45,WeightSDS!M$23*$AG493^10+WeightSDS!N$23*$AG493^9+WeightSDS!O$23*$AG493^8+WeightSDS!P$23*$AG493^7+WeightSDS!Q$23*$AG493^6+WeightSDS!R$23*$AG493^5+WeightSDS!S$23*$AG493^4+WeightSDS!T$23*$AG493^3+WeightSDS!U$23*$AG493^2+WeightSDS!V$23*$AG493+WeightSDS!W$23,IF($AG493&lt;153,WeightSDS!M$25*$AG493^10+WeightSDS!N$25*$AG493^9+WeightSDS!O$25*$AG493^8+WeightSDS!P$25*$AG493^7+WeightSDS!Q$25*$AG493^6+WeightSDS!R$25*$AG493^5+WeightSDS!S$25*$AG493^4+WeightSDS!T$25*$AG493^3+WeightSDS!U$25*$AG493^2+WeightSDS!V$25*$AG493+WeightSDS!W$25,WeightSDS!M$27+WeightSDS!N$27/(1+EXP(WeightSDS!O$27+WeightSDS!P$27*$AG493)))),IF($AG493&lt;43.8,WeightSDS!M$29*$AG493^10+WeightSDS!N$29*$AG493^9+WeightSDS!O$29*$AG493^8+WeightSDS!P$29*$AG493^7+WeightSDS!Q$29*$AG493^6+WeightSDS!R$29*$AG493^5+WeightSDS!S$29*$AG493^4+WeightSDS!T$29*$AG493^3+WeightSDS!U$29*$AG493^2+WeightSDS!V$29*$AG493+WeightSDS!W$29-0.010431*(1-$AG493/210),IF($AG493&lt;123,WeightSDS!M$30*$AG493^10+WeightSDS!N$30*$AG493^9+WeightSDS!O$30*$AG493^8+WeightSDS!P$30*$AG493^7+WeightSDS!Q$30*$AG493^6+WeightSDS!R$30*$AG493^5+WeightSDS!S$30*$AG493^4+WeightSDS!T$30*$AG493^3+WeightSDS!U$30*$AG493^2+WeightSDS!V$30*$AG493+WeightSDS!W$30-0.010431*(1-1/$AG493),WeightSDS!M$32+WeightSDS!N$32/(1+EXP(WeightSDS!O$32+WeightSDS!P$32*$AG493))-0.010431*(1-$AG493/210))))</f>
        <v>2.9500001032655536</v>
      </c>
      <c r="AK493" s="24">
        <f>IF(D493="M",IF($AG493&lt;162,WeightSDS!P$12*$AG493^7+WeightSDS!Q$12*$AG493^6+WeightSDS!R$12*$AG493^5+WeightSDS!S$12*$AG493^4+WeightSDS!T$12*$AG493^3+WeightSDS!U$12*$AG493^2+WeightSDS!V$12*$AG493+WeightSDS!W$12,WeightSDS!P$14*$AG493^7+WeightSDS!Q$14*$AG493^6+WeightSDS!R$14*$AG493^5+WeightSDS!S$14*$AG493^4+WeightSDS!T$14*$AG493^3+WeightSDS!U$14*$AG493^2+WeightSDS!V$14*$AG493+WeightSDS!W$14),IF($AG493&lt;156,WeightSDS!O$17*$AG493^8+WeightSDS!P$17*$AG493^7+WeightSDS!Q$17*$AG493^6+WeightSDS!R$17*$AG493^5+WeightSDS!S$17*$AG493^4+WeightSDS!T$17*$AG493^3+WeightSDS!U$17*$AG493^2+WeightSDS!V$17*$AG493+WeightSDS!W$17,IF($AG493&lt;186,WeightSDS!$U$18+(WeightSDS!$V$18-WeightSDS!$U$18)/24*($AG493-186)+WeightSDS!$W$18*(-$AG493+186)^2-0.005,WeightSDS!$U$18+(WeightSDS!$V$18-WeightSDS!$U$18)/24*($AG493-186)-0.005)))</f>
        <v>0.14604529399999999</v>
      </c>
    </row>
    <row r="494" spans="1:37">
      <c r="A494" s="4"/>
      <c r="B494" s="21"/>
      <c r="C494" s="21"/>
      <c r="D494" s="21"/>
      <c r="E494" s="22"/>
      <c r="F494" s="22"/>
      <c r="G494" s="23"/>
      <c r="H494" s="23"/>
      <c r="I494" s="8" t="str">
        <f t="shared" si="114"/>
        <v/>
      </c>
      <c r="J494" s="2" t="str">
        <f t="shared" si="121"/>
        <v/>
      </c>
      <c r="K494" s="2" t="str">
        <f t="shared" si="115"/>
        <v/>
      </c>
      <c r="L494" s="2" t="str">
        <f t="shared" si="122"/>
        <v/>
      </c>
      <c r="M494" s="2" t="str">
        <f t="shared" si="127"/>
        <v/>
      </c>
      <c r="N494" s="2" t="str">
        <f t="shared" si="123"/>
        <v/>
      </c>
      <c r="O494" s="8" t="str">
        <f t="shared" si="124"/>
        <v/>
      </c>
      <c r="P494" s="8" t="str">
        <f t="shared" si="125"/>
        <v/>
      </c>
      <c r="Q494" s="40" t="str">
        <f t="shared" si="116"/>
        <v/>
      </c>
      <c r="R494" s="48" t="str">
        <f t="shared" si="126"/>
        <v/>
      </c>
      <c r="S494" s="8"/>
      <c r="U494" s="35">
        <f t="shared" si="117"/>
        <v>0</v>
      </c>
      <c r="V494" s="24">
        <f t="shared" si="118"/>
        <v>0</v>
      </c>
      <c r="W494" s="41">
        <f t="shared" si="129"/>
        <v>0</v>
      </c>
      <c r="X494" s="31"/>
      <c r="Y494" s="31"/>
      <c r="Z494" s="31"/>
      <c r="AA494" s="25">
        <f t="shared" si="119"/>
        <v>9.0359999999999996</v>
      </c>
      <c r="AB494" s="25">
        <f t="shared" si="120"/>
        <v>-184.49199999999999</v>
      </c>
      <c r="AD494" s="24">
        <f>IF(D494="M",IF(AG494&lt;78,BMILMS!$D$5*AG494^3+BMILMS!$E$5*AG494^2+BMILMS!$F$5*AG494+BMILMS!$G$5,IF(AG494&lt;150,BMILMS!$D$6*AG494^3+BMILMS!$E$6*AG494^2+BMILMS!$F$6*AG494+BMILMS!$G$6,BMILMS!$D$7*AG494^3+BMILMS!$E$7*AG494^2+BMILMS!$F$7*AG494+BMILMS!$G$7)),IF(AG494&lt;69,BMILMS!$D$9*AG494^3+BMILMS!$E$9*AG494^2+BMILMS!$F$9*AG494+BMILMS!$G$9,IF(AG494&lt;150,BMILMS!$D$10*AG494^3+BMILMS!$E$10*AG494^2+BMILMS!$F$10*AG494+BMILMS!$G$10,BMILMS!$D$11*AG494^3+BMILMS!$E$11*AG494^2+BMILMS!$F$11*AG494+BMILMS!$G$11)))</f>
        <v>0.79584630099999998</v>
      </c>
      <c r="AE494" s="24">
        <f>IF(D494="M",(IF(AG494&lt;2.5,BMILMS!$D$21*AG494^3+BMILMS!$E$21*AG494^2+BMILMS!$F$21*AG494+BMILMS!$G$21,IF(AG494&lt;9.5,BMILMS!$D$22*AG494^3+BMILMS!$E$22*AG494^2+BMILMS!$F$22*AG494+BMILMS!$G$22,IF(AG494&lt;26.75,BMILMS!$D$23*AG494^3+BMILMS!$E$23*AG494^2+BMILMS!$F$23*AG494+BMILMS!$G$23,IF(AG494&lt;90,BMILMS!$D$24*AG494^3+BMILMS!$E$24*AG494^2+BMILMS!$F$24*AG494+BMILMS!$G$24,BMILMS!$D$25*AG494^3+BMILMS!$E$25*AG494^2+BMILMS!$F$25*AG494+BMILMS!$G$25))))),(IF(AG494&lt;2.5,BMILMS!$D$27*AG494^3+BMILMS!$E$27*AG494^2+BMILMS!$F$27*AG494+BMILMS!$G$27,IF(AG494&lt;9.5,BMILMS!$D$28*AG494^3+BMILMS!$E$28*AG494^2+BMILMS!$F$28*AG494+BMILMS!$G$28,IF(AG494&lt;26.75,BMILMS!$D$29*AG494^3+BMILMS!$E$29*AG494^2+BMILMS!$F$29*AG494+BMILMS!$G$29,IF(AG494&lt;90,BMILMS!$D$30*AG494^3+BMILMS!$E$30*AG494^2+BMILMS!$F$30*AG494+BMILMS!$G$30,IF(AG494&lt;150,BMILMS!$D$31*AG494^3+BMILMS!$E$31*AG494^2+BMILMS!$F$31*AG494+BMILMS!$G$31,BMILMS!$D$32*AG494^3+BMILMS!$E$32*AG494^2+BMILMS!$F$32*AG494+BMILMS!$G$32)))))))</f>
        <v>12.568967990000001</v>
      </c>
      <c r="AF494" s="24">
        <f>IF(D494="M",(IF(AG494&lt;90,BMILMS!$D$14*AG494^3+BMILMS!$E$14*AG494^2+BMILMS!$F$14*AG494+BMILMS!$G$14,BMILMS!$D$15*AG494^3+BMILMS!$E$15*AG494^2+BMILMS!$F$15*AG494+BMILMS!$G$15)),(IF(AG494&lt;90,BMILMS!$D$17*AG494^3+BMILMS!$E$17*AG494^2+BMILMS!$F$17*AG494+BMILMS!$G$17,BMILMS!$D$18*AG494^3+BMILMS!$E$18*AG494^2+BMILMS!$F$18*AG494+BMILMS!$G$18)))</f>
        <v>8.8969350000000003E-2</v>
      </c>
      <c r="AG494" s="24">
        <f t="shared" si="128"/>
        <v>0</v>
      </c>
      <c r="AI494" s="38">
        <f>IF(D494="M",WeightSDS!P$5*$AG494^7+WeightSDS!Q$5*$AG494^6+WeightSDS!R$5*$AG494^5+WeightSDS!S$5*$AG494^4+WeightSDS!T$5*$AG494^3+WeightSDS!U$5*$AG494^2+WeightSDS!V$5*$AG494+WeightSDS!W$5,IF($AG494&lt;186,WeightSDS!P$8*$AG494^7+WeightSDS!Q$8*$AG494^6+WeightSDS!R$8*$AG494^5+WeightSDS!S$8*$AG494^4+WeightSDS!T$8*$AG494^3+WeightSDS!U$8*$AG494^2+WeightSDS!V$8*$AG494+WeightSDS!W$8,WeightSDS!$U$9-WeightSDS!$V$9*($AG494-WeightSDS!$W$9)))</f>
        <v>0.75407122999999998</v>
      </c>
      <c r="AJ494" s="24">
        <f>IF(D494="M",IF($AG494&lt;45,WeightSDS!M$23*$AG494^10+WeightSDS!N$23*$AG494^9+WeightSDS!O$23*$AG494^8+WeightSDS!P$23*$AG494^7+WeightSDS!Q$23*$AG494^6+WeightSDS!R$23*$AG494^5+WeightSDS!S$23*$AG494^4+WeightSDS!T$23*$AG494^3+WeightSDS!U$23*$AG494^2+WeightSDS!V$23*$AG494+WeightSDS!W$23,IF($AG494&lt;153,WeightSDS!M$25*$AG494^10+WeightSDS!N$25*$AG494^9+WeightSDS!O$25*$AG494^8+WeightSDS!P$25*$AG494^7+WeightSDS!Q$25*$AG494^6+WeightSDS!R$25*$AG494^5+WeightSDS!S$25*$AG494^4+WeightSDS!T$25*$AG494^3+WeightSDS!U$25*$AG494^2+WeightSDS!V$25*$AG494+WeightSDS!W$25,WeightSDS!M$27+WeightSDS!N$27/(1+EXP(WeightSDS!O$27+WeightSDS!P$27*$AG494)))),IF($AG494&lt;43.8,WeightSDS!M$29*$AG494^10+WeightSDS!N$29*$AG494^9+WeightSDS!O$29*$AG494^8+WeightSDS!P$29*$AG494^7+WeightSDS!Q$29*$AG494^6+WeightSDS!R$29*$AG494^5+WeightSDS!S$29*$AG494^4+WeightSDS!T$29*$AG494^3+WeightSDS!U$29*$AG494^2+WeightSDS!V$29*$AG494+WeightSDS!W$29-0.010431*(1-$AG494/210),IF($AG494&lt;123,WeightSDS!M$30*$AG494^10+WeightSDS!N$30*$AG494^9+WeightSDS!O$30*$AG494^8+WeightSDS!P$30*$AG494^7+WeightSDS!Q$30*$AG494^6+WeightSDS!R$30*$AG494^5+WeightSDS!S$30*$AG494^4+WeightSDS!T$30*$AG494^3+WeightSDS!U$30*$AG494^2+WeightSDS!V$30*$AG494+WeightSDS!W$30-0.010431*(1-1/$AG494),WeightSDS!M$32+WeightSDS!N$32/(1+EXP(WeightSDS!O$32+WeightSDS!P$32*$AG494))-0.010431*(1-$AG494/210))))</f>
        <v>2.9500001032655536</v>
      </c>
      <c r="AK494" s="24">
        <f>IF(D494="M",IF($AG494&lt;162,WeightSDS!P$12*$AG494^7+WeightSDS!Q$12*$AG494^6+WeightSDS!R$12*$AG494^5+WeightSDS!S$12*$AG494^4+WeightSDS!T$12*$AG494^3+WeightSDS!U$12*$AG494^2+WeightSDS!V$12*$AG494+WeightSDS!W$12,WeightSDS!P$14*$AG494^7+WeightSDS!Q$14*$AG494^6+WeightSDS!R$14*$AG494^5+WeightSDS!S$14*$AG494^4+WeightSDS!T$14*$AG494^3+WeightSDS!U$14*$AG494^2+WeightSDS!V$14*$AG494+WeightSDS!W$14),IF($AG494&lt;156,WeightSDS!O$17*$AG494^8+WeightSDS!P$17*$AG494^7+WeightSDS!Q$17*$AG494^6+WeightSDS!R$17*$AG494^5+WeightSDS!S$17*$AG494^4+WeightSDS!T$17*$AG494^3+WeightSDS!U$17*$AG494^2+WeightSDS!V$17*$AG494+WeightSDS!W$17,IF($AG494&lt;186,WeightSDS!$U$18+(WeightSDS!$V$18-WeightSDS!$U$18)/24*($AG494-186)+WeightSDS!$W$18*(-$AG494+186)^2-0.005,WeightSDS!$U$18+(WeightSDS!$V$18-WeightSDS!$U$18)/24*($AG494-186)-0.005)))</f>
        <v>0.14604529399999999</v>
      </c>
    </row>
    <row r="495" spans="1:37">
      <c r="A495" s="4"/>
      <c r="B495" s="21"/>
      <c r="C495" s="21"/>
      <c r="D495" s="21"/>
      <c r="E495" s="22"/>
      <c r="F495" s="22"/>
      <c r="G495" s="23"/>
      <c r="H495" s="23"/>
      <c r="I495" s="8" t="str">
        <f t="shared" si="114"/>
        <v/>
      </c>
      <c r="J495" s="2" t="str">
        <f t="shared" si="121"/>
        <v/>
      </c>
      <c r="K495" s="2" t="str">
        <f t="shared" si="115"/>
        <v/>
      </c>
      <c r="L495" s="2" t="str">
        <f t="shared" si="122"/>
        <v/>
      </c>
      <c r="M495" s="2" t="str">
        <f t="shared" si="127"/>
        <v/>
      </c>
      <c r="N495" s="2" t="str">
        <f t="shared" si="123"/>
        <v/>
      </c>
      <c r="O495" s="8" t="str">
        <f t="shared" si="124"/>
        <v/>
      </c>
      <c r="P495" s="8" t="str">
        <f t="shared" si="125"/>
        <v/>
      </c>
      <c r="Q495" s="40" t="str">
        <f t="shared" si="116"/>
        <v/>
      </c>
      <c r="R495" s="48" t="str">
        <f t="shared" si="126"/>
        <v/>
      </c>
      <c r="S495" s="8"/>
      <c r="U495" s="35">
        <f t="shared" si="117"/>
        <v>0</v>
      </c>
      <c r="V495" s="24">
        <f t="shared" si="118"/>
        <v>0</v>
      </c>
      <c r="W495" s="41">
        <f t="shared" si="129"/>
        <v>0</v>
      </c>
      <c r="X495" s="31"/>
      <c r="Y495" s="31"/>
      <c r="Z495" s="31"/>
      <c r="AA495" s="25">
        <f t="shared" si="119"/>
        <v>9.0359999999999996</v>
      </c>
      <c r="AB495" s="25">
        <f t="shared" si="120"/>
        <v>-184.49199999999999</v>
      </c>
      <c r="AD495" s="24">
        <f>IF(D495="M",IF(AG495&lt;78,BMILMS!$D$5*AG495^3+BMILMS!$E$5*AG495^2+BMILMS!$F$5*AG495+BMILMS!$G$5,IF(AG495&lt;150,BMILMS!$D$6*AG495^3+BMILMS!$E$6*AG495^2+BMILMS!$F$6*AG495+BMILMS!$G$6,BMILMS!$D$7*AG495^3+BMILMS!$E$7*AG495^2+BMILMS!$F$7*AG495+BMILMS!$G$7)),IF(AG495&lt;69,BMILMS!$D$9*AG495^3+BMILMS!$E$9*AG495^2+BMILMS!$F$9*AG495+BMILMS!$G$9,IF(AG495&lt;150,BMILMS!$D$10*AG495^3+BMILMS!$E$10*AG495^2+BMILMS!$F$10*AG495+BMILMS!$G$10,BMILMS!$D$11*AG495^3+BMILMS!$E$11*AG495^2+BMILMS!$F$11*AG495+BMILMS!$G$11)))</f>
        <v>0.79584630099999998</v>
      </c>
      <c r="AE495" s="24">
        <f>IF(D495="M",(IF(AG495&lt;2.5,BMILMS!$D$21*AG495^3+BMILMS!$E$21*AG495^2+BMILMS!$F$21*AG495+BMILMS!$G$21,IF(AG495&lt;9.5,BMILMS!$D$22*AG495^3+BMILMS!$E$22*AG495^2+BMILMS!$F$22*AG495+BMILMS!$G$22,IF(AG495&lt;26.75,BMILMS!$D$23*AG495^3+BMILMS!$E$23*AG495^2+BMILMS!$F$23*AG495+BMILMS!$G$23,IF(AG495&lt;90,BMILMS!$D$24*AG495^3+BMILMS!$E$24*AG495^2+BMILMS!$F$24*AG495+BMILMS!$G$24,BMILMS!$D$25*AG495^3+BMILMS!$E$25*AG495^2+BMILMS!$F$25*AG495+BMILMS!$G$25))))),(IF(AG495&lt;2.5,BMILMS!$D$27*AG495^3+BMILMS!$E$27*AG495^2+BMILMS!$F$27*AG495+BMILMS!$G$27,IF(AG495&lt;9.5,BMILMS!$D$28*AG495^3+BMILMS!$E$28*AG495^2+BMILMS!$F$28*AG495+BMILMS!$G$28,IF(AG495&lt;26.75,BMILMS!$D$29*AG495^3+BMILMS!$E$29*AG495^2+BMILMS!$F$29*AG495+BMILMS!$G$29,IF(AG495&lt;90,BMILMS!$D$30*AG495^3+BMILMS!$E$30*AG495^2+BMILMS!$F$30*AG495+BMILMS!$G$30,IF(AG495&lt;150,BMILMS!$D$31*AG495^3+BMILMS!$E$31*AG495^2+BMILMS!$F$31*AG495+BMILMS!$G$31,BMILMS!$D$32*AG495^3+BMILMS!$E$32*AG495^2+BMILMS!$F$32*AG495+BMILMS!$G$32)))))))</f>
        <v>12.568967990000001</v>
      </c>
      <c r="AF495" s="24">
        <f>IF(D495="M",(IF(AG495&lt;90,BMILMS!$D$14*AG495^3+BMILMS!$E$14*AG495^2+BMILMS!$F$14*AG495+BMILMS!$G$14,BMILMS!$D$15*AG495^3+BMILMS!$E$15*AG495^2+BMILMS!$F$15*AG495+BMILMS!$G$15)),(IF(AG495&lt;90,BMILMS!$D$17*AG495^3+BMILMS!$E$17*AG495^2+BMILMS!$F$17*AG495+BMILMS!$G$17,BMILMS!$D$18*AG495^3+BMILMS!$E$18*AG495^2+BMILMS!$F$18*AG495+BMILMS!$G$18)))</f>
        <v>8.8969350000000003E-2</v>
      </c>
      <c r="AG495" s="24">
        <f t="shared" si="128"/>
        <v>0</v>
      </c>
      <c r="AI495" s="38">
        <f>IF(D495="M",WeightSDS!P$5*$AG495^7+WeightSDS!Q$5*$AG495^6+WeightSDS!R$5*$AG495^5+WeightSDS!S$5*$AG495^4+WeightSDS!T$5*$AG495^3+WeightSDS!U$5*$AG495^2+WeightSDS!V$5*$AG495+WeightSDS!W$5,IF($AG495&lt;186,WeightSDS!P$8*$AG495^7+WeightSDS!Q$8*$AG495^6+WeightSDS!R$8*$AG495^5+WeightSDS!S$8*$AG495^4+WeightSDS!T$8*$AG495^3+WeightSDS!U$8*$AG495^2+WeightSDS!V$8*$AG495+WeightSDS!W$8,WeightSDS!$U$9-WeightSDS!$V$9*($AG495-WeightSDS!$W$9)))</f>
        <v>0.75407122999999998</v>
      </c>
      <c r="AJ495" s="24">
        <f>IF(D495="M",IF($AG495&lt;45,WeightSDS!M$23*$AG495^10+WeightSDS!N$23*$AG495^9+WeightSDS!O$23*$AG495^8+WeightSDS!P$23*$AG495^7+WeightSDS!Q$23*$AG495^6+WeightSDS!R$23*$AG495^5+WeightSDS!S$23*$AG495^4+WeightSDS!T$23*$AG495^3+WeightSDS!U$23*$AG495^2+WeightSDS!V$23*$AG495+WeightSDS!W$23,IF($AG495&lt;153,WeightSDS!M$25*$AG495^10+WeightSDS!N$25*$AG495^9+WeightSDS!O$25*$AG495^8+WeightSDS!P$25*$AG495^7+WeightSDS!Q$25*$AG495^6+WeightSDS!R$25*$AG495^5+WeightSDS!S$25*$AG495^4+WeightSDS!T$25*$AG495^3+WeightSDS!U$25*$AG495^2+WeightSDS!V$25*$AG495+WeightSDS!W$25,WeightSDS!M$27+WeightSDS!N$27/(1+EXP(WeightSDS!O$27+WeightSDS!P$27*$AG495)))),IF($AG495&lt;43.8,WeightSDS!M$29*$AG495^10+WeightSDS!N$29*$AG495^9+WeightSDS!O$29*$AG495^8+WeightSDS!P$29*$AG495^7+WeightSDS!Q$29*$AG495^6+WeightSDS!R$29*$AG495^5+WeightSDS!S$29*$AG495^4+WeightSDS!T$29*$AG495^3+WeightSDS!U$29*$AG495^2+WeightSDS!V$29*$AG495+WeightSDS!W$29-0.010431*(1-$AG495/210),IF($AG495&lt;123,WeightSDS!M$30*$AG495^10+WeightSDS!N$30*$AG495^9+WeightSDS!O$30*$AG495^8+WeightSDS!P$30*$AG495^7+WeightSDS!Q$30*$AG495^6+WeightSDS!R$30*$AG495^5+WeightSDS!S$30*$AG495^4+WeightSDS!T$30*$AG495^3+WeightSDS!U$30*$AG495^2+WeightSDS!V$30*$AG495+WeightSDS!W$30-0.010431*(1-1/$AG495),WeightSDS!M$32+WeightSDS!N$32/(1+EXP(WeightSDS!O$32+WeightSDS!P$32*$AG495))-0.010431*(1-$AG495/210))))</f>
        <v>2.9500001032655536</v>
      </c>
      <c r="AK495" s="24">
        <f>IF(D495="M",IF($AG495&lt;162,WeightSDS!P$12*$AG495^7+WeightSDS!Q$12*$AG495^6+WeightSDS!R$12*$AG495^5+WeightSDS!S$12*$AG495^4+WeightSDS!T$12*$AG495^3+WeightSDS!U$12*$AG495^2+WeightSDS!V$12*$AG495+WeightSDS!W$12,WeightSDS!P$14*$AG495^7+WeightSDS!Q$14*$AG495^6+WeightSDS!R$14*$AG495^5+WeightSDS!S$14*$AG495^4+WeightSDS!T$14*$AG495^3+WeightSDS!U$14*$AG495^2+WeightSDS!V$14*$AG495+WeightSDS!W$14),IF($AG495&lt;156,WeightSDS!O$17*$AG495^8+WeightSDS!P$17*$AG495^7+WeightSDS!Q$17*$AG495^6+WeightSDS!R$17*$AG495^5+WeightSDS!S$17*$AG495^4+WeightSDS!T$17*$AG495^3+WeightSDS!U$17*$AG495^2+WeightSDS!V$17*$AG495+WeightSDS!W$17,IF($AG495&lt;186,WeightSDS!$U$18+(WeightSDS!$V$18-WeightSDS!$U$18)/24*($AG495-186)+WeightSDS!$W$18*(-$AG495+186)^2-0.005,WeightSDS!$U$18+(WeightSDS!$V$18-WeightSDS!$U$18)/24*($AG495-186)-0.005)))</f>
        <v>0.14604529399999999</v>
      </c>
    </row>
    <row r="496" spans="1:37">
      <c r="A496" s="4"/>
      <c r="B496" s="21"/>
      <c r="C496" s="21"/>
      <c r="D496" s="21"/>
      <c r="E496" s="22"/>
      <c r="F496" s="22"/>
      <c r="G496" s="23"/>
      <c r="H496" s="23"/>
      <c r="I496" s="8" t="str">
        <f t="shared" si="114"/>
        <v/>
      </c>
      <c r="J496" s="2" t="str">
        <f t="shared" si="121"/>
        <v/>
      </c>
      <c r="K496" s="2" t="str">
        <f t="shared" si="115"/>
        <v/>
      </c>
      <c r="L496" s="2" t="str">
        <f t="shared" si="122"/>
        <v/>
      </c>
      <c r="M496" s="2" t="str">
        <f t="shared" si="127"/>
        <v/>
      </c>
      <c r="N496" s="2" t="str">
        <f t="shared" si="123"/>
        <v/>
      </c>
      <c r="O496" s="8" t="str">
        <f t="shared" si="124"/>
        <v/>
      </c>
      <c r="P496" s="8" t="str">
        <f t="shared" si="125"/>
        <v/>
      </c>
      <c r="Q496" s="40" t="str">
        <f t="shared" si="116"/>
        <v/>
      </c>
      <c r="R496" s="48" t="str">
        <f t="shared" si="126"/>
        <v/>
      </c>
      <c r="S496" s="8"/>
      <c r="U496" s="35">
        <f t="shared" si="117"/>
        <v>0</v>
      </c>
      <c r="V496" s="24">
        <f t="shared" si="118"/>
        <v>0</v>
      </c>
      <c r="W496" s="41">
        <f t="shared" si="129"/>
        <v>0</v>
      </c>
      <c r="X496" s="31"/>
      <c r="Y496" s="31"/>
      <c r="Z496" s="31"/>
      <c r="AA496" s="25">
        <f t="shared" si="119"/>
        <v>9.0359999999999996</v>
      </c>
      <c r="AB496" s="25">
        <f t="shared" si="120"/>
        <v>-184.49199999999999</v>
      </c>
      <c r="AD496" s="24">
        <f>IF(D496="M",IF(AG496&lt;78,BMILMS!$D$5*AG496^3+BMILMS!$E$5*AG496^2+BMILMS!$F$5*AG496+BMILMS!$G$5,IF(AG496&lt;150,BMILMS!$D$6*AG496^3+BMILMS!$E$6*AG496^2+BMILMS!$F$6*AG496+BMILMS!$G$6,BMILMS!$D$7*AG496^3+BMILMS!$E$7*AG496^2+BMILMS!$F$7*AG496+BMILMS!$G$7)),IF(AG496&lt;69,BMILMS!$D$9*AG496^3+BMILMS!$E$9*AG496^2+BMILMS!$F$9*AG496+BMILMS!$G$9,IF(AG496&lt;150,BMILMS!$D$10*AG496^3+BMILMS!$E$10*AG496^2+BMILMS!$F$10*AG496+BMILMS!$G$10,BMILMS!$D$11*AG496^3+BMILMS!$E$11*AG496^2+BMILMS!$F$11*AG496+BMILMS!$G$11)))</f>
        <v>0.79584630099999998</v>
      </c>
      <c r="AE496" s="24">
        <f>IF(D496="M",(IF(AG496&lt;2.5,BMILMS!$D$21*AG496^3+BMILMS!$E$21*AG496^2+BMILMS!$F$21*AG496+BMILMS!$G$21,IF(AG496&lt;9.5,BMILMS!$D$22*AG496^3+BMILMS!$E$22*AG496^2+BMILMS!$F$22*AG496+BMILMS!$G$22,IF(AG496&lt;26.75,BMILMS!$D$23*AG496^3+BMILMS!$E$23*AG496^2+BMILMS!$F$23*AG496+BMILMS!$G$23,IF(AG496&lt;90,BMILMS!$D$24*AG496^3+BMILMS!$E$24*AG496^2+BMILMS!$F$24*AG496+BMILMS!$G$24,BMILMS!$D$25*AG496^3+BMILMS!$E$25*AG496^2+BMILMS!$F$25*AG496+BMILMS!$G$25))))),(IF(AG496&lt;2.5,BMILMS!$D$27*AG496^3+BMILMS!$E$27*AG496^2+BMILMS!$F$27*AG496+BMILMS!$G$27,IF(AG496&lt;9.5,BMILMS!$D$28*AG496^3+BMILMS!$E$28*AG496^2+BMILMS!$F$28*AG496+BMILMS!$G$28,IF(AG496&lt;26.75,BMILMS!$D$29*AG496^3+BMILMS!$E$29*AG496^2+BMILMS!$F$29*AG496+BMILMS!$G$29,IF(AG496&lt;90,BMILMS!$D$30*AG496^3+BMILMS!$E$30*AG496^2+BMILMS!$F$30*AG496+BMILMS!$G$30,IF(AG496&lt;150,BMILMS!$D$31*AG496^3+BMILMS!$E$31*AG496^2+BMILMS!$F$31*AG496+BMILMS!$G$31,BMILMS!$D$32*AG496^3+BMILMS!$E$32*AG496^2+BMILMS!$F$32*AG496+BMILMS!$G$32)))))))</f>
        <v>12.568967990000001</v>
      </c>
      <c r="AF496" s="24">
        <f>IF(D496="M",(IF(AG496&lt;90,BMILMS!$D$14*AG496^3+BMILMS!$E$14*AG496^2+BMILMS!$F$14*AG496+BMILMS!$G$14,BMILMS!$D$15*AG496^3+BMILMS!$E$15*AG496^2+BMILMS!$F$15*AG496+BMILMS!$G$15)),(IF(AG496&lt;90,BMILMS!$D$17*AG496^3+BMILMS!$E$17*AG496^2+BMILMS!$F$17*AG496+BMILMS!$G$17,BMILMS!$D$18*AG496^3+BMILMS!$E$18*AG496^2+BMILMS!$F$18*AG496+BMILMS!$G$18)))</f>
        <v>8.8969350000000003E-2</v>
      </c>
      <c r="AG496" s="24">
        <f t="shared" si="128"/>
        <v>0</v>
      </c>
      <c r="AI496" s="38">
        <f>IF(D496="M",WeightSDS!P$5*$AG496^7+WeightSDS!Q$5*$AG496^6+WeightSDS!R$5*$AG496^5+WeightSDS!S$5*$AG496^4+WeightSDS!T$5*$AG496^3+WeightSDS!U$5*$AG496^2+WeightSDS!V$5*$AG496+WeightSDS!W$5,IF($AG496&lt;186,WeightSDS!P$8*$AG496^7+WeightSDS!Q$8*$AG496^6+WeightSDS!R$8*$AG496^5+WeightSDS!S$8*$AG496^4+WeightSDS!T$8*$AG496^3+WeightSDS!U$8*$AG496^2+WeightSDS!V$8*$AG496+WeightSDS!W$8,WeightSDS!$U$9-WeightSDS!$V$9*($AG496-WeightSDS!$W$9)))</f>
        <v>0.75407122999999998</v>
      </c>
      <c r="AJ496" s="24">
        <f>IF(D496="M",IF($AG496&lt;45,WeightSDS!M$23*$AG496^10+WeightSDS!N$23*$AG496^9+WeightSDS!O$23*$AG496^8+WeightSDS!P$23*$AG496^7+WeightSDS!Q$23*$AG496^6+WeightSDS!R$23*$AG496^5+WeightSDS!S$23*$AG496^4+WeightSDS!T$23*$AG496^3+WeightSDS!U$23*$AG496^2+WeightSDS!V$23*$AG496+WeightSDS!W$23,IF($AG496&lt;153,WeightSDS!M$25*$AG496^10+WeightSDS!N$25*$AG496^9+WeightSDS!O$25*$AG496^8+WeightSDS!P$25*$AG496^7+WeightSDS!Q$25*$AG496^6+WeightSDS!R$25*$AG496^5+WeightSDS!S$25*$AG496^4+WeightSDS!T$25*$AG496^3+WeightSDS!U$25*$AG496^2+WeightSDS!V$25*$AG496+WeightSDS!W$25,WeightSDS!M$27+WeightSDS!N$27/(1+EXP(WeightSDS!O$27+WeightSDS!P$27*$AG496)))),IF($AG496&lt;43.8,WeightSDS!M$29*$AG496^10+WeightSDS!N$29*$AG496^9+WeightSDS!O$29*$AG496^8+WeightSDS!P$29*$AG496^7+WeightSDS!Q$29*$AG496^6+WeightSDS!R$29*$AG496^5+WeightSDS!S$29*$AG496^4+WeightSDS!T$29*$AG496^3+WeightSDS!U$29*$AG496^2+WeightSDS!V$29*$AG496+WeightSDS!W$29-0.010431*(1-$AG496/210),IF($AG496&lt;123,WeightSDS!M$30*$AG496^10+WeightSDS!N$30*$AG496^9+WeightSDS!O$30*$AG496^8+WeightSDS!P$30*$AG496^7+WeightSDS!Q$30*$AG496^6+WeightSDS!R$30*$AG496^5+WeightSDS!S$30*$AG496^4+WeightSDS!T$30*$AG496^3+WeightSDS!U$30*$AG496^2+WeightSDS!V$30*$AG496+WeightSDS!W$30-0.010431*(1-1/$AG496),WeightSDS!M$32+WeightSDS!N$32/(1+EXP(WeightSDS!O$32+WeightSDS!P$32*$AG496))-0.010431*(1-$AG496/210))))</f>
        <v>2.9500001032655536</v>
      </c>
      <c r="AK496" s="24">
        <f>IF(D496="M",IF($AG496&lt;162,WeightSDS!P$12*$AG496^7+WeightSDS!Q$12*$AG496^6+WeightSDS!R$12*$AG496^5+WeightSDS!S$12*$AG496^4+WeightSDS!T$12*$AG496^3+WeightSDS!U$12*$AG496^2+WeightSDS!V$12*$AG496+WeightSDS!W$12,WeightSDS!P$14*$AG496^7+WeightSDS!Q$14*$AG496^6+WeightSDS!R$14*$AG496^5+WeightSDS!S$14*$AG496^4+WeightSDS!T$14*$AG496^3+WeightSDS!U$14*$AG496^2+WeightSDS!V$14*$AG496+WeightSDS!W$14),IF($AG496&lt;156,WeightSDS!O$17*$AG496^8+WeightSDS!P$17*$AG496^7+WeightSDS!Q$17*$AG496^6+WeightSDS!R$17*$AG496^5+WeightSDS!S$17*$AG496^4+WeightSDS!T$17*$AG496^3+WeightSDS!U$17*$AG496^2+WeightSDS!V$17*$AG496+WeightSDS!W$17,IF($AG496&lt;186,WeightSDS!$U$18+(WeightSDS!$V$18-WeightSDS!$U$18)/24*($AG496-186)+WeightSDS!$W$18*(-$AG496+186)^2-0.005,WeightSDS!$U$18+(WeightSDS!$V$18-WeightSDS!$U$18)/24*($AG496-186)-0.005)))</f>
        <v>0.14604529399999999</v>
      </c>
    </row>
    <row r="497" spans="1:37">
      <c r="A497" s="4"/>
      <c r="B497" s="21"/>
      <c r="C497" s="21"/>
      <c r="D497" s="21"/>
      <c r="E497" s="22"/>
      <c r="F497" s="22"/>
      <c r="G497" s="23"/>
      <c r="H497" s="23"/>
      <c r="I497" s="8" t="str">
        <f t="shared" si="114"/>
        <v/>
      </c>
      <c r="J497" s="2" t="str">
        <f t="shared" si="121"/>
        <v/>
      </c>
      <c r="K497" s="2" t="str">
        <f t="shared" si="115"/>
        <v/>
      </c>
      <c r="L497" s="2" t="str">
        <f t="shared" si="122"/>
        <v/>
      </c>
      <c r="M497" s="2" t="str">
        <f t="shared" si="127"/>
        <v/>
      </c>
      <c r="N497" s="2" t="str">
        <f t="shared" si="123"/>
        <v/>
      </c>
      <c r="O497" s="8" t="str">
        <f t="shared" si="124"/>
        <v/>
      </c>
      <c r="P497" s="8" t="str">
        <f t="shared" si="125"/>
        <v/>
      </c>
      <c r="Q497" s="40" t="str">
        <f t="shared" si="116"/>
        <v/>
      </c>
      <c r="R497" s="48" t="str">
        <f t="shared" si="126"/>
        <v/>
      </c>
      <c r="S497" s="8"/>
      <c r="U497" s="35">
        <f t="shared" si="117"/>
        <v>0</v>
      </c>
      <c r="V497" s="24">
        <f t="shared" si="118"/>
        <v>0</v>
      </c>
      <c r="W497" s="41">
        <f t="shared" si="129"/>
        <v>0</v>
      </c>
      <c r="X497" s="31"/>
      <c r="Y497" s="31"/>
      <c r="Z497" s="31"/>
      <c r="AA497" s="25">
        <f t="shared" si="119"/>
        <v>9.0359999999999996</v>
      </c>
      <c r="AB497" s="25">
        <f t="shared" si="120"/>
        <v>-184.49199999999999</v>
      </c>
      <c r="AD497" s="24">
        <f>IF(D497="M",IF(AG497&lt;78,BMILMS!$D$5*AG497^3+BMILMS!$E$5*AG497^2+BMILMS!$F$5*AG497+BMILMS!$G$5,IF(AG497&lt;150,BMILMS!$D$6*AG497^3+BMILMS!$E$6*AG497^2+BMILMS!$F$6*AG497+BMILMS!$G$6,BMILMS!$D$7*AG497^3+BMILMS!$E$7*AG497^2+BMILMS!$F$7*AG497+BMILMS!$G$7)),IF(AG497&lt;69,BMILMS!$D$9*AG497^3+BMILMS!$E$9*AG497^2+BMILMS!$F$9*AG497+BMILMS!$G$9,IF(AG497&lt;150,BMILMS!$D$10*AG497^3+BMILMS!$E$10*AG497^2+BMILMS!$F$10*AG497+BMILMS!$G$10,BMILMS!$D$11*AG497^3+BMILMS!$E$11*AG497^2+BMILMS!$F$11*AG497+BMILMS!$G$11)))</f>
        <v>0.79584630099999998</v>
      </c>
      <c r="AE497" s="24">
        <f>IF(D497="M",(IF(AG497&lt;2.5,BMILMS!$D$21*AG497^3+BMILMS!$E$21*AG497^2+BMILMS!$F$21*AG497+BMILMS!$G$21,IF(AG497&lt;9.5,BMILMS!$D$22*AG497^3+BMILMS!$E$22*AG497^2+BMILMS!$F$22*AG497+BMILMS!$G$22,IF(AG497&lt;26.75,BMILMS!$D$23*AG497^3+BMILMS!$E$23*AG497^2+BMILMS!$F$23*AG497+BMILMS!$G$23,IF(AG497&lt;90,BMILMS!$D$24*AG497^3+BMILMS!$E$24*AG497^2+BMILMS!$F$24*AG497+BMILMS!$G$24,BMILMS!$D$25*AG497^3+BMILMS!$E$25*AG497^2+BMILMS!$F$25*AG497+BMILMS!$G$25))))),(IF(AG497&lt;2.5,BMILMS!$D$27*AG497^3+BMILMS!$E$27*AG497^2+BMILMS!$F$27*AG497+BMILMS!$G$27,IF(AG497&lt;9.5,BMILMS!$D$28*AG497^3+BMILMS!$E$28*AG497^2+BMILMS!$F$28*AG497+BMILMS!$G$28,IF(AG497&lt;26.75,BMILMS!$D$29*AG497^3+BMILMS!$E$29*AG497^2+BMILMS!$F$29*AG497+BMILMS!$G$29,IF(AG497&lt;90,BMILMS!$D$30*AG497^3+BMILMS!$E$30*AG497^2+BMILMS!$F$30*AG497+BMILMS!$G$30,IF(AG497&lt;150,BMILMS!$D$31*AG497^3+BMILMS!$E$31*AG497^2+BMILMS!$F$31*AG497+BMILMS!$G$31,BMILMS!$D$32*AG497^3+BMILMS!$E$32*AG497^2+BMILMS!$F$32*AG497+BMILMS!$G$32)))))))</f>
        <v>12.568967990000001</v>
      </c>
      <c r="AF497" s="24">
        <f>IF(D497="M",(IF(AG497&lt;90,BMILMS!$D$14*AG497^3+BMILMS!$E$14*AG497^2+BMILMS!$F$14*AG497+BMILMS!$G$14,BMILMS!$D$15*AG497^3+BMILMS!$E$15*AG497^2+BMILMS!$F$15*AG497+BMILMS!$G$15)),(IF(AG497&lt;90,BMILMS!$D$17*AG497^3+BMILMS!$E$17*AG497^2+BMILMS!$F$17*AG497+BMILMS!$G$17,BMILMS!$D$18*AG497^3+BMILMS!$E$18*AG497^2+BMILMS!$F$18*AG497+BMILMS!$G$18)))</f>
        <v>8.8969350000000003E-2</v>
      </c>
      <c r="AG497" s="24">
        <f t="shared" si="128"/>
        <v>0</v>
      </c>
      <c r="AI497" s="38">
        <f>IF(D497="M",WeightSDS!P$5*$AG497^7+WeightSDS!Q$5*$AG497^6+WeightSDS!R$5*$AG497^5+WeightSDS!S$5*$AG497^4+WeightSDS!T$5*$AG497^3+WeightSDS!U$5*$AG497^2+WeightSDS!V$5*$AG497+WeightSDS!W$5,IF($AG497&lt;186,WeightSDS!P$8*$AG497^7+WeightSDS!Q$8*$AG497^6+WeightSDS!R$8*$AG497^5+WeightSDS!S$8*$AG497^4+WeightSDS!T$8*$AG497^3+WeightSDS!U$8*$AG497^2+WeightSDS!V$8*$AG497+WeightSDS!W$8,WeightSDS!$U$9-WeightSDS!$V$9*($AG497-WeightSDS!$W$9)))</f>
        <v>0.75407122999999998</v>
      </c>
      <c r="AJ497" s="24">
        <f>IF(D497="M",IF($AG497&lt;45,WeightSDS!M$23*$AG497^10+WeightSDS!N$23*$AG497^9+WeightSDS!O$23*$AG497^8+WeightSDS!P$23*$AG497^7+WeightSDS!Q$23*$AG497^6+WeightSDS!R$23*$AG497^5+WeightSDS!S$23*$AG497^4+WeightSDS!T$23*$AG497^3+WeightSDS!U$23*$AG497^2+WeightSDS!V$23*$AG497+WeightSDS!W$23,IF($AG497&lt;153,WeightSDS!M$25*$AG497^10+WeightSDS!N$25*$AG497^9+WeightSDS!O$25*$AG497^8+WeightSDS!P$25*$AG497^7+WeightSDS!Q$25*$AG497^6+WeightSDS!R$25*$AG497^5+WeightSDS!S$25*$AG497^4+WeightSDS!T$25*$AG497^3+WeightSDS!U$25*$AG497^2+WeightSDS!V$25*$AG497+WeightSDS!W$25,WeightSDS!M$27+WeightSDS!N$27/(1+EXP(WeightSDS!O$27+WeightSDS!P$27*$AG497)))),IF($AG497&lt;43.8,WeightSDS!M$29*$AG497^10+WeightSDS!N$29*$AG497^9+WeightSDS!O$29*$AG497^8+WeightSDS!P$29*$AG497^7+WeightSDS!Q$29*$AG497^6+WeightSDS!R$29*$AG497^5+WeightSDS!S$29*$AG497^4+WeightSDS!T$29*$AG497^3+WeightSDS!U$29*$AG497^2+WeightSDS!V$29*$AG497+WeightSDS!W$29-0.010431*(1-$AG497/210),IF($AG497&lt;123,WeightSDS!M$30*$AG497^10+WeightSDS!N$30*$AG497^9+WeightSDS!O$30*$AG497^8+WeightSDS!P$30*$AG497^7+WeightSDS!Q$30*$AG497^6+WeightSDS!R$30*$AG497^5+WeightSDS!S$30*$AG497^4+WeightSDS!T$30*$AG497^3+WeightSDS!U$30*$AG497^2+WeightSDS!V$30*$AG497+WeightSDS!W$30-0.010431*(1-1/$AG497),WeightSDS!M$32+WeightSDS!N$32/(1+EXP(WeightSDS!O$32+WeightSDS!P$32*$AG497))-0.010431*(1-$AG497/210))))</f>
        <v>2.9500001032655536</v>
      </c>
      <c r="AK497" s="24">
        <f>IF(D497="M",IF($AG497&lt;162,WeightSDS!P$12*$AG497^7+WeightSDS!Q$12*$AG497^6+WeightSDS!R$12*$AG497^5+WeightSDS!S$12*$AG497^4+WeightSDS!T$12*$AG497^3+WeightSDS!U$12*$AG497^2+WeightSDS!V$12*$AG497+WeightSDS!W$12,WeightSDS!P$14*$AG497^7+WeightSDS!Q$14*$AG497^6+WeightSDS!R$14*$AG497^5+WeightSDS!S$14*$AG497^4+WeightSDS!T$14*$AG497^3+WeightSDS!U$14*$AG497^2+WeightSDS!V$14*$AG497+WeightSDS!W$14),IF($AG497&lt;156,WeightSDS!O$17*$AG497^8+WeightSDS!P$17*$AG497^7+WeightSDS!Q$17*$AG497^6+WeightSDS!R$17*$AG497^5+WeightSDS!S$17*$AG497^4+WeightSDS!T$17*$AG497^3+WeightSDS!U$17*$AG497^2+WeightSDS!V$17*$AG497+WeightSDS!W$17,IF($AG497&lt;186,WeightSDS!$U$18+(WeightSDS!$V$18-WeightSDS!$U$18)/24*($AG497-186)+WeightSDS!$W$18*(-$AG497+186)^2-0.005,WeightSDS!$U$18+(WeightSDS!$V$18-WeightSDS!$U$18)/24*($AG497-186)-0.005)))</f>
        <v>0.14604529399999999</v>
      </c>
    </row>
    <row r="498" spans="1:37">
      <c r="A498" s="4"/>
      <c r="B498" s="21"/>
      <c r="C498" s="21"/>
      <c r="D498" s="21"/>
      <c r="E498" s="22"/>
      <c r="F498" s="22"/>
      <c r="G498" s="23"/>
      <c r="H498" s="23"/>
      <c r="I498" s="8" t="str">
        <f t="shared" si="114"/>
        <v/>
      </c>
      <c r="J498" s="2" t="str">
        <f t="shared" si="121"/>
        <v/>
      </c>
      <c r="K498" s="2" t="str">
        <f t="shared" si="115"/>
        <v/>
      </c>
      <c r="L498" s="2" t="str">
        <f t="shared" si="122"/>
        <v/>
      </c>
      <c r="M498" s="2" t="str">
        <f t="shared" si="127"/>
        <v/>
      </c>
      <c r="N498" s="2" t="str">
        <f t="shared" si="123"/>
        <v/>
      </c>
      <c r="O498" s="8" t="str">
        <f t="shared" si="124"/>
        <v/>
      </c>
      <c r="P498" s="8" t="str">
        <f t="shared" si="125"/>
        <v/>
      </c>
      <c r="Q498" s="40" t="str">
        <f t="shared" si="116"/>
        <v/>
      </c>
      <c r="R498" s="48" t="str">
        <f t="shared" si="126"/>
        <v/>
      </c>
      <c r="S498" s="8"/>
      <c r="U498" s="35">
        <f t="shared" si="117"/>
        <v>0</v>
      </c>
      <c r="V498" s="24">
        <f t="shared" si="118"/>
        <v>0</v>
      </c>
      <c r="W498" s="41">
        <f t="shared" si="129"/>
        <v>0</v>
      </c>
      <c r="X498" s="31"/>
      <c r="Y498" s="31"/>
      <c r="Z498" s="31"/>
      <c r="AA498" s="25">
        <f t="shared" si="119"/>
        <v>9.0359999999999996</v>
      </c>
      <c r="AB498" s="25">
        <f t="shared" si="120"/>
        <v>-184.49199999999999</v>
      </c>
      <c r="AD498" s="24">
        <f>IF(D498="M",IF(AG498&lt;78,BMILMS!$D$5*AG498^3+BMILMS!$E$5*AG498^2+BMILMS!$F$5*AG498+BMILMS!$G$5,IF(AG498&lt;150,BMILMS!$D$6*AG498^3+BMILMS!$E$6*AG498^2+BMILMS!$F$6*AG498+BMILMS!$G$6,BMILMS!$D$7*AG498^3+BMILMS!$E$7*AG498^2+BMILMS!$F$7*AG498+BMILMS!$G$7)),IF(AG498&lt;69,BMILMS!$D$9*AG498^3+BMILMS!$E$9*AG498^2+BMILMS!$F$9*AG498+BMILMS!$G$9,IF(AG498&lt;150,BMILMS!$D$10*AG498^3+BMILMS!$E$10*AG498^2+BMILMS!$F$10*AG498+BMILMS!$G$10,BMILMS!$D$11*AG498^3+BMILMS!$E$11*AG498^2+BMILMS!$F$11*AG498+BMILMS!$G$11)))</f>
        <v>0.79584630099999998</v>
      </c>
      <c r="AE498" s="24">
        <f>IF(D498="M",(IF(AG498&lt;2.5,BMILMS!$D$21*AG498^3+BMILMS!$E$21*AG498^2+BMILMS!$F$21*AG498+BMILMS!$G$21,IF(AG498&lt;9.5,BMILMS!$D$22*AG498^3+BMILMS!$E$22*AG498^2+BMILMS!$F$22*AG498+BMILMS!$G$22,IF(AG498&lt;26.75,BMILMS!$D$23*AG498^3+BMILMS!$E$23*AG498^2+BMILMS!$F$23*AG498+BMILMS!$G$23,IF(AG498&lt;90,BMILMS!$D$24*AG498^3+BMILMS!$E$24*AG498^2+BMILMS!$F$24*AG498+BMILMS!$G$24,BMILMS!$D$25*AG498^3+BMILMS!$E$25*AG498^2+BMILMS!$F$25*AG498+BMILMS!$G$25))))),(IF(AG498&lt;2.5,BMILMS!$D$27*AG498^3+BMILMS!$E$27*AG498^2+BMILMS!$F$27*AG498+BMILMS!$G$27,IF(AG498&lt;9.5,BMILMS!$D$28*AG498^3+BMILMS!$E$28*AG498^2+BMILMS!$F$28*AG498+BMILMS!$G$28,IF(AG498&lt;26.75,BMILMS!$D$29*AG498^3+BMILMS!$E$29*AG498^2+BMILMS!$F$29*AG498+BMILMS!$G$29,IF(AG498&lt;90,BMILMS!$D$30*AG498^3+BMILMS!$E$30*AG498^2+BMILMS!$F$30*AG498+BMILMS!$G$30,IF(AG498&lt;150,BMILMS!$D$31*AG498^3+BMILMS!$E$31*AG498^2+BMILMS!$F$31*AG498+BMILMS!$G$31,BMILMS!$D$32*AG498^3+BMILMS!$E$32*AG498^2+BMILMS!$F$32*AG498+BMILMS!$G$32)))))))</f>
        <v>12.568967990000001</v>
      </c>
      <c r="AF498" s="24">
        <f>IF(D498="M",(IF(AG498&lt;90,BMILMS!$D$14*AG498^3+BMILMS!$E$14*AG498^2+BMILMS!$F$14*AG498+BMILMS!$G$14,BMILMS!$D$15*AG498^3+BMILMS!$E$15*AG498^2+BMILMS!$F$15*AG498+BMILMS!$G$15)),(IF(AG498&lt;90,BMILMS!$D$17*AG498^3+BMILMS!$E$17*AG498^2+BMILMS!$F$17*AG498+BMILMS!$G$17,BMILMS!$D$18*AG498^3+BMILMS!$E$18*AG498^2+BMILMS!$F$18*AG498+BMILMS!$G$18)))</f>
        <v>8.8969350000000003E-2</v>
      </c>
      <c r="AG498" s="24">
        <f t="shared" si="128"/>
        <v>0</v>
      </c>
      <c r="AI498" s="38">
        <f>IF(D498="M",WeightSDS!P$5*$AG498^7+WeightSDS!Q$5*$AG498^6+WeightSDS!R$5*$AG498^5+WeightSDS!S$5*$AG498^4+WeightSDS!T$5*$AG498^3+WeightSDS!U$5*$AG498^2+WeightSDS!V$5*$AG498+WeightSDS!W$5,IF($AG498&lt;186,WeightSDS!P$8*$AG498^7+WeightSDS!Q$8*$AG498^6+WeightSDS!R$8*$AG498^5+WeightSDS!S$8*$AG498^4+WeightSDS!T$8*$AG498^3+WeightSDS!U$8*$AG498^2+WeightSDS!V$8*$AG498+WeightSDS!W$8,WeightSDS!$U$9-WeightSDS!$V$9*($AG498-WeightSDS!$W$9)))</f>
        <v>0.75407122999999998</v>
      </c>
      <c r="AJ498" s="24">
        <f>IF(D498="M",IF($AG498&lt;45,WeightSDS!M$23*$AG498^10+WeightSDS!N$23*$AG498^9+WeightSDS!O$23*$AG498^8+WeightSDS!P$23*$AG498^7+WeightSDS!Q$23*$AG498^6+WeightSDS!R$23*$AG498^5+WeightSDS!S$23*$AG498^4+WeightSDS!T$23*$AG498^3+WeightSDS!U$23*$AG498^2+WeightSDS!V$23*$AG498+WeightSDS!W$23,IF($AG498&lt;153,WeightSDS!M$25*$AG498^10+WeightSDS!N$25*$AG498^9+WeightSDS!O$25*$AG498^8+WeightSDS!P$25*$AG498^7+WeightSDS!Q$25*$AG498^6+WeightSDS!R$25*$AG498^5+WeightSDS!S$25*$AG498^4+WeightSDS!T$25*$AG498^3+WeightSDS!U$25*$AG498^2+WeightSDS!V$25*$AG498+WeightSDS!W$25,WeightSDS!M$27+WeightSDS!N$27/(1+EXP(WeightSDS!O$27+WeightSDS!P$27*$AG498)))),IF($AG498&lt;43.8,WeightSDS!M$29*$AG498^10+WeightSDS!N$29*$AG498^9+WeightSDS!O$29*$AG498^8+WeightSDS!P$29*$AG498^7+WeightSDS!Q$29*$AG498^6+WeightSDS!R$29*$AG498^5+WeightSDS!S$29*$AG498^4+WeightSDS!T$29*$AG498^3+WeightSDS!U$29*$AG498^2+WeightSDS!V$29*$AG498+WeightSDS!W$29-0.010431*(1-$AG498/210),IF($AG498&lt;123,WeightSDS!M$30*$AG498^10+WeightSDS!N$30*$AG498^9+WeightSDS!O$30*$AG498^8+WeightSDS!P$30*$AG498^7+WeightSDS!Q$30*$AG498^6+WeightSDS!R$30*$AG498^5+WeightSDS!S$30*$AG498^4+WeightSDS!T$30*$AG498^3+WeightSDS!U$30*$AG498^2+WeightSDS!V$30*$AG498+WeightSDS!W$30-0.010431*(1-1/$AG498),WeightSDS!M$32+WeightSDS!N$32/(1+EXP(WeightSDS!O$32+WeightSDS!P$32*$AG498))-0.010431*(1-$AG498/210))))</f>
        <v>2.9500001032655536</v>
      </c>
      <c r="AK498" s="24">
        <f>IF(D498="M",IF($AG498&lt;162,WeightSDS!P$12*$AG498^7+WeightSDS!Q$12*$AG498^6+WeightSDS!R$12*$AG498^5+WeightSDS!S$12*$AG498^4+WeightSDS!T$12*$AG498^3+WeightSDS!U$12*$AG498^2+WeightSDS!V$12*$AG498+WeightSDS!W$12,WeightSDS!P$14*$AG498^7+WeightSDS!Q$14*$AG498^6+WeightSDS!R$14*$AG498^5+WeightSDS!S$14*$AG498^4+WeightSDS!T$14*$AG498^3+WeightSDS!U$14*$AG498^2+WeightSDS!V$14*$AG498+WeightSDS!W$14),IF($AG498&lt;156,WeightSDS!O$17*$AG498^8+WeightSDS!P$17*$AG498^7+WeightSDS!Q$17*$AG498^6+WeightSDS!R$17*$AG498^5+WeightSDS!S$17*$AG498^4+WeightSDS!T$17*$AG498^3+WeightSDS!U$17*$AG498^2+WeightSDS!V$17*$AG498+WeightSDS!W$17,IF($AG498&lt;186,WeightSDS!$U$18+(WeightSDS!$V$18-WeightSDS!$U$18)/24*($AG498-186)+WeightSDS!$W$18*(-$AG498+186)^2-0.005,WeightSDS!$U$18+(WeightSDS!$V$18-WeightSDS!$U$18)/24*($AG498-186)-0.005)))</f>
        <v>0.14604529399999999</v>
      </c>
    </row>
    <row r="499" spans="1:37">
      <c r="A499" s="4"/>
      <c r="B499" s="21"/>
      <c r="C499" s="21"/>
      <c r="D499" s="21"/>
      <c r="E499" s="22"/>
      <c r="F499" s="22"/>
      <c r="G499" s="23"/>
      <c r="H499" s="23"/>
      <c r="I499" s="8" t="str">
        <f t="shared" si="114"/>
        <v/>
      </c>
      <c r="J499" s="2" t="str">
        <f t="shared" si="121"/>
        <v/>
      </c>
      <c r="K499" s="2" t="str">
        <f t="shared" si="115"/>
        <v/>
      </c>
      <c r="L499" s="2" t="str">
        <f t="shared" si="122"/>
        <v/>
      </c>
      <c r="M499" s="2" t="str">
        <f t="shared" si="127"/>
        <v/>
      </c>
      <c r="N499" s="2" t="str">
        <f t="shared" si="123"/>
        <v/>
      </c>
      <c r="O499" s="8" t="str">
        <f t="shared" si="124"/>
        <v/>
      </c>
      <c r="P499" s="8" t="str">
        <f t="shared" si="125"/>
        <v/>
      </c>
      <c r="Q499" s="40" t="str">
        <f t="shared" si="116"/>
        <v/>
      </c>
      <c r="R499" s="48" t="str">
        <f t="shared" si="126"/>
        <v/>
      </c>
      <c r="S499" s="8"/>
      <c r="U499" s="35">
        <f t="shared" si="117"/>
        <v>0</v>
      </c>
      <c r="V499" s="24">
        <f t="shared" si="118"/>
        <v>0</v>
      </c>
      <c r="W499" s="41">
        <f t="shared" si="129"/>
        <v>0</v>
      </c>
      <c r="X499" s="31"/>
      <c r="Y499" s="31"/>
      <c r="Z499" s="31"/>
      <c r="AA499" s="25">
        <f t="shared" si="119"/>
        <v>9.0359999999999996</v>
      </c>
      <c r="AB499" s="25">
        <f t="shared" si="120"/>
        <v>-184.49199999999999</v>
      </c>
      <c r="AD499" s="24">
        <f>IF(D499="M",IF(AG499&lt;78,BMILMS!$D$5*AG499^3+BMILMS!$E$5*AG499^2+BMILMS!$F$5*AG499+BMILMS!$G$5,IF(AG499&lt;150,BMILMS!$D$6*AG499^3+BMILMS!$E$6*AG499^2+BMILMS!$F$6*AG499+BMILMS!$G$6,BMILMS!$D$7*AG499^3+BMILMS!$E$7*AG499^2+BMILMS!$F$7*AG499+BMILMS!$G$7)),IF(AG499&lt;69,BMILMS!$D$9*AG499^3+BMILMS!$E$9*AG499^2+BMILMS!$F$9*AG499+BMILMS!$G$9,IF(AG499&lt;150,BMILMS!$D$10*AG499^3+BMILMS!$E$10*AG499^2+BMILMS!$F$10*AG499+BMILMS!$G$10,BMILMS!$D$11*AG499^3+BMILMS!$E$11*AG499^2+BMILMS!$F$11*AG499+BMILMS!$G$11)))</f>
        <v>0.79584630099999998</v>
      </c>
      <c r="AE499" s="24">
        <f>IF(D499="M",(IF(AG499&lt;2.5,BMILMS!$D$21*AG499^3+BMILMS!$E$21*AG499^2+BMILMS!$F$21*AG499+BMILMS!$G$21,IF(AG499&lt;9.5,BMILMS!$D$22*AG499^3+BMILMS!$E$22*AG499^2+BMILMS!$F$22*AG499+BMILMS!$G$22,IF(AG499&lt;26.75,BMILMS!$D$23*AG499^3+BMILMS!$E$23*AG499^2+BMILMS!$F$23*AG499+BMILMS!$G$23,IF(AG499&lt;90,BMILMS!$D$24*AG499^3+BMILMS!$E$24*AG499^2+BMILMS!$F$24*AG499+BMILMS!$G$24,BMILMS!$D$25*AG499^3+BMILMS!$E$25*AG499^2+BMILMS!$F$25*AG499+BMILMS!$G$25))))),(IF(AG499&lt;2.5,BMILMS!$D$27*AG499^3+BMILMS!$E$27*AG499^2+BMILMS!$F$27*AG499+BMILMS!$G$27,IF(AG499&lt;9.5,BMILMS!$D$28*AG499^3+BMILMS!$E$28*AG499^2+BMILMS!$F$28*AG499+BMILMS!$G$28,IF(AG499&lt;26.75,BMILMS!$D$29*AG499^3+BMILMS!$E$29*AG499^2+BMILMS!$F$29*AG499+BMILMS!$G$29,IF(AG499&lt;90,BMILMS!$D$30*AG499^3+BMILMS!$E$30*AG499^2+BMILMS!$F$30*AG499+BMILMS!$G$30,IF(AG499&lt;150,BMILMS!$D$31*AG499^3+BMILMS!$E$31*AG499^2+BMILMS!$F$31*AG499+BMILMS!$G$31,BMILMS!$D$32*AG499^3+BMILMS!$E$32*AG499^2+BMILMS!$F$32*AG499+BMILMS!$G$32)))))))</f>
        <v>12.568967990000001</v>
      </c>
      <c r="AF499" s="24">
        <f>IF(D499="M",(IF(AG499&lt;90,BMILMS!$D$14*AG499^3+BMILMS!$E$14*AG499^2+BMILMS!$F$14*AG499+BMILMS!$G$14,BMILMS!$D$15*AG499^3+BMILMS!$E$15*AG499^2+BMILMS!$F$15*AG499+BMILMS!$G$15)),(IF(AG499&lt;90,BMILMS!$D$17*AG499^3+BMILMS!$E$17*AG499^2+BMILMS!$F$17*AG499+BMILMS!$G$17,BMILMS!$D$18*AG499^3+BMILMS!$E$18*AG499^2+BMILMS!$F$18*AG499+BMILMS!$G$18)))</f>
        <v>8.8969350000000003E-2</v>
      </c>
      <c r="AG499" s="24">
        <f t="shared" si="128"/>
        <v>0</v>
      </c>
      <c r="AI499" s="38">
        <f>IF(D499="M",WeightSDS!P$5*$AG499^7+WeightSDS!Q$5*$AG499^6+WeightSDS!R$5*$AG499^5+WeightSDS!S$5*$AG499^4+WeightSDS!T$5*$AG499^3+WeightSDS!U$5*$AG499^2+WeightSDS!V$5*$AG499+WeightSDS!W$5,IF($AG499&lt;186,WeightSDS!P$8*$AG499^7+WeightSDS!Q$8*$AG499^6+WeightSDS!R$8*$AG499^5+WeightSDS!S$8*$AG499^4+WeightSDS!T$8*$AG499^3+WeightSDS!U$8*$AG499^2+WeightSDS!V$8*$AG499+WeightSDS!W$8,WeightSDS!$U$9-WeightSDS!$V$9*($AG499-WeightSDS!$W$9)))</f>
        <v>0.75407122999999998</v>
      </c>
      <c r="AJ499" s="24">
        <f>IF(D499="M",IF($AG499&lt;45,WeightSDS!M$23*$AG499^10+WeightSDS!N$23*$AG499^9+WeightSDS!O$23*$AG499^8+WeightSDS!P$23*$AG499^7+WeightSDS!Q$23*$AG499^6+WeightSDS!R$23*$AG499^5+WeightSDS!S$23*$AG499^4+WeightSDS!T$23*$AG499^3+WeightSDS!U$23*$AG499^2+WeightSDS!V$23*$AG499+WeightSDS!W$23,IF($AG499&lt;153,WeightSDS!M$25*$AG499^10+WeightSDS!N$25*$AG499^9+WeightSDS!O$25*$AG499^8+WeightSDS!P$25*$AG499^7+WeightSDS!Q$25*$AG499^6+WeightSDS!R$25*$AG499^5+WeightSDS!S$25*$AG499^4+WeightSDS!T$25*$AG499^3+WeightSDS!U$25*$AG499^2+WeightSDS!V$25*$AG499+WeightSDS!W$25,WeightSDS!M$27+WeightSDS!N$27/(1+EXP(WeightSDS!O$27+WeightSDS!P$27*$AG499)))),IF($AG499&lt;43.8,WeightSDS!M$29*$AG499^10+WeightSDS!N$29*$AG499^9+WeightSDS!O$29*$AG499^8+WeightSDS!P$29*$AG499^7+WeightSDS!Q$29*$AG499^6+WeightSDS!R$29*$AG499^5+WeightSDS!S$29*$AG499^4+WeightSDS!T$29*$AG499^3+WeightSDS!U$29*$AG499^2+WeightSDS!V$29*$AG499+WeightSDS!W$29-0.010431*(1-$AG499/210),IF($AG499&lt;123,WeightSDS!M$30*$AG499^10+WeightSDS!N$30*$AG499^9+WeightSDS!O$30*$AG499^8+WeightSDS!P$30*$AG499^7+WeightSDS!Q$30*$AG499^6+WeightSDS!R$30*$AG499^5+WeightSDS!S$30*$AG499^4+WeightSDS!T$30*$AG499^3+WeightSDS!U$30*$AG499^2+WeightSDS!V$30*$AG499+WeightSDS!W$30-0.010431*(1-1/$AG499),WeightSDS!M$32+WeightSDS!N$32/(1+EXP(WeightSDS!O$32+WeightSDS!P$32*$AG499))-0.010431*(1-$AG499/210))))</f>
        <v>2.9500001032655536</v>
      </c>
      <c r="AK499" s="24">
        <f>IF(D499="M",IF($AG499&lt;162,WeightSDS!P$12*$AG499^7+WeightSDS!Q$12*$AG499^6+WeightSDS!R$12*$AG499^5+WeightSDS!S$12*$AG499^4+WeightSDS!T$12*$AG499^3+WeightSDS!U$12*$AG499^2+WeightSDS!V$12*$AG499+WeightSDS!W$12,WeightSDS!P$14*$AG499^7+WeightSDS!Q$14*$AG499^6+WeightSDS!R$14*$AG499^5+WeightSDS!S$14*$AG499^4+WeightSDS!T$14*$AG499^3+WeightSDS!U$14*$AG499^2+WeightSDS!V$14*$AG499+WeightSDS!W$14),IF($AG499&lt;156,WeightSDS!O$17*$AG499^8+WeightSDS!P$17*$AG499^7+WeightSDS!Q$17*$AG499^6+WeightSDS!R$17*$AG499^5+WeightSDS!S$17*$AG499^4+WeightSDS!T$17*$AG499^3+WeightSDS!U$17*$AG499^2+WeightSDS!V$17*$AG499+WeightSDS!W$17,IF($AG499&lt;186,WeightSDS!$U$18+(WeightSDS!$V$18-WeightSDS!$U$18)/24*($AG499-186)+WeightSDS!$W$18*(-$AG499+186)^2-0.005,WeightSDS!$U$18+(WeightSDS!$V$18-WeightSDS!$U$18)/24*($AG499-186)-0.005)))</f>
        <v>0.14604529399999999</v>
      </c>
    </row>
    <row r="500" spans="1:37">
      <c r="A500" s="4"/>
      <c r="B500" s="21"/>
      <c r="C500" s="21"/>
      <c r="D500" s="21"/>
      <c r="E500" s="22"/>
      <c r="F500" s="22"/>
      <c r="G500" s="23"/>
      <c r="H500" s="23"/>
      <c r="I500" s="8" t="str">
        <f t="shared" si="114"/>
        <v/>
      </c>
      <c r="J500" s="2" t="str">
        <f t="shared" si="121"/>
        <v/>
      </c>
      <c r="K500" s="2" t="str">
        <f t="shared" si="115"/>
        <v/>
      </c>
      <c r="L500" s="2" t="str">
        <f t="shared" si="122"/>
        <v/>
      </c>
      <c r="M500" s="2" t="str">
        <f t="shared" si="127"/>
        <v/>
      </c>
      <c r="N500" s="2" t="str">
        <f t="shared" si="123"/>
        <v/>
      </c>
      <c r="O500" s="8" t="str">
        <f t="shared" si="124"/>
        <v/>
      </c>
      <c r="P500" s="8" t="str">
        <f t="shared" si="125"/>
        <v/>
      </c>
      <c r="Q500" s="40" t="str">
        <f t="shared" si="116"/>
        <v/>
      </c>
      <c r="R500" s="48" t="str">
        <f t="shared" si="126"/>
        <v/>
      </c>
      <c r="S500" s="8"/>
      <c r="U500" s="35">
        <f t="shared" si="117"/>
        <v>0</v>
      </c>
      <c r="V500" s="24">
        <f t="shared" si="118"/>
        <v>0</v>
      </c>
      <c r="W500" s="41">
        <f t="shared" si="129"/>
        <v>0</v>
      </c>
      <c r="X500" s="31"/>
      <c r="Y500" s="31"/>
      <c r="Z500" s="31"/>
      <c r="AA500" s="25">
        <f t="shared" si="119"/>
        <v>9.0359999999999996</v>
      </c>
      <c r="AB500" s="25">
        <f t="shared" si="120"/>
        <v>-184.49199999999999</v>
      </c>
      <c r="AD500" s="24">
        <f>IF(D500="M",IF(AG500&lt;78,BMILMS!$D$5*AG500^3+BMILMS!$E$5*AG500^2+BMILMS!$F$5*AG500+BMILMS!$G$5,IF(AG500&lt;150,BMILMS!$D$6*AG500^3+BMILMS!$E$6*AG500^2+BMILMS!$F$6*AG500+BMILMS!$G$6,BMILMS!$D$7*AG500^3+BMILMS!$E$7*AG500^2+BMILMS!$F$7*AG500+BMILMS!$G$7)),IF(AG500&lt;69,BMILMS!$D$9*AG500^3+BMILMS!$E$9*AG500^2+BMILMS!$F$9*AG500+BMILMS!$G$9,IF(AG500&lt;150,BMILMS!$D$10*AG500^3+BMILMS!$E$10*AG500^2+BMILMS!$F$10*AG500+BMILMS!$G$10,BMILMS!$D$11*AG500^3+BMILMS!$E$11*AG500^2+BMILMS!$F$11*AG500+BMILMS!$G$11)))</f>
        <v>0.79584630099999998</v>
      </c>
      <c r="AE500" s="24">
        <f>IF(D500="M",(IF(AG500&lt;2.5,BMILMS!$D$21*AG500^3+BMILMS!$E$21*AG500^2+BMILMS!$F$21*AG500+BMILMS!$G$21,IF(AG500&lt;9.5,BMILMS!$D$22*AG500^3+BMILMS!$E$22*AG500^2+BMILMS!$F$22*AG500+BMILMS!$G$22,IF(AG500&lt;26.75,BMILMS!$D$23*AG500^3+BMILMS!$E$23*AG500^2+BMILMS!$F$23*AG500+BMILMS!$G$23,IF(AG500&lt;90,BMILMS!$D$24*AG500^3+BMILMS!$E$24*AG500^2+BMILMS!$F$24*AG500+BMILMS!$G$24,BMILMS!$D$25*AG500^3+BMILMS!$E$25*AG500^2+BMILMS!$F$25*AG500+BMILMS!$G$25))))),(IF(AG500&lt;2.5,BMILMS!$D$27*AG500^3+BMILMS!$E$27*AG500^2+BMILMS!$F$27*AG500+BMILMS!$G$27,IF(AG500&lt;9.5,BMILMS!$D$28*AG500^3+BMILMS!$E$28*AG500^2+BMILMS!$F$28*AG500+BMILMS!$G$28,IF(AG500&lt;26.75,BMILMS!$D$29*AG500^3+BMILMS!$E$29*AG500^2+BMILMS!$F$29*AG500+BMILMS!$G$29,IF(AG500&lt;90,BMILMS!$D$30*AG500^3+BMILMS!$E$30*AG500^2+BMILMS!$F$30*AG500+BMILMS!$G$30,IF(AG500&lt;150,BMILMS!$D$31*AG500^3+BMILMS!$E$31*AG500^2+BMILMS!$F$31*AG500+BMILMS!$G$31,BMILMS!$D$32*AG500^3+BMILMS!$E$32*AG500^2+BMILMS!$F$32*AG500+BMILMS!$G$32)))))))</f>
        <v>12.568967990000001</v>
      </c>
      <c r="AF500" s="24">
        <f>IF(D500="M",(IF(AG500&lt;90,BMILMS!$D$14*AG500^3+BMILMS!$E$14*AG500^2+BMILMS!$F$14*AG500+BMILMS!$G$14,BMILMS!$D$15*AG500^3+BMILMS!$E$15*AG500^2+BMILMS!$F$15*AG500+BMILMS!$G$15)),(IF(AG500&lt;90,BMILMS!$D$17*AG500^3+BMILMS!$E$17*AG500^2+BMILMS!$F$17*AG500+BMILMS!$G$17,BMILMS!$D$18*AG500^3+BMILMS!$E$18*AG500^2+BMILMS!$F$18*AG500+BMILMS!$G$18)))</f>
        <v>8.8969350000000003E-2</v>
      </c>
      <c r="AG500" s="24">
        <f t="shared" si="128"/>
        <v>0</v>
      </c>
      <c r="AI500" s="38">
        <f>IF(D500="M",WeightSDS!P$5*$AG500^7+WeightSDS!Q$5*$AG500^6+WeightSDS!R$5*$AG500^5+WeightSDS!S$5*$AG500^4+WeightSDS!T$5*$AG500^3+WeightSDS!U$5*$AG500^2+WeightSDS!V$5*$AG500+WeightSDS!W$5,IF($AG500&lt;186,WeightSDS!P$8*$AG500^7+WeightSDS!Q$8*$AG500^6+WeightSDS!R$8*$AG500^5+WeightSDS!S$8*$AG500^4+WeightSDS!T$8*$AG500^3+WeightSDS!U$8*$AG500^2+WeightSDS!V$8*$AG500+WeightSDS!W$8,WeightSDS!$U$9-WeightSDS!$V$9*($AG500-WeightSDS!$W$9)))</f>
        <v>0.75407122999999998</v>
      </c>
      <c r="AJ500" s="24">
        <f>IF(D500="M",IF($AG500&lt;45,WeightSDS!M$23*$AG500^10+WeightSDS!N$23*$AG500^9+WeightSDS!O$23*$AG500^8+WeightSDS!P$23*$AG500^7+WeightSDS!Q$23*$AG500^6+WeightSDS!R$23*$AG500^5+WeightSDS!S$23*$AG500^4+WeightSDS!T$23*$AG500^3+WeightSDS!U$23*$AG500^2+WeightSDS!V$23*$AG500+WeightSDS!W$23,IF($AG500&lt;153,WeightSDS!M$25*$AG500^10+WeightSDS!N$25*$AG500^9+WeightSDS!O$25*$AG500^8+WeightSDS!P$25*$AG500^7+WeightSDS!Q$25*$AG500^6+WeightSDS!R$25*$AG500^5+WeightSDS!S$25*$AG500^4+WeightSDS!T$25*$AG500^3+WeightSDS!U$25*$AG500^2+WeightSDS!V$25*$AG500+WeightSDS!W$25,WeightSDS!M$27+WeightSDS!N$27/(1+EXP(WeightSDS!O$27+WeightSDS!P$27*$AG500)))),IF($AG500&lt;43.8,WeightSDS!M$29*$AG500^10+WeightSDS!N$29*$AG500^9+WeightSDS!O$29*$AG500^8+WeightSDS!P$29*$AG500^7+WeightSDS!Q$29*$AG500^6+WeightSDS!R$29*$AG500^5+WeightSDS!S$29*$AG500^4+WeightSDS!T$29*$AG500^3+WeightSDS!U$29*$AG500^2+WeightSDS!V$29*$AG500+WeightSDS!W$29-0.010431*(1-$AG500/210),IF($AG500&lt;123,WeightSDS!M$30*$AG500^10+WeightSDS!N$30*$AG500^9+WeightSDS!O$30*$AG500^8+WeightSDS!P$30*$AG500^7+WeightSDS!Q$30*$AG500^6+WeightSDS!R$30*$AG500^5+WeightSDS!S$30*$AG500^4+WeightSDS!T$30*$AG500^3+WeightSDS!U$30*$AG500^2+WeightSDS!V$30*$AG500+WeightSDS!W$30-0.010431*(1-1/$AG500),WeightSDS!M$32+WeightSDS!N$32/(1+EXP(WeightSDS!O$32+WeightSDS!P$32*$AG500))-0.010431*(1-$AG500/210))))</f>
        <v>2.9500001032655536</v>
      </c>
      <c r="AK500" s="24">
        <f>IF(D500="M",IF($AG500&lt;162,WeightSDS!P$12*$AG500^7+WeightSDS!Q$12*$AG500^6+WeightSDS!R$12*$AG500^5+WeightSDS!S$12*$AG500^4+WeightSDS!T$12*$AG500^3+WeightSDS!U$12*$AG500^2+WeightSDS!V$12*$AG500+WeightSDS!W$12,WeightSDS!P$14*$AG500^7+WeightSDS!Q$14*$AG500^6+WeightSDS!R$14*$AG500^5+WeightSDS!S$14*$AG500^4+WeightSDS!T$14*$AG500^3+WeightSDS!U$14*$AG500^2+WeightSDS!V$14*$AG500+WeightSDS!W$14),IF($AG500&lt;156,WeightSDS!O$17*$AG500^8+WeightSDS!P$17*$AG500^7+WeightSDS!Q$17*$AG500^6+WeightSDS!R$17*$AG500^5+WeightSDS!S$17*$AG500^4+WeightSDS!T$17*$AG500^3+WeightSDS!U$17*$AG500^2+WeightSDS!V$17*$AG500+WeightSDS!W$17,IF($AG500&lt;186,WeightSDS!$U$18+(WeightSDS!$V$18-WeightSDS!$U$18)/24*($AG500-186)+WeightSDS!$W$18*(-$AG500+186)^2-0.005,WeightSDS!$U$18+(WeightSDS!$V$18-WeightSDS!$U$18)/24*($AG500-186)-0.005)))</f>
        <v>0.14604529399999999</v>
      </c>
    </row>
    <row r="501" spans="1:37">
      <c r="A501" s="4"/>
      <c r="B501" s="21"/>
      <c r="C501" s="21"/>
      <c r="D501" s="21"/>
      <c r="E501" s="22"/>
      <c r="F501" s="22"/>
      <c r="G501" s="23"/>
      <c r="H501" s="23"/>
      <c r="I501" s="8" t="str">
        <f t="shared" si="114"/>
        <v/>
      </c>
      <c r="J501" s="2" t="str">
        <f t="shared" si="121"/>
        <v/>
      </c>
      <c r="K501" s="2" t="str">
        <f t="shared" si="115"/>
        <v/>
      </c>
      <c r="L501" s="2" t="str">
        <f t="shared" si="122"/>
        <v/>
      </c>
      <c r="M501" s="2" t="str">
        <f t="shared" si="127"/>
        <v/>
      </c>
      <c r="N501" s="2" t="str">
        <f t="shared" si="123"/>
        <v/>
      </c>
      <c r="O501" s="8" t="str">
        <f t="shared" si="124"/>
        <v/>
      </c>
      <c r="P501" s="8" t="str">
        <f t="shared" si="125"/>
        <v/>
      </c>
      <c r="Q501" s="40" t="str">
        <f t="shared" si="116"/>
        <v/>
      </c>
      <c r="R501" s="48" t="str">
        <f t="shared" si="126"/>
        <v/>
      </c>
      <c r="S501" s="8"/>
      <c r="U501" s="35">
        <f t="shared" si="117"/>
        <v>0</v>
      </c>
      <c r="V501" s="24">
        <f t="shared" si="118"/>
        <v>0</v>
      </c>
      <c r="W501" s="41">
        <f t="shared" si="129"/>
        <v>0</v>
      </c>
      <c r="X501" s="31"/>
      <c r="Y501" s="31"/>
      <c r="Z501" s="31"/>
      <c r="AA501" s="25">
        <f t="shared" si="119"/>
        <v>9.0359999999999996</v>
      </c>
      <c r="AB501" s="25">
        <f t="shared" si="120"/>
        <v>-184.49199999999999</v>
      </c>
      <c r="AD501" s="24">
        <f>IF(D501="M",IF(AG501&lt;78,BMILMS!$D$5*AG501^3+BMILMS!$E$5*AG501^2+BMILMS!$F$5*AG501+BMILMS!$G$5,IF(AG501&lt;150,BMILMS!$D$6*AG501^3+BMILMS!$E$6*AG501^2+BMILMS!$F$6*AG501+BMILMS!$G$6,BMILMS!$D$7*AG501^3+BMILMS!$E$7*AG501^2+BMILMS!$F$7*AG501+BMILMS!$G$7)),IF(AG501&lt;69,BMILMS!$D$9*AG501^3+BMILMS!$E$9*AG501^2+BMILMS!$F$9*AG501+BMILMS!$G$9,IF(AG501&lt;150,BMILMS!$D$10*AG501^3+BMILMS!$E$10*AG501^2+BMILMS!$F$10*AG501+BMILMS!$G$10,BMILMS!$D$11*AG501^3+BMILMS!$E$11*AG501^2+BMILMS!$F$11*AG501+BMILMS!$G$11)))</f>
        <v>0.79584630099999998</v>
      </c>
      <c r="AE501" s="24">
        <f>IF(D501="M",(IF(AG501&lt;2.5,BMILMS!$D$21*AG501^3+BMILMS!$E$21*AG501^2+BMILMS!$F$21*AG501+BMILMS!$G$21,IF(AG501&lt;9.5,BMILMS!$D$22*AG501^3+BMILMS!$E$22*AG501^2+BMILMS!$F$22*AG501+BMILMS!$G$22,IF(AG501&lt;26.75,BMILMS!$D$23*AG501^3+BMILMS!$E$23*AG501^2+BMILMS!$F$23*AG501+BMILMS!$G$23,IF(AG501&lt;90,BMILMS!$D$24*AG501^3+BMILMS!$E$24*AG501^2+BMILMS!$F$24*AG501+BMILMS!$G$24,BMILMS!$D$25*AG501^3+BMILMS!$E$25*AG501^2+BMILMS!$F$25*AG501+BMILMS!$G$25))))),(IF(AG501&lt;2.5,BMILMS!$D$27*AG501^3+BMILMS!$E$27*AG501^2+BMILMS!$F$27*AG501+BMILMS!$G$27,IF(AG501&lt;9.5,BMILMS!$D$28*AG501^3+BMILMS!$E$28*AG501^2+BMILMS!$F$28*AG501+BMILMS!$G$28,IF(AG501&lt;26.75,BMILMS!$D$29*AG501^3+BMILMS!$E$29*AG501^2+BMILMS!$F$29*AG501+BMILMS!$G$29,IF(AG501&lt;90,BMILMS!$D$30*AG501^3+BMILMS!$E$30*AG501^2+BMILMS!$F$30*AG501+BMILMS!$G$30,IF(AG501&lt;150,BMILMS!$D$31*AG501^3+BMILMS!$E$31*AG501^2+BMILMS!$F$31*AG501+BMILMS!$G$31,BMILMS!$D$32*AG501^3+BMILMS!$E$32*AG501^2+BMILMS!$F$32*AG501+BMILMS!$G$32)))))))</f>
        <v>12.568967990000001</v>
      </c>
      <c r="AF501" s="24">
        <f>IF(D501="M",(IF(AG501&lt;90,BMILMS!$D$14*AG501^3+BMILMS!$E$14*AG501^2+BMILMS!$F$14*AG501+BMILMS!$G$14,BMILMS!$D$15*AG501^3+BMILMS!$E$15*AG501^2+BMILMS!$F$15*AG501+BMILMS!$G$15)),(IF(AG501&lt;90,BMILMS!$D$17*AG501^3+BMILMS!$E$17*AG501^2+BMILMS!$F$17*AG501+BMILMS!$G$17,BMILMS!$D$18*AG501^3+BMILMS!$E$18*AG501^2+BMILMS!$F$18*AG501+BMILMS!$G$18)))</f>
        <v>8.8969350000000003E-2</v>
      </c>
      <c r="AG501" s="24">
        <f t="shared" si="128"/>
        <v>0</v>
      </c>
      <c r="AI501" s="38">
        <f>IF(D501="M",WeightSDS!P$5*$AG501^7+WeightSDS!Q$5*$AG501^6+WeightSDS!R$5*$AG501^5+WeightSDS!S$5*$AG501^4+WeightSDS!T$5*$AG501^3+WeightSDS!U$5*$AG501^2+WeightSDS!V$5*$AG501+WeightSDS!W$5,IF($AG501&lt;186,WeightSDS!P$8*$AG501^7+WeightSDS!Q$8*$AG501^6+WeightSDS!R$8*$AG501^5+WeightSDS!S$8*$AG501^4+WeightSDS!T$8*$AG501^3+WeightSDS!U$8*$AG501^2+WeightSDS!V$8*$AG501+WeightSDS!W$8,WeightSDS!$U$9-WeightSDS!$V$9*($AG501-WeightSDS!$W$9)))</f>
        <v>0.75407122999999998</v>
      </c>
      <c r="AJ501" s="24">
        <f>IF(D501="M",IF($AG501&lt;45,WeightSDS!M$23*$AG501^10+WeightSDS!N$23*$AG501^9+WeightSDS!O$23*$AG501^8+WeightSDS!P$23*$AG501^7+WeightSDS!Q$23*$AG501^6+WeightSDS!R$23*$AG501^5+WeightSDS!S$23*$AG501^4+WeightSDS!T$23*$AG501^3+WeightSDS!U$23*$AG501^2+WeightSDS!V$23*$AG501+WeightSDS!W$23,IF($AG501&lt;153,WeightSDS!M$25*$AG501^10+WeightSDS!N$25*$AG501^9+WeightSDS!O$25*$AG501^8+WeightSDS!P$25*$AG501^7+WeightSDS!Q$25*$AG501^6+WeightSDS!R$25*$AG501^5+WeightSDS!S$25*$AG501^4+WeightSDS!T$25*$AG501^3+WeightSDS!U$25*$AG501^2+WeightSDS!V$25*$AG501+WeightSDS!W$25,WeightSDS!M$27+WeightSDS!N$27/(1+EXP(WeightSDS!O$27+WeightSDS!P$27*$AG501)))),IF($AG501&lt;43.8,WeightSDS!M$29*$AG501^10+WeightSDS!N$29*$AG501^9+WeightSDS!O$29*$AG501^8+WeightSDS!P$29*$AG501^7+WeightSDS!Q$29*$AG501^6+WeightSDS!R$29*$AG501^5+WeightSDS!S$29*$AG501^4+WeightSDS!T$29*$AG501^3+WeightSDS!U$29*$AG501^2+WeightSDS!V$29*$AG501+WeightSDS!W$29-0.010431*(1-$AG501/210),IF($AG501&lt;123,WeightSDS!M$30*$AG501^10+WeightSDS!N$30*$AG501^9+WeightSDS!O$30*$AG501^8+WeightSDS!P$30*$AG501^7+WeightSDS!Q$30*$AG501^6+WeightSDS!R$30*$AG501^5+WeightSDS!S$30*$AG501^4+WeightSDS!T$30*$AG501^3+WeightSDS!U$30*$AG501^2+WeightSDS!V$30*$AG501+WeightSDS!W$30-0.010431*(1-1/$AG501),WeightSDS!M$32+WeightSDS!N$32/(1+EXP(WeightSDS!O$32+WeightSDS!P$32*$AG501))-0.010431*(1-$AG501/210))))</f>
        <v>2.9500001032655536</v>
      </c>
      <c r="AK501" s="24">
        <f>IF(D501="M",IF($AG501&lt;162,WeightSDS!P$12*$AG501^7+WeightSDS!Q$12*$AG501^6+WeightSDS!R$12*$AG501^5+WeightSDS!S$12*$AG501^4+WeightSDS!T$12*$AG501^3+WeightSDS!U$12*$AG501^2+WeightSDS!V$12*$AG501+WeightSDS!W$12,WeightSDS!P$14*$AG501^7+WeightSDS!Q$14*$AG501^6+WeightSDS!R$14*$AG501^5+WeightSDS!S$14*$AG501^4+WeightSDS!T$14*$AG501^3+WeightSDS!U$14*$AG501^2+WeightSDS!V$14*$AG501+WeightSDS!W$14),IF($AG501&lt;156,WeightSDS!O$17*$AG501^8+WeightSDS!P$17*$AG501^7+WeightSDS!Q$17*$AG501^6+WeightSDS!R$17*$AG501^5+WeightSDS!S$17*$AG501^4+WeightSDS!T$17*$AG501^3+WeightSDS!U$17*$AG501^2+WeightSDS!V$17*$AG501+WeightSDS!W$17,IF($AG501&lt;186,WeightSDS!$U$18+(WeightSDS!$V$18-WeightSDS!$U$18)/24*($AG501-186)+WeightSDS!$W$18*(-$AG501+186)^2-0.005,WeightSDS!$U$18+(WeightSDS!$V$18-WeightSDS!$U$18)/24*($AG501-186)-0.005)))</f>
        <v>0.14604529399999999</v>
      </c>
    </row>
    <row r="502" spans="1:37">
      <c r="A502" s="4"/>
      <c r="B502" s="21"/>
      <c r="C502" s="21"/>
      <c r="D502" s="21"/>
      <c r="E502" s="22"/>
      <c r="F502" s="22"/>
      <c r="G502" s="23"/>
      <c r="H502" s="23"/>
      <c r="I502" s="8" t="str">
        <f t="shared" si="114"/>
        <v/>
      </c>
      <c r="J502" s="2" t="str">
        <f t="shared" si="121"/>
        <v/>
      </c>
      <c r="K502" s="2" t="str">
        <f t="shared" si="115"/>
        <v/>
      </c>
      <c r="L502" s="2" t="str">
        <f t="shared" si="122"/>
        <v/>
      </c>
      <c r="M502" s="2" t="str">
        <f t="shared" si="127"/>
        <v/>
      </c>
      <c r="N502" s="2" t="str">
        <f t="shared" si="123"/>
        <v/>
      </c>
      <c r="O502" s="8" t="str">
        <f t="shared" si="124"/>
        <v/>
      </c>
      <c r="P502" s="8" t="str">
        <f t="shared" si="125"/>
        <v/>
      </c>
      <c r="Q502" s="40" t="str">
        <f t="shared" si="116"/>
        <v/>
      </c>
      <c r="R502" s="48" t="str">
        <f t="shared" si="126"/>
        <v/>
      </c>
      <c r="S502" s="8"/>
      <c r="U502" s="35">
        <f t="shared" si="117"/>
        <v>0</v>
      </c>
      <c r="V502" s="24">
        <f t="shared" si="118"/>
        <v>0</v>
      </c>
      <c r="W502" s="41">
        <f t="shared" si="129"/>
        <v>0</v>
      </c>
      <c r="X502" s="31"/>
      <c r="Y502" s="31"/>
      <c r="Z502" s="31"/>
      <c r="AA502" s="25">
        <f t="shared" si="119"/>
        <v>9.0359999999999996</v>
      </c>
      <c r="AB502" s="25">
        <f t="shared" si="120"/>
        <v>-184.49199999999999</v>
      </c>
      <c r="AD502" s="24">
        <f>IF(D502="M",IF(AG502&lt;78,BMILMS!$D$5*AG502^3+BMILMS!$E$5*AG502^2+BMILMS!$F$5*AG502+BMILMS!$G$5,IF(AG502&lt;150,BMILMS!$D$6*AG502^3+BMILMS!$E$6*AG502^2+BMILMS!$F$6*AG502+BMILMS!$G$6,BMILMS!$D$7*AG502^3+BMILMS!$E$7*AG502^2+BMILMS!$F$7*AG502+BMILMS!$G$7)),IF(AG502&lt;69,BMILMS!$D$9*AG502^3+BMILMS!$E$9*AG502^2+BMILMS!$F$9*AG502+BMILMS!$G$9,IF(AG502&lt;150,BMILMS!$D$10*AG502^3+BMILMS!$E$10*AG502^2+BMILMS!$F$10*AG502+BMILMS!$G$10,BMILMS!$D$11*AG502^3+BMILMS!$E$11*AG502^2+BMILMS!$F$11*AG502+BMILMS!$G$11)))</f>
        <v>0.79584630099999998</v>
      </c>
      <c r="AE502" s="24">
        <f>IF(D502="M",(IF(AG502&lt;2.5,BMILMS!$D$21*AG502^3+BMILMS!$E$21*AG502^2+BMILMS!$F$21*AG502+BMILMS!$G$21,IF(AG502&lt;9.5,BMILMS!$D$22*AG502^3+BMILMS!$E$22*AG502^2+BMILMS!$F$22*AG502+BMILMS!$G$22,IF(AG502&lt;26.75,BMILMS!$D$23*AG502^3+BMILMS!$E$23*AG502^2+BMILMS!$F$23*AG502+BMILMS!$G$23,IF(AG502&lt;90,BMILMS!$D$24*AG502^3+BMILMS!$E$24*AG502^2+BMILMS!$F$24*AG502+BMILMS!$G$24,BMILMS!$D$25*AG502^3+BMILMS!$E$25*AG502^2+BMILMS!$F$25*AG502+BMILMS!$G$25))))),(IF(AG502&lt;2.5,BMILMS!$D$27*AG502^3+BMILMS!$E$27*AG502^2+BMILMS!$F$27*AG502+BMILMS!$G$27,IF(AG502&lt;9.5,BMILMS!$D$28*AG502^3+BMILMS!$E$28*AG502^2+BMILMS!$F$28*AG502+BMILMS!$G$28,IF(AG502&lt;26.75,BMILMS!$D$29*AG502^3+BMILMS!$E$29*AG502^2+BMILMS!$F$29*AG502+BMILMS!$G$29,IF(AG502&lt;90,BMILMS!$D$30*AG502^3+BMILMS!$E$30*AG502^2+BMILMS!$F$30*AG502+BMILMS!$G$30,IF(AG502&lt;150,BMILMS!$D$31*AG502^3+BMILMS!$E$31*AG502^2+BMILMS!$F$31*AG502+BMILMS!$G$31,BMILMS!$D$32*AG502^3+BMILMS!$E$32*AG502^2+BMILMS!$F$32*AG502+BMILMS!$G$32)))))))</f>
        <v>12.568967990000001</v>
      </c>
      <c r="AF502" s="24">
        <f>IF(D502="M",(IF(AG502&lt;90,BMILMS!$D$14*AG502^3+BMILMS!$E$14*AG502^2+BMILMS!$F$14*AG502+BMILMS!$G$14,BMILMS!$D$15*AG502^3+BMILMS!$E$15*AG502^2+BMILMS!$F$15*AG502+BMILMS!$G$15)),(IF(AG502&lt;90,BMILMS!$D$17*AG502^3+BMILMS!$E$17*AG502^2+BMILMS!$F$17*AG502+BMILMS!$G$17,BMILMS!$D$18*AG502^3+BMILMS!$E$18*AG502^2+BMILMS!$F$18*AG502+BMILMS!$G$18)))</f>
        <v>8.8969350000000003E-2</v>
      </c>
      <c r="AG502" s="24">
        <f t="shared" si="128"/>
        <v>0</v>
      </c>
      <c r="AI502" s="38">
        <f>IF(D502="M",WeightSDS!P$5*$AG502^7+WeightSDS!Q$5*$AG502^6+WeightSDS!R$5*$AG502^5+WeightSDS!S$5*$AG502^4+WeightSDS!T$5*$AG502^3+WeightSDS!U$5*$AG502^2+WeightSDS!V$5*$AG502+WeightSDS!W$5,IF($AG502&lt;186,WeightSDS!P$8*$AG502^7+WeightSDS!Q$8*$AG502^6+WeightSDS!R$8*$AG502^5+WeightSDS!S$8*$AG502^4+WeightSDS!T$8*$AG502^3+WeightSDS!U$8*$AG502^2+WeightSDS!V$8*$AG502+WeightSDS!W$8,WeightSDS!$U$9-WeightSDS!$V$9*($AG502-WeightSDS!$W$9)))</f>
        <v>0.75407122999999998</v>
      </c>
      <c r="AJ502" s="24">
        <f>IF(D502="M",IF($AG502&lt;45,WeightSDS!M$23*$AG502^10+WeightSDS!N$23*$AG502^9+WeightSDS!O$23*$AG502^8+WeightSDS!P$23*$AG502^7+WeightSDS!Q$23*$AG502^6+WeightSDS!R$23*$AG502^5+WeightSDS!S$23*$AG502^4+WeightSDS!T$23*$AG502^3+WeightSDS!U$23*$AG502^2+WeightSDS!V$23*$AG502+WeightSDS!W$23,IF($AG502&lt;153,WeightSDS!M$25*$AG502^10+WeightSDS!N$25*$AG502^9+WeightSDS!O$25*$AG502^8+WeightSDS!P$25*$AG502^7+WeightSDS!Q$25*$AG502^6+WeightSDS!R$25*$AG502^5+WeightSDS!S$25*$AG502^4+WeightSDS!T$25*$AG502^3+WeightSDS!U$25*$AG502^2+WeightSDS!V$25*$AG502+WeightSDS!W$25,WeightSDS!M$27+WeightSDS!N$27/(1+EXP(WeightSDS!O$27+WeightSDS!P$27*$AG502)))),IF($AG502&lt;43.8,WeightSDS!M$29*$AG502^10+WeightSDS!N$29*$AG502^9+WeightSDS!O$29*$AG502^8+WeightSDS!P$29*$AG502^7+WeightSDS!Q$29*$AG502^6+WeightSDS!R$29*$AG502^5+WeightSDS!S$29*$AG502^4+WeightSDS!T$29*$AG502^3+WeightSDS!U$29*$AG502^2+WeightSDS!V$29*$AG502+WeightSDS!W$29-0.010431*(1-$AG502/210),IF($AG502&lt;123,WeightSDS!M$30*$AG502^10+WeightSDS!N$30*$AG502^9+WeightSDS!O$30*$AG502^8+WeightSDS!P$30*$AG502^7+WeightSDS!Q$30*$AG502^6+WeightSDS!R$30*$AG502^5+WeightSDS!S$30*$AG502^4+WeightSDS!T$30*$AG502^3+WeightSDS!U$30*$AG502^2+WeightSDS!V$30*$AG502+WeightSDS!W$30-0.010431*(1-1/$AG502),WeightSDS!M$32+WeightSDS!N$32/(1+EXP(WeightSDS!O$32+WeightSDS!P$32*$AG502))-0.010431*(1-$AG502/210))))</f>
        <v>2.9500001032655536</v>
      </c>
      <c r="AK502" s="24">
        <f>IF(D502="M",IF($AG502&lt;162,WeightSDS!P$12*$AG502^7+WeightSDS!Q$12*$AG502^6+WeightSDS!R$12*$AG502^5+WeightSDS!S$12*$AG502^4+WeightSDS!T$12*$AG502^3+WeightSDS!U$12*$AG502^2+WeightSDS!V$12*$AG502+WeightSDS!W$12,WeightSDS!P$14*$AG502^7+WeightSDS!Q$14*$AG502^6+WeightSDS!R$14*$AG502^5+WeightSDS!S$14*$AG502^4+WeightSDS!T$14*$AG502^3+WeightSDS!U$14*$AG502^2+WeightSDS!V$14*$AG502+WeightSDS!W$14),IF($AG502&lt;156,WeightSDS!O$17*$AG502^8+WeightSDS!P$17*$AG502^7+WeightSDS!Q$17*$AG502^6+WeightSDS!R$17*$AG502^5+WeightSDS!S$17*$AG502^4+WeightSDS!T$17*$AG502^3+WeightSDS!U$17*$AG502^2+WeightSDS!V$17*$AG502+WeightSDS!W$17,IF($AG502&lt;186,WeightSDS!$U$18+(WeightSDS!$V$18-WeightSDS!$U$18)/24*($AG502-186)+WeightSDS!$W$18*(-$AG502+186)^2-0.005,WeightSDS!$U$18+(WeightSDS!$V$18-WeightSDS!$U$18)/24*($AG502-186)-0.005)))</f>
        <v>0.14604529399999999</v>
      </c>
    </row>
    <row r="503" spans="1:37">
      <c r="A503" s="4"/>
      <c r="B503" s="21"/>
      <c r="C503" s="21"/>
      <c r="D503" s="21"/>
      <c r="E503" s="22"/>
      <c r="F503" s="22"/>
      <c r="G503" s="23"/>
      <c r="H503" s="23"/>
      <c r="I503" s="8" t="str">
        <f t="shared" si="114"/>
        <v/>
      </c>
      <c r="J503" s="2" t="str">
        <f t="shared" si="121"/>
        <v/>
      </c>
      <c r="K503" s="2" t="str">
        <f t="shared" si="115"/>
        <v/>
      </c>
      <c r="L503" s="2" t="str">
        <f t="shared" si="122"/>
        <v/>
      </c>
      <c r="M503" s="2" t="str">
        <f t="shared" si="127"/>
        <v/>
      </c>
      <c r="N503" s="2" t="str">
        <f t="shared" si="123"/>
        <v/>
      </c>
      <c r="O503" s="8" t="str">
        <f t="shared" si="124"/>
        <v/>
      </c>
      <c r="P503" s="8" t="str">
        <f t="shared" si="125"/>
        <v/>
      </c>
      <c r="Q503" s="40" t="str">
        <f t="shared" si="116"/>
        <v/>
      </c>
      <c r="R503" s="48" t="str">
        <f t="shared" si="126"/>
        <v/>
      </c>
      <c r="S503" s="8"/>
      <c r="U503" s="35">
        <f t="shared" si="117"/>
        <v>0</v>
      </c>
      <c r="V503" s="24">
        <f t="shared" si="118"/>
        <v>0</v>
      </c>
      <c r="W503" s="41">
        <f t="shared" si="129"/>
        <v>0</v>
      </c>
      <c r="X503" s="31"/>
      <c r="Y503" s="31"/>
      <c r="Z503" s="31"/>
      <c r="AA503" s="25">
        <f t="shared" si="119"/>
        <v>9.0359999999999996</v>
      </c>
      <c r="AB503" s="25">
        <f t="shared" si="120"/>
        <v>-184.49199999999999</v>
      </c>
      <c r="AD503" s="24">
        <f>IF(D503="M",IF(AG503&lt;78,BMILMS!$D$5*AG503^3+BMILMS!$E$5*AG503^2+BMILMS!$F$5*AG503+BMILMS!$G$5,IF(AG503&lt;150,BMILMS!$D$6*AG503^3+BMILMS!$E$6*AG503^2+BMILMS!$F$6*AG503+BMILMS!$G$6,BMILMS!$D$7*AG503^3+BMILMS!$E$7*AG503^2+BMILMS!$F$7*AG503+BMILMS!$G$7)),IF(AG503&lt;69,BMILMS!$D$9*AG503^3+BMILMS!$E$9*AG503^2+BMILMS!$F$9*AG503+BMILMS!$G$9,IF(AG503&lt;150,BMILMS!$D$10*AG503^3+BMILMS!$E$10*AG503^2+BMILMS!$F$10*AG503+BMILMS!$G$10,BMILMS!$D$11*AG503^3+BMILMS!$E$11*AG503^2+BMILMS!$F$11*AG503+BMILMS!$G$11)))</f>
        <v>0.79584630099999998</v>
      </c>
      <c r="AE503" s="24">
        <f>IF(D503="M",(IF(AG503&lt;2.5,BMILMS!$D$21*AG503^3+BMILMS!$E$21*AG503^2+BMILMS!$F$21*AG503+BMILMS!$G$21,IF(AG503&lt;9.5,BMILMS!$D$22*AG503^3+BMILMS!$E$22*AG503^2+BMILMS!$F$22*AG503+BMILMS!$G$22,IF(AG503&lt;26.75,BMILMS!$D$23*AG503^3+BMILMS!$E$23*AG503^2+BMILMS!$F$23*AG503+BMILMS!$G$23,IF(AG503&lt;90,BMILMS!$D$24*AG503^3+BMILMS!$E$24*AG503^2+BMILMS!$F$24*AG503+BMILMS!$G$24,BMILMS!$D$25*AG503^3+BMILMS!$E$25*AG503^2+BMILMS!$F$25*AG503+BMILMS!$G$25))))),(IF(AG503&lt;2.5,BMILMS!$D$27*AG503^3+BMILMS!$E$27*AG503^2+BMILMS!$F$27*AG503+BMILMS!$G$27,IF(AG503&lt;9.5,BMILMS!$D$28*AG503^3+BMILMS!$E$28*AG503^2+BMILMS!$F$28*AG503+BMILMS!$G$28,IF(AG503&lt;26.75,BMILMS!$D$29*AG503^3+BMILMS!$E$29*AG503^2+BMILMS!$F$29*AG503+BMILMS!$G$29,IF(AG503&lt;90,BMILMS!$D$30*AG503^3+BMILMS!$E$30*AG503^2+BMILMS!$F$30*AG503+BMILMS!$G$30,IF(AG503&lt;150,BMILMS!$D$31*AG503^3+BMILMS!$E$31*AG503^2+BMILMS!$F$31*AG503+BMILMS!$G$31,BMILMS!$D$32*AG503^3+BMILMS!$E$32*AG503^2+BMILMS!$F$32*AG503+BMILMS!$G$32)))))))</f>
        <v>12.568967990000001</v>
      </c>
      <c r="AF503" s="24">
        <f>IF(D503="M",(IF(AG503&lt;90,BMILMS!$D$14*AG503^3+BMILMS!$E$14*AG503^2+BMILMS!$F$14*AG503+BMILMS!$G$14,BMILMS!$D$15*AG503^3+BMILMS!$E$15*AG503^2+BMILMS!$F$15*AG503+BMILMS!$G$15)),(IF(AG503&lt;90,BMILMS!$D$17*AG503^3+BMILMS!$E$17*AG503^2+BMILMS!$F$17*AG503+BMILMS!$G$17,BMILMS!$D$18*AG503^3+BMILMS!$E$18*AG503^2+BMILMS!$F$18*AG503+BMILMS!$G$18)))</f>
        <v>8.8969350000000003E-2</v>
      </c>
      <c r="AG503" s="24">
        <f t="shared" si="128"/>
        <v>0</v>
      </c>
      <c r="AI503" s="38">
        <f>IF(D503="M",WeightSDS!P$5*$AG503^7+WeightSDS!Q$5*$AG503^6+WeightSDS!R$5*$AG503^5+WeightSDS!S$5*$AG503^4+WeightSDS!T$5*$AG503^3+WeightSDS!U$5*$AG503^2+WeightSDS!V$5*$AG503+WeightSDS!W$5,IF($AG503&lt;186,WeightSDS!P$8*$AG503^7+WeightSDS!Q$8*$AG503^6+WeightSDS!R$8*$AG503^5+WeightSDS!S$8*$AG503^4+WeightSDS!T$8*$AG503^3+WeightSDS!U$8*$AG503^2+WeightSDS!V$8*$AG503+WeightSDS!W$8,WeightSDS!$U$9-WeightSDS!$V$9*($AG503-WeightSDS!$W$9)))</f>
        <v>0.75407122999999998</v>
      </c>
      <c r="AJ503" s="24">
        <f>IF(D503="M",IF($AG503&lt;45,WeightSDS!M$23*$AG503^10+WeightSDS!N$23*$AG503^9+WeightSDS!O$23*$AG503^8+WeightSDS!P$23*$AG503^7+WeightSDS!Q$23*$AG503^6+WeightSDS!R$23*$AG503^5+WeightSDS!S$23*$AG503^4+WeightSDS!T$23*$AG503^3+WeightSDS!U$23*$AG503^2+WeightSDS!V$23*$AG503+WeightSDS!W$23,IF($AG503&lt;153,WeightSDS!M$25*$AG503^10+WeightSDS!N$25*$AG503^9+WeightSDS!O$25*$AG503^8+WeightSDS!P$25*$AG503^7+WeightSDS!Q$25*$AG503^6+WeightSDS!R$25*$AG503^5+WeightSDS!S$25*$AG503^4+WeightSDS!T$25*$AG503^3+WeightSDS!U$25*$AG503^2+WeightSDS!V$25*$AG503+WeightSDS!W$25,WeightSDS!M$27+WeightSDS!N$27/(1+EXP(WeightSDS!O$27+WeightSDS!P$27*$AG503)))),IF($AG503&lt;43.8,WeightSDS!M$29*$AG503^10+WeightSDS!N$29*$AG503^9+WeightSDS!O$29*$AG503^8+WeightSDS!P$29*$AG503^7+WeightSDS!Q$29*$AG503^6+WeightSDS!R$29*$AG503^5+WeightSDS!S$29*$AG503^4+WeightSDS!T$29*$AG503^3+WeightSDS!U$29*$AG503^2+WeightSDS!V$29*$AG503+WeightSDS!W$29-0.010431*(1-$AG503/210),IF($AG503&lt;123,WeightSDS!M$30*$AG503^10+WeightSDS!N$30*$AG503^9+WeightSDS!O$30*$AG503^8+WeightSDS!P$30*$AG503^7+WeightSDS!Q$30*$AG503^6+WeightSDS!R$30*$AG503^5+WeightSDS!S$30*$AG503^4+WeightSDS!T$30*$AG503^3+WeightSDS!U$30*$AG503^2+WeightSDS!V$30*$AG503+WeightSDS!W$30-0.010431*(1-1/$AG503),WeightSDS!M$32+WeightSDS!N$32/(1+EXP(WeightSDS!O$32+WeightSDS!P$32*$AG503))-0.010431*(1-$AG503/210))))</f>
        <v>2.9500001032655536</v>
      </c>
      <c r="AK503" s="24">
        <f>IF(D503="M",IF($AG503&lt;162,WeightSDS!P$12*$AG503^7+WeightSDS!Q$12*$AG503^6+WeightSDS!R$12*$AG503^5+WeightSDS!S$12*$AG503^4+WeightSDS!T$12*$AG503^3+WeightSDS!U$12*$AG503^2+WeightSDS!V$12*$AG503+WeightSDS!W$12,WeightSDS!P$14*$AG503^7+WeightSDS!Q$14*$AG503^6+WeightSDS!R$14*$AG503^5+WeightSDS!S$14*$AG503^4+WeightSDS!T$14*$AG503^3+WeightSDS!U$14*$AG503^2+WeightSDS!V$14*$AG503+WeightSDS!W$14),IF($AG503&lt;156,WeightSDS!O$17*$AG503^8+WeightSDS!P$17*$AG503^7+WeightSDS!Q$17*$AG503^6+WeightSDS!R$17*$AG503^5+WeightSDS!S$17*$AG503^4+WeightSDS!T$17*$AG503^3+WeightSDS!U$17*$AG503^2+WeightSDS!V$17*$AG503+WeightSDS!W$17,IF($AG503&lt;186,WeightSDS!$U$18+(WeightSDS!$V$18-WeightSDS!$U$18)/24*($AG503-186)+WeightSDS!$W$18*(-$AG503+186)^2-0.005,WeightSDS!$U$18+(WeightSDS!$V$18-WeightSDS!$U$18)/24*($AG503-186)-0.005)))</f>
        <v>0.14604529399999999</v>
      </c>
    </row>
    <row r="504" spans="1:37">
      <c r="A504" s="4"/>
      <c r="B504" s="21"/>
      <c r="C504" s="21"/>
      <c r="D504" s="21"/>
      <c r="E504" s="22"/>
      <c r="F504" s="22"/>
      <c r="G504" s="23"/>
      <c r="H504" s="23"/>
      <c r="I504" s="8" t="str">
        <f t="shared" si="114"/>
        <v/>
      </c>
      <c r="J504" s="2" t="str">
        <f t="shared" si="121"/>
        <v/>
      </c>
      <c r="K504" s="2" t="str">
        <f t="shared" si="115"/>
        <v/>
      </c>
      <c r="L504" s="2" t="str">
        <f t="shared" si="122"/>
        <v/>
      </c>
      <c r="M504" s="2" t="str">
        <f t="shared" si="127"/>
        <v/>
      </c>
      <c r="N504" s="2" t="str">
        <f t="shared" si="123"/>
        <v/>
      </c>
      <c r="O504" s="8" t="str">
        <f t="shared" si="124"/>
        <v/>
      </c>
      <c r="P504" s="8" t="str">
        <f t="shared" si="125"/>
        <v/>
      </c>
      <c r="Q504" s="40" t="str">
        <f t="shared" si="116"/>
        <v/>
      </c>
      <c r="R504" s="48" t="str">
        <f t="shared" si="126"/>
        <v/>
      </c>
      <c r="S504" s="8"/>
      <c r="U504" s="35">
        <f t="shared" si="117"/>
        <v>0</v>
      </c>
      <c r="V504" s="24">
        <f t="shared" si="118"/>
        <v>0</v>
      </c>
      <c r="W504" s="41">
        <f t="shared" si="129"/>
        <v>0</v>
      </c>
      <c r="X504" s="31"/>
      <c r="Y504" s="31"/>
      <c r="Z504" s="31"/>
      <c r="AA504" s="25">
        <f t="shared" si="119"/>
        <v>9.0359999999999996</v>
      </c>
      <c r="AB504" s="25">
        <f t="shared" si="120"/>
        <v>-184.49199999999999</v>
      </c>
      <c r="AD504" s="24">
        <f>IF(D504="M",IF(AG504&lt;78,BMILMS!$D$5*AG504^3+BMILMS!$E$5*AG504^2+BMILMS!$F$5*AG504+BMILMS!$G$5,IF(AG504&lt;150,BMILMS!$D$6*AG504^3+BMILMS!$E$6*AG504^2+BMILMS!$F$6*AG504+BMILMS!$G$6,BMILMS!$D$7*AG504^3+BMILMS!$E$7*AG504^2+BMILMS!$F$7*AG504+BMILMS!$G$7)),IF(AG504&lt;69,BMILMS!$D$9*AG504^3+BMILMS!$E$9*AG504^2+BMILMS!$F$9*AG504+BMILMS!$G$9,IF(AG504&lt;150,BMILMS!$D$10*AG504^3+BMILMS!$E$10*AG504^2+BMILMS!$F$10*AG504+BMILMS!$G$10,BMILMS!$D$11*AG504^3+BMILMS!$E$11*AG504^2+BMILMS!$F$11*AG504+BMILMS!$G$11)))</f>
        <v>0.79584630099999998</v>
      </c>
      <c r="AE504" s="24">
        <f>IF(D504="M",(IF(AG504&lt;2.5,BMILMS!$D$21*AG504^3+BMILMS!$E$21*AG504^2+BMILMS!$F$21*AG504+BMILMS!$G$21,IF(AG504&lt;9.5,BMILMS!$D$22*AG504^3+BMILMS!$E$22*AG504^2+BMILMS!$F$22*AG504+BMILMS!$G$22,IF(AG504&lt;26.75,BMILMS!$D$23*AG504^3+BMILMS!$E$23*AG504^2+BMILMS!$F$23*AG504+BMILMS!$G$23,IF(AG504&lt;90,BMILMS!$D$24*AG504^3+BMILMS!$E$24*AG504^2+BMILMS!$F$24*AG504+BMILMS!$G$24,BMILMS!$D$25*AG504^3+BMILMS!$E$25*AG504^2+BMILMS!$F$25*AG504+BMILMS!$G$25))))),(IF(AG504&lt;2.5,BMILMS!$D$27*AG504^3+BMILMS!$E$27*AG504^2+BMILMS!$F$27*AG504+BMILMS!$G$27,IF(AG504&lt;9.5,BMILMS!$D$28*AG504^3+BMILMS!$E$28*AG504^2+BMILMS!$F$28*AG504+BMILMS!$G$28,IF(AG504&lt;26.75,BMILMS!$D$29*AG504^3+BMILMS!$E$29*AG504^2+BMILMS!$F$29*AG504+BMILMS!$G$29,IF(AG504&lt;90,BMILMS!$D$30*AG504^3+BMILMS!$E$30*AG504^2+BMILMS!$F$30*AG504+BMILMS!$G$30,IF(AG504&lt;150,BMILMS!$D$31*AG504^3+BMILMS!$E$31*AG504^2+BMILMS!$F$31*AG504+BMILMS!$G$31,BMILMS!$D$32*AG504^3+BMILMS!$E$32*AG504^2+BMILMS!$F$32*AG504+BMILMS!$G$32)))))))</f>
        <v>12.568967990000001</v>
      </c>
      <c r="AF504" s="24">
        <f>IF(D504="M",(IF(AG504&lt;90,BMILMS!$D$14*AG504^3+BMILMS!$E$14*AG504^2+BMILMS!$F$14*AG504+BMILMS!$G$14,BMILMS!$D$15*AG504^3+BMILMS!$E$15*AG504^2+BMILMS!$F$15*AG504+BMILMS!$G$15)),(IF(AG504&lt;90,BMILMS!$D$17*AG504^3+BMILMS!$E$17*AG504^2+BMILMS!$F$17*AG504+BMILMS!$G$17,BMILMS!$D$18*AG504^3+BMILMS!$E$18*AG504^2+BMILMS!$F$18*AG504+BMILMS!$G$18)))</f>
        <v>8.8969350000000003E-2</v>
      </c>
      <c r="AG504" s="24">
        <f t="shared" si="128"/>
        <v>0</v>
      </c>
      <c r="AI504" s="38">
        <f>IF(D504="M",WeightSDS!P$5*$AG504^7+WeightSDS!Q$5*$AG504^6+WeightSDS!R$5*$AG504^5+WeightSDS!S$5*$AG504^4+WeightSDS!T$5*$AG504^3+WeightSDS!U$5*$AG504^2+WeightSDS!V$5*$AG504+WeightSDS!W$5,IF($AG504&lt;186,WeightSDS!P$8*$AG504^7+WeightSDS!Q$8*$AG504^6+WeightSDS!R$8*$AG504^5+WeightSDS!S$8*$AG504^4+WeightSDS!T$8*$AG504^3+WeightSDS!U$8*$AG504^2+WeightSDS!V$8*$AG504+WeightSDS!W$8,WeightSDS!$U$9-WeightSDS!$V$9*($AG504-WeightSDS!$W$9)))</f>
        <v>0.75407122999999998</v>
      </c>
      <c r="AJ504" s="24">
        <f>IF(D504="M",IF($AG504&lt;45,WeightSDS!M$23*$AG504^10+WeightSDS!N$23*$AG504^9+WeightSDS!O$23*$AG504^8+WeightSDS!P$23*$AG504^7+WeightSDS!Q$23*$AG504^6+WeightSDS!R$23*$AG504^5+WeightSDS!S$23*$AG504^4+WeightSDS!T$23*$AG504^3+WeightSDS!U$23*$AG504^2+WeightSDS!V$23*$AG504+WeightSDS!W$23,IF($AG504&lt;153,WeightSDS!M$25*$AG504^10+WeightSDS!N$25*$AG504^9+WeightSDS!O$25*$AG504^8+WeightSDS!P$25*$AG504^7+WeightSDS!Q$25*$AG504^6+WeightSDS!R$25*$AG504^5+WeightSDS!S$25*$AG504^4+WeightSDS!T$25*$AG504^3+WeightSDS!U$25*$AG504^2+WeightSDS!V$25*$AG504+WeightSDS!W$25,WeightSDS!M$27+WeightSDS!N$27/(1+EXP(WeightSDS!O$27+WeightSDS!P$27*$AG504)))),IF($AG504&lt;43.8,WeightSDS!M$29*$AG504^10+WeightSDS!N$29*$AG504^9+WeightSDS!O$29*$AG504^8+WeightSDS!P$29*$AG504^7+WeightSDS!Q$29*$AG504^6+WeightSDS!R$29*$AG504^5+WeightSDS!S$29*$AG504^4+WeightSDS!T$29*$AG504^3+WeightSDS!U$29*$AG504^2+WeightSDS!V$29*$AG504+WeightSDS!W$29-0.010431*(1-$AG504/210),IF($AG504&lt;123,WeightSDS!M$30*$AG504^10+WeightSDS!N$30*$AG504^9+WeightSDS!O$30*$AG504^8+WeightSDS!P$30*$AG504^7+WeightSDS!Q$30*$AG504^6+WeightSDS!R$30*$AG504^5+WeightSDS!S$30*$AG504^4+WeightSDS!T$30*$AG504^3+WeightSDS!U$30*$AG504^2+WeightSDS!V$30*$AG504+WeightSDS!W$30-0.010431*(1-1/$AG504),WeightSDS!M$32+WeightSDS!N$32/(1+EXP(WeightSDS!O$32+WeightSDS!P$32*$AG504))-0.010431*(1-$AG504/210))))</f>
        <v>2.9500001032655536</v>
      </c>
      <c r="AK504" s="24">
        <f>IF(D504="M",IF($AG504&lt;162,WeightSDS!P$12*$AG504^7+WeightSDS!Q$12*$AG504^6+WeightSDS!R$12*$AG504^5+WeightSDS!S$12*$AG504^4+WeightSDS!T$12*$AG504^3+WeightSDS!U$12*$AG504^2+WeightSDS!V$12*$AG504+WeightSDS!W$12,WeightSDS!P$14*$AG504^7+WeightSDS!Q$14*$AG504^6+WeightSDS!R$14*$AG504^5+WeightSDS!S$14*$AG504^4+WeightSDS!T$14*$AG504^3+WeightSDS!U$14*$AG504^2+WeightSDS!V$14*$AG504+WeightSDS!W$14),IF($AG504&lt;156,WeightSDS!O$17*$AG504^8+WeightSDS!P$17*$AG504^7+WeightSDS!Q$17*$AG504^6+WeightSDS!R$17*$AG504^5+WeightSDS!S$17*$AG504^4+WeightSDS!T$17*$AG504^3+WeightSDS!U$17*$AG504^2+WeightSDS!V$17*$AG504+WeightSDS!W$17,IF($AG504&lt;186,WeightSDS!$U$18+(WeightSDS!$V$18-WeightSDS!$U$18)/24*($AG504-186)+WeightSDS!$W$18*(-$AG504+186)^2-0.005,WeightSDS!$U$18+(WeightSDS!$V$18-WeightSDS!$U$18)/24*($AG504-186)-0.005)))</f>
        <v>0.14604529399999999</v>
      </c>
    </row>
    <row r="505" spans="1:37">
      <c r="A505" s="4"/>
      <c r="B505" s="21"/>
      <c r="C505" s="21"/>
      <c r="D505" s="21"/>
      <c r="E505" s="22"/>
      <c r="F505" s="22"/>
      <c r="G505" s="23"/>
      <c r="H505" s="23"/>
      <c r="I505" s="8" t="str">
        <f t="shared" si="114"/>
        <v/>
      </c>
      <c r="J505" s="2" t="str">
        <f t="shared" si="121"/>
        <v/>
      </c>
      <c r="K505" s="2" t="str">
        <f t="shared" si="115"/>
        <v/>
      </c>
      <c r="L505" s="2" t="str">
        <f t="shared" si="122"/>
        <v/>
      </c>
      <c r="M505" s="2" t="str">
        <f t="shared" si="127"/>
        <v/>
      </c>
      <c r="N505" s="2" t="str">
        <f t="shared" si="123"/>
        <v/>
      </c>
      <c r="O505" s="8" t="str">
        <f t="shared" si="124"/>
        <v/>
      </c>
      <c r="P505" s="8" t="str">
        <f t="shared" si="125"/>
        <v/>
      </c>
      <c r="Q505" s="40" t="str">
        <f t="shared" si="116"/>
        <v/>
      </c>
      <c r="R505" s="48" t="str">
        <f t="shared" si="126"/>
        <v/>
      </c>
      <c r="S505" s="8"/>
      <c r="U505" s="35">
        <f t="shared" si="117"/>
        <v>0</v>
      </c>
      <c r="V505" s="24">
        <f t="shared" si="118"/>
        <v>0</v>
      </c>
      <c r="W505" s="41">
        <f t="shared" si="129"/>
        <v>0</v>
      </c>
      <c r="X505" s="31"/>
      <c r="Y505" s="31"/>
      <c r="Z505" s="31"/>
      <c r="AA505" s="25">
        <f t="shared" si="119"/>
        <v>9.0359999999999996</v>
      </c>
      <c r="AB505" s="25">
        <f t="shared" si="120"/>
        <v>-184.49199999999999</v>
      </c>
      <c r="AD505" s="24">
        <f>IF(D505="M",IF(AG505&lt;78,BMILMS!$D$5*AG505^3+BMILMS!$E$5*AG505^2+BMILMS!$F$5*AG505+BMILMS!$G$5,IF(AG505&lt;150,BMILMS!$D$6*AG505^3+BMILMS!$E$6*AG505^2+BMILMS!$F$6*AG505+BMILMS!$G$6,BMILMS!$D$7*AG505^3+BMILMS!$E$7*AG505^2+BMILMS!$F$7*AG505+BMILMS!$G$7)),IF(AG505&lt;69,BMILMS!$D$9*AG505^3+BMILMS!$E$9*AG505^2+BMILMS!$F$9*AG505+BMILMS!$G$9,IF(AG505&lt;150,BMILMS!$D$10*AG505^3+BMILMS!$E$10*AG505^2+BMILMS!$F$10*AG505+BMILMS!$G$10,BMILMS!$D$11*AG505^3+BMILMS!$E$11*AG505^2+BMILMS!$F$11*AG505+BMILMS!$G$11)))</f>
        <v>0.79584630099999998</v>
      </c>
      <c r="AE505" s="24">
        <f>IF(D505="M",(IF(AG505&lt;2.5,BMILMS!$D$21*AG505^3+BMILMS!$E$21*AG505^2+BMILMS!$F$21*AG505+BMILMS!$G$21,IF(AG505&lt;9.5,BMILMS!$D$22*AG505^3+BMILMS!$E$22*AG505^2+BMILMS!$F$22*AG505+BMILMS!$G$22,IF(AG505&lt;26.75,BMILMS!$D$23*AG505^3+BMILMS!$E$23*AG505^2+BMILMS!$F$23*AG505+BMILMS!$G$23,IF(AG505&lt;90,BMILMS!$D$24*AG505^3+BMILMS!$E$24*AG505^2+BMILMS!$F$24*AG505+BMILMS!$G$24,BMILMS!$D$25*AG505^3+BMILMS!$E$25*AG505^2+BMILMS!$F$25*AG505+BMILMS!$G$25))))),(IF(AG505&lt;2.5,BMILMS!$D$27*AG505^3+BMILMS!$E$27*AG505^2+BMILMS!$F$27*AG505+BMILMS!$G$27,IF(AG505&lt;9.5,BMILMS!$D$28*AG505^3+BMILMS!$E$28*AG505^2+BMILMS!$F$28*AG505+BMILMS!$G$28,IF(AG505&lt;26.75,BMILMS!$D$29*AG505^3+BMILMS!$E$29*AG505^2+BMILMS!$F$29*AG505+BMILMS!$G$29,IF(AG505&lt;90,BMILMS!$D$30*AG505^3+BMILMS!$E$30*AG505^2+BMILMS!$F$30*AG505+BMILMS!$G$30,IF(AG505&lt;150,BMILMS!$D$31*AG505^3+BMILMS!$E$31*AG505^2+BMILMS!$F$31*AG505+BMILMS!$G$31,BMILMS!$D$32*AG505^3+BMILMS!$E$32*AG505^2+BMILMS!$F$32*AG505+BMILMS!$G$32)))))))</f>
        <v>12.568967990000001</v>
      </c>
      <c r="AF505" s="24">
        <f>IF(D505="M",(IF(AG505&lt;90,BMILMS!$D$14*AG505^3+BMILMS!$E$14*AG505^2+BMILMS!$F$14*AG505+BMILMS!$G$14,BMILMS!$D$15*AG505^3+BMILMS!$E$15*AG505^2+BMILMS!$F$15*AG505+BMILMS!$G$15)),(IF(AG505&lt;90,BMILMS!$D$17*AG505^3+BMILMS!$E$17*AG505^2+BMILMS!$F$17*AG505+BMILMS!$G$17,BMILMS!$D$18*AG505^3+BMILMS!$E$18*AG505^2+BMILMS!$F$18*AG505+BMILMS!$G$18)))</f>
        <v>8.8969350000000003E-2</v>
      </c>
      <c r="AG505" s="24">
        <f t="shared" si="128"/>
        <v>0</v>
      </c>
      <c r="AI505" s="38">
        <f>IF(D505="M",WeightSDS!P$5*$AG505^7+WeightSDS!Q$5*$AG505^6+WeightSDS!R$5*$AG505^5+WeightSDS!S$5*$AG505^4+WeightSDS!T$5*$AG505^3+WeightSDS!U$5*$AG505^2+WeightSDS!V$5*$AG505+WeightSDS!W$5,IF($AG505&lt;186,WeightSDS!P$8*$AG505^7+WeightSDS!Q$8*$AG505^6+WeightSDS!R$8*$AG505^5+WeightSDS!S$8*$AG505^4+WeightSDS!T$8*$AG505^3+WeightSDS!U$8*$AG505^2+WeightSDS!V$8*$AG505+WeightSDS!W$8,WeightSDS!$U$9-WeightSDS!$V$9*($AG505-WeightSDS!$W$9)))</f>
        <v>0.75407122999999998</v>
      </c>
      <c r="AJ505" s="24">
        <f>IF(D505="M",IF($AG505&lt;45,WeightSDS!M$23*$AG505^10+WeightSDS!N$23*$AG505^9+WeightSDS!O$23*$AG505^8+WeightSDS!P$23*$AG505^7+WeightSDS!Q$23*$AG505^6+WeightSDS!R$23*$AG505^5+WeightSDS!S$23*$AG505^4+WeightSDS!T$23*$AG505^3+WeightSDS!U$23*$AG505^2+WeightSDS!V$23*$AG505+WeightSDS!W$23,IF($AG505&lt;153,WeightSDS!M$25*$AG505^10+WeightSDS!N$25*$AG505^9+WeightSDS!O$25*$AG505^8+WeightSDS!P$25*$AG505^7+WeightSDS!Q$25*$AG505^6+WeightSDS!R$25*$AG505^5+WeightSDS!S$25*$AG505^4+WeightSDS!T$25*$AG505^3+WeightSDS!U$25*$AG505^2+WeightSDS!V$25*$AG505+WeightSDS!W$25,WeightSDS!M$27+WeightSDS!N$27/(1+EXP(WeightSDS!O$27+WeightSDS!P$27*$AG505)))),IF($AG505&lt;43.8,WeightSDS!M$29*$AG505^10+WeightSDS!N$29*$AG505^9+WeightSDS!O$29*$AG505^8+WeightSDS!P$29*$AG505^7+WeightSDS!Q$29*$AG505^6+WeightSDS!R$29*$AG505^5+WeightSDS!S$29*$AG505^4+WeightSDS!T$29*$AG505^3+WeightSDS!U$29*$AG505^2+WeightSDS!V$29*$AG505+WeightSDS!W$29-0.010431*(1-$AG505/210),IF($AG505&lt;123,WeightSDS!M$30*$AG505^10+WeightSDS!N$30*$AG505^9+WeightSDS!O$30*$AG505^8+WeightSDS!P$30*$AG505^7+WeightSDS!Q$30*$AG505^6+WeightSDS!R$30*$AG505^5+WeightSDS!S$30*$AG505^4+WeightSDS!T$30*$AG505^3+WeightSDS!U$30*$AG505^2+WeightSDS!V$30*$AG505+WeightSDS!W$30-0.010431*(1-1/$AG505),WeightSDS!M$32+WeightSDS!N$32/(1+EXP(WeightSDS!O$32+WeightSDS!P$32*$AG505))-0.010431*(1-$AG505/210))))</f>
        <v>2.9500001032655536</v>
      </c>
      <c r="AK505" s="24">
        <f>IF(D505="M",IF($AG505&lt;162,WeightSDS!P$12*$AG505^7+WeightSDS!Q$12*$AG505^6+WeightSDS!R$12*$AG505^5+WeightSDS!S$12*$AG505^4+WeightSDS!T$12*$AG505^3+WeightSDS!U$12*$AG505^2+WeightSDS!V$12*$AG505+WeightSDS!W$12,WeightSDS!P$14*$AG505^7+WeightSDS!Q$14*$AG505^6+WeightSDS!R$14*$AG505^5+WeightSDS!S$14*$AG505^4+WeightSDS!T$14*$AG505^3+WeightSDS!U$14*$AG505^2+WeightSDS!V$14*$AG505+WeightSDS!W$14),IF($AG505&lt;156,WeightSDS!O$17*$AG505^8+WeightSDS!P$17*$AG505^7+WeightSDS!Q$17*$AG505^6+WeightSDS!R$17*$AG505^5+WeightSDS!S$17*$AG505^4+WeightSDS!T$17*$AG505^3+WeightSDS!U$17*$AG505^2+WeightSDS!V$17*$AG505+WeightSDS!W$17,IF($AG505&lt;186,WeightSDS!$U$18+(WeightSDS!$V$18-WeightSDS!$U$18)/24*($AG505-186)+WeightSDS!$W$18*(-$AG505+186)^2-0.005,WeightSDS!$U$18+(WeightSDS!$V$18-WeightSDS!$U$18)/24*($AG505-186)-0.005)))</f>
        <v>0.14604529399999999</v>
      </c>
    </row>
    <row r="506" spans="1:37">
      <c r="A506" s="4"/>
      <c r="B506" s="21"/>
      <c r="C506" s="21"/>
      <c r="D506" s="21"/>
      <c r="E506" s="22"/>
      <c r="F506" s="22"/>
      <c r="G506" s="23"/>
      <c r="H506" s="23"/>
      <c r="I506" s="8" t="str">
        <f t="shared" si="114"/>
        <v/>
      </c>
      <c r="J506" s="2" t="str">
        <f t="shared" si="121"/>
        <v/>
      </c>
      <c r="K506" s="2" t="str">
        <f t="shared" si="115"/>
        <v/>
      </c>
      <c r="L506" s="2" t="str">
        <f t="shared" si="122"/>
        <v/>
      </c>
      <c r="M506" s="2" t="str">
        <f t="shared" si="127"/>
        <v/>
      </c>
      <c r="N506" s="2" t="str">
        <f t="shared" si="123"/>
        <v/>
      </c>
      <c r="O506" s="8" t="str">
        <f t="shared" si="124"/>
        <v/>
      </c>
      <c r="P506" s="8" t="str">
        <f t="shared" si="125"/>
        <v/>
      </c>
      <c r="Q506" s="40" t="str">
        <f t="shared" si="116"/>
        <v/>
      </c>
      <c r="R506" s="48" t="str">
        <f t="shared" si="126"/>
        <v/>
      </c>
      <c r="S506" s="8"/>
      <c r="U506" s="35">
        <f t="shared" si="117"/>
        <v>0</v>
      </c>
      <c r="V506" s="24">
        <f t="shared" si="118"/>
        <v>0</v>
      </c>
      <c r="W506" s="41">
        <f t="shared" si="129"/>
        <v>0</v>
      </c>
      <c r="X506" s="31"/>
      <c r="Y506" s="31"/>
      <c r="Z506" s="31"/>
      <c r="AA506" s="25">
        <f t="shared" si="119"/>
        <v>9.0359999999999996</v>
      </c>
      <c r="AB506" s="25">
        <f t="shared" si="120"/>
        <v>-184.49199999999999</v>
      </c>
      <c r="AD506" s="24">
        <f>IF(D506="M",IF(AG506&lt;78,BMILMS!$D$5*AG506^3+BMILMS!$E$5*AG506^2+BMILMS!$F$5*AG506+BMILMS!$G$5,IF(AG506&lt;150,BMILMS!$D$6*AG506^3+BMILMS!$E$6*AG506^2+BMILMS!$F$6*AG506+BMILMS!$G$6,BMILMS!$D$7*AG506^3+BMILMS!$E$7*AG506^2+BMILMS!$F$7*AG506+BMILMS!$G$7)),IF(AG506&lt;69,BMILMS!$D$9*AG506^3+BMILMS!$E$9*AG506^2+BMILMS!$F$9*AG506+BMILMS!$G$9,IF(AG506&lt;150,BMILMS!$D$10*AG506^3+BMILMS!$E$10*AG506^2+BMILMS!$F$10*AG506+BMILMS!$G$10,BMILMS!$D$11*AG506^3+BMILMS!$E$11*AG506^2+BMILMS!$F$11*AG506+BMILMS!$G$11)))</f>
        <v>0.79584630099999998</v>
      </c>
      <c r="AE506" s="24">
        <f>IF(D506="M",(IF(AG506&lt;2.5,BMILMS!$D$21*AG506^3+BMILMS!$E$21*AG506^2+BMILMS!$F$21*AG506+BMILMS!$G$21,IF(AG506&lt;9.5,BMILMS!$D$22*AG506^3+BMILMS!$E$22*AG506^2+BMILMS!$F$22*AG506+BMILMS!$G$22,IF(AG506&lt;26.75,BMILMS!$D$23*AG506^3+BMILMS!$E$23*AG506^2+BMILMS!$F$23*AG506+BMILMS!$G$23,IF(AG506&lt;90,BMILMS!$D$24*AG506^3+BMILMS!$E$24*AG506^2+BMILMS!$F$24*AG506+BMILMS!$G$24,BMILMS!$D$25*AG506^3+BMILMS!$E$25*AG506^2+BMILMS!$F$25*AG506+BMILMS!$G$25))))),(IF(AG506&lt;2.5,BMILMS!$D$27*AG506^3+BMILMS!$E$27*AG506^2+BMILMS!$F$27*AG506+BMILMS!$G$27,IF(AG506&lt;9.5,BMILMS!$D$28*AG506^3+BMILMS!$E$28*AG506^2+BMILMS!$F$28*AG506+BMILMS!$G$28,IF(AG506&lt;26.75,BMILMS!$D$29*AG506^3+BMILMS!$E$29*AG506^2+BMILMS!$F$29*AG506+BMILMS!$G$29,IF(AG506&lt;90,BMILMS!$D$30*AG506^3+BMILMS!$E$30*AG506^2+BMILMS!$F$30*AG506+BMILMS!$G$30,IF(AG506&lt;150,BMILMS!$D$31*AG506^3+BMILMS!$E$31*AG506^2+BMILMS!$F$31*AG506+BMILMS!$G$31,BMILMS!$D$32*AG506^3+BMILMS!$E$32*AG506^2+BMILMS!$F$32*AG506+BMILMS!$G$32)))))))</f>
        <v>12.568967990000001</v>
      </c>
      <c r="AF506" s="24">
        <f>IF(D506="M",(IF(AG506&lt;90,BMILMS!$D$14*AG506^3+BMILMS!$E$14*AG506^2+BMILMS!$F$14*AG506+BMILMS!$G$14,BMILMS!$D$15*AG506^3+BMILMS!$E$15*AG506^2+BMILMS!$F$15*AG506+BMILMS!$G$15)),(IF(AG506&lt;90,BMILMS!$D$17*AG506^3+BMILMS!$E$17*AG506^2+BMILMS!$F$17*AG506+BMILMS!$G$17,BMILMS!$D$18*AG506^3+BMILMS!$E$18*AG506^2+BMILMS!$F$18*AG506+BMILMS!$G$18)))</f>
        <v>8.8969350000000003E-2</v>
      </c>
      <c r="AG506" s="24">
        <f t="shared" si="128"/>
        <v>0</v>
      </c>
      <c r="AI506" s="38">
        <f>IF(D506="M",WeightSDS!P$5*$AG506^7+WeightSDS!Q$5*$AG506^6+WeightSDS!R$5*$AG506^5+WeightSDS!S$5*$AG506^4+WeightSDS!T$5*$AG506^3+WeightSDS!U$5*$AG506^2+WeightSDS!V$5*$AG506+WeightSDS!W$5,IF($AG506&lt;186,WeightSDS!P$8*$AG506^7+WeightSDS!Q$8*$AG506^6+WeightSDS!R$8*$AG506^5+WeightSDS!S$8*$AG506^4+WeightSDS!T$8*$AG506^3+WeightSDS!U$8*$AG506^2+WeightSDS!V$8*$AG506+WeightSDS!W$8,WeightSDS!$U$9-WeightSDS!$V$9*($AG506-WeightSDS!$W$9)))</f>
        <v>0.75407122999999998</v>
      </c>
      <c r="AJ506" s="24">
        <f>IF(D506="M",IF($AG506&lt;45,WeightSDS!M$23*$AG506^10+WeightSDS!N$23*$AG506^9+WeightSDS!O$23*$AG506^8+WeightSDS!P$23*$AG506^7+WeightSDS!Q$23*$AG506^6+WeightSDS!R$23*$AG506^5+WeightSDS!S$23*$AG506^4+WeightSDS!T$23*$AG506^3+WeightSDS!U$23*$AG506^2+WeightSDS!V$23*$AG506+WeightSDS!W$23,IF($AG506&lt;153,WeightSDS!M$25*$AG506^10+WeightSDS!N$25*$AG506^9+WeightSDS!O$25*$AG506^8+WeightSDS!P$25*$AG506^7+WeightSDS!Q$25*$AG506^6+WeightSDS!R$25*$AG506^5+WeightSDS!S$25*$AG506^4+WeightSDS!T$25*$AG506^3+WeightSDS!U$25*$AG506^2+WeightSDS!V$25*$AG506+WeightSDS!W$25,WeightSDS!M$27+WeightSDS!N$27/(1+EXP(WeightSDS!O$27+WeightSDS!P$27*$AG506)))),IF($AG506&lt;43.8,WeightSDS!M$29*$AG506^10+WeightSDS!N$29*$AG506^9+WeightSDS!O$29*$AG506^8+WeightSDS!P$29*$AG506^7+WeightSDS!Q$29*$AG506^6+WeightSDS!R$29*$AG506^5+WeightSDS!S$29*$AG506^4+WeightSDS!T$29*$AG506^3+WeightSDS!U$29*$AG506^2+WeightSDS!V$29*$AG506+WeightSDS!W$29-0.010431*(1-$AG506/210),IF($AG506&lt;123,WeightSDS!M$30*$AG506^10+WeightSDS!N$30*$AG506^9+WeightSDS!O$30*$AG506^8+WeightSDS!P$30*$AG506^7+WeightSDS!Q$30*$AG506^6+WeightSDS!R$30*$AG506^5+WeightSDS!S$30*$AG506^4+WeightSDS!T$30*$AG506^3+WeightSDS!U$30*$AG506^2+WeightSDS!V$30*$AG506+WeightSDS!W$30-0.010431*(1-1/$AG506),WeightSDS!M$32+WeightSDS!N$32/(1+EXP(WeightSDS!O$32+WeightSDS!P$32*$AG506))-0.010431*(1-$AG506/210))))</f>
        <v>2.9500001032655536</v>
      </c>
      <c r="AK506" s="24">
        <f>IF(D506="M",IF($AG506&lt;162,WeightSDS!P$12*$AG506^7+WeightSDS!Q$12*$AG506^6+WeightSDS!R$12*$AG506^5+WeightSDS!S$12*$AG506^4+WeightSDS!T$12*$AG506^3+WeightSDS!U$12*$AG506^2+WeightSDS!V$12*$AG506+WeightSDS!W$12,WeightSDS!P$14*$AG506^7+WeightSDS!Q$14*$AG506^6+WeightSDS!R$14*$AG506^5+WeightSDS!S$14*$AG506^4+WeightSDS!T$14*$AG506^3+WeightSDS!U$14*$AG506^2+WeightSDS!V$14*$AG506+WeightSDS!W$14),IF($AG506&lt;156,WeightSDS!O$17*$AG506^8+WeightSDS!P$17*$AG506^7+WeightSDS!Q$17*$AG506^6+WeightSDS!R$17*$AG506^5+WeightSDS!S$17*$AG506^4+WeightSDS!T$17*$AG506^3+WeightSDS!U$17*$AG506^2+WeightSDS!V$17*$AG506+WeightSDS!W$17,IF($AG506&lt;186,WeightSDS!$U$18+(WeightSDS!$V$18-WeightSDS!$U$18)/24*($AG506-186)+WeightSDS!$W$18*(-$AG506+186)^2-0.005,WeightSDS!$U$18+(WeightSDS!$V$18-WeightSDS!$U$18)/24*($AG506-186)-0.005)))</f>
        <v>0.14604529399999999</v>
      </c>
    </row>
    <row r="507" spans="1:37">
      <c r="A507" s="4"/>
      <c r="B507" s="21"/>
      <c r="C507" s="21"/>
      <c r="D507" s="21"/>
      <c r="E507" s="22"/>
      <c r="F507" s="22"/>
      <c r="G507" s="23"/>
      <c r="H507" s="23"/>
      <c r="I507" s="8" t="str">
        <f t="shared" si="114"/>
        <v/>
      </c>
      <c r="J507" s="2" t="str">
        <f t="shared" si="121"/>
        <v/>
      </c>
      <c r="K507" s="2" t="str">
        <f t="shared" si="115"/>
        <v/>
      </c>
      <c r="L507" s="2" t="str">
        <f t="shared" si="122"/>
        <v/>
      </c>
      <c r="M507" s="2" t="str">
        <f t="shared" si="127"/>
        <v/>
      </c>
      <c r="N507" s="2" t="str">
        <f t="shared" si="123"/>
        <v/>
      </c>
      <c r="O507" s="8" t="str">
        <f t="shared" si="124"/>
        <v/>
      </c>
      <c r="P507" s="8" t="str">
        <f t="shared" si="125"/>
        <v/>
      </c>
      <c r="Q507" s="40" t="str">
        <f t="shared" si="116"/>
        <v/>
      </c>
      <c r="R507" s="48" t="str">
        <f t="shared" si="126"/>
        <v/>
      </c>
      <c r="S507" s="8"/>
      <c r="U507" s="35">
        <f t="shared" si="117"/>
        <v>0</v>
      </c>
      <c r="V507" s="24">
        <f t="shared" si="118"/>
        <v>0</v>
      </c>
      <c r="W507" s="41">
        <f t="shared" si="129"/>
        <v>0</v>
      </c>
      <c r="X507" s="31"/>
      <c r="Y507" s="31"/>
      <c r="Z507" s="31"/>
      <c r="AA507" s="25">
        <f t="shared" si="119"/>
        <v>9.0359999999999996</v>
      </c>
      <c r="AB507" s="25">
        <f t="shared" si="120"/>
        <v>-184.49199999999999</v>
      </c>
      <c r="AD507" s="24">
        <f>IF(D507="M",IF(AG507&lt;78,BMILMS!$D$5*AG507^3+BMILMS!$E$5*AG507^2+BMILMS!$F$5*AG507+BMILMS!$G$5,IF(AG507&lt;150,BMILMS!$D$6*AG507^3+BMILMS!$E$6*AG507^2+BMILMS!$F$6*AG507+BMILMS!$G$6,BMILMS!$D$7*AG507^3+BMILMS!$E$7*AG507^2+BMILMS!$F$7*AG507+BMILMS!$G$7)),IF(AG507&lt;69,BMILMS!$D$9*AG507^3+BMILMS!$E$9*AG507^2+BMILMS!$F$9*AG507+BMILMS!$G$9,IF(AG507&lt;150,BMILMS!$D$10*AG507^3+BMILMS!$E$10*AG507^2+BMILMS!$F$10*AG507+BMILMS!$G$10,BMILMS!$D$11*AG507^3+BMILMS!$E$11*AG507^2+BMILMS!$F$11*AG507+BMILMS!$G$11)))</f>
        <v>0.79584630099999998</v>
      </c>
      <c r="AE507" s="24">
        <f>IF(D507="M",(IF(AG507&lt;2.5,BMILMS!$D$21*AG507^3+BMILMS!$E$21*AG507^2+BMILMS!$F$21*AG507+BMILMS!$G$21,IF(AG507&lt;9.5,BMILMS!$D$22*AG507^3+BMILMS!$E$22*AG507^2+BMILMS!$F$22*AG507+BMILMS!$G$22,IF(AG507&lt;26.75,BMILMS!$D$23*AG507^3+BMILMS!$E$23*AG507^2+BMILMS!$F$23*AG507+BMILMS!$G$23,IF(AG507&lt;90,BMILMS!$D$24*AG507^3+BMILMS!$E$24*AG507^2+BMILMS!$F$24*AG507+BMILMS!$G$24,BMILMS!$D$25*AG507^3+BMILMS!$E$25*AG507^2+BMILMS!$F$25*AG507+BMILMS!$G$25))))),(IF(AG507&lt;2.5,BMILMS!$D$27*AG507^3+BMILMS!$E$27*AG507^2+BMILMS!$F$27*AG507+BMILMS!$G$27,IF(AG507&lt;9.5,BMILMS!$D$28*AG507^3+BMILMS!$E$28*AG507^2+BMILMS!$F$28*AG507+BMILMS!$G$28,IF(AG507&lt;26.75,BMILMS!$D$29*AG507^3+BMILMS!$E$29*AG507^2+BMILMS!$F$29*AG507+BMILMS!$G$29,IF(AG507&lt;90,BMILMS!$D$30*AG507^3+BMILMS!$E$30*AG507^2+BMILMS!$F$30*AG507+BMILMS!$G$30,IF(AG507&lt;150,BMILMS!$D$31*AG507^3+BMILMS!$E$31*AG507^2+BMILMS!$F$31*AG507+BMILMS!$G$31,BMILMS!$D$32*AG507^3+BMILMS!$E$32*AG507^2+BMILMS!$F$32*AG507+BMILMS!$G$32)))))))</f>
        <v>12.568967990000001</v>
      </c>
      <c r="AF507" s="24">
        <f>IF(D507="M",(IF(AG507&lt;90,BMILMS!$D$14*AG507^3+BMILMS!$E$14*AG507^2+BMILMS!$F$14*AG507+BMILMS!$G$14,BMILMS!$D$15*AG507^3+BMILMS!$E$15*AG507^2+BMILMS!$F$15*AG507+BMILMS!$G$15)),(IF(AG507&lt;90,BMILMS!$D$17*AG507^3+BMILMS!$E$17*AG507^2+BMILMS!$F$17*AG507+BMILMS!$G$17,BMILMS!$D$18*AG507^3+BMILMS!$E$18*AG507^2+BMILMS!$F$18*AG507+BMILMS!$G$18)))</f>
        <v>8.8969350000000003E-2</v>
      </c>
      <c r="AG507" s="24">
        <f t="shared" si="128"/>
        <v>0</v>
      </c>
      <c r="AI507" s="38">
        <f>IF(D507="M",WeightSDS!P$5*$AG507^7+WeightSDS!Q$5*$AG507^6+WeightSDS!R$5*$AG507^5+WeightSDS!S$5*$AG507^4+WeightSDS!T$5*$AG507^3+WeightSDS!U$5*$AG507^2+WeightSDS!V$5*$AG507+WeightSDS!W$5,IF($AG507&lt;186,WeightSDS!P$8*$AG507^7+WeightSDS!Q$8*$AG507^6+WeightSDS!R$8*$AG507^5+WeightSDS!S$8*$AG507^4+WeightSDS!T$8*$AG507^3+WeightSDS!U$8*$AG507^2+WeightSDS!V$8*$AG507+WeightSDS!W$8,WeightSDS!$U$9-WeightSDS!$V$9*($AG507-WeightSDS!$W$9)))</f>
        <v>0.75407122999999998</v>
      </c>
      <c r="AJ507" s="24">
        <f>IF(D507="M",IF($AG507&lt;45,WeightSDS!M$23*$AG507^10+WeightSDS!N$23*$AG507^9+WeightSDS!O$23*$AG507^8+WeightSDS!P$23*$AG507^7+WeightSDS!Q$23*$AG507^6+WeightSDS!R$23*$AG507^5+WeightSDS!S$23*$AG507^4+WeightSDS!T$23*$AG507^3+WeightSDS!U$23*$AG507^2+WeightSDS!V$23*$AG507+WeightSDS!W$23,IF($AG507&lt;153,WeightSDS!M$25*$AG507^10+WeightSDS!N$25*$AG507^9+WeightSDS!O$25*$AG507^8+WeightSDS!P$25*$AG507^7+WeightSDS!Q$25*$AG507^6+WeightSDS!R$25*$AG507^5+WeightSDS!S$25*$AG507^4+WeightSDS!T$25*$AG507^3+WeightSDS!U$25*$AG507^2+WeightSDS!V$25*$AG507+WeightSDS!W$25,WeightSDS!M$27+WeightSDS!N$27/(1+EXP(WeightSDS!O$27+WeightSDS!P$27*$AG507)))),IF($AG507&lt;43.8,WeightSDS!M$29*$AG507^10+WeightSDS!N$29*$AG507^9+WeightSDS!O$29*$AG507^8+WeightSDS!P$29*$AG507^7+WeightSDS!Q$29*$AG507^6+WeightSDS!R$29*$AG507^5+WeightSDS!S$29*$AG507^4+WeightSDS!T$29*$AG507^3+WeightSDS!U$29*$AG507^2+WeightSDS!V$29*$AG507+WeightSDS!W$29-0.010431*(1-$AG507/210),IF($AG507&lt;123,WeightSDS!M$30*$AG507^10+WeightSDS!N$30*$AG507^9+WeightSDS!O$30*$AG507^8+WeightSDS!P$30*$AG507^7+WeightSDS!Q$30*$AG507^6+WeightSDS!R$30*$AG507^5+WeightSDS!S$30*$AG507^4+WeightSDS!T$30*$AG507^3+WeightSDS!U$30*$AG507^2+WeightSDS!V$30*$AG507+WeightSDS!W$30-0.010431*(1-1/$AG507),WeightSDS!M$32+WeightSDS!N$32/(1+EXP(WeightSDS!O$32+WeightSDS!P$32*$AG507))-0.010431*(1-$AG507/210))))</f>
        <v>2.9500001032655536</v>
      </c>
      <c r="AK507" s="24">
        <f>IF(D507="M",IF($AG507&lt;162,WeightSDS!P$12*$AG507^7+WeightSDS!Q$12*$AG507^6+WeightSDS!R$12*$AG507^5+WeightSDS!S$12*$AG507^4+WeightSDS!T$12*$AG507^3+WeightSDS!U$12*$AG507^2+WeightSDS!V$12*$AG507+WeightSDS!W$12,WeightSDS!P$14*$AG507^7+WeightSDS!Q$14*$AG507^6+WeightSDS!R$14*$AG507^5+WeightSDS!S$14*$AG507^4+WeightSDS!T$14*$AG507^3+WeightSDS!U$14*$AG507^2+WeightSDS!V$14*$AG507+WeightSDS!W$14),IF($AG507&lt;156,WeightSDS!O$17*$AG507^8+WeightSDS!P$17*$AG507^7+WeightSDS!Q$17*$AG507^6+WeightSDS!R$17*$AG507^5+WeightSDS!S$17*$AG507^4+WeightSDS!T$17*$AG507^3+WeightSDS!U$17*$AG507^2+WeightSDS!V$17*$AG507+WeightSDS!W$17,IF($AG507&lt;186,WeightSDS!$U$18+(WeightSDS!$V$18-WeightSDS!$U$18)/24*($AG507-186)+WeightSDS!$W$18*(-$AG507+186)^2-0.005,WeightSDS!$U$18+(WeightSDS!$V$18-WeightSDS!$U$18)/24*($AG507-186)-0.005)))</f>
        <v>0.14604529399999999</v>
      </c>
    </row>
    <row r="508" spans="1:37">
      <c r="A508" s="4"/>
      <c r="B508" s="21"/>
      <c r="C508" s="21"/>
      <c r="D508" s="21"/>
      <c r="E508" s="22"/>
      <c r="F508" s="22"/>
      <c r="G508" s="23"/>
      <c r="H508" s="23"/>
      <c r="I508" s="8" t="str">
        <f t="shared" si="114"/>
        <v/>
      </c>
      <c r="J508" s="2" t="str">
        <f t="shared" si="121"/>
        <v/>
      </c>
      <c r="K508" s="2" t="str">
        <f t="shared" si="115"/>
        <v/>
      </c>
      <c r="L508" s="2" t="str">
        <f t="shared" si="122"/>
        <v/>
      </c>
      <c r="M508" s="2" t="str">
        <f t="shared" si="127"/>
        <v/>
      </c>
      <c r="N508" s="2" t="str">
        <f t="shared" si="123"/>
        <v/>
      </c>
      <c r="O508" s="8" t="str">
        <f t="shared" si="124"/>
        <v/>
      </c>
      <c r="P508" s="8" t="str">
        <f t="shared" si="125"/>
        <v/>
      </c>
      <c r="Q508" s="40" t="str">
        <f t="shared" si="116"/>
        <v/>
      </c>
      <c r="R508" s="48" t="str">
        <f t="shared" si="126"/>
        <v/>
      </c>
      <c r="S508" s="8"/>
      <c r="U508" s="35">
        <f t="shared" si="117"/>
        <v>0</v>
      </c>
      <c r="V508" s="24">
        <f t="shared" si="118"/>
        <v>0</v>
      </c>
      <c r="W508" s="41">
        <f t="shared" si="129"/>
        <v>0</v>
      </c>
      <c r="X508" s="31"/>
      <c r="Y508" s="31"/>
      <c r="Z508" s="31"/>
      <c r="AA508" s="25">
        <f t="shared" si="119"/>
        <v>9.0359999999999996</v>
      </c>
      <c r="AB508" s="25">
        <f t="shared" si="120"/>
        <v>-184.49199999999999</v>
      </c>
      <c r="AD508" s="24">
        <f>IF(D508="M",IF(AG508&lt;78,BMILMS!$D$5*AG508^3+BMILMS!$E$5*AG508^2+BMILMS!$F$5*AG508+BMILMS!$G$5,IF(AG508&lt;150,BMILMS!$D$6*AG508^3+BMILMS!$E$6*AG508^2+BMILMS!$F$6*AG508+BMILMS!$G$6,BMILMS!$D$7*AG508^3+BMILMS!$E$7*AG508^2+BMILMS!$F$7*AG508+BMILMS!$G$7)),IF(AG508&lt;69,BMILMS!$D$9*AG508^3+BMILMS!$E$9*AG508^2+BMILMS!$F$9*AG508+BMILMS!$G$9,IF(AG508&lt;150,BMILMS!$D$10*AG508^3+BMILMS!$E$10*AG508^2+BMILMS!$F$10*AG508+BMILMS!$G$10,BMILMS!$D$11*AG508^3+BMILMS!$E$11*AG508^2+BMILMS!$F$11*AG508+BMILMS!$G$11)))</f>
        <v>0.79584630099999998</v>
      </c>
      <c r="AE508" s="24">
        <f>IF(D508="M",(IF(AG508&lt;2.5,BMILMS!$D$21*AG508^3+BMILMS!$E$21*AG508^2+BMILMS!$F$21*AG508+BMILMS!$G$21,IF(AG508&lt;9.5,BMILMS!$D$22*AG508^3+BMILMS!$E$22*AG508^2+BMILMS!$F$22*AG508+BMILMS!$G$22,IF(AG508&lt;26.75,BMILMS!$D$23*AG508^3+BMILMS!$E$23*AG508^2+BMILMS!$F$23*AG508+BMILMS!$G$23,IF(AG508&lt;90,BMILMS!$D$24*AG508^3+BMILMS!$E$24*AG508^2+BMILMS!$F$24*AG508+BMILMS!$G$24,BMILMS!$D$25*AG508^3+BMILMS!$E$25*AG508^2+BMILMS!$F$25*AG508+BMILMS!$G$25))))),(IF(AG508&lt;2.5,BMILMS!$D$27*AG508^3+BMILMS!$E$27*AG508^2+BMILMS!$F$27*AG508+BMILMS!$G$27,IF(AG508&lt;9.5,BMILMS!$D$28*AG508^3+BMILMS!$E$28*AG508^2+BMILMS!$F$28*AG508+BMILMS!$G$28,IF(AG508&lt;26.75,BMILMS!$D$29*AG508^3+BMILMS!$E$29*AG508^2+BMILMS!$F$29*AG508+BMILMS!$G$29,IF(AG508&lt;90,BMILMS!$D$30*AG508^3+BMILMS!$E$30*AG508^2+BMILMS!$F$30*AG508+BMILMS!$G$30,IF(AG508&lt;150,BMILMS!$D$31*AG508^3+BMILMS!$E$31*AG508^2+BMILMS!$F$31*AG508+BMILMS!$G$31,BMILMS!$D$32*AG508^3+BMILMS!$E$32*AG508^2+BMILMS!$F$32*AG508+BMILMS!$G$32)))))))</f>
        <v>12.568967990000001</v>
      </c>
      <c r="AF508" s="24">
        <f>IF(D508="M",(IF(AG508&lt;90,BMILMS!$D$14*AG508^3+BMILMS!$E$14*AG508^2+BMILMS!$F$14*AG508+BMILMS!$G$14,BMILMS!$D$15*AG508^3+BMILMS!$E$15*AG508^2+BMILMS!$F$15*AG508+BMILMS!$G$15)),(IF(AG508&lt;90,BMILMS!$D$17*AG508^3+BMILMS!$E$17*AG508^2+BMILMS!$F$17*AG508+BMILMS!$G$17,BMILMS!$D$18*AG508^3+BMILMS!$E$18*AG508^2+BMILMS!$F$18*AG508+BMILMS!$G$18)))</f>
        <v>8.8969350000000003E-2</v>
      </c>
      <c r="AG508" s="24">
        <f t="shared" si="128"/>
        <v>0</v>
      </c>
      <c r="AI508" s="38">
        <f>IF(D508="M",WeightSDS!P$5*$AG508^7+WeightSDS!Q$5*$AG508^6+WeightSDS!R$5*$AG508^5+WeightSDS!S$5*$AG508^4+WeightSDS!T$5*$AG508^3+WeightSDS!U$5*$AG508^2+WeightSDS!V$5*$AG508+WeightSDS!W$5,IF($AG508&lt;186,WeightSDS!P$8*$AG508^7+WeightSDS!Q$8*$AG508^6+WeightSDS!R$8*$AG508^5+WeightSDS!S$8*$AG508^4+WeightSDS!T$8*$AG508^3+WeightSDS!U$8*$AG508^2+WeightSDS!V$8*$AG508+WeightSDS!W$8,WeightSDS!$U$9-WeightSDS!$V$9*($AG508-WeightSDS!$W$9)))</f>
        <v>0.75407122999999998</v>
      </c>
      <c r="AJ508" s="24">
        <f>IF(D508="M",IF($AG508&lt;45,WeightSDS!M$23*$AG508^10+WeightSDS!N$23*$AG508^9+WeightSDS!O$23*$AG508^8+WeightSDS!P$23*$AG508^7+WeightSDS!Q$23*$AG508^6+WeightSDS!R$23*$AG508^5+WeightSDS!S$23*$AG508^4+WeightSDS!T$23*$AG508^3+WeightSDS!U$23*$AG508^2+WeightSDS!V$23*$AG508+WeightSDS!W$23,IF($AG508&lt;153,WeightSDS!M$25*$AG508^10+WeightSDS!N$25*$AG508^9+WeightSDS!O$25*$AG508^8+WeightSDS!P$25*$AG508^7+WeightSDS!Q$25*$AG508^6+WeightSDS!R$25*$AG508^5+WeightSDS!S$25*$AG508^4+WeightSDS!T$25*$AG508^3+WeightSDS!U$25*$AG508^2+WeightSDS!V$25*$AG508+WeightSDS!W$25,WeightSDS!M$27+WeightSDS!N$27/(1+EXP(WeightSDS!O$27+WeightSDS!P$27*$AG508)))),IF($AG508&lt;43.8,WeightSDS!M$29*$AG508^10+WeightSDS!N$29*$AG508^9+WeightSDS!O$29*$AG508^8+WeightSDS!P$29*$AG508^7+WeightSDS!Q$29*$AG508^6+WeightSDS!R$29*$AG508^5+WeightSDS!S$29*$AG508^4+WeightSDS!T$29*$AG508^3+WeightSDS!U$29*$AG508^2+WeightSDS!V$29*$AG508+WeightSDS!W$29-0.010431*(1-$AG508/210),IF($AG508&lt;123,WeightSDS!M$30*$AG508^10+WeightSDS!N$30*$AG508^9+WeightSDS!O$30*$AG508^8+WeightSDS!P$30*$AG508^7+WeightSDS!Q$30*$AG508^6+WeightSDS!R$30*$AG508^5+WeightSDS!S$30*$AG508^4+WeightSDS!T$30*$AG508^3+WeightSDS!U$30*$AG508^2+WeightSDS!V$30*$AG508+WeightSDS!W$30-0.010431*(1-1/$AG508),WeightSDS!M$32+WeightSDS!N$32/(1+EXP(WeightSDS!O$32+WeightSDS!P$32*$AG508))-0.010431*(1-$AG508/210))))</f>
        <v>2.9500001032655536</v>
      </c>
      <c r="AK508" s="24">
        <f>IF(D508="M",IF($AG508&lt;162,WeightSDS!P$12*$AG508^7+WeightSDS!Q$12*$AG508^6+WeightSDS!R$12*$AG508^5+WeightSDS!S$12*$AG508^4+WeightSDS!T$12*$AG508^3+WeightSDS!U$12*$AG508^2+WeightSDS!V$12*$AG508+WeightSDS!W$12,WeightSDS!P$14*$AG508^7+WeightSDS!Q$14*$AG508^6+WeightSDS!R$14*$AG508^5+WeightSDS!S$14*$AG508^4+WeightSDS!T$14*$AG508^3+WeightSDS!U$14*$AG508^2+WeightSDS!V$14*$AG508+WeightSDS!W$14),IF($AG508&lt;156,WeightSDS!O$17*$AG508^8+WeightSDS!P$17*$AG508^7+WeightSDS!Q$17*$AG508^6+WeightSDS!R$17*$AG508^5+WeightSDS!S$17*$AG508^4+WeightSDS!T$17*$AG508^3+WeightSDS!U$17*$AG508^2+WeightSDS!V$17*$AG508+WeightSDS!W$17,IF($AG508&lt;186,WeightSDS!$U$18+(WeightSDS!$V$18-WeightSDS!$U$18)/24*($AG508-186)+WeightSDS!$W$18*(-$AG508+186)^2-0.005,WeightSDS!$U$18+(WeightSDS!$V$18-WeightSDS!$U$18)/24*($AG508-186)-0.005)))</f>
        <v>0.14604529399999999</v>
      </c>
    </row>
    <row r="509" spans="1:37">
      <c r="A509" s="4"/>
      <c r="B509" s="21"/>
      <c r="C509" s="21"/>
      <c r="D509" s="21"/>
      <c r="E509" s="22"/>
      <c r="F509" s="22"/>
      <c r="G509" s="23"/>
      <c r="H509" s="23"/>
      <c r="I509" s="8" t="str">
        <f t="shared" si="114"/>
        <v/>
      </c>
      <c r="J509" s="2" t="str">
        <f t="shared" si="121"/>
        <v/>
      </c>
      <c r="K509" s="2" t="str">
        <f t="shared" si="115"/>
        <v/>
      </c>
      <c r="L509" s="2" t="str">
        <f t="shared" si="122"/>
        <v/>
      </c>
      <c r="M509" s="2" t="str">
        <f t="shared" si="127"/>
        <v/>
      </c>
      <c r="N509" s="2" t="str">
        <f t="shared" si="123"/>
        <v/>
      </c>
      <c r="O509" s="8" t="str">
        <f t="shared" si="124"/>
        <v/>
      </c>
      <c r="P509" s="8" t="str">
        <f t="shared" si="125"/>
        <v/>
      </c>
      <c r="Q509" s="40" t="str">
        <f t="shared" si="116"/>
        <v/>
      </c>
      <c r="R509" s="48" t="str">
        <f t="shared" si="126"/>
        <v/>
      </c>
      <c r="S509" s="8"/>
      <c r="U509" s="35">
        <f t="shared" si="117"/>
        <v>0</v>
      </c>
      <c r="V509" s="24">
        <f t="shared" si="118"/>
        <v>0</v>
      </c>
      <c r="W509" s="41">
        <f t="shared" si="129"/>
        <v>0</v>
      </c>
      <c r="X509" s="31"/>
      <c r="Y509" s="31"/>
      <c r="Z509" s="31"/>
      <c r="AA509" s="25">
        <f t="shared" si="119"/>
        <v>9.0359999999999996</v>
      </c>
      <c r="AB509" s="25">
        <f t="shared" si="120"/>
        <v>-184.49199999999999</v>
      </c>
      <c r="AD509" s="24">
        <f>IF(D509="M",IF(AG509&lt;78,BMILMS!$D$5*AG509^3+BMILMS!$E$5*AG509^2+BMILMS!$F$5*AG509+BMILMS!$G$5,IF(AG509&lt;150,BMILMS!$D$6*AG509^3+BMILMS!$E$6*AG509^2+BMILMS!$F$6*AG509+BMILMS!$G$6,BMILMS!$D$7*AG509^3+BMILMS!$E$7*AG509^2+BMILMS!$F$7*AG509+BMILMS!$G$7)),IF(AG509&lt;69,BMILMS!$D$9*AG509^3+BMILMS!$E$9*AG509^2+BMILMS!$F$9*AG509+BMILMS!$G$9,IF(AG509&lt;150,BMILMS!$D$10*AG509^3+BMILMS!$E$10*AG509^2+BMILMS!$F$10*AG509+BMILMS!$G$10,BMILMS!$D$11*AG509^3+BMILMS!$E$11*AG509^2+BMILMS!$F$11*AG509+BMILMS!$G$11)))</f>
        <v>0.79584630099999998</v>
      </c>
      <c r="AE509" s="24">
        <f>IF(D509="M",(IF(AG509&lt;2.5,BMILMS!$D$21*AG509^3+BMILMS!$E$21*AG509^2+BMILMS!$F$21*AG509+BMILMS!$G$21,IF(AG509&lt;9.5,BMILMS!$D$22*AG509^3+BMILMS!$E$22*AG509^2+BMILMS!$F$22*AG509+BMILMS!$G$22,IF(AG509&lt;26.75,BMILMS!$D$23*AG509^3+BMILMS!$E$23*AG509^2+BMILMS!$F$23*AG509+BMILMS!$G$23,IF(AG509&lt;90,BMILMS!$D$24*AG509^3+BMILMS!$E$24*AG509^2+BMILMS!$F$24*AG509+BMILMS!$G$24,BMILMS!$D$25*AG509^3+BMILMS!$E$25*AG509^2+BMILMS!$F$25*AG509+BMILMS!$G$25))))),(IF(AG509&lt;2.5,BMILMS!$D$27*AG509^3+BMILMS!$E$27*AG509^2+BMILMS!$F$27*AG509+BMILMS!$G$27,IF(AG509&lt;9.5,BMILMS!$D$28*AG509^3+BMILMS!$E$28*AG509^2+BMILMS!$F$28*AG509+BMILMS!$G$28,IF(AG509&lt;26.75,BMILMS!$D$29*AG509^3+BMILMS!$E$29*AG509^2+BMILMS!$F$29*AG509+BMILMS!$G$29,IF(AG509&lt;90,BMILMS!$D$30*AG509^3+BMILMS!$E$30*AG509^2+BMILMS!$F$30*AG509+BMILMS!$G$30,IF(AG509&lt;150,BMILMS!$D$31*AG509^3+BMILMS!$E$31*AG509^2+BMILMS!$F$31*AG509+BMILMS!$G$31,BMILMS!$D$32*AG509^3+BMILMS!$E$32*AG509^2+BMILMS!$F$32*AG509+BMILMS!$G$32)))))))</f>
        <v>12.568967990000001</v>
      </c>
      <c r="AF509" s="24">
        <f>IF(D509="M",(IF(AG509&lt;90,BMILMS!$D$14*AG509^3+BMILMS!$E$14*AG509^2+BMILMS!$F$14*AG509+BMILMS!$G$14,BMILMS!$D$15*AG509^3+BMILMS!$E$15*AG509^2+BMILMS!$F$15*AG509+BMILMS!$G$15)),(IF(AG509&lt;90,BMILMS!$D$17*AG509^3+BMILMS!$E$17*AG509^2+BMILMS!$F$17*AG509+BMILMS!$G$17,BMILMS!$D$18*AG509^3+BMILMS!$E$18*AG509^2+BMILMS!$F$18*AG509+BMILMS!$G$18)))</f>
        <v>8.8969350000000003E-2</v>
      </c>
      <c r="AG509" s="24">
        <f t="shared" si="128"/>
        <v>0</v>
      </c>
      <c r="AI509" s="38">
        <f>IF(D509="M",WeightSDS!P$5*$AG509^7+WeightSDS!Q$5*$AG509^6+WeightSDS!R$5*$AG509^5+WeightSDS!S$5*$AG509^4+WeightSDS!T$5*$AG509^3+WeightSDS!U$5*$AG509^2+WeightSDS!V$5*$AG509+WeightSDS!W$5,IF($AG509&lt;186,WeightSDS!P$8*$AG509^7+WeightSDS!Q$8*$AG509^6+WeightSDS!R$8*$AG509^5+WeightSDS!S$8*$AG509^4+WeightSDS!T$8*$AG509^3+WeightSDS!U$8*$AG509^2+WeightSDS!V$8*$AG509+WeightSDS!W$8,WeightSDS!$U$9-WeightSDS!$V$9*($AG509-WeightSDS!$W$9)))</f>
        <v>0.75407122999999998</v>
      </c>
      <c r="AJ509" s="24">
        <f>IF(D509="M",IF($AG509&lt;45,WeightSDS!M$23*$AG509^10+WeightSDS!N$23*$AG509^9+WeightSDS!O$23*$AG509^8+WeightSDS!P$23*$AG509^7+WeightSDS!Q$23*$AG509^6+WeightSDS!R$23*$AG509^5+WeightSDS!S$23*$AG509^4+WeightSDS!T$23*$AG509^3+WeightSDS!U$23*$AG509^2+WeightSDS!V$23*$AG509+WeightSDS!W$23,IF($AG509&lt;153,WeightSDS!M$25*$AG509^10+WeightSDS!N$25*$AG509^9+WeightSDS!O$25*$AG509^8+WeightSDS!P$25*$AG509^7+WeightSDS!Q$25*$AG509^6+WeightSDS!R$25*$AG509^5+WeightSDS!S$25*$AG509^4+WeightSDS!T$25*$AG509^3+WeightSDS!U$25*$AG509^2+WeightSDS!V$25*$AG509+WeightSDS!W$25,WeightSDS!M$27+WeightSDS!N$27/(1+EXP(WeightSDS!O$27+WeightSDS!P$27*$AG509)))),IF($AG509&lt;43.8,WeightSDS!M$29*$AG509^10+WeightSDS!N$29*$AG509^9+WeightSDS!O$29*$AG509^8+WeightSDS!P$29*$AG509^7+WeightSDS!Q$29*$AG509^6+WeightSDS!R$29*$AG509^5+WeightSDS!S$29*$AG509^4+WeightSDS!T$29*$AG509^3+WeightSDS!U$29*$AG509^2+WeightSDS!V$29*$AG509+WeightSDS!W$29-0.010431*(1-$AG509/210),IF($AG509&lt;123,WeightSDS!M$30*$AG509^10+WeightSDS!N$30*$AG509^9+WeightSDS!O$30*$AG509^8+WeightSDS!P$30*$AG509^7+WeightSDS!Q$30*$AG509^6+WeightSDS!R$30*$AG509^5+WeightSDS!S$30*$AG509^4+WeightSDS!T$30*$AG509^3+WeightSDS!U$30*$AG509^2+WeightSDS!V$30*$AG509+WeightSDS!W$30-0.010431*(1-1/$AG509),WeightSDS!M$32+WeightSDS!N$32/(1+EXP(WeightSDS!O$32+WeightSDS!P$32*$AG509))-0.010431*(1-$AG509/210))))</f>
        <v>2.9500001032655536</v>
      </c>
      <c r="AK509" s="24">
        <f>IF(D509="M",IF($AG509&lt;162,WeightSDS!P$12*$AG509^7+WeightSDS!Q$12*$AG509^6+WeightSDS!R$12*$AG509^5+WeightSDS!S$12*$AG509^4+WeightSDS!T$12*$AG509^3+WeightSDS!U$12*$AG509^2+WeightSDS!V$12*$AG509+WeightSDS!W$12,WeightSDS!P$14*$AG509^7+WeightSDS!Q$14*$AG509^6+WeightSDS!R$14*$AG509^5+WeightSDS!S$14*$AG509^4+WeightSDS!T$14*$AG509^3+WeightSDS!U$14*$AG509^2+WeightSDS!V$14*$AG509+WeightSDS!W$14),IF($AG509&lt;156,WeightSDS!O$17*$AG509^8+WeightSDS!P$17*$AG509^7+WeightSDS!Q$17*$AG509^6+WeightSDS!R$17*$AG509^5+WeightSDS!S$17*$AG509^4+WeightSDS!T$17*$AG509^3+WeightSDS!U$17*$AG509^2+WeightSDS!V$17*$AG509+WeightSDS!W$17,IF($AG509&lt;186,WeightSDS!$U$18+(WeightSDS!$V$18-WeightSDS!$U$18)/24*($AG509-186)+WeightSDS!$W$18*(-$AG509+186)^2-0.005,WeightSDS!$U$18+(WeightSDS!$V$18-WeightSDS!$U$18)/24*($AG509-186)-0.005)))</f>
        <v>0.14604529399999999</v>
      </c>
    </row>
    <row r="510" spans="1:37">
      <c r="A510" s="4"/>
      <c r="B510" s="21"/>
      <c r="C510" s="21"/>
      <c r="D510" s="21"/>
      <c r="E510" s="22"/>
      <c r="F510" s="22"/>
      <c r="G510" s="23"/>
      <c r="H510" s="23"/>
      <c r="I510" s="8" t="str">
        <f t="shared" si="114"/>
        <v/>
      </c>
      <c r="J510" s="2" t="str">
        <f t="shared" si="121"/>
        <v/>
      </c>
      <c r="K510" s="2" t="str">
        <f t="shared" si="115"/>
        <v/>
      </c>
      <c r="L510" s="2" t="str">
        <f t="shared" si="122"/>
        <v/>
      </c>
      <c r="M510" s="2" t="str">
        <f t="shared" si="127"/>
        <v/>
      </c>
      <c r="N510" s="2" t="str">
        <f t="shared" si="123"/>
        <v/>
      </c>
      <c r="O510" s="8" t="str">
        <f t="shared" si="124"/>
        <v/>
      </c>
      <c r="P510" s="8" t="str">
        <f t="shared" si="125"/>
        <v/>
      </c>
      <c r="Q510" s="40" t="str">
        <f t="shared" si="116"/>
        <v/>
      </c>
      <c r="R510" s="48" t="str">
        <f t="shared" si="126"/>
        <v/>
      </c>
      <c r="S510" s="8"/>
      <c r="U510" s="35">
        <f t="shared" si="117"/>
        <v>0</v>
      </c>
      <c r="V510" s="24">
        <f t="shared" si="118"/>
        <v>0</v>
      </c>
      <c r="W510" s="41">
        <f t="shared" si="129"/>
        <v>0</v>
      </c>
      <c r="X510" s="31"/>
      <c r="Y510" s="31"/>
      <c r="Z510" s="31"/>
      <c r="AA510" s="25">
        <f t="shared" si="119"/>
        <v>9.0359999999999996</v>
      </c>
      <c r="AB510" s="25">
        <f t="shared" si="120"/>
        <v>-184.49199999999999</v>
      </c>
      <c r="AD510" s="24">
        <f>IF(D510="M",IF(AG510&lt;78,BMILMS!$D$5*AG510^3+BMILMS!$E$5*AG510^2+BMILMS!$F$5*AG510+BMILMS!$G$5,IF(AG510&lt;150,BMILMS!$D$6*AG510^3+BMILMS!$E$6*AG510^2+BMILMS!$F$6*AG510+BMILMS!$G$6,BMILMS!$D$7*AG510^3+BMILMS!$E$7*AG510^2+BMILMS!$F$7*AG510+BMILMS!$G$7)),IF(AG510&lt;69,BMILMS!$D$9*AG510^3+BMILMS!$E$9*AG510^2+BMILMS!$F$9*AG510+BMILMS!$G$9,IF(AG510&lt;150,BMILMS!$D$10*AG510^3+BMILMS!$E$10*AG510^2+BMILMS!$F$10*AG510+BMILMS!$G$10,BMILMS!$D$11*AG510^3+BMILMS!$E$11*AG510^2+BMILMS!$F$11*AG510+BMILMS!$G$11)))</f>
        <v>0.79584630099999998</v>
      </c>
      <c r="AE510" s="24">
        <f>IF(D510="M",(IF(AG510&lt;2.5,BMILMS!$D$21*AG510^3+BMILMS!$E$21*AG510^2+BMILMS!$F$21*AG510+BMILMS!$G$21,IF(AG510&lt;9.5,BMILMS!$D$22*AG510^3+BMILMS!$E$22*AG510^2+BMILMS!$F$22*AG510+BMILMS!$G$22,IF(AG510&lt;26.75,BMILMS!$D$23*AG510^3+BMILMS!$E$23*AG510^2+BMILMS!$F$23*AG510+BMILMS!$G$23,IF(AG510&lt;90,BMILMS!$D$24*AG510^3+BMILMS!$E$24*AG510^2+BMILMS!$F$24*AG510+BMILMS!$G$24,BMILMS!$D$25*AG510^3+BMILMS!$E$25*AG510^2+BMILMS!$F$25*AG510+BMILMS!$G$25))))),(IF(AG510&lt;2.5,BMILMS!$D$27*AG510^3+BMILMS!$E$27*AG510^2+BMILMS!$F$27*AG510+BMILMS!$G$27,IF(AG510&lt;9.5,BMILMS!$D$28*AG510^3+BMILMS!$E$28*AG510^2+BMILMS!$F$28*AG510+BMILMS!$G$28,IF(AG510&lt;26.75,BMILMS!$D$29*AG510^3+BMILMS!$E$29*AG510^2+BMILMS!$F$29*AG510+BMILMS!$G$29,IF(AG510&lt;90,BMILMS!$D$30*AG510^3+BMILMS!$E$30*AG510^2+BMILMS!$F$30*AG510+BMILMS!$G$30,IF(AG510&lt;150,BMILMS!$D$31*AG510^3+BMILMS!$E$31*AG510^2+BMILMS!$F$31*AG510+BMILMS!$G$31,BMILMS!$D$32*AG510^3+BMILMS!$E$32*AG510^2+BMILMS!$F$32*AG510+BMILMS!$G$32)))))))</f>
        <v>12.568967990000001</v>
      </c>
      <c r="AF510" s="24">
        <f>IF(D510="M",(IF(AG510&lt;90,BMILMS!$D$14*AG510^3+BMILMS!$E$14*AG510^2+BMILMS!$F$14*AG510+BMILMS!$G$14,BMILMS!$D$15*AG510^3+BMILMS!$E$15*AG510^2+BMILMS!$F$15*AG510+BMILMS!$G$15)),(IF(AG510&lt;90,BMILMS!$D$17*AG510^3+BMILMS!$E$17*AG510^2+BMILMS!$F$17*AG510+BMILMS!$G$17,BMILMS!$D$18*AG510^3+BMILMS!$E$18*AG510^2+BMILMS!$F$18*AG510+BMILMS!$G$18)))</f>
        <v>8.8969350000000003E-2</v>
      </c>
      <c r="AG510" s="24">
        <f t="shared" si="128"/>
        <v>0</v>
      </c>
      <c r="AI510" s="38">
        <f>IF(D510="M",WeightSDS!P$5*$AG510^7+WeightSDS!Q$5*$AG510^6+WeightSDS!R$5*$AG510^5+WeightSDS!S$5*$AG510^4+WeightSDS!T$5*$AG510^3+WeightSDS!U$5*$AG510^2+WeightSDS!V$5*$AG510+WeightSDS!W$5,IF($AG510&lt;186,WeightSDS!P$8*$AG510^7+WeightSDS!Q$8*$AG510^6+WeightSDS!R$8*$AG510^5+WeightSDS!S$8*$AG510^4+WeightSDS!T$8*$AG510^3+WeightSDS!U$8*$AG510^2+WeightSDS!V$8*$AG510+WeightSDS!W$8,WeightSDS!$U$9-WeightSDS!$V$9*($AG510-WeightSDS!$W$9)))</f>
        <v>0.75407122999999998</v>
      </c>
      <c r="AJ510" s="24">
        <f>IF(D510="M",IF($AG510&lt;45,WeightSDS!M$23*$AG510^10+WeightSDS!N$23*$AG510^9+WeightSDS!O$23*$AG510^8+WeightSDS!P$23*$AG510^7+WeightSDS!Q$23*$AG510^6+WeightSDS!R$23*$AG510^5+WeightSDS!S$23*$AG510^4+WeightSDS!T$23*$AG510^3+WeightSDS!U$23*$AG510^2+WeightSDS!V$23*$AG510+WeightSDS!W$23,IF($AG510&lt;153,WeightSDS!M$25*$AG510^10+WeightSDS!N$25*$AG510^9+WeightSDS!O$25*$AG510^8+WeightSDS!P$25*$AG510^7+WeightSDS!Q$25*$AG510^6+WeightSDS!R$25*$AG510^5+WeightSDS!S$25*$AG510^4+WeightSDS!T$25*$AG510^3+WeightSDS!U$25*$AG510^2+WeightSDS!V$25*$AG510+WeightSDS!W$25,WeightSDS!M$27+WeightSDS!N$27/(1+EXP(WeightSDS!O$27+WeightSDS!P$27*$AG510)))),IF($AG510&lt;43.8,WeightSDS!M$29*$AG510^10+WeightSDS!N$29*$AG510^9+WeightSDS!O$29*$AG510^8+WeightSDS!P$29*$AG510^7+WeightSDS!Q$29*$AG510^6+WeightSDS!R$29*$AG510^5+WeightSDS!S$29*$AG510^4+WeightSDS!T$29*$AG510^3+WeightSDS!U$29*$AG510^2+WeightSDS!V$29*$AG510+WeightSDS!W$29-0.010431*(1-$AG510/210),IF($AG510&lt;123,WeightSDS!M$30*$AG510^10+WeightSDS!N$30*$AG510^9+WeightSDS!O$30*$AG510^8+WeightSDS!P$30*$AG510^7+WeightSDS!Q$30*$AG510^6+WeightSDS!R$30*$AG510^5+WeightSDS!S$30*$AG510^4+WeightSDS!T$30*$AG510^3+WeightSDS!U$30*$AG510^2+WeightSDS!V$30*$AG510+WeightSDS!W$30-0.010431*(1-1/$AG510),WeightSDS!M$32+WeightSDS!N$32/(1+EXP(WeightSDS!O$32+WeightSDS!P$32*$AG510))-0.010431*(1-$AG510/210))))</f>
        <v>2.9500001032655536</v>
      </c>
      <c r="AK510" s="24">
        <f>IF(D510="M",IF($AG510&lt;162,WeightSDS!P$12*$AG510^7+WeightSDS!Q$12*$AG510^6+WeightSDS!R$12*$AG510^5+WeightSDS!S$12*$AG510^4+WeightSDS!T$12*$AG510^3+WeightSDS!U$12*$AG510^2+WeightSDS!V$12*$AG510+WeightSDS!W$12,WeightSDS!P$14*$AG510^7+WeightSDS!Q$14*$AG510^6+WeightSDS!R$14*$AG510^5+WeightSDS!S$14*$AG510^4+WeightSDS!T$14*$AG510^3+WeightSDS!U$14*$AG510^2+WeightSDS!V$14*$AG510+WeightSDS!W$14),IF($AG510&lt;156,WeightSDS!O$17*$AG510^8+WeightSDS!P$17*$AG510^7+WeightSDS!Q$17*$AG510^6+WeightSDS!R$17*$AG510^5+WeightSDS!S$17*$AG510^4+WeightSDS!T$17*$AG510^3+WeightSDS!U$17*$AG510^2+WeightSDS!V$17*$AG510+WeightSDS!W$17,IF($AG510&lt;186,WeightSDS!$U$18+(WeightSDS!$V$18-WeightSDS!$U$18)/24*($AG510-186)+WeightSDS!$W$18*(-$AG510+186)^2-0.005,WeightSDS!$U$18+(WeightSDS!$V$18-WeightSDS!$U$18)/24*($AG510-186)-0.005)))</f>
        <v>0.14604529399999999</v>
      </c>
    </row>
    <row r="511" spans="1:37">
      <c r="A511" s="4"/>
      <c r="B511" s="21"/>
      <c r="C511" s="21"/>
      <c r="D511" s="21"/>
      <c r="E511" s="22"/>
      <c r="F511" s="22"/>
      <c r="G511" s="23"/>
      <c r="H511" s="23"/>
      <c r="I511" s="8" t="str">
        <f t="shared" si="114"/>
        <v/>
      </c>
      <c r="J511" s="2" t="str">
        <f t="shared" si="121"/>
        <v/>
      </c>
      <c r="K511" s="2" t="str">
        <f t="shared" si="115"/>
        <v/>
      </c>
      <c r="L511" s="2" t="str">
        <f t="shared" si="122"/>
        <v/>
      </c>
      <c r="M511" s="2" t="str">
        <f t="shared" si="127"/>
        <v/>
      </c>
      <c r="N511" s="2" t="str">
        <f t="shared" si="123"/>
        <v/>
      </c>
      <c r="O511" s="8" t="str">
        <f t="shared" si="124"/>
        <v/>
      </c>
      <c r="P511" s="8" t="str">
        <f t="shared" si="125"/>
        <v/>
      </c>
      <c r="Q511" s="40" t="str">
        <f t="shared" si="116"/>
        <v/>
      </c>
      <c r="R511" s="48" t="str">
        <f t="shared" si="126"/>
        <v/>
      </c>
      <c r="S511" s="8"/>
      <c r="U511" s="35">
        <f t="shared" si="117"/>
        <v>0</v>
      </c>
      <c r="V511" s="24">
        <f t="shared" si="118"/>
        <v>0</v>
      </c>
      <c r="W511" s="41">
        <f t="shared" si="129"/>
        <v>0</v>
      </c>
      <c r="X511" s="31"/>
      <c r="Y511" s="31"/>
      <c r="Z511" s="31"/>
      <c r="AA511" s="25">
        <f t="shared" si="119"/>
        <v>9.0359999999999996</v>
      </c>
      <c r="AB511" s="25">
        <f t="shared" si="120"/>
        <v>-184.49199999999999</v>
      </c>
      <c r="AD511" s="24">
        <f>IF(D511="M",IF(AG511&lt;78,BMILMS!$D$5*AG511^3+BMILMS!$E$5*AG511^2+BMILMS!$F$5*AG511+BMILMS!$G$5,IF(AG511&lt;150,BMILMS!$D$6*AG511^3+BMILMS!$E$6*AG511^2+BMILMS!$F$6*AG511+BMILMS!$G$6,BMILMS!$D$7*AG511^3+BMILMS!$E$7*AG511^2+BMILMS!$F$7*AG511+BMILMS!$G$7)),IF(AG511&lt;69,BMILMS!$D$9*AG511^3+BMILMS!$E$9*AG511^2+BMILMS!$F$9*AG511+BMILMS!$G$9,IF(AG511&lt;150,BMILMS!$D$10*AG511^3+BMILMS!$E$10*AG511^2+BMILMS!$F$10*AG511+BMILMS!$G$10,BMILMS!$D$11*AG511^3+BMILMS!$E$11*AG511^2+BMILMS!$F$11*AG511+BMILMS!$G$11)))</f>
        <v>0.79584630099999998</v>
      </c>
      <c r="AE511" s="24">
        <f>IF(D511="M",(IF(AG511&lt;2.5,BMILMS!$D$21*AG511^3+BMILMS!$E$21*AG511^2+BMILMS!$F$21*AG511+BMILMS!$G$21,IF(AG511&lt;9.5,BMILMS!$D$22*AG511^3+BMILMS!$E$22*AG511^2+BMILMS!$F$22*AG511+BMILMS!$G$22,IF(AG511&lt;26.75,BMILMS!$D$23*AG511^3+BMILMS!$E$23*AG511^2+BMILMS!$F$23*AG511+BMILMS!$G$23,IF(AG511&lt;90,BMILMS!$D$24*AG511^3+BMILMS!$E$24*AG511^2+BMILMS!$F$24*AG511+BMILMS!$G$24,BMILMS!$D$25*AG511^3+BMILMS!$E$25*AG511^2+BMILMS!$F$25*AG511+BMILMS!$G$25))))),(IF(AG511&lt;2.5,BMILMS!$D$27*AG511^3+BMILMS!$E$27*AG511^2+BMILMS!$F$27*AG511+BMILMS!$G$27,IF(AG511&lt;9.5,BMILMS!$D$28*AG511^3+BMILMS!$E$28*AG511^2+BMILMS!$F$28*AG511+BMILMS!$G$28,IF(AG511&lt;26.75,BMILMS!$D$29*AG511^3+BMILMS!$E$29*AG511^2+BMILMS!$F$29*AG511+BMILMS!$G$29,IF(AG511&lt;90,BMILMS!$D$30*AG511^3+BMILMS!$E$30*AG511^2+BMILMS!$F$30*AG511+BMILMS!$G$30,IF(AG511&lt;150,BMILMS!$D$31*AG511^3+BMILMS!$E$31*AG511^2+BMILMS!$F$31*AG511+BMILMS!$G$31,BMILMS!$D$32*AG511^3+BMILMS!$E$32*AG511^2+BMILMS!$F$32*AG511+BMILMS!$G$32)))))))</f>
        <v>12.568967990000001</v>
      </c>
      <c r="AF511" s="24">
        <f>IF(D511="M",(IF(AG511&lt;90,BMILMS!$D$14*AG511^3+BMILMS!$E$14*AG511^2+BMILMS!$F$14*AG511+BMILMS!$G$14,BMILMS!$D$15*AG511^3+BMILMS!$E$15*AG511^2+BMILMS!$F$15*AG511+BMILMS!$G$15)),(IF(AG511&lt;90,BMILMS!$D$17*AG511^3+BMILMS!$E$17*AG511^2+BMILMS!$F$17*AG511+BMILMS!$G$17,BMILMS!$D$18*AG511^3+BMILMS!$E$18*AG511^2+BMILMS!$F$18*AG511+BMILMS!$G$18)))</f>
        <v>8.8969350000000003E-2</v>
      </c>
      <c r="AG511" s="24">
        <f t="shared" si="128"/>
        <v>0</v>
      </c>
      <c r="AI511" s="38">
        <f>IF(D511="M",WeightSDS!P$5*$AG511^7+WeightSDS!Q$5*$AG511^6+WeightSDS!R$5*$AG511^5+WeightSDS!S$5*$AG511^4+WeightSDS!T$5*$AG511^3+WeightSDS!U$5*$AG511^2+WeightSDS!V$5*$AG511+WeightSDS!W$5,IF($AG511&lt;186,WeightSDS!P$8*$AG511^7+WeightSDS!Q$8*$AG511^6+WeightSDS!R$8*$AG511^5+WeightSDS!S$8*$AG511^4+WeightSDS!T$8*$AG511^3+WeightSDS!U$8*$AG511^2+WeightSDS!V$8*$AG511+WeightSDS!W$8,WeightSDS!$U$9-WeightSDS!$V$9*($AG511-WeightSDS!$W$9)))</f>
        <v>0.75407122999999998</v>
      </c>
      <c r="AJ511" s="24">
        <f>IF(D511="M",IF($AG511&lt;45,WeightSDS!M$23*$AG511^10+WeightSDS!N$23*$AG511^9+WeightSDS!O$23*$AG511^8+WeightSDS!P$23*$AG511^7+WeightSDS!Q$23*$AG511^6+WeightSDS!R$23*$AG511^5+WeightSDS!S$23*$AG511^4+WeightSDS!T$23*$AG511^3+WeightSDS!U$23*$AG511^2+WeightSDS!V$23*$AG511+WeightSDS!W$23,IF($AG511&lt;153,WeightSDS!M$25*$AG511^10+WeightSDS!N$25*$AG511^9+WeightSDS!O$25*$AG511^8+WeightSDS!P$25*$AG511^7+WeightSDS!Q$25*$AG511^6+WeightSDS!R$25*$AG511^5+WeightSDS!S$25*$AG511^4+WeightSDS!T$25*$AG511^3+WeightSDS!U$25*$AG511^2+WeightSDS!V$25*$AG511+WeightSDS!W$25,WeightSDS!M$27+WeightSDS!N$27/(1+EXP(WeightSDS!O$27+WeightSDS!P$27*$AG511)))),IF($AG511&lt;43.8,WeightSDS!M$29*$AG511^10+WeightSDS!N$29*$AG511^9+WeightSDS!O$29*$AG511^8+WeightSDS!P$29*$AG511^7+WeightSDS!Q$29*$AG511^6+WeightSDS!R$29*$AG511^5+WeightSDS!S$29*$AG511^4+WeightSDS!T$29*$AG511^3+WeightSDS!U$29*$AG511^2+WeightSDS!V$29*$AG511+WeightSDS!W$29-0.010431*(1-$AG511/210),IF($AG511&lt;123,WeightSDS!M$30*$AG511^10+WeightSDS!N$30*$AG511^9+WeightSDS!O$30*$AG511^8+WeightSDS!P$30*$AG511^7+WeightSDS!Q$30*$AG511^6+WeightSDS!R$30*$AG511^5+WeightSDS!S$30*$AG511^4+WeightSDS!T$30*$AG511^3+WeightSDS!U$30*$AG511^2+WeightSDS!V$30*$AG511+WeightSDS!W$30-0.010431*(1-1/$AG511),WeightSDS!M$32+WeightSDS!N$32/(1+EXP(WeightSDS!O$32+WeightSDS!P$32*$AG511))-0.010431*(1-$AG511/210))))</f>
        <v>2.9500001032655536</v>
      </c>
      <c r="AK511" s="24">
        <f>IF(D511="M",IF($AG511&lt;162,WeightSDS!P$12*$AG511^7+WeightSDS!Q$12*$AG511^6+WeightSDS!R$12*$AG511^5+WeightSDS!S$12*$AG511^4+WeightSDS!T$12*$AG511^3+WeightSDS!U$12*$AG511^2+WeightSDS!V$12*$AG511+WeightSDS!W$12,WeightSDS!P$14*$AG511^7+WeightSDS!Q$14*$AG511^6+WeightSDS!R$14*$AG511^5+WeightSDS!S$14*$AG511^4+WeightSDS!T$14*$AG511^3+WeightSDS!U$14*$AG511^2+WeightSDS!V$14*$AG511+WeightSDS!W$14),IF($AG511&lt;156,WeightSDS!O$17*$AG511^8+WeightSDS!P$17*$AG511^7+WeightSDS!Q$17*$AG511^6+WeightSDS!R$17*$AG511^5+WeightSDS!S$17*$AG511^4+WeightSDS!T$17*$AG511^3+WeightSDS!U$17*$AG511^2+WeightSDS!V$17*$AG511+WeightSDS!W$17,IF($AG511&lt;186,WeightSDS!$U$18+(WeightSDS!$V$18-WeightSDS!$U$18)/24*($AG511-186)+WeightSDS!$W$18*(-$AG511+186)^2-0.005,WeightSDS!$U$18+(WeightSDS!$V$18-WeightSDS!$U$18)/24*($AG511-186)-0.005)))</f>
        <v>0.14604529399999999</v>
      </c>
    </row>
    <row r="512" spans="1:37">
      <c r="A512" s="4"/>
      <c r="B512" s="21"/>
      <c r="C512" s="21"/>
      <c r="D512" s="21"/>
      <c r="E512" s="22"/>
      <c r="F512" s="22"/>
      <c r="G512" s="23"/>
      <c r="H512" s="23"/>
      <c r="I512" s="8" t="str">
        <f t="shared" si="114"/>
        <v/>
      </c>
      <c r="J512" s="2" t="str">
        <f t="shared" si="121"/>
        <v/>
      </c>
      <c r="K512" s="2" t="str">
        <f t="shared" si="115"/>
        <v/>
      </c>
      <c r="L512" s="2" t="str">
        <f t="shared" si="122"/>
        <v/>
      </c>
      <c r="M512" s="2" t="str">
        <f t="shared" si="127"/>
        <v/>
      </c>
      <c r="N512" s="2" t="str">
        <f t="shared" si="123"/>
        <v/>
      </c>
      <c r="O512" s="8" t="str">
        <f t="shared" si="124"/>
        <v/>
      </c>
      <c r="P512" s="8" t="str">
        <f t="shared" si="125"/>
        <v/>
      </c>
      <c r="Q512" s="40" t="str">
        <f t="shared" si="116"/>
        <v/>
      </c>
      <c r="R512" s="48" t="str">
        <f t="shared" si="126"/>
        <v/>
      </c>
      <c r="S512" s="8"/>
      <c r="U512" s="35">
        <f t="shared" si="117"/>
        <v>0</v>
      </c>
      <c r="V512" s="24">
        <f t="shared" si="118"/>
        <v>0</v>
      </c>
      <c r="W512" s="41">
        <f t="shared" si="129"/>
        <v>0</v>
      </c>
      <c r="X512" s="31"/>
      <c r="Y512" s="31"/>
      <c r="Z512" s="31"/>
      <c r="AA512" s="25">
        <f t="shared" si="119"/>
        <v>9.0359999999999996</v>
      </c>
      <c r="AB512" s="25">
        <f t="shared" si="120"/>
        <v>-184.49199999999999</v>
      </c>
      <c r="AD512" s="24">
        <f>IF(D512="M",IF(AG512&lt;78,BMILMS!$D$5*AG512^3+BMILMS!$E$5*AG512^2+BMILMS!$F$5*AG512+BMILMS!$G$5,IF(AG512&lt;150,BMILMS!$D$6*AG512^3+BMILMS!$E$6*AG512^2+BMILMS!$F$6*AG512+BMILMS!$G$6,BMILMS!$D$7*AG512^3+BMILMS!$E$7*AG512^2+BMILMS!$F$7*AG512+BMILMS!$G$7)),IF(AG512&lt;69,BMILMS!$D$9*AG512^3+BMILMS!$E$9*AG512^2+BMILMS!$F$9*AG512+BMILMS!$G$9,IF(AG512&lt;150,BMILMS!$D$10*AG512^3+BMILMS!$E$10*AG512^2+BMILMS!$F$10*AG512+BMILMS!$G$10,BMILMS!$D$11*AG512^3+BMILMS!$E$11*AG512^2+BMILMS!$F$11*AG512+BMILMS!$G$11)))</f>
        <v>0.79584630099999998</v>
      </c>
      <c r="AE512" s="24">
        <f>IF(D512="M",(IF(AG512&lt;2.5,BMILMS!$D$21*AG512^3+BMILMS!$E$21*AG512^2+BMILMS!$F$21*AG512+BMILMS!$G$21,IF(AG512&lt;9.5,BMILMS!$D$22*AG512^3+BMILMS!$E$22*AG512^2+BMILMS!$F$22*AG512+BMILMS!$G$22,IF(AG512&lt;26.75,BMILMS!$D$23*AG512^3+BMILMS!$E$23*AG512^2+BMILMS!$F$23*AG512+BMILMS!$G$23,IF(AG512&lt;90,BMILMS!$D$24*AG512^3+BMILMS!$E$24*AG512^2+BMILMS!$F$24*AG512+BMILMS!$G$24,BMILMS!$D$25*AG512^3+BMILMS!$E$25*AG512^2+BMILMS!$F$25*AG512+BMILMS!$G$25))))),(IF(AG512&lt;2.5,BMILMS!$D$27*AG512^3+BMILMS!$E$27*AG512^2+BMILMS!$F$27*AG512+BMILMS!$G$27,IF(AG512&lt;9.5,BMILMS!$D$28*AG512^3+BMILMS!$E$28*AG512^2+BMILMS!$F$28*AG512+BMILMS!$G$28,IF(AG512&lt;26.75,BMILMS!$D$29*AG512^3+BMILMS!$E$29*AG512^2+BMILMS!$F$29*AG512+BMILMS!$G$29,IF(AG512&lt;90,BMILMS!$D$30*AG512^3+BMILMS!$E$30*AG512^2+BMILMS!$F$30*AG512+BMILMS!$G$30,IF(AG512&lt;150,BMILMS!$D$31*AG512^3+BMILMS!$E$31*AG512^2+BMILMS!$F$31*AG512+BMILMS!$G$31,BMILMS!$D$32*AG512^3+BMILMS!$E$32*AG512^2+BMILMS!$F$32*AG512+BMILMS!$G$32)))))))</f>
        <v>12.568967990000001</v>
      </c>
      <c r="AF512" s="24">
        <f>IF(D512="M",(IF(AG512&lt;90,BMILMS!$D$14*AG512^3+BMILMS!$E$14*AG512^2+BMILMS!$F$14*AG512+BMILMS!$G$14,BMILMS!$D$15*AG512^3+BMILMS!$E$15*AG512^2+BMILMS!$F$15*AG512+BMILMS!$G$15)),(IF(AG512&lt;90,BMILMS!$D$17*AG512^3+BMILMS!$E$17*AG512^2+BMILMS!$F$17*AG512+BMILMS!$G$17,BMILMS!$D$18*AG512^3+BMILMS!$E$18*AG512^2+BMILMS!$F$18*AG512+BMILMS!$G$18)))</f>
        <v>8.8969350000000003E-2</v>
      </c>
      <c r="AG512" s="24">
        <f t="shared" si="128"/>
        <v>0</v>
      </c>
      <c r="AI512" s="38">
        <f>IF(D512="M",WeightSDS!P$5*$AG512^7+WeightSDS!Q$5*$AG512^6+WeightSDS!R$5*$AG512^5+WeightSDS!S$5*$AG512^4+WeightSDS!T$5*$AG512^3+WeightSDS!U$5*$AG512^2+WeightSDS!V$5*$AG512+WeightSDS!W$5,IF($AG512&lt;186,WeightSDS!P$8*$AG512^7+WeightSDS!Q$8*$AG512^6+WeightSDS!R$8*$AG512^5+WeightSDS!S$8*$AG512^4+WeightSDS!T$8*$AG512^3+WeightSDS!U$8*$AG512^2+WeightSDS!V$8*$AG512+WeightSDS!W$8,WeightSDS!$U$9-WeightSDS!$V$9*($AG512-WeightSDS!$W$9)))</f>
        <v>0.75407122999999998</v>
      </c>
      <c r="AJ512" s="24">
        <f>IF(D512="M",IF($AG512&lt;45,WeightSDS!M$23*$AG512^10+WeightSDS!N$23*$AG512^9+WeightSDS!O$23*$AG512^8+WeightSDS!P$23*$AG512^7+WeightSDS!Q$23*$AG512^6+WeightSDS!R$23*$AG512^5+WeightSDS!S$23*$AG512^4+WeightSDS!T$23*$AG512^3+WeightSDS!U$23*$AG512^2+WeightSDS!V$23*$AG512+WeightSDS!W$23,IF($AG512&lt;153,WeightSDS!M$25*$AG512^10+WeightSDS!N$25*$AG512^9+WeightSDS!O$25*$AG512^8+WeightSDS!P$25*$AG512^7+WeightSDS!Q$25*$AG512^6+WeightSDS!R$25*$AG512^5+WeightSDS!S$25*$AG512^4+WeightSDS!T$25*$AG512^3+WeightSDS!U$25*$AG512^2+WeightSDS!V$25*$AG512+WeightSDS!W$25,WeightSDS!M$27+WeightSDS!N$27/(1+EXP(WeightSDS!O$27+WeightSDS!P$27*$AG512)))),IF($AG512&lt;43.8,WeightSDS!M$29*$AG512^10+WeightSDS!N$29*$AG512^9+WeightSDS!O$29*$AG512^8+WeightSDS!P$29*$AG512^7+WeightSDS!Q$29*$AG512^6+WeightSDS!R$29*$AG512^5+WeightSDS!S$29*$AG512^4+WeightSDS!T$29*$AG512^3+WeightSDS!U$29*$AG512^2+WeightSDS!V$29*$AG512+WeightSDS!W$29-0.010431*(1-$AG512/210),IF($AG512&lt;123,WeightSDS!M$30*$AG512^10+WeightSDS!N$30*$AG512^9+WeightSDS!O$30*$AG512^8+WeightSDS!P$30*$AG512^7+WeightSDS!Q$30*$AG512^6+WeightSDS!R$30*$AG512^5+WeightSDS!S$30*$AG512^4+WeightSDS!T$30*$AG512^3+WeightSDS!U$30*$AG512^2+WeightSDS!V$30*$AG512+WeightSDS!W$30-0.010431*(1-1/$AG512),WeightSDS!M$32+WeightSDS!N$32/(1+EXP(WeightSDS!O$32+WeightSDS!P$32*$AG512))-0.010431*(1-$AG512/210))))</f>
        <v>2.9500001032655536</v>
      </c>
      <c r="AK512" s="24">
        <f>IF(D512="M",IF($AG512&lt;162,WeightSDS!P$12*$AG512^7+WeightSDS!Q$12*$AG512^6+WeightSDS!R$12*$AG512^5+WeightSDS!S$12*$AG512^4+WeightSDS!T$12*$AG512^3+WeightSDS!U$12*$AG512^2+WeightSDS!V$12*$AG512+WeightSDS!W$12,WeightSDS!P$14*$AG512^7+WeightSDS!Q$14*$AG512^6+WeightSDS!R$14*$AG512^5+WeightSDS!S$14*$AG512^4+WeightSDS!T$14*$AG512^3+WeightSDS!U$14*$AG512^2+WeightSDS!V$14*$AG512+WeightSDS!W$14),IF($AG512&lt;156,WeightSDS!O$17*$AG512^8+WeightSDS!P$17*$AG512^7+WeightSDS!Q$17*$AG512^6+WeightSDS!R$17*$AG512^5+WeightSDS!S$17*$AG512^4+WeightSDS!T$17*$AG512^3+WeightSDS!U$17*$AG512^2+WeightSDS!V$17*$AG512+WeightSDS!W$17,IF($AG512&lt;186,WeightSDS!$U$18+(WeightSDS!$V$18-WeightSDS!$U$18)/24*($AG512-186)+WeightSDS!$W$18*(-$AG512+186)^2-0.005,WeightSDS!$U$18+(WeightSDS!$V$18-WeightSDS!$U$18)/24*($AG512-186)-0.005)))</f>
        <v>0.14604529399999999</v>
      </c>
    </row>
    <row r="513" spans="1:37">
      <c r="A513" s="4"/>
      <c r="B513" s="21"/>
      <c r="C513" s="21"/>
      <c r="D513" s="21"/>
      <c r="E513" s="22"/>
      <c r="F513" s="22"/>
      <c r="G513" s="23"/>
      <c r="H513" s="23"/>
      <c r="I513" s="8" t="str">
        <f t="shared" si="114"/>
        <v/>
      </c>
      <c r="J513" s="2" t="str">
        <f t="shared" si="121"/>
        <v/>
      </c>
      <c r="K513" s="2" t="str">
        <f t="shared" si="115"/>
        <v/>
      </c>
      <c r="L513" s="2" t="str">
        <f t="shared" si="122"/>
        <v/>
      </c>
      <c r="M513" s="2" t="str">
        <f t="shared" si="127"/>
        <v/>
      </c>
      <c r="N513" s="2" t="str">
        <f t="shared" si="123"/>
        <v/>
      </c>
      <c r="O513" s="8" t="str">
        <f t="shared" si="124"/>
        <v/>
      </c>
      <c r="P513" s="8" t="str">
        <f t="shared" si="125"/>
        <v/>
      </c>
      <c r="Q513" s="40" t="str">
        <f t="shared" si="116"/>
        <v/>
      </c>
      <c r="R513" s="48" t="str">
        <f t="shared" si="126"/>
        <v/>
      </c>
      <c r="S513" s="8"/>
      <c r="U513" s="35">
        <f t="shared" si="117"/>
        <v>0</v>
      </c>
      <c r="V513" s="24">
        <f t="shared" si="118"/>
        <v>0</v>
      </c>
      <c r="W513" s="41">
        <f t="shared" si="129"/>
        <v>0</v>
      </c>
      <c r="X513" s="31"/>
      <c r="Y513" s="31"/>
      <c r="Z513" s="31"/>
      <c r="AA513" s="25">
        <f t="shared" si="119"/>
        <v>9.0359999999999996</v>
      </c>
      <c r="AB513" s="25">
        <f t="shared" si="120"/>
        <v>-184.49199999999999</v>
      </c>
      <c r="AD513" s="24">
        <f>IF(D513="M",IF(AG513&lt;78,BMILMS!$D$5*AG513^3+BMILMS!$E$5*AG513^2+BMILMS!$F$5*AG513+BMILMS!$G$5,IF(AG513&lt;150,BMILMS!$D$6*AG513^3+BMILMS!$E$6*AG513^2+BMILMS!$F$6*AG513+BMILMS!$G$6,BMILMS!$D$7*AG513^3+BMILMS!$E$7*AG513^2+BMILMS!$F$7*AG513+BMILMS!$G$7)),IF(AG513&lt;69,BMILMS!$D$9*AG513^3+BMILMS!$E$9*AG513^2+BMILMS!$F$9*AG513+BMILMS!$G$9,IF(AG513&lt;150,BMILMS!$D$10*AG513^3+BMILMS!$E$10*AG513^2+BMILMS!$F$10*AG513+BMILMS!$G$10,BMILMS!$D$11*AG513^3+BMILMS!$E$11*AG513^2+BMILMS!$F$11*AG513+BMILMS!$G$11)))</f>
        <v>0.79584630099999998</v>
      </c>
      <c r="AE513" s="24">
        <f>IF(D513="M",(IF(AG513&lt;2.5,BMILMS!$D$21*AG513^3+BMILMS!$E$21*AG513^2+BMILMS!$F$21*AG513+BMILMS!$G$21,IF(AG513&lt;9.5,BMILMS!$D$22*AG513^3+BMILMS!$E$22*AG513^2+BMILMS!$F$22*AG513+BMILMS!$G$22,IF(AG513&lt;26.75,BMILMS!$D$23*AG513^3+BMILMS!$E$23*AG513^2+BMILMS!$F$23*AG513+BMILMS!$G$23,IF(AG513&lt;90,BMILMS!$D$24*AG513^3+BMILMS!$E$24*AG513^2+BMILMS!$F$24*AG513+BMILMS!$G$24,BMILMS!$D$25*AG513^3+BMILMS!$E$25*AG513^2+BMILMS!$F$25*AG513+BMILMS!$G$25))))),(IF(AG513&lt;2.5,BMILMS!$D$27*AG513^3+BMILMS!$E$27*AG513^2+BMILMS!$F$27*AG513+BMILMS!$G$27,IF(AG513&lt;9.5,BMILMS!$D$28*AG513^3+BMILMS!$E$28*AG513^2+BMILMS!$F$28*AG513+BMILMS!$G$28,IF(AG513&lt;26.75,BMILMS!$D$29*AG513^3+BMILMS!$E$29*AG513^2+BMILMS!$F$29*AG513+BMILMS!$G$29,IF(AG513&lt;90,BMILMS!$D$30*AG513^3+BMILMS!$E$30*AG513^2+BMILMS!$F$30*AG513+BMILMS!$G$30,IF(AG513&lt;150,BMILMS!$D$31*AG513^3+BMILMS!$E$31*AG513^2+BMILMS!$F$31*AG513+BMILMS!$G$31,BMILMS!$D$32*AG513^3+BMILMS!$E$32*AG513^2+BMILMS!$F$32*AG513+BMILMS!$G$32)))))))</f>
        <v>12.568967990000001</v>
      </c>
      <c r="AF513" s="24">
        <f>IF(D513="M",(IF(AG513&lt;90,BMILMS!$D$14*AG513^3+BMILMS!$E$14*AG513^2+BMILMS!$F$14*AG513+BMILMS!$G$14,BMILMS!$D$15*AG513^3+BMILMS!$E$15*AG513^2+BMILMS!$F$15*AG513+BMILMS!$G$15)),(IF(AG513&lt;90,BMILMS!$D$17*AG513^3+BMILMS!$E$17*AG513^2+BMILMS!$F$17*AG513+BMILMS!$G$17,BMILMS!$D$18*AG513^3+BMILMS!$E$18*AG513^2+BMILMS!$F$18*AG513+BMILMS!$G$18)))</f>
        <v>8.8969350000000003E-2</v>
      </c>
      <c r="AG513" s="24">
        <f t="shared" si="128"/>
        <v>0</v>
      </c>
      <c r="AI513" s="38">
        <f>IF(D513="M",WeightSDS!P$5*$AG513^7+WeightSDS!Q$5*$AG513^6+WeightSDS!R$5*$AG513^5+WeightSDS!S$5*$AG513^4+WeightSDS!T$5*$AG513^3+WeightSDS!U$5*$AG513^2+WeightSDS!V$5*$AG513+WeightSDS!W$5,IF($AG513&lt;186,WeightSDS!P$8*$AG513^7+WeightSDS!Q$8*$AG513^6+WeightSDS!R$8*$AG513^5+WeightSDS!S$8*$AG513^4+WeightSDS!T$8*$AG513^3+WeightSDS!U$8*$AG513^2+WeightSDS!V$8*$AG513+WeightSDS!W$8,WeightSDS!$U$9-WeightSDS!$V$9*($AG513-WeightSDS!$W$9)))</f>
        <v>0.75407122999999998</v>
      </c>
      <c r="AJ513" s="24">
        <f>IF(D513="M",IF($AG513&lt;45,WeightSDS!M$23*$AG513^10+WeightSDS!N$23*$AG513^9+WeightSDS!O$23*$AG513^8+WeightSDS!P$23*$AG513^7+WeightSDS!Q$23*$AG513^6+WeightSDS!R$23*$AG513^5+WeightSDS!S$23*$AG513^4+WeightSDS!T$23*$AG513^3+WeightSDS!U$23*$AG513^2+WeightSDS!V$23*$AG513+WeightSDS!W$23,IF($AG513&lt;153,WeightSDS!M$25*$AG513^10+WeightSDS!N$25*$AG513^9+WeightSDS!O$25*$AG513^8+WeightSDS!P$25*$AG513^7+WeightSDS!Q$25*$AG513^6+WeightSDS!R$25*$AG513^5+WeightSDS!S$25*$AG513^4+WeightSDS!T$25*$AG513^3+WeightSDS!U$25*$AG513^2+WeightSDS!V$25*$AG513+WeightSDS!W$25,WeightSDS!M$27+WeightSDS!N$27/(1+EXP(WeightSDS!O$27+WeightSDS!P$27*$AG513)))),IF($AG513&lt;43.8,WeightSDS!M$29*$AG513^10+WeightSDS!N$29*$AG513^9+WeightSDS!O$29*$AG513^8+WeightSDS!P$29*$AG513^7+WeightSDS!Q$29*$AG513^6+WeightSDS!R$29*$AG513^5+WeightSDS!S$29*$AG513^4+WeightSDS!T$29*$AG513^3+WeightSDS!U$29*$AG513^2+WeightSDS!V$29*$AG513+WeightSDS!W$29-0.010431*(1-$AG513/210),IF($AG513&lt;123,WeightSDS!M$30*$AG513^10+WeightSDS!N$30*$AG513^9+WeightSDS!O$30*$AG513^8+WeightSDS!P$30*$AG513^7+WeightSDS!Q$30*$AG513^6+WeightSDS!R$30*$AG513^5+WeightSDS!S$30*$AG513^4+WeightSDS!T$30*$AG513^3+WeightSDS!U$30*$AG513^2+WeightSDS!V$30*$AG513+WeightSDS!W$30-0.010431*(1-1/$AG513),WeightSDS!M$32+WeightSDS!N$32/(1+EXP(WeightSDS!O$32+WeightSDS!P$32*$AG513))-0.010431*(1-$AG513/210))))</f>
        <v>2.9500001032655536</v>
      </c>
      <c r="AK513" s="24">
        <f>IF(D513="M",IF($AG513&lt;162,WeightSDS!P$12*$AG513^7+WeightSDS!Q$12*$AG513^6+WeightSDS!R$12*$AG513^5+WeightSDS!S$12*$AG513^4+WeightSDS!T$12*$AG513^3+WeightSDS!U$12*$AG513^2+WeightSDS!V$12*$AG513+WeightSDS!W$12,WeightSDS!P$14*$AG513^7+WeightSDS!Q$14*$AG513^6+WeightSDS!R$14*$AG513^5+WeightSDS!S$14*$AG513^4+WeightSDS!T$14*$AG513^3+WeightSDS!U$14*$AG513^2+WeightSDS!V$14*$AG513+WeightSDS!W$14),IF($AG513&lt;156,WeightSDS!O$17*$AG513^8+WeightSDS!P$17*$AG513^7+WeightSDS!Q$17*$AG513^6+WeightSDS!R$17*$AG513^5+WeightSDS!S$17*$AG513^4+WeightSDS!T$17*$AG513^3+WeightSDS!U$17*$AG513^2+WeightSDS!V$17*$AG513+WeightSDS!W$17,IF($AG513&lt;186,WeightSDS!$U$18+(WeightSDS!$V$18-WeightSDS!$U$18)/24*($AG513-186)+WeightSDS!$W$18*(-$AG513+186)^2-0.005,WeightSDS!$U$18+(WeightSDS!$V$18-WeightSDS!$U$18)/24*($AG513-186)-0.005)))</f>
        <v>0.14604529399999999</v>
      </c>
    </row>
    <row r="514" spans="1:37">
      <c r="A514" s="4"/>
      <c r="B514" s="21"/>
      <c r="C514" s="21"/>
      <c r="D514" s="21"/>
      <c r="E514" s="22"/>
      <c r="F514" s="22"/>
      <c r="G514" s="23"/>
      <c r="H514" s="23"/>
      <c r="I514" s="8" t="str">
        <f t="shared" si="114"/>
        <v/>
      </c>
      <c r="J514" s="2" t="str">
        <f t="shared" si="121"/>
        <v/>
      </c>
      <c r="K514" s="2" t="str">
        <f t="shared" si="115"/>
        <v/>
      </c>
      <c r="L514" s="2" t="str">
        <f t="shared" si="122"/>
        <v/>
      </c>
      <c r="M514" s="2" t="str">
        <f t="shared" si="127"/>
        <v/>
      </c>
      <c r="N514" s="2" t="str">
        <f t="shared" si="123"/>
        <v/>
      </c>
      <c r="O514" s="8" t="str">
        <f t="shared" si="124"/>
        <v/>
      </c>
      <c r="P514" s="8" t="str">
        <f t="shared" si="125"/>
        <v/>
      </c>
      <c r="Q514" s="40" t="str">
        <f t="shared" si="116"/>
        <v/>
      </c>
      <c r="R514" s="48" t="str">
        <f t="shared" si="126"/>
        <v/>
      </c>
      <c r="S514" s="8"/>
      <c r="U514" s="35">
        <f t="shared" si="117"/>
        <v>0</v>
      </c>
      <c r="V514" s="24">
        <f t="shared" si="118"/>
        <v>0</v>
      </c>
      <c r="W514" s="41">
        <f t="shared" si="129"/>
        <v>0</v>
      </c>
      <c r="X514" s="31"/>
      <c r="Y514" s="31"/>
      <c r="Z514" s="31"/>
      <c r="AA514" s="25">
        <f t="shared" si="119"/>
        <v>9.0359999999999996</v>
      </c>
      <c r="AB514" s="25">
        <f t="shared" si="120"/>
        <v>-184.49199999999999</v>
      </c>
      <c r="AD514" s="24">
        <f>IF(D514="M",IF(AG514&lt;78,BMILMS!$D$5*AG514^3+BMILMS!$E$5*AG514^2+BMILMS!$F$5*AG514+BMILMS!$G$5,IF(AG514&lt;150,BMILMS!$D$6*AG514^3+BMILMS!$E$6*AG514^2+BMILMS!$F$6*AG514+BMILMS!$G$6,BMILMS!$D$7*AG514^3+BMILMS!$E$7*AG514^2+BMILMS!$F$7*AG514+BMILMS!$G$7)),IF(AG514&lt;69,BMILMS!$D$9*AG514^3+BMILMS!$E$9*AG514^2+BMILMS!$F$9*AG514+BMILMS!$G$9,IF(AG514&lt;150,BMILMS!$D$10*AG514^3+BMILMS!$E$10*AG514^2+BMILMS!$F$10*AG514+BMILMS!$G$10,BMILMS!$D$11*AG514^3+BMILMS!$E$11*AG514^2+BMILMS!$F$11*AG514+BMILMS!$G$11)))</f>
        <v>0.79584630099999998</v>
      </c>
      <c r="AE514" s="24">
        <f>IF(D514="M",(IF(AG514&lt;2.5,BMILMS!$D$21*AG514^3+BMILMS!$E$21*AG514^2+BMILMS!$F$21*AG514+BMILMS!$G$21,IF(AG514&lt;9.5,BMILMS!$D$22*AG514^3+BMILMS!$E$22*AG514^2+BMILMS!$F$22*AG514+BMILMS!$G$22,IF(AG514&lt;26.75,BMILMS!$D$23*AG514^3+BMILMS!$E$23*AG514^2+BMILMS!$F$23*AG514+BMILMS!$G$23,IF(AG514&lt;90,BMILMS!$D$24*AG514^3+BMILMS!$E$24*AG514^2+BMILMS!$F$24*AG514+BMILMS!$G$24,BMILMS!$D$25*AG514^3+BMILMS!$E$25*AG514^2+BMILMS!$F$25*AG514+BMILMS!$G$25))))),(IF(AG514&lt;2.5,BMILMS!$D$27*AG514^3+BMILMS!$E$27*AG514^2+BMILMS!$F$27*AG514+BMILMS!$G$27,IF(AG514&lt;9.5,BMILMS!$D$28*AG514^3+BMILMS!$E$28*AG514^2+BMILMS!$F$28*AG514+BMILMS!$G$28,IF(AG514&lt;26.75,BMILMS!$D$29*AG514^3+BMILMS!$E$29*AG514^2+BMILMS!$F$29*AG514+BMILMS!$G$29,IF(AG514&lt;90,BMILMS!$D$30*AG514^3+BMILMS!$E$30*AG514^2+BMILMS!$F$30*AG514+BMILMS!$G$30,IF(AG514&lt;150,BMILMS!$D$31*AG514^3+BMILMS!$E$31*AG514^2+BMILMS!$F$31*AG514+BMILMS!$G$31,BMILMS!$D$32*AG514^3+BMILMS!$E$32*AG514^2+BMILMS!$F$32*AG514+BMILMS!$G$32)))))))</f>
        <v>12.568967990000001</v>
      </c>
      <c r="AF514" s="24">
        <f>IF(D514="M",(IF(AG514&lt;90,BMILMS!$D$14*AG514^3+BMILMS!$E$14*AG514^2+BMILMS!$F$14*AG514+BMILMS!$G$14,BMILMS!$D$15*AG514^3+BMILMS!$E$15*AG514^2+BMILMS!$F$15*AG514+BMILMS!$G$15)),(IF(AG514&lt;90,BMILMS!$D$17*AG514^3+BMILMS!$E$17*AG514^2+BMILMS!$F$17*AG514+BMILMS!$G$17,BMILMS!$D$18*AG514^3+BMILMS!$E$18*AG514^2+BMILMS!$F$18*AG514+BMILMS!$G$18)))</f>
        <v>8.8969350000000003E-2</v>
      </c>
      <c r="AG514" s="24">
        <f t="shared" si="128"/>
        <v>0</v>
      </c>
      <c r="AI514" s="38">
        <f>IF(D514="M",WeightSDS!P$5*$AG514^7+WeightSDS!Q$5*$AG514^6+WeightSDS!R$5*$AG514^5+WeightSDS!S$5*$AG514^4+WeightSDS!T$5*$AG514^3+WeightSDS!U$5*$AG514^2+WeightSDS!V$5*$AG514+WeightSDS!W$5,IF($AG514&lt;186,WeightSDS!P$8*$AG514^7+WeightSDS!Q$8*$AG514^6+WeightSDS!R$8*$AG514^5+WeightSDS!S$8*$AG514^4+WeightSDS!T$8*$AG514^3+WeightSDS!U$8*$AG514^2+WeightSDS!V$8*$AG514+WeightSDS!W$8,WeightSDS!$U$9-WeightSDS!$V$9*($AG514-WeightSDS!$W$9)))</f>
        <v>0.75407122999999998</v>
      </c>
      <c r="AJ514" s="24">
        <f>IF(D514="M",IF($AG514&lt;45,WeightSDS!M$23*$AG514^10+WeightSDS!N$23*$AG514^9+WeightSDS!O$23*$AG514^8+WeightSDS!P$23*$AG514^7+WeightSDS!Q$23*$AG514^6+WeightSDS!R$23*$AG514^5+WeightSDS!S$23*$AG514^4+WeightSDS!T$23*$AG514^3+WeightSDS!U$23*$AG514^2+WeightSDS!V$23*$AG514+WeightSDS!W$23,IF($AG514&lt;153,WeightSDS!M$25*$AG514^10+WeightSDS!N$25*$AG514^9+WeightSDS!O$25*$AG514^8+WeightSDS!P$25*$AG514^7+WeightSDS!Q$25*$AG514^6+WeightSDS!R$25*$AG514^5+WeightSDS!S$25*$AG514^4+WeightSDS!T$25*$AG514^3+WeightSDS!U$25*$AG514^2+WeightSDS!V$25*$AG514+WeightSDS!W$25,WeightSDS!M$27+WeightSDS!N$27/(1+EXP(WeightSDS!O$27+WeightSDS!P$27*$AG514)))),IF($AG514&lt;43.8,WeightSDS!M$29*$AG514^10+WeightSDS!N$29*$AG514^9+WeightSDS!O$29*$AG514^8+WeightSDS!P$29*$AG514^7+WeightSDS!Q$29*$AG514^6+WeightSDS!R$29*$AG514^5+WeightSDS!S$29*$AG514^4+WeightSDS!T$29*$AG514^3+WeightSDS!U$29*$AG514^2+WeightSDS!V$29*$AG514+WeightSDS!W$29-0.010431*(1-$AG514/210),IF($AG514&lt;123,WeightSDS!M$30*$AG514^10+WeightSDS!N$30*$AG514^9+WeightSDS!O$30*$AG514^8+WeightSDS!P$30*$AG514^7+WeightSDS!Q$30*$AG514^6+WeightSDS!R$30*$AG514^5+WeightSDS!S$30*$AG514^4+WeightSDS!T$30*$AG514^3+WeightSDS!U$30*$AG514^2+WeightSDS!V$30*$AG514+WeightSDS!W$30-0.010431*(1-1/$AG514),WeightSDS!M$32+WeightSDS!N$32/(1+EXP(WeightSDS!O$32+WeightSDS!P$32*$AG514))-0.010431*(1-$AG514/210))))</f>
        <v>2.9500001032655536</v>
      </c>
      <c r="AK514" s="24">
        <f>IF(D514="M",IF($AG514&lt;162,WeightSDS!P$12*$AG514^7+WeightSDS!Q$12*$AG514^6+WeightSDS!R$12*$AG514^5+WeightSDS!S$12*$AG514^4+WeightSDS!T$12*$AG514^3+WeightSDS!U$12*$AG514^2+WeightSDS!V$12*$AG514+WeightSDS!W$12,WeightSDS!P$14*$AG514^7+WeightSDS!Q$14*$AG514^6+WeightSDS!R$14*$AG514^5+WeightSDS!S$14*$AG514^4+WeightSDS!T$14*$AG514^3+WeightSDS!U$14*$AG514^2+WeightSDS!V$14*$AG514+WeightSDS!W$14),IF($AG514&lt;156,WeightSDS!O$17*$AG514^8+WeightSDS!P$17*$AG514^7+WeightSDS!Q$17*$AG514^6+WeightSDS!R$17*$AG514^5+WeightSDS!S$17*$AG514^4+WeightSDS!T$17*$AG514^3+WeightSDS!U$17*$AG514^2+WeightSDS!V$17*$AG514+WeightSDS!W$17,IF($AG514&lt;186,WeightSDS!$U$18+(WeightSDS!$V$18-WeightSDS!$U$18)/24*($AG514-186)+WeightSDS!$W$18*(-$AG514+186)^2-0.005,WeightSDS!$U$18+(WeightSDS!$V$18-WeightSDS!$U$18)/24*($AG514-186)-0.005)))</f>
        <v>0.14604529399999999</v>
      </c>
    </row>
    <row r="515" spans="1:37">
      <c r="A515" s="4"/>
      <c r="B515" s="21"/>
      <c r="C515" s="21"/>
      <c r="D515" s="21"/>
      <c r="E515" s="22"/>
      <c r="F515" s="22"/>
      <c r="G515" s="23"/>
      <c r="H515" s="23"/>
      <c r="I515" s="8" t="str">
        <f t="shared" ref="I515:I578" si="130">IF(COUNTA(D515,E515,F515,G515,H515)=5,IF(Q515&gt;17.583,"       *",(G515-(INDEX(IF(D515="F",Hfemalemean,Hmalemean),V515+1,U515+1)))/(INDEX(IF(D515="F",Hfemalesd,Hmalesd),V515+1,U515+1))),"")</f>
        <v/>
      </c>
      <c r="J515" s="2" t="str">
        <f t="shared" si="121"/>
        <v/>
      </c>
      <c r="K515" s="2" t="str">
        <f t="shared" ref="K515:K578" si="131">IF(COUNTA(D515,E515,F515,G515,H515)&lt;5,"",IF(Q515&lt;6,"       *",IF(Q515&gt;=17.583,"       *",(H515-G515*INDEX(IF(D515="F",muratafemale,muratamale),U515-4,1)-INDEX(IF(D515="F",muratafemale,muratamale),U515-4,2))/(G515*INDEX(IF(D515="F",muratafemale,muratamale),U515-4,1)+INDEX(IF(D515="F",muratafemale,muratamale),U515-4,2))*100)))</f>
        <v/>
      </c>
      <c r="L515" s="2" t="str">
        <f t="shared" si="122"/>
        <v/>
      </c>
      <c r="M515" s="2" t="str">
        <f t="shared" si="127"/>
        <v/>
      </c>
      <c r="N515" s="2" t="str">
        <f t="shared" si="123"/>
        <v/>
      </c>
      <c r="O515" s="8" t="str">
        <f t="shared" si="124"/>
        <v/>
      </c>
      <c r="P515" s="8" t="str">
        <f t="shared" si="125"/>
        <v/>
      </c>
      <c r="Q515" s="40" t="str">
        <f t="shared" ref="Q515:Q578" si="132">IF(COUNTA(D515,E515,F515,G515,H515)=5,W515,"")</f>
        <v/>
      </c>
      <c r="R515" s="48" t="str">
        <f t="shared" si="126"/>
        <v/>
      </c>
      <c r="S515" s="8"/>
      <c r="U515" s="35">
        <f t="shared" ref="U515:U578" si="133">DATEDIF(E515,F515,"Y")</f>
        <v>0</v>
      </c>
      <c r="V515" s="24">
        <f t="shared" ref="V515:V578" si="134">DATEDIF(E515,F515,"YM")</f>
        <v>0</v>
      </c>
      <c r="W515" s="41">
        <f t="shared" si="129"/>
        <v>0</v>
      </c>
      <c r="X515" s="31"/>
      <c r="Y515" s="31"/>
      <c r="Z515" s="31"/>
      <c r="AA515" s="25">
        <f t="shared" ref="AA515:AA578" si="135">IF(D515="M",2.06*10^-3*G515^2-0.1166*G515+6.5273,2.49*10^-3*G515^2-0.1858*G515+9.036)</f>
        <v>9.0359999999999996</v>
      </c>
      <c r="AB515" s="25">
        <f t="shared" ref="AB515:AB578" si="136">((G515/100)^3*INDEX(itoOI,IF(D515="M",0,3)+IF(G515&lt;140,1,IF(G515&lt;=149,2,3)),1)+(G515/100)^2*INDEX(itoOI,IF(D515="M",0,3)+IF(G515&lt;140,1,IF(G515&lt;=149,2,3)),2)+(G515/100)*INDEX(itoOI,IF(D515="M",0,3)+IF(G515&lt;140,1,IF(G515&lt;=149,2,3)),3)+INDEX(itoOI,IF(D515="M",0,3)+IF(G515&lt;140,1,IF(G515&lt;=149,2,3)),4))</f>
        <v>-184.49199999999999</v>
      </c>
      <c r="AD515" s="24">
        <f>IF(D515="M",IF(AG515&lt;78,BMILMS!$D$5*AG515^3+BMILMS!$E$5*AG515^2+BMILMS!$F$5*AG515+BMILMS!$G$5,IF(AG515&lt;150,BMILMS!$D$6*AG515^3+BMILMS!$E$6*AG515^2+BMILMS!$F$6*AG515+BMILMS!$G$6,BMILMS!$D$7*AG515^3+BMILMS!$E$7*AG515^2+BMILMS!$F$7*AG515+BMILMS!$G$7)),IF(AG515&lt;69,BMILMS!$D$9*AG515^3+BMILMS!$E$9*AG515^2+BMILMS!$F$9*AG515+BMILMS!$G$9,IF(AG515&lt;150,BMILMS!$D$10*AG515^3+BMILMS!$E$10*AG515^2+BMILMS!$F$10*AG515+BMILMS!$G$10,BMILMS!$D$11*AG515^3+BMILMS!$E$11*AG515^2+BMILMS!$F$11*AG515+BMILMS!$G$11)))</f>
        <v>0.79584630099999998</v>
      </c>
      <c r="AE515" s="24">
        <f>IF(D515="M",(IF(AG515&lt;2.5,BMILMS!$D$21*AG515^3+BMILMS!$E$21*AG515^2+BMILMS!$F$21*AG515+BMILMS!$G$21,IF(AG515&lt;9.5,BMILMS!$D$22*AG515^3+BMILMS!$E$22*AG515^2+BMILMS!$F$22*AG515+BMILMS!$G$22,IF(AG515&lt;26.75,BMILMS!$D$23*AG515^3+BMILMS!$E$23*AG515^2+BMILMS!$F$23*AG515+BMILMS!$G$23,IF(AG515&lt;90,BMILMS!$D$24*AG515^3+BMILMS!$E$24*AG515^2+BMILMS!$F$24*AG515+BMILMS!$G$24,BMILMS!$D$25*AG515^3+BMILMS!$E$25*AG515^2+BMILMS!$F$25*AG515+BMILMS!$G$25))))),(IF(AG515&lt;2.5,BMILMS!$D$27*AG515^3+BMILMS!$E$27*AG515^2+BMILMS!$F$27*AG515+BMILMS!$G$27,IF(AG515&lt;9.5,BMILMS!$D$28*AG515^3+BMILMS!$E$28*AG515^2+BMILMS!$F$28*AG515+BMILMS!$G$28,IF(AG515&lt;26.75,BMILMS!$D$29*AG515^3+BMILMS!$E$29*AG515^2+BMILMS!$F$29*AG515+BMILMS!$G$29,IF(AG515&lt;90,BMILMS!$D$30*AG515^3+BMILMS!$E$30*AG515^2+BMILMS!$F$30*AG515+BMILMS!$G$30,IF(AG515&lt;150,BMILMS!$D$31*AG515^3+BMILMS!$E$31*AG515^2+BMILMS!$F$31*AG515+BMILMS!$G$31,BMILMS!$D$32*AG515^3+BMILMS!$E$32*AG515^2+BMILMS!$F$32*AG515+BMILMS!$G$32)))))))</f>
        <v>12.568967990000001</v>
      </c>
      <c r="AF515" s="24">
        <f>IF(D515="M",(IF(AG515&lt;90,BMILMS!$D$14*AG515^3+BMILMS!$E$14*AG515^2+BMILMS!$F$14*AG515+BMILMS!$G$14,BMILMS!$D$15*AG515^3+BMILMS!$E$15*AG515^2+BMILMS!$F$15*AG515+BMILMS!$G$15)),(IF(AG515&lt;90,BMILMS!$D$17*AG515^3+BMILMS!$E$17*AG515^2+BMILMS!$F$17*AG515+BMILMS!$G$17,BMILMS!$D$18*AG515^3+BMILMS!$E$18*AG515^2+BMILMS!$F$18*AG515+BMILMS!$G$18)))</f>
        <v>8.8969350000000003E-2</v>
      </c>
      <c r="AG515" s="24">
        <f t="shared" si="128"/>
        <v>0</v>
      </c>
      <c r="AI515" s="38">
        <f>IF(D515="M",WeightSDS!P$5*$AG515^7+WeightSDS!Q$5*$AG515^6+WeightSDS!R$5*$AG515^5+WeightSDS!S$5*$AG515^4+WeightSDS!T$5*$AG515^3+WeightSDS!U$5*$AG515^2+WeightSDS!V$5*$AG515+WeightSDS!W$5,IF($AG515&lt;186,WeightSDS!P$8*$AG515^7+WeightSDS!Q$8*$AG515^6+WeightSDS!R$8*$AG515^5+WeightSDS!S$8*$AG515^4+WeightSDS!T$8*$AG515^3+WeightSDS!U$8*$AG515^2+WeightSDS!V$8*$AG515+WeightSDS!W$8,WeightSDS!$U$9-WeightSDS!$V$9*($AG515-WeightSDS!$W$9)))</f>
        <v>0.75407122999999998</v>
      </c>
      <c r="AJ515" s="24">
        <f>IF(D515="M",IF($AG515&lt;45,WeightSDS!M$23*$AG515^10+WeightSDS!N$23*$AG515^9+WeightSDS!O$23*$AG515^8+WeightSDS!P$23*$AG515^7+WeightSDS!Q$23*$AG515^6+WeightSDS!R$23*$AG515^5+WeightSDS!S$23*$AG515^4+WeightSDS!T$23*$AG515^3+WeightSDS!U$23*$AG515^2+WeightSDS!V$23*$AG515+WeightSDS!W$23,IF($AG515&lt;153,WeightSDS!M$25*$AG515^10+WeightSDS!N$25*$AG515^9+WeightSDS!O$25*$AG515^8+WeightSDS!P$25*$AG515^7+WeightSDS!Q$25*$AG515^6+WeightSDS!R$25*$AG515^5+WeightSDS!S$25*$AG515^4+WeightSDS!T$25*$AG515^3+WeightSDS!U$25*$AG515^2+WeightSDS!V$25*$AG515+WeightSDS!W$25,WeightSDS!M$27+WeightSDS!N$27/(1+EXP(WeightSDS!O$27+WeightSDS!P$27*$AG515)))),IF($AG515&lt;43.8,WeightSDS!M$29*$AG515^10+WeightSDS!N$29*$AG515^9+WeightSDS!O$29*$AG515^8+WeightSDS!P$29*$AG515^7+WeightSDS!Q$29*$AG515^6+WeightSDS!R$29*$AG515^5+WeightSDS!S$29*$AG515^4+WeightSDS!T$29*$AG515^3+WeightSDS!U$29*$AG515^2+WeightSDS!V$29*$AG515+WeightSDS!W$29-0.010431*(1-$AG515/210),IF($AG515&lt;123,WeightSDS!M$30*$AG515^10+WeightSDS!N$30*$AG515^9+WeightSDS!O$30*$AG515^8+WeightSDS!P$30*$AG515^7+WeightSDS!Q$30*$AG515^6+WeightSDS!R$30*$AG515^5+WeightSDS!S$30*$AG515^4+WeightSDS!T$30*$AG515^3+WeightSDS!U$30*$AG515^2+WeightSDS!V$30*$AG515+WeightSDS!W$30-0.010431*(1-1/$AG515),WeightSDS!M$32+WeightSDS!N$32/(1+EXP(WeightSDS!O$32+WeightSDS!P$32*$AG515))-0.010431*(1-$AG515/210))))</f>
        <v>2.9500001032655536</v>
      </c>
      <c r="AK515" s="24">
        <f>IF(D515="M",IF($AG515&lt;162,WeightSDS!P$12*$AG515^7+WeightSDS!Q$12*$AG515^6+WeightSDS!R$12*$AG515^5+WeightSDS!S$12*$AG515^4+WeightSDS!T$12*$AG515^3+WeightSDS!U$12*$AG515^2+WeightSDS!V$12*$AG515+WeightSDS!W$12,WeightSDS!P$14*$AG515^7+WeightSDS!Q$14*$AG515^6+WeightSDS!R$14*$AG515^5+WeightSDS!S$14*$AG515^4+WeightSDS!T$14*$AG515^3+WeightSDS!U$14*$AG515^2+WeightSDS!V$14*$AG515+WeightSDS!W$14),IF($AG515&lt;156,WeightSDS!O$17*$AG515^8+WeightSDS!P$17*$AG515^7+WeightSDS!Q$17*$AG515^6+WeightSDS!R$17*$AG515^5+WeightSDS!S$17*$AG515^4+WeightSDS!T$17*$AG515^3+WeightSDS!U$17*$AG515^2+WeightSDS!V$17*$AG515+WeightSDS!W$17,IF($AG515&lt;186,WeightSDS!$U$18+(WeightSDS!$V$18-WeightSDS!$U$18)/24*($AG515-186)+WeightSDS!$W$18*(-$AG515+186)^2-0.005,WeightSDS!$U$18+(WeightSDS!$V$18-WeightSDS!$U$18)/24*($AG515-186)-0.005)))</f>
        <v>0.14604529399999999</v>
      </c>
    </row>
    <row r="516" spans="1:37">
      <c r="A516" s="4"/>
      <c r="B516" s="21"/>
      <c r="C516" s="21"/>
      <c r="D516" s="21"/>
      <c r="E516" s="22"/>
      <c r="F516" s="22"/>
      <c r="G516" s="23"/>
      <c r="H516" s="23"/>
      <c r="I516" s="8" t="str">
        <f t="shared" si="130"/>
        <v/>
      </c>
      <c r="J516" s="2" t="str">
        <f t="shared" ref="J516:J579" si="137">IF(COUNTA(D516,E516,F516,G516,H516)=5,IF(Q516&lt;1,"       *",IF(Q516&gt;=6,"       *",IF(G516&gt;=120,"       *",IF(G516&lt;70,"       *",(H516-AA516)/AA516*100)))),"")</f>
        <v/>
      </c>
      <c r="K516" s="2" t="str">
        <f t="shared" si="131"/>
        <v/>
      </c>
      <c r="L516" s="2" t="str">
        <f t="shared" ref="L516:L579" si="138">IF(COUNTA(D516,E516,F516,G516,H516)=5,IF(G516&gt;=IF(D516="M",181,174),"*",IF(G516&lt;101,"       *",IF(Q516&lt;6,"       *",IF(Q516&gt;=17.583,"*",(H516-AB516)/AB516*100)))),"")</f>
        <v/>
      </c>
      <c r="M516" s="2" t="str">
        <f t="shared" si="127"/>
        <v/>
      </c>
      <c r="N516" s="2" t="str">
        <f t="shared" ref="N516:N579" si="139">IF(COUNTA(D516,E516,F516,G516,H516)=5,IF(Q516&gt;17.583,"   *",NORMSDIST(((M516/AE516)^(AD516)-1)/AD516/AF516)*100),"")</f>
        <v/>
      </c>
      <c r="O516" s="8" t="str">
        <f t="shared" ref="O516:O579" si="140">IF(COUNTA(D516,E516,F516,G516,H516)=5,IF(Q516&gt;17.583,"   *",((M516/AE516)^(AD516)-1)/AD516/AF516),"")</f>
        <v/>
      </c>
      <c r="P516" s="8" t="str">
        <f t="shared" ref="P516:P579" si="141">IF(COUNTA(D516,E516,F516,G516,H516)=5,IF(Q516&gt;17.583,"   *",((H516/AJ516)^(AI516)-1)/AI516/AK516),"")</f>
        <v/>
      </c>
      <c r="Q516" s="40" t="str">
        <f t="shared" si="132"/>
        <v/>
      </c>
      <c r="R516" s="48" t="str">
        <f t="shared" ref="R516:R579" si="142">IF(COUNTA(D516,E516,F516,G516,H516)=5,U516&amp;"歳"&amp;V516&amp;"か月","")</f>
        <v/>
      </c>
      <c r="S516" s="8"/>
      <c r="U516" s="35">
        <f t="shared" si="133"/>
        <v>0</v>
      </c>
      <c r="V516" s="24">
        <f t="shared" si="134"/>
        <v>0</v>
      </c>
      <c r="W516" s="41">
        <f t="shared" si="129"/>
        <v>0</v>
      </c>
      <c r="X516" s="31"/>
      <c r="Y516" s="31"/>
      <c r="Z516" s="31"/>
      <c r="AA516" s="25">
        <f t="shared" si="135"/>
        <v>9.0359999999999996</v>
      </c>
      <c r="AB516" s="25">
        <f t="shared" si="136"/>
        <v>-184.49199999999999</v>
      </c>
      <c r="AD516" s="24">
        <f>IF(D516="M",IF(AG516&lt;78,BMILMS!$D$5*AG516^3+BMILMS!$E$5*AG516^2+BMILMS!$F$5*AG516+BMILMS!$G$5,IF(AG516&lt;150,BMILMS!$D$6*AG516^3+BMILMS!$E$6*AG516^2+BMILMS!$F$6*AG516+BMILMS!$G$6,BMILMS!$D$7*AG516^3+BMILMS!$E$7*AG516^2+BMILMS!$F$7*AG516+BMILMS!$G$7)),IF(AG516&lt;69,BMILMS!$D$9*AG516^3+BMILMS!$E$9*AG516^2+BMILMS!$F$9*AG516+BMILMS!$G$9,IF(AG516&lt;150,BMILMS!$D$10*AG516^3+BMILMS!$E$10*AG516^2+BMILMS!$F$10*AG516+BMILMS!$G$10,BMILMS!$D$11*AG516^3+BMILMS!$E$11*AG516^2+BMILMS!$F$11*AG516+BMILMS!$G$11)))</f>
        <v>0.79584630099999998</v>
      </c>
      <c r="AE516" s="24">
        <f>IF(D516="M",(IF(AG516&lt;2.5,BMILMS!$D$21*AG516^3+BMILMS!$E$21*AG516^2+BMILMS!$F$21*AG516+BMILMS!$G$21,IF(AG516&lt;9.5,BMILMS!$D$22*AG516^3+BMILMS!$E$22*AG516^2+BMILMS!$F$22*AG516+BMILMS!$G$22,IF(AG516&lt;26.75,BMILMS!$D$23*AG516^3+BMILMS!$E$23*AG516^2+BMILMS!$F$23*AG516+BMILMS!$G$23,IF(AG516&lt;90,BMILMS!$D$24*AG516^3+BMILMS!$E$24*AG516^2+BMILMS!$F$24*AG516+BMILMS!$G$24,BMILMS!$D$25*AG516^3+BMILMS!$E$25*AG516^2+BMILMS!$F$25*AG516+BMILMS!$G$25))))),(IF(AG516&lt;2.5,BMILMS!$D$27*AG516^3+BMILMS!$E$27*AG516^2+BMILMS!$F$27*AG516+BMILMS!$G$27,IF(AG516&lt;9.5,BMILMS!$D$28*AG516^3+BMILMS!$E$28*AG516^2+BMILMS!$F$28*AG516+BMILMS!$G$28,IF(AG516&lt;26.75,BMILMS!$D$29*AG516^3+BMILMS!$E$29*AG516^2+BMILMS!$F$29*AG516+BMILMS!$G$29,IF(AG516&lt;90,BMILMS!$D$30*AG516^3+BMILMS!$E$30*AG516^2+BMILMS!$F$30*AG516+BMILMS!$G$30,IF(AG516&lt;150,BMILMS!$D$31*AG516^3+BMILMS!$E$31*AG516^2+BMILMS!$F$31*AG516+BMILMS!$G$31,BMILMS!$D$32*AG516^3+BMILMS!$E$32*AG516^2+BMILMS!$F$32*AG516+BMILMS!$G$32)))))))</f>
        <v>12.568967990000001</v>
      </c>
      <c r="AF516" s="24">
        <f>IF(D516="M",(IF(AG516&lt;90,BMILMS!$D$14*AG516^3+BMILMS!$E$14*AG516^2+BMILMS!$F$14*AG516+BMILMS!$G$14,BMILMS!$D$15*AG516^3+BMILMS!$E$15*AG516^2+BMILMS!$F$15*AG516+BMILMS!$G$15)),(IF(AG516&lt;90,BMILMS!$D$17*AG516^3+BMILMS!$E$17*AG516^2+BMILMS!$F$17*AG516+BMILMS!$G$17,BMILMS!$D$18*AG516^3+BMILMS!$E$18*AG516^2+BMILMS!$F$18*AG516+BMILMS!$G$18)))</f>
        <v>8.8969350000000003E-2</v>
      </c>
      <c r="AG516" s="24">
        <f t="shared" si="128"/>
        <v>0</v>
      </c>
      <c r="AI516" s="38">
        <f>IF(D516="M",WeightSDS!P$5*$AG516^7+WeightSDS!Q$5*$AG516^6+WeightSDS!R$5*$AG516^5+WeightSDS!S$5*$AG516^4+WeightSDS!T$5*$AG516^3+WeightSDS!U$5*$AG516^2+WeightSDS!V$5*$AG516+WeightSDS!W$5,IF($AG516&lt;186,WeightSDS!P$8*$AG516^7+WeightSDS!Q$8*$AG516^6+WeightSDS!R$8*$AG516^5+WeightSDS!S$8*$AG516^4+WeightSDS!T$8*$AG516^3+WeightSDS!U$8*$AG516^2+WeightSDS!V$8*$AG516+WeightSDS!W$8,WeightSDS!$U$9-WeightSDS!$V$9*($AG516-WeightSDS!$W$9)))</f>
        <v>0.75407122999999998</v>
      </c>
      <c r="AJ516" s="24">
        <f>IF(D516="M",IF($AG516&lt;45,WeightSDS!M$23*$AG516^10+WeightSDS!N$23*$AG516^9+WeightSDS!O$23*$AG516^8+WeightSDS!P$23*$AG516^7+WeightSDS!Q$23*$AG516^6+WeightSDS!R$23*$AG516^5+WeightSDS!S$23*$AG516^4+WeightSDS!T$23*$AG516^3+WeightSDS!U$23*$AG516^2+WeightSDS!V$23*$AG516+WeightSDS!W$23,IF($AG516&lt;153,WeightSDS!M$25*$AG516^10+WeightSDS!N$25*$AG516^9+WeightSDS!O$25*$AG516^8+WeightSDS!P$25*$AG516^7+WeightSDS!Q$25*$AG516^6+WeightSDS!R$25*$AG516^5+WeightSDS!S$25*$AG516^4+WeightSDS!T$25*$AG516^3+WeightSDS!U$25*$AG516^2+WeightSDS!V$25*$AG516+WeightSDS!W$25,WeightSDS!M$27+WeightSDS!N$27/(1+EXP(WeightSDS!O$27+WeightSDS!P$27*$AG516)))),IF($AG516&lt;43.8,WeightSDS!M$29*$AG516^10+WeightSDS!N$29*$AG516^9+WeightSDS!O$29*$AG516^8+WeightSDS!P$29*$AG516^7+WeightSDS!Q$29*$AG516^6+WeightSDS!R$29*$AG516^5+WeightSDS!S$29*$AG516^4+WeightSDS!T$29*$AG516^3+WeightSDS!U$29*$AG516^2+WeightSDS!V$29*$AG516+WeightSDS!W$29-0.010431*(1-$AG516/210),IF($AG516&lt;123,WeightSDS!M$30*$AG516^10+WeightSDS!N$30*$AG516^9+WeightSDS!O$30*$AG516^8+WeightSDS!P$30*$AG516^7+WeightSDS!Q$30*$AG516^6+WeightSDS!R$30*$AG516^5+WeightSDS!S$30*$AG516^4+WeightSDS!T$30*$AG516^3+WeightSDS!U$30*$AG516^2+WeightSDS!V$30*$AG516+WeightSDS!W$30-0.010431*(1-1/$AG516),WeightSDS!M$32+WeightSDS!N$32/(1+EXP(WeightSDS!O$32+WeightSDS!P$32*$AG516))-0.010431*(1-$AG516/210))))</f>
        <v>2.9500001032655536</v>
      </c>
      <c r="AK516" s="24">
        <f>IF(D516="M",IF($AG516&lt;162,WeightSDS!P$12*$AG516^7+WeightSDS!Q$12*$AG516^6+WeightSDS!R$12*$AG516^5+WeightSDS!S$12*$AG516^4+WeightSDS!T$12*$AG516^3+WeightSDS!U$12*$AG516^2+WeightSDS!V$12*$AG516+WeightSDS!W$12,WeightSDS!P$14*$AG516^7+WeightSDS!Q$14*$AG516^6+WeightSDS!R$14*$AG516^5+WeightSDS!S$14*$AG516^4+WeightSDS!T$14*$AG516^3+WeightSDS!U$14*$AG516^2+WeightSDS!V$14*$AG516+WeightSDS!W$14),IF($AG516&lt;156,WeightSDS!O$17*$AG516^8+WeightSDS!P$17*$AG516^7+WeightSDS!Q$17*$AG516^6+WeightSDS!R$17*$AG516^5+WeightSDS!S$17*$AG516^4+WeightSDS!T$17*$AG516^3+WeightSDS!U$17*$AG516^2+WeightSDS!V$17*$AG516+WeightSDS!W$17,IF($AG516&lt;186,WeightSDS!$U$18+(WeightSDS!$V$18-WeightSDS!$U$18)/24*($AG516-186)+WeightSDS!$W$18*(-$AG516+186)^2-0.005,WeightSDS!$U$18+(WeightSDS!$V$18-WeightSDS!$U$18)/24*($AG516-186)-0.005)))</f>
        <v>0.14604529399999999</v>
      </c>
    </row>
    <row r="517" spans="1:37">
      <c r="A517" s="4"/>
      <c r="B517" s="21"/>
      <c r="C517" s="21"/>
      <c r="D517" s="21"/>
      <c r="E517" s="22"/>
      <c r="F517" s="22"/>
      <c r="G517" s="23"/>
      <c r="H517" s="23"/>
      <c r="I517" s="8" t="str">
        <f t="shared" si="130"/>
        <v/>
      </c>
      <c r="J517" s="2" t="str">
        <f t="shared" si="137"/>
        <v/>
      </c>
      <c r="K517" s="2" t="str">
        <f t="shared" si="131"/>
        <v/>
      </c>
      <c r="L517" s="2" t="str">
        <f t="shared" si="138"/>
        <v/>
      </c>
      <c r="M517" s="2" t="str">
        <f t="shared" si="127"/>
        <v/>
      </c>
      <c r="N517" s="2" t="str">
        <f t="shared" si="139"/>
        <v/>
      </c>
      <c r="O517" s="8" t="str">
        <f t="shared" si="140"/>
        <v/>
      </c>
      <c r="P517" s="8" t="str">
        <f t="shared" si="141"/>
        <v/>
      </c>
      <c r="Q517" s="40" t="str">
        <f t="shared" si="132"/>
        <v/>
      </c>
      <c r="R517" s="48" t="str">
        <f t="shared" si="142"/>
        <v/>
      </c>
      <c r="S517" s="8"/>
      <c r="U517" s="35">
        <f t="shared" si="133"/>
        <v>0</v>
      </c>
      <c r="V517" s="24">
        <f t="shared" si="134"/>
        <v>0</v>
      </c>
      <c r="W517" s="41">
        <f t="shared" si="129"/>
        <v>0</v>
      </c>
      <c r="X517" s="31"/>
      <c r="Y517" s="31"/>
      <c r="Z517" s="31"/>
      <c r="AA517" s="25">
        <f t="shared" si="135"/>
        <v>9.0359999999999996</v>
      </c>
      <c r="AB517" s="25">
        <f t="shared" si="136"/>
        <v>-184.49199999999999</v>
      </c>
      <c r="AD517" s="24">
        <f>IF(D517="M",IF(AG517&lt;78,BMILMS!$D$5*AG517^3+BMILMS!$E$5*AG517^2+BMILMS!$F$5*AG517+BMILMS!$G$5,IF(AG517&lt;150,BMILMS!$D$6*AG517^3+BMILMS!$E$6*AG517^2+BMILMS!$F$6*AG517+BMILMS!$G$6,BMILMS!$D$7*AG517^3+BMILMS!$E$7*AG517^2+BMILMS!$F$7*AG517+BMILMS!$G$7)),IF(AG517&lt;69,BMILMS!$D$9*AG517^3+BMILMS!$E$9*AG517^2+BMILMS!$F$9*AG517+BMILMS!$G$9,IF(AG517&lt;150,BMILMS!$D$10*AG517^3+BMILMS!$E$10*AG517^2+BMILMS!$F$10*AG517+BMILMS!$G$10,BMILMS!$D$11*AG517^3+BMILMS!$E$11*AG517^2+BMILMS!$F$11*AG517+BMILMS!$G$11)))</f>
        <v>0.79584630099999998</v>
      </c>
      <c r="AE517" s="24">
        <f>IF(D517="M",(IF(AG517&lt;2.5,BMILMS!$D$21*AG517^3+BMILMS!$E$21*AG517^2+BMILMS!$F$21*AG517+BMILMS!$G$21,IF(AG517&lt;9.5,BMILMS!$D$22*AG517^3+BMILMS!$E$22*AG517^2+BMILMS!$F$22*AG517+BMILMS!$G$22,IF(AG517&lt;26.75,BMILMS!$D$23*AG517^3+BMILMS!$E$23*AG517^2+BMILMS!$F$23*AG517+BMILMS!$G$23,IF(AG517&lt;90,BMILMS!$D$24*AG517^3+BMILMS!$E$24*AG517^2+BMILMS!$F$24*AG517+BMILMS!$G$24,BMILMS!$D$25*AG517^3+BMILMS!$E$25*AG517^2+BMILMS!$F$25*AG517+BMILMS!$G$25))))),(IF(AG517&lt;2.5,BMILMS!$D$27*AG517^3+BMILMS!$E$27*AG517^2+BMILMS!$F$27*AG517+BMILMS!$G$27,IF(AG517&lt;9.5,BMILMS!$D$28*AG517^3+BMILMS!$E$28*AG517^2+BMILMS!$F$28*AG517+BMILMS!$G$28,IF(AG517&lt;26.75,BMILMS!$D$29*AG517^3+BMILMS!$E$29*AG517^2+BMILMS!$F$29*AG517+BMILMS!$G$29,IF(AG517&lt;90,BMILMS!$D$30*AG517^3+BMILMS!$E$30*AG517^2+BMILMS!$F$30*AG517+BMILMS!$G$30,IF(AG517&lt;150,BMILMS!$D$31*AG517^3+BMILMS!$E$31*AG517^2+BMILMS!$F$31*AG517+BMILMS!$G$31,BMILMS!$D$32*AG517^3+BMILMS!$E$32*AG517^2+BMILMS!$F$32*AG517+BMILMS!$G$32)))))))</f>
        <v>12.568967990000001</v>
      </c>
      <c r="AF517" s="24">
        <f>IF(D517="M",(IF(AG517&lt;90,BMILMS!$D$14*AG517^3+BMILMS!$E$14*AG517^2+BMILMS!$F$14*AG517+BMILMS!$G$14,BMILMS!$D$15*AG517^3+BMILMS!$E$15*AG517^2+BMILMS!$F$15*AG517+BMILMS!$G$15)),(IF(AG517&lt;90,BMILMS!$D$17*AG517^3+BMILMS!$E$17*AG517^2+BMILMS!$F$17*AG517+BMILMS!$G$17,BMILMS!$D$18*AG517^3+BMILMS!$E$18*AG517^2+BMILMS!$F$18*AG517+BMILMS!$G$18)))</f>
        <v>8.8969350000000003E-2</v>
      </c>
      <c r="AG517" s="24">
        <f t="shared" si="128"/>
        <v>0</v>
      </c>
      <c r="AI517" s="38">
        <f>IF(D517="M",WeightSDS!P$5*$AG517^7+WeightSDS!Q$5*$AG517^6+WeightSDS!R$5*$AG517^5+WeightSDS!S$5*$AG517^4+WeightSDS!T$5*$AG517^3+WeightSDS!U$5*$AG517^2+WeightSDS!V$5*$AG517+WeightSDS!W$5,IF($AG517&lt;186,WeightSDS!P$8*$AG517^7+WeightSDS!Q$8*$AG517^6+WeightSDS!R$8*$AG517^5+WeightSDS!S$8*$AG517^4+WeightSDS!T$8*$AG517^3+WeightSDS!U$8*$AG517^2+WeightSDS!V$8*$AG517+WeightSDS!W$8,WeightSDS!$U$9-WeightSDS!$V$9*($AG517-WeightSDS!$W$9)))</f>
        <v>0.75407122999999998</v>
      </c>
      <c r="AJ517" s="24">
        <f>IF(D517="M",IF($AG517&lt;45,WeightSDS!M$23*$AG517^10+WeightSDS!N$23*$AG517^9+WeightSDS!O$23*$AG517^8+WeightSDS!P$23*$AG517^7+WeightSDS!Q$23*$AG517^6+WeightSDS!R$23*$AG517^5+WeightSDS!S$23*$AG517^4+WeightSDS!T$23*$AG517^3+WeightSDS!U$23*$AG517^2+WeightSDS!V$23*$AG517+WeightSDS!W$23,IF($AG517&lt;153,WeightSDS!M$25*$AG517^10+WeightSDS!N$25*$AG517^9+WeightSDS!O$25*$AG517^8+WeightSDS!P$25*$AG517^7+WeightSDS!Q$25*$AG517^6+WeightSDS!R$25*$AG517^5+WeightSDS!S$25*$AG517^4+WeightSDS!T$25*$AG517^3+WeightSDS!U$25*$AG517^2+WeightSDS!V$25*$AG517+WeightSDS!W$25,WeightSDS!M$27+WeightSDS!N$27/(1+EXP(WeightSDS!O$27+WeightSDS!P$27*$AG517)))),IF($AG517&lt;43.8,WeightSDS!M$29*$AG517^10+WeightSDS!N$29*$AG517^9+WeightSDS!O$29*$AG517^8+WeightSDS!P$29*$AG517^7+WeightSDS!Q$29*$AG517^6+WeightSDS!R$29*$AG517^5+WeightSDS!S$29*$AG517^4+WeightSDS!T$29*$AG517^3+WeightSDS!U$29*$AG517^2+WeightSDS!V$29*$AG517+WeightSDS!W$29-0.010431*(1-$AG517/210),IF($AG517&lt;123,WeightSDS!M$30*$AG517^10+WeightSDS!N$30*$AG517^9+WeightSDS!O$30*$AG517^8+WeightSDS!P$30*$AG517^7+WeightSDS!Q$30*$AG517^6+WeightSDS!R$30*$AG517^5+WeightSDS!S$30*$AG517^4+WeightSDS!T$30*$AG517^3+WeightSDS!U$30*$AG517^2+WeightSDS!V$30*$AG517+WeightSDS!W$30-0.010431*(1-1/$AG517),WeightSDS!M$32+WeightSDS!N$32/(1+EXP(WeightSDS!O$32+WeightSDS!P$32*$AG517))-0.010431*(1-$AG517/210))))</f>
        <v>2.9500001032655536</v>
      </c>
      <c r="AK517" s="24">
        <f>IF(D517="M",IF($AG517&lt;162,WeightSDS!P$12*$AG517^7+WeightSDS!Q$12*$AG517^6+WeightSDS!R$12*$AG517^5+WeightSDS!S$12*$AG517^4+WeightSDS!T$12*$AG517^3+WeightSDS!U$12*$AG517^2+WeightSDS!V$12*$AG517+WeightSDS!W$12,WeightSDS!P$14*$AG517^7+WeightSDS!Q$14*$AG517^6+WeightSDS!R$14*$AG517^5+WeightSDS!S$14*$AG517^4+WeightSDS!T$14*$AG517^3+WeightSDS!U$14*$AG517^2+WeightSDS!V$14*$AG517+WeightSDS!W$14),IF($AG517&lt;156,WeightSDS!O$17*$AG517^8+WeightSDS!P$17*$AG517^7+WeightSDS!Q$17*$AG517^6+WeightSDS!R$17*$AG517^5+WeightSDS!S$17*$AG517^4+WeightSDS!T$17*$AG517^3+WeightSDS!U$17*$AG517^2+WeightSDS!V$17*$AG517+WeightSDS!W$17,IF($AG517&lt;186,WeightSDS!$U$18+(WeightSDS!$V$18-WeightSDS!$U$18)/24*($AG517-186)+WeightSDS!$W$18*(-$AG517+186)^2-0.005,WeightSDS!$U$18+(WeightSDS!$V$18-WeightSDS!$U$18)/24*($AG517-186)-0.005)))</f>
        <v>0.14604529399999999</v>
      </c>
    </row>
    <row r="518" spans="1:37">
      <c r="A518" s="4"/>
      <c r="B518" s="21"/>
      <c r="C518" s="21"/>
      <c r="D518" s="21"/>
      <c r="E518" s="22"/>
      <c r="F518" s="22"/>
      <c r="G518" s="23"/>
      <c r="H518" s="23"/>
      <c r="I518" s="8" t="str">
        <f t="shared" si="130"/>
        <v/>
      </c>
      <c r="J518" s="2" t="str">
        <f t="shared" si="137"/>
        <v/>
      </c>
      <c r="K518" s="2" t="str">
        <f t="shared" si="131"/>
        <v/>
      </c>
      <c r="L518" s="2" t="str">
        <f t="shared" si="138"/>
        <v/>
      </c>
      <c r="M518" s="2" t="str">
        <f t="shared" si="127"/>
        <v/>
      </c>
      <c r="N518" s="2" t="str">
        <f t="shared" si="139"/>
        <v/>
      </c>
      <c r="O518" s="8" t="str">
        <f t="shared" si="140"/>
        <v/>
      </c>
      <c r="P518" s="8" t="str">
        <f t="shared" si="141"/>
        <v/>
      </c>
      <c r="Q518" s="40" t="str">
        <f t="shared" si="132"/>
        <v/>
      </c>
      <c r="R518" s="48" t="str">
        <f t="shared" si="142"/>
        <v/>
      </c>
      <c r="S518" s="8"/>
      <c r="U518" s="35">
        <f t="shared" si="133"/>
        <v>0</v>
      </c>
      <c r="V518" s="24">
        <f t="shared" si="134"/>
        <v>0</v>
      </c>
      <c r="W518" s="41">
        <f t="shared" si="129"/>
        <v>0</v>
      </c>
      <c r="X518" s="31"/>
      <c r="Y518" s="31"/>
      <c r="Z518" s="31"/>
      <c r="AA518" s="25">
        <f t="shared" si="135"/>
        <v>9.0359999999999996</v>
      </c>
      <c r="AB518" s="25">
        <f t="shared" si="136"/>
        <v>-184.49199999999999</v>
      </c>
      <c r="AD518" s="24">
        <f>IF(D518="M",IF(AG518&lt;78,BMILMS!$D$5*AG518^3+BMILMS!$E$5*AG518^2+BMILMS!$F$5*AG518+BMILMS!$G$5,IF(AG518&lt;150,BMILMS!$D$6*AG518^3+BMILMS!$E$6*AG518^2+BMILMS!$F$6*AG518+BMILMS!$G$6,BMILMS!$D$7*AG518^3+BMILMS!$E$7*AG518^2+BMILMS!$F$7*AG518+BMILMS!$G$7)),IF(AG518&lt;69,BMILMS!$D$9*AG518^3+BMILMS!$E$9*AG518^2+BMILMS!$F$9*AG518+BMILMS!$G$9,IF(AG518&lt;150,BMILMS!$D$10*AG518^3+BMILMS!$E$10*AG518^2+BMILMS!$F$10*AG518+BMILMS!$G$10,BMILMS!$D$11*AG518^3+BMILMS!$E$11*AG518^2+BMILMS!$F$11*AG518+BMILMS!$G$11)))</f>
        <v>0.79584630099999998</v>
      </c>
      <c r="AE518" s="24">
        <f>IF(D518="M",(IF(AG518&lt;2.5,BMILMS!$D$21*AG518^3+BMILMS!$E$21*AG518^2+BMILMS!$F$21*AG518+BMILMS!$G$21,IF(AG518&lt;9.5,BMILMS!$D$22*AG518^3+BMILMS!$E$22*AG518^2+BMILMS!$F$22*AG518+BMILMS!$G$22,IF(AG518&lt;26.75,BMILMS!$D$23*AG518^3+BMILMS!$E$23*AG518^2+BMILMS!$F$23*AG518+BMILMS!$G$23,IF(AG518&lt;90,BMILMS!$D$24*AG518^3+BMILMS!$E$24*AG518^2+BMILMS!$F$24*AG518+BMILMS!$G$24,BMILMS!$D$25*AG518^3+BMILMS!$E$25*AG518^2+BMILMS!$F$25*AG518+BMILMS!$G$25))))),(IF(AG518&lt;2.5,BMILMS!$D$27*AG518^3+BMILMS!$E$27*AG518^2+BMILMS!$F$27*AG518+BMILMS!$G$27,IF(AG518&lt;9.5,BMILMS!$D$28*AG518^3+BMILMS!$E$28*AG518^2+BMILMS!$F$28*AG518+BMILMS!$G$28,IF(AG518&lt;26.75,BMILMS!$D$29*AG518^3+BMILMS!$E$29*AG518^2+BMILMS!$F$29*AG518+BMILMS!$G$29,IF(AG518&lt;90,BMILMS!$D$30*AG518^3+BMILMS!$E$30*AG518^2+BMILMS!$F$30*AG518+BMILMS!$G$30,IF(AG518&lt;150,BMILMS!$D$31*AG518^3+BMILMS!$E$31*AG518^2+BMILMS!$F$31*AG518+BMILMS!$G$31,BMILMS!$D$32*AG518^3+BMILMS!$E$32*AG518^2+BMILMS!$F$32*AG518+BMILMS!$G$32)))))))</f>
        <v>12.568967990000001</v>
      </c>
      <c r="AF518" s="24">
        <f>IF(D518="M",(IF(AG518&lt;90,BMILMS!$D$14*AG518^3+BMILMS!$E$14*AG518^2+BMILMS!$F$14*AG518+BMILMS!$G$14,BMILMS!$D$15*AG518^3+BMILMS!$E$15*AG518^2+BMILMS!$F$15*AG518+BMILMS!$G$15)),(IF(AG518&lt;90,BMILMS!$D$17*AG518^3+BMILMS!$E$17*AG518^2+BMILMS!$F$17*AG518+BMILMS!$G$17,BMILMS!$D$18*AG518^3+BMILMS!$E$18*AG518^2+BMILMS!$F$18*AG518+BMILMS!$G$18)))</f>
        <v>8.8969350000000003E-2</v>
      </c>
      <c r="AG518" s="24">
        <f t="shared" si="128"/>
        <v>0</v>
      </c>
      <c r="AI518" s="38">
        <f>IF(D518="M",WeightSDS!P$5*$AG518^7+WeightSDS!Q$5*$AG518^6+WeightSDS!R$5*$AG518^5+WeightSDS!S$5*$AG518^4+WeightSDS!T$5*$AG518^3+WeightSDS!U$5*$AG518^2+WeightSDS!V$5*$AG518+WeightSDS!W$5,IF($AG518&lt;186,WeightSDS!P$8*$AG518^7+WeightSDS!Q$8*$AG518^6+WeightSDS!R$8*$AG518^5+WeightSDS!S$8*$AG518^4+WeightSDS!T$8*$AG518^3+WeightSDS!U$8*$AG518^2+WeightSDS!V$8*$AG518+WeightSDS!W$8,WeightSDS!$U$9-WeightSDS!$V$9*($AG518-WeightSDS!$W$9)))</f>
        <v>0.75407122999999998</v>
      </c>
      <c r="AJ518" s="24">
        <f>IF(D518="M",IF($AG518&lt;45,WeightSDS!M$23*$AG518^10+WeightSDS!N$23*$AG518^9+WeightSDS!O$23*$AG518^8+WeightSDS!P$23*$AG518^7+WeightSDS!Q$23*$AG518^6+WeightSDS!R$23*$AG518^5+WeightSDS!S$23*$AG518^4+WeightSDS!T$23*$AG518^3+WeightSDS!U$23*$AG518^2+WeightSDS!V$23*$AG518+WeightSDS!W$23,IF($AG518&lt;153,WeightSDS!M$25*$AG518^10+WeightSDS!N$25*$AG518^9+WeightSDS!O$25*$AG518^8+WeightSDS!P$25*$AG518^7+WeightSDS!Q$25*$AG518^6+WeightSDS!R$25*$AG518^5+WeightSDS!S$25*$AG518^4+WeightSDS!T$25*$AG518^3+WeightSDS!U$25*$AG518^2+WeightSDS!V$25*$AG518+WeightSDS!W$25,WeightSDS!M$27+WeightSDS!N$27/(1+EXP(WeightSDS!O$27+WeightSDS!P$27*$AG518)))),IF($AG518&lt;43.8,WeightSDS!M$29*$AG518^10+WeightSDS!N$29*$AG518^9+WeightSDS!O$29*$AG518^8+WeightSDS!P$29*$AG518^7+WeightSDS!Q$29*$AG518^6+WeightSDS!R$29*$AG518^5+WeightSDS!S$29*$AG518^4+WeightSDS!T$29*$AG518^3+WeightSDS!U$29*$AG518^2+WeightSDS!V$29*$AG518+WeightSDS!W$29-0.010431*(1-$AG518/210),IF($AG518&lt;123,WeightSDS!M$30*$AG518^10+WeightSDS!N$30*$AG518^9+WeightSDS!O$30*$AG518^8+WeightSDS!P$30*$AG518^7+WeightSDS!Q$30*$AG518^6+WeightSDS!R$30*$AG518^5+WeightSDS!S$30*$AG518^4+WeightSDS!T$30*$AG518^3+WeightSDS!U$30*$AG518^2+WeightSDS!V$30*$AG518+WeightSDS!W$30-0.010431*(1-1/$AG518),WeightSDS!M$32+WeightSDS!N$32/(1+EXP(WeightSDS!O$32+WeightSDS!P$32*$AG518))-0.010431*(1-$AG518/210))))</f>
        <v>2.9500001032655536</v>
      </c>
      <c r="AK518" s="24">
        <f>IF(D518="M",IF($AG518&lt;162,WeightSDS!P$12*$AG518^7+WeightSDS!Q$12*$AG518^6+WeightSDS!R$12*$AG518^5+WeightSDS!S$12*$AG518^4+WeightSDS!T$12*$AG518^3+WeightSDS!U$12*$AG518^2+WeightSDS!V$12*$AG518+WeightSDS!W$12,WeightSDS!P$14*$AG518^7+WeightSDS!Q$14*$AG518^6+WeightSDS!R$14*$AG518^5+WeightSDS!S$14*$AG518^4+WeightSDS!T$14*$AG518^3+WeightSDS!U$14*$AG518^2+WeightSDS!V$14*$AG518+WeightSDS!W$14),IF($AG518&lt;156,WeightSDS!O$17*$AG518^8+WeightSDS!P$17*$AG518^7+WeightSDS!Q$17*$AG518^6+WeightSDS!R$17*$AG518^5+WeightSDS!S$17*$AG518^4+WeightSDS!T$17*$AG518^3+WeightSDS!U$17*$AG518^2+WeightSDS!V$17*$AG518+WeightSDS!W$17,IF($AG518&lt;186,WeightSDS!$U$18+(WeightSDS!$V$18-WeightSDS!$U$18)/24*($AG518-186)+WeightSDS!$W$18*(-$AG518+186)^2-0.005,WeightSDS!$U$18+(WeightSDS!$V$18-WeightSDS!$U$18)/24*($AG518-186)-0.005)))</f>
        <v>0.14604529399999999</v>
      </c>
    </row>
    <row r="519" spans="1:37">
      <c r="A519" s="4"/>
      <c r="B519" s="21"/>
      <c r="C519" s="21"/>
      <c r="D519" s="21"/>
      <c r="E519" s="22"/>
      <c r="F519" s="22"/>
      <c r="G519" s="23"/>
      <c r="H519" s="23"/>
      <c r="I519" s="8" t="str">
        <f t="shared" si="130"/>
        <v/>
      </c>
      <c r="J519" s="2" t="str">
        <f t="shared" si="137"/>
        <v/>
      </c>
      <c r="K519" s="2" t="str">
        <f t="shared" si="131"/>
        <v/>
      </c>
      <c r="L519" s="2" t="str">
        <f t="shared" si="138"/>
        <v/>
      </c>
      <c r="M519" s="2" t="str">
        <f t="shared" si="127"/>
        <v/>
      </c>
      <c r="N519" s="2" t="str">
        <f t="shared" si="139"/>
        <v/>
      </c>
      <c r="O519" s="8" t="str">
        <f t="shared" si="140"/>
        <v/>
      </c>
      <c r="P519" s="8" t="str">
        <f t="shared" si="141"/>
        <v/>
      </c>
      <c r="Q519" s="40" t="str">
        <f t="shared" si="132"/>
        <v/>
      </c>
      <c r="R519" s="48" t="str">
        <f t="shared" si="142"/>
        <v/>
      </c>
      <c r="S519" s="8"/>
      <c r="U519" s="35">
        <f t="shared" si="133"/>
        <v>0</v>
      </c>
      <c r="V519" s="24">
        <f t="shared" si="134"/>
        <v>0</v>
      </c>
      <c r="W519" s="41">
        <f t="shared" si="129"/>
        <v>0</v>
      </c>
      <c r="X519" s="31"/>
      <c r="Y519" s="31"/>
      <c r="Z519" s="31"/>
      <c r="AA519" s="25">
        <f t="shared" si="135"/>
        <v>9.0359999999999996</v>
      </c>
      <c r="AB519" s="25">
        <f t="shared" si="136"/>
        <v>-184.49199999999999</v>
      </c>
      <c r="AD519" s="24">
        <f>IF(D519="M",IF(AG519&lt;78,BMILMS!$D$5*AG519^3+BMILMS!$E$5*AG519^2+BMILMS!$F$5*AG519+BMILMS!$G$5,IF(AG519&lt;150,BMILMS!$D$6*AG519^3+BMILMS!$E$6*AG519^2+BMILMS!$F$6*AG519+BMILMS!$G$6,BMILMS!$D$7*AG519^3+BMILMS!$E$7*AG519^2+BMILMS!$F$7*AG519+BMILMS!$G$7)),IF(AG519&lt;69,BMILMS!$D$9*AG519^3+BMILMS!$E$9*AG519^2+BMILMS!$F$9*AG519+BMILMS!$G$9,IF(AG519&lt;150,BMILMS!$D$10*AG519^3+BMILMS!$E$10*AG519^2+BMILMS!$F$10*AG519+BMILMS!$G$10,BMILMS!$D$11*AG519^3+BMILMS!$E$11*AG519^2+BMILMS!$F$11*AG519+BMILMS!$G$11)))</f>
        <v>0.79584630099999998</v>
      </c>
      <c r="AE519" s="24">
        <f>IF(D519="M",(IF(AG519&lt;2.5,BMILMS!$D$21*AG519^3+BMILMS!$E$21*AG519^2+BMILMS!$F$21*AG519+BMILMS!$G$21,IF(AG519&lt;9.5,BMILMS!$D$22*AG519^3+BMILMS!$E$22*AG519^2+BMILMS!$F$22*AG519+BMILMS!$G$22,IF(AG519&lt;26.75,BMILMS!$D$23*AG519^3+BMILMS!$E$23*AG519^2+BMILMS!$F$23*AG519+BMILMS!$G$23,IF(AG519&lt;90,BMILMS!$D$24*AG519^3+BMILMS!$E$24*AG519^2+BMILMS!$F$24*AG519+BMILMS!$G$24,BMILMS!$D$25*AG519^3+BMILMS!$E$25*AG519^2+BMILMS!$F$25*AG519+BMILMS!$G$25))))),(IF(AG519&lt;2.5,BMILMS!$D$27*AG519^3+BMILMS!$E$27*AG519^2+BMILMS!$F$27*AG519+BMILMS!$G$27,IF(AG519&lt;9.5,BMILMS!$D$28*AG519^3+BMILMS!$E$28*AG519^2+BMILMS!$F$28*AG519+BMILMS!$G$28,IF(AG519&lt;26.75,BMILMS!$D$29*AG519^3+BMILMS!$E$29*AG519^2+BMILMS!$F$29*AG519+BMILMS!$G$29,IF(AG519&lt;90,BMILMS!$D$30*AG519^3+BMILMS!$E$30*AG519^2+BMILMS!$F$30*AG519+BMILMS!$G$30,IF(AG519&lt;150,BMILMS!$D$31*AG519^3+BMILMS!$E$31*AG519^2+BMILMS!$F$31*AG519+BMILMS!$G$31,BMILMS!$D$32*AG519^3+BMILMS!$E$32*AG519^2+BMILMS!$F$32*AG519+BMILMS!$G$32)))))))</f>
        <v>12.568967990000001</v>
      </c>
      <c r="AF519" s="24">
        <f>IF(D519="M",(IF(AG519&lt;90,BMILMS!$D$14*AG519^3+BMILMS!$E$14*AG519^2+BMILMS!$F$14*AG519+BMILMS!$G$14,BMILMS!$D$15*AG519^3+BMILMS!$E$15*AG519^2+BMILMS!$F$15*AG519+BMILMS!$G$15)),(IF(AG519&lt;90,BMILMS!$D$17*AG519^3+BMILMS!$E$17*AG519^2+BMILMS!$F$17*AG519+BMILMS!$G$17,BMILMS!$D$18*AG519^3+BMILMS!$E$18*AG519^2+BMILMS!$F$18*AG519+BMILMS!$G$18)))</f>
        <v>8.8969350000000003E-2</v>
      </c>
      <c r="AG519" s="24">
        <f t="shared" si="128"/>
        <v>0</v>
      </c>
      <c r="AI519" s="38">
        <f>IF(D519="M",WeightSDS!P$5*$AG519^7+WeightSDS!Q$5*$AG519^6+WeightSDS!R$5*$AG519^5+WeightSDS!S$5*$AG519^4+WeightSDS!T$5*$AG519^3+WeightSDS!U$5*$AG519^2+WeightSDS!V$5*$AG519+WeightSDS!W$5,IF($AG519&lt;186,WeightSDS!P$8*$AG519^7+WeightSDS!Q$8*$AG519^6+WeightSDS!R$8*$AG519^5+WeightSDS!S$8*$AG519^4+WeightSDS!T$8*$AG519^3+WeightSDS!U$8*$AG519^2+WeightSDS!V$8*$AG519+WeightSDS!W$8,WeightSDS!$U$9-WeightSDS!$V$9*($AG519-WeightSDS!$W$9)))</f>
        <v>0.75407122999999998</v>
      </c>
      <c r="AJ519" s="24">
        <f>IF(D519="M",IF($AG519&lt;45,WeightSDS!M$23*$AG519^10+WeightSDS!N$23*$AG519^9+WeightSDS!O$23*$AG519^8+WeightSDS!P$23*$AG519^7+WeightSDS!Q$23*$AG519^6+WeightSDS!R$23*$AG519^5+WeightSDS!S$23*$AG519^4+WeightSDS!T$23*$AG519^3+WeightSDS!U$23*$AG519^2+WeightSDS!V$23*$AG519+WeightSDS!W$23,IF($AG519&lt;153,WeightSDS!M$25*$AG519^10+WeightSDS!N$25*$AG519^9+WeightSDS!O$25*$AG519^8+WeightSDS!P$25*$AG519^7+WeightSDS!Q$25*$AG519^6+WeightSDS!R$25*$AG519^5+WeightSDS!S$25*$AG519^4+WeightSDS!T$25*$AG519^3+WeightSDS!U$25*$AG519^2+WeightSDS!V$25*$AG519+WeightSDS!W$25,WeightSDS!M$27+WeightSDS!N$27/(1+EXP(WeightSDS!O$27+WeightSDS!P$27*$AG519)))),IF($AG519&lt;43.8,WeightSDS!M$29*$AG519^10+WeightSDS!N$29*$AG519^9+WeightSDS!O$29*$AG519^8+WeightSDS!P$29*$AG519^7+WeightSDS!Q$29*$AG519^6+WeightSDS!R$29*$AG519^5+WeightSDS!S$29*$AG519^4+WeightSDS!T$29*$AG519^3+WeightSDS!U$29*$AG519^2+WeightSDS!V$29*$AG519+WeightSDS!W$29-0.010431*(1-$AG519/210),IF($AG519&lt;123,WeightSDS!M$30*$AG519^10+WeightSDS!N$30*$AG519^9+WeightSDS!O$30*$AG519^8+WeightSDS!P$30*$AG519^7+WeightSDS!Q$30*$AG519^6+WeightSDS!R$30*$AG519^5+WeightSDS!S$30*$AG519^4+WeightSDS!T$30*$AG519^3+WeightSDS!U$30*$AG519^2+WeightSDS!V$30*$AG519+WeightSDS!W$30-0.010431*(1-1/$AG519),WeightSDS!M$32+WeightSDS!N$32/(1+EXP(WeightSDS!O$32+WeightSDS!P$32*$AG519))-0.010431*(1-$AG519/210))))</f>
        <v>2.9500001032655536</v>
      </c>
      <c r="AK519" s="24">
        <f>IF(D519="M",IF($AG519&lt;162,WeightSDS!P$12*$AG519^7+WeightSDS!Q$12*$AG519^6+WeightSDS!R$12*$AG519^5+WeightSDS!S$12*$AG519^4+WeightSDS!T$12*$AG519^3+WeightSDS!U$12*$AG519^2+WeightSDS!V$12*$AG519+WeightSDS!W$12,WeightSDS!P$14*$AG519^7+WeightSDS!Q$14*$AG519^6+WeightSDS!R$14*$AG519^5+WeightSDS!S$14*$AG519^4+WeightSDS!T$14*$AG519^3+WeightSDS!U$14*$AG519^2+WeightSDS!V$14*$AG519+WeightSDS!W$14),IF($AG519&lt;156,WeightSDS!O$17*$AG519^8+WeightSDS!P$17*$AG519^7+WeightSDS!Q$17*$AG519^6+WeightSDS!R$17*$AG519^5+WeightSDS!S$17*$AG519^4+WeightSDS!T$17*$AG519^3+WeightSDS!U$17*$AG519^2+WeightSDS!V$17*$AG519+WeightSDS!W$17,IF($AG519&lt;186,WeightSDS!$U$18+(WeightSDS!$V$18-WeightSDS!$U$18)/24*($AG519-186)+WeightSDS!$W$18*(-$AG519+186)^2-0.005,WeightSDS!$U$18+(WeightSDS!$V$18-WeightSDS!$U$18)/24*($AG519-186)-0.005)))</f>
        <v>0.14604529399999999</v>
      </c>
    </row>
    <row r="520" spans="1:37">
      <c r="A520" s="4"/>
      <c r="B520" s="21"/>
      <c r="C520" s="21"/>
      <c r="D520" s="21"/>
      <c r="E520" s="22"/>
      <c r="F520" s="22"/>
      <c r="G520" s="23"/>
      <c r="H520" s="23"/>
      <c r="I520" s="8" t="str">
        <f t="shared" si="130"/>
        <v/>
      </c>
      <c r="J520" s="2" t="str">
        <f t="shared" si="137"/>
        <v/>
      </c>
      <c r="K520" s="2" t="str">
        <f t="shared" si="131"/>
        <v/>
      </c>
      <c r="L520" s="2" t="str">
        <f t="shared" si="138"/>
        <v/>
      </c>
      <c r="M520" s="2" t="str">
        <f t="shared" ref="M520:M583" si="143">IF(COUNTA(D520,E520,F520,G520,H520)=5,H520/G520^2*10000,"")</f>
        <v/>
      </c>
      <c r="N520" s="2" t="str">
        <f t="shared" si="139"/>
        <v/>
      </c>
      <c r="O520" s="8" t="str">
        <f t="shared" si="140"/>
        <v/>
      </c>
      <c r="P520" s="8" t="str">
        <f t="shared" si="141"/>
        <v/>
      </c>
      <c r="Q520" s="40" t="str">
        <f t="shared" si="132"/>
        <v/>
      </c>
      <c r="R520" s="48" t="str">
        <f t="shared" si="142"/>
        <v/>
      </c>
      <c r="S520" s="8"/>
      <c r="U520" s="35">
        <f t="shared" si="133"/>
        <v>0</v>
      </c>
      <c r="V520" s="24">
        <f t="shared" si="134"/>
        <v>0</v>
      </c>
      <c r="W520" s="41">
        <f t="shared" si="129"/>
        <v>0</v>
      </c>
      <c r="X520" s="31"/>
      <c r="Y520" s="31"/>
      <c r="Z520" s="31"/>
      <c r="AA520" s="25">
        <f t="shared" si="135"/>
        <v>9.0359999999999996</v>
      </c>
      <c r="AB520" s="25">
        <f t="shared" si="136"/>
        <v>-184.49199999999999</v>
      </c>
      <c r="AD520" s="24">
        <f>IF(D520="M",IF(AG520&lt;78,BMILMS!$D$5*AG520^3+BMILMS!$E$5*AG520^2+BMILMS!$F$5*AG520+BMILMS!$G$5,IF(AG520&lt;150,BMILMS!$D$6*AG520^3+BMILMS!$E$6*AG520^2+BMILMS!$F$6*AG520+BMILMS!$G$6,BMILMS!$D$7*AG520^3+BMILMS!$E$7*AG520^2+BMILMS!$F$7*AG520+BMILMS!$G$7)),IF(AG520&lt;69,BMILMS!$D$9*AG520^3+BMILMS!$E$9*AG520^2+BMILMS!$F$9*AG520+BMILMS!$G$9,IF(AG520&lt;150,BMILMS!$D$10*AG520^3+BMILMS!$E$10*AG520^2+BMILMS!$F$10*AG520+BMILMS!$G$10,BMILMS!$D$11*AG520^3+BMILMS!$E$11*AG520^2+BMILMS!$F$11*AG520+BMILMS!$G$11)))</f>
        <v>0.79584630099999998</v>
      </c>
      <c r="AE520" s="24">
        <f>IF(D520="M",(IF(AG520&lt;2.5,BMILMS!$D$21*AG520^3+BMILMS!$E$21*AG520^2+BMILMS!$F$21*AG520+BMILMS!$G$21,IF(AG520&lt;9.5,BMILMS!$D$22*AG520^3+BMILMS!$E$22*AG520^2+BMILMS!$F$22*AG520+BMILMS!$G$22,IF(AG520&lt;26.75,BMILMS!$D$23*AG520^3+BMILMS!$E$23*AG520^2+BMILMS!$F$23*AG520+BMILMS!$G$23,IF(AG520&lt;90,BMILMS!$D$24*AG520^3+BMILMS!$E$24*AG520^2+BMILMS!$F$24*AG520+BMILMS!$G$24,BMILMS!$D$25*AG520^3+BMILMS!$E$25*AG520^2+BMILMS!$F$25*AG520+BMILMS!$G$25))))),(IF(AG520&lt;2.5,BMILMS!$D$27*AG520^3+BMILMS!$E$27*AG520^2+BMILMS!$F$27*AG520+BMILMS!$G$27,IF(AG520&lt;9.5,BMILMS!$D$28*AG520^3+BMILMS!$E$28*AG520^2+BMILMS!$F$28*AG520+BMILMS!$G$28,IF(AG520&lt;26.75,BMILMS!$D$29*AG520^3+BMILMS!$E$29*AG520^2+BMILMS!$F$29*AG520+BMILMS!$G$29,IF(AG520&lt;90,BMILMS!$D$30*AG520^3+BMILMS!$E$30*AG520^2+BMILMS!$F$30*AG520+BMILMS!$G$30,IF(AG520&lt;150,BMILMS!$D$31*AG520^3+BMILMS!$E$31*AG520^2+BMILMS!$F$31*AG520+BMILMS!$G$31,BMILMS!$D$32*AG520^3+BMILMS!$E$32*AG520^2+BMILMS!$F$32*AG520+BMILMS!$G$32)))))))</f>
        <v>12.568967990000001</v>
      </c>
      <c r="AF520" s="24">
        <f>IF(D520="M",(IF(AG520&lt;90,BMILMS!$D$14*AG520^3+BMILMS!$E$14*AG520^2+BMILMS!$F$14*AG520+BMILMS!$G$14,BMILMS!$D$15*AG520^3+BMILMS!$E$15*AG520^2+BMILMS!$F$15*AG520+BMILMS!$G$15)),(IF(AG520&lt;90,BMILMS!$D$17*AG520^3+BMILMS!$E$17*AG520^2+BMILMS!$F$17*AG520+BMILMS!$G$17,BMILMS!$D$18*AG520^3+BMILMS!$E$18*AG520^2+BMILMS!$F$18*AG520+BMILMS!$G$18)))</f>
        <v>8.8969350000000003E-2</v>
      </c>
      <c r="AG520" s="24">
        <f t="shared" ref="AG520:AG583" si="144">U520*12+V520</f>
        <v>0</v>
      </c>
      <c r="AI520" s="38">
        <f>IF(D520="M",WeightSDS!P$5*$AG520^7+WeightSDS!Q$5*$AG520^6+WeightSDS!R$5*$AG520^5+WeightSDS!S$5*$AG520^4+WeightSDS!T$5*$AG520^3+WeightSDS!U$5*$AG520^2+WeightSDS!V$5*$AG520+WeightSDS!W$5,IF($AG520&lt;186,WeightSDS!P$8*$AG520^7+WeightSDS!Q$8*$AG520^6+WeightSDS!R$8*$AG520^5+WeightSDS!S$8*$AG520^4+WeightSDS!T$8*$AG520^3+WeightSDS!U$8*$AG520^2+WeightSDS!V$8*$AG520+WeightSDS!W$8,WeightSDS!$U$9-WeightSDS!$V$9*($AG520-WeightSDS!$W$9)))</f>
        <v>0.75407122999999998</v>
      </c>
      <c r="AJ520" s="24">
        <f>IF(D520="M",IF($AG520&lt;45,WeightSDS!M$23*$AG520^10+WeightSDS!N$23*$AG520^9+WeightSDS!O$23*$AG520^8+WeightSDS!P$23*$AG520^7+WeightSDS!Q$23*$AG520^6+WeightSDS!R$23*$AG520^5+WeightSDS!S$23*$AG520^4+WeightSDS!T$23*$AG520^3+WeightSDS!U$23*$AG520^2+WeightSDS!V$23*$AG520+WeightSDS!W$23,IF($AG520&lt;153,WeightSDS!M$25*$AG520^10+WeightSDS!N$25*$AG520^9+WeightSDS!O$25*$AG520^8+WeightSDS!P$25*$AG520^7+WeightSDS!Q$25*$AG520^6+WeightSDS!R$25*$AG520^5+WeightSDS!S$25*$AG520^4+WeightSDS!T$25*$AG520^3+WeightSDS!U$25*$AG520^2+WeightSDS!V$25*$AG520+WeightSDS!W$25,WeightSDS!M$27+WeightSDS!N$27/(1+EXP(WeightSDS!O$27+WeightSDS!P$27*$AG520)))),IF($AG520&lt;43.8,WeightSDS!M$29*$AG520^10+WeightSDS!N$29*$AG520^9+WeightSDS!O$29*$AG520^8+WeightSDS!P$29*$AG520^7+WeightSDS!Q$29*$AG520^6+WeightSDS!R$29*$AG520^5+WeightSDS!S$29*$AG520^4+WeightSDS!T$29*$AG520^3+WeightSDS!U$29*$AG520^2+WeightSDS!V$29*$AG520+WeightSDS!W$29-0.010431*(1-$AG520/210),IF($AG520&lt;123,WeightSDS!M$30*$AG520^10+WeightSDS!N$30*$AG520^9+WeightSDS!O$30*$AG520^8+WeightSDS!P$30*$AG520^7+WeightSDS!Q$30*$AG520^6+WeightSDS!R$30*$AG520^5+WeightSDS!S$30*$AG520^4+WeightSDS!T$30*$AG520^3+WeightSDS!U$30*$AG520^2+WeightSDS!V$30*$AG520+WeightSDS!W$30-0.010431*(1-1/$AG520),WeightSDS!M$32+WeightSDS!N$32/(1+EXP(WeightSDS!O$32+WeightSDS!P$32*$AG520))-0.010431*(1-$AG520/210))))</f>
        <v>2.9500001032655536</v>
      </c>
      <c r="AK520" s="24">
        <f>IF(D520="M",IF($AG520&lt;162,WeightSDS!P$12*$AG520^7+WeightSDS!Q$12*$AG520^6+WeightSDS!R$12*$AG520^5+WeightSDS!S$12*$AG520^4+WeightSDS!T$12*$AG520^3+WeightSDS!U$12*$AG520^2+WeightSDS!V$12*$AG520+WeightSDS!W$12,WeightSDS!P$14*$AG520^7+WeightSDS!Q$14*$AG520^6+WeightSDS!R$14*$AG520^5+WeightSDS!S$14*$AG520^4+WeightSDS!T$14*$AG520^3+WeightSDS!U$14*$AG520^2+WeightSDS!V$14*$AG520+WeightSDS!W$14),IF($AG520&lt;156,WeightSDS!O$17*$AG520^8+WeightSDS!P$17*$AG520^7+WeightSDS!Q$17*$AG520^6+WeightSDS!R$17*$AG520^5+WeightSDS!S$17*$AG520^4+WeightSDS!T$17*$AG520^3+WeightSDS!U$17*$AG520^2+WeightSDS!V$17*$AG520+WeightSDS!W$17,IF($AG520&lt;186,WeightSDS!$U$18+(WeightSDS!$V$18-WeightSDS!$U$18)/24*($AG520-186)+WeightSDS!$W$18*(-$AG520+186)^2-0.005,WeightSDS!$U$18+(WeightSDS!$V$18-WeightSDS!$U$18)/24*($AG520-186)-0.005)))</f>
        <v>0.14604529399999999</v>
      </c>
    </row>
    <row r="521" spans="1:37">
      <c r="A521" s="4"/>
      <c r="B521" s="21"/>
      <c r="C521" s="21"/>
      <c r="D521" s="21"/>
      <c r="E521" s="22"/>
      <c r="F521" s="22"/>
      <c r="G521" s="23"/>
      <c r="H521" s="23"/>
      <c r="I521" s="8" t="str">
        <f t="shared" si="130"/>
        <v/>
      </c>
      <c r="J521" s="2" t="str">
        <f t="shared" si="137"/>
        <v/>
      </c>
      <c r="K521" s="2" t="str">
        <f t="shared" si="131"/>
        <v/>
      </c>
      <c r="L521" s="2" t="str">
        <f t="shared" si="138"/>
        <v/>
      </c>
      <c r="M521" s="2" t="str">
        <f t="shared" si="143"/>
        <v/>
      </c>
      <c r="N521" s="2" t="str">
        <f t="shared" si="139"/>
        <v/>
      </c>
      <c r="O521" s="8" t="str">
        <f t="shared" si="140"/>
        <v/>
      </c>
      <c r="P521" s="8" t="str">
        <f t="shared" si="141"/>
        <v/>
      </c>
      <c r="Q521" s="40" t="str">
        <f t="shared" si="132"/>
        <v/>
      </c>
      <c r="R521" s="48" t="str">
        <f t="shared" si="142"/>
        <v/>
      </c>
      <c r="S521" s="8"/>
      <c r="U521" s="35">
        <f t="shared" si="133"/>
        <v>0</v>
      </c>
      <c r="V521" s="24">
        <f t="shared" si="134"/>
        <v>0</v>
      </c>
      <c r="W521" s="41">
        <f t="shared" si="129"/>
        <v>0</v>
      </c>
      <c r="X521" s="31"/>
      <c r="Y521" s="31"/>
      <c r="Z521" s="31"/>
      <c r="AA521" s="25">
        <f t="shared" si="135"/>
        <v>9.0359999999999996</v>
      </c>
      <c r="AB521" s="25">
        <f t="shared" si="136"/>
        <v>-184.49199999999999</v>
      </c>
      <c r="AD521" s="24">
        <f>IF(D521="M",IF(AG521&lt;78,BMILMS!$D$5*AG521^3+BMILMS!$E$5*AG521^2+BMILMS!$F$5*AG521+BMILMS!$G$5,IF(AG521&lt;150,BMILMS!$D$6*AG521^3+BMILMS!$E$6*AG521^2+BMILMS!$F$6*AG521+BMILMS!$G$6,BMILMS!$D$7*AG521^3+BMILMS!$E$7*AG521^2+BMILMS!$F$7*AG521+BMILMS!$G$7)),IF(AG521&lt;69,BMILMS!$D$9*AG521^3+BMILMS!$E$9*AG521^2+BMILMS!$F$9*AG521+BMILMS!$G$9,IF(AG521&lt;150,BMILMS!$D$10*AG521^3+BMILMS!$E$10*AG521^2+BMILMS!$F$10*AG521+BMILMS!$G$10,BMILMS!$D$11*AG521^3+BMILMS!$E$11*AG521^2+BMILMS!$F$11*AG521+BMILMS!$G$11)))</f>
        <v>0.79584630099999998</v>
      </c>
      <c r="AE521" s="24">
        <f>IF(D521="M",(IF(AG521&lt;2.5,BMILMS!$D$21*AG521^3+BMILMS!$E$21*AG521^2+BMILMS!$F$21*AG521+BMILMS!$G$21,IF(AG521&lt;9.5,BMILMS!$D$22*AG521^3+BMILMS!$E$22*AG521^2+BMILMS!$F$22*AG521+BMILMS!$G$22,IF(AG521&lt;26.75,BMILMS!$D$23*AG521^3+BMILMS!$E$23*AG521^2+BMILMS!$F$23*AG521+BMILMS!$G$23,IF(AG521&lt;90,BMILMS!$D$24*AG521^3+BMILMS!$E$24*AG521^2+BMILMS!$F$24*AG521+BMILMS!$G$24,BMILMS!$D$25*AG521^3+BMILMS!$E$25*AG521^2+BMILMS!$F$25*AG521+BMILMS!$G$25))))),(IF(AG521&lt;2.5,BMILMS!$D$27*AG521^3+BMILMS!$E$27*AG521^2+BMILMS!$F$27*AG521+BMILMS!$G$27,IF(AG521&lt;9.5,BMILMS!$D$28*AG521^3+BMILMS!$E$28*AG521^2+BMILMS!$F$28*AG521+BMILMS!$G$28,IF(AG521&lt;26.75,BMILMS!$D$29*AG521^3+BMILMS!$E$29*AG521^2+BMILMS!$F$29*AG521+BMILMS!$G$29,IF(AG521&lt;90,BMILMS!$D$30*AG521^3+BMILMS!$E$30*AG521^2+BMILMS!$F$30*AG521+BMILMS!$G$30,IF(AG521&lt;150,BMILMS!$D$31*AG521^3+BMILMS!$E$31*AG521^2+BMILMS!$F$31*AG521+BMILMS!$G$31,BMILMS!$D$32*AG521^3+BMILMS!$E$32*AG521^2+BMILMS!$F$32*AG521+BMILMS!$G$32)))))))</f>
        <v>12.568967990000001</v>
      </c>
      <c r="AF521" s="24">
        <f>IF(D521="M",(IF(AG521&lt;90,BMILMS!$D$14*AG521^3+BMILMS!$E$14*AG521^2+BMILMS!$F$14*AG521+BMILMS!$G$14,BMILMS!$D$15*AG521^3+BMILMS!$E$15*AG521^2+BMILMS!$F$15*AG521+BMILMS!$G$15)),(IF(AG521&lt;90,BMILMS!$D$17*AG521^3+BMILMS!$E$17*AG521^2+BMILMS!$F$17*AG521+BMILMS!$G$17,BMILMS!$D$18*AG521^3+BMILMS!$E$18*AG521^2+BMILMS!$F$18*AG521+BMILMS!$G$18)))</f>
        <v>8.8969350000000003E-2</v>
      </c>
      <c r="AG521" s="24">
        <f t="shared" si="144"/>
        <v>0</v>
      </c>
      <c r="AI521" s="38">
        <f>IF(D521="M",WeightSDS!P$5*$AG521^7+WeightSDS!Q$5*$AG521^6+WeightSDS!R$5*$AG521^5+WeightSDS!S$5*$AG521^4+WeightSDS!T$5*$AG521^3+WeightSDS!U$5*$AG521^2+WeightSDS!V$5*$AG521+WeightSDS!W$5,IF($AG521&lt;186,WeightSDS!P$8*$AG521^7+WeightSDS!Q$8*$AG521^6+WeightSDS!R$8*$AG521^5+WeightSDS!S$8*$AG521^4+WeightSDS!T$8*$AG521^3+WeightSDS!U$8*$AG521^2+WeightSDS!V$8*$AG521+WeightSDS!W$8,WeightSDS!$U$9-WeightSDS!$V$9*($AG521-WeightSDS!$W$9)))</f>
        <v>0.75407122999999998</v>
      </c>
      <c r="AJ521" s="24">
        <f>IF(D521="M",IF($AG521&lt;45,WeightSDS!M$23*$AG521^10+WeightSDS!N$23*$AG521^9+WeightSDS!O$23*$AG521^8+WeightSDS!P$23*$AG521^7+WeightSDS!Q$23*$AG521^6+WeightSDS!R$23*$AG521^5+WeightSDS!S$23*$AG521^4+WeightSDS!T$23*$AG521^3+WeightSDS!U$23*$AG521^2+WeightSDS!V$23*$AG521+WeightSDS!W$23,IF($AG521&lt;153,WeightSDS!M$25*$AG521^10+WeightSDS!N$25*$AG521^9+WeightSDS!O$25*$AG521^8+WeightSDS!P$25*$AG521^7+WeightSDS!Q$25*$AG521^6+WeightSDS!R$25*$AG521^5+WeightSDS!S$25*$AG521^4+WeightSDS!T$25*$AG521^3+WeightSDS!U$25*$AG521^2+WeightSDS!V$25*$AG521+WeightSDS!W$25,WeightSDS!M$27+WeightSDS!N$27/(1+EXP(WeightSDS!O$27+WeightSDS!P$27*$AG521)))),IF($AG521&lt;43.8,WeightSDS!M$29*$AG521^10+WeightSDS!N$29*$AG521^9+WeightSDS!O$29*$AG521^8+WeightSDS!P$29*$AG521^7+WeightSDS!Q$29*$AG521^6+WeightSDS!R$29*$AG521^5+WeightSDS!S$29*$AG521^4+WeightSDS!T$29*$AG521^3+WeightSDS!U$29*$AG521^2+WeightSDS!V$29*$AG521+WeightSDS!W$29-0.010431*(1-$AG521/210),IF($AG521&lt;123,WeightSDS!M$30*$AG521^10+WeightSDS!N$30*$AG521^9+WeightSDS!O$30*$AG521^8+WeightSDS!P$30*$AG521^7+WeightSDS!Q$30*$AG521^6+WeightSDS!R$30*$AG521^5+WeightSDS!S$30*$AG521^4+WeightSDS!T$30*$AG521^3+WeightSDS!U$30*$AG521^2+WeightSDS!V$30*$AG521+WeightSDS!W$30-0.010431*(1-1/$AG521),WeightSDS!M$32+WeightSDS!N$32/(1+EXP(WeightSDS!O$32+WeightSDS!P$32*$AG521))-0.010431*(1-$AG521/210))))</f>
        <v>2.9500001032655536</v>
      </c>
      <c r="AK521" s="24">
        <f>IF(D521="M",IF($AG521&lt;162,WeightSDS!P$12*$AG521^7+WeightSDS!Q$12*$AG521^6+WeightSDS!R$12*$AG521^5+WeightSDS!S$12*$AG521^4+WeightSDS!T$12*$AG521^3+WeightSDS!U$12*$AG521^2+WeightSDS!V$12*$AG521+WeightSDS!W$12,WeightSDS!P$14*$AG521^7+WeightSDS!Q$14*$AG521^6+WeightSDS!R$14*$AG521^5+WeightSDS!S$14*$AG521^4+WeightSDS!T$14*$AG521^3+WeightSDS!U$14*$AG521^2+WeightSDS!V$14*$AG521+WeightSDS!W$14),IF($AG521&lt;156,WeightSDS!O$17*$AG521^8+WeightSDS!P$17*$AG521^7+WeightSDS!Q$17*$AG521^6+WeightSDS!R$17*$AG521^5+WeightSDS!S$17*$AG521^4+WeightSDS!T$17*$AG521^3+WeightSDS!U$17*$AG521^2+WeightSDS!V$17*$AG521+WeightSDS!W$17,IF($AG521&lt;186,WeightSDS!$U$18+(WeightSDS!$V$18-WeightSDS!$U$18)/24*($AG521-186)+WeightSDS!$W$18*(-$AG521+186)^2-0.005,WeightSDS!$U$18+(WeightSDS!$V$18-WeightSDS!$U$18)/24*($AG521-186)-0.005)))</f>
        <v>0.14604529399999999</v>
      </c>
    </row>
    <row r="522" spans="1:37">
      <c r="A522" s="4"/>
      <c r="B522" s="21"/>
      <c r="C522" s="21"/>
      <c r="D522" s="21"/>
      <c r="E522" s="22"/>
      <c r="F522" s="22"/>
      <c r="G522" s="23"/>
      <c r="H522" s="23"/>
      <c r="I522" s="8" t="str">
        <f t="shared" si="130"/>
        <v/>
      </c>
      <c r="J522" s="2" t="str">
        <f t="shared" si="137"/>
        <v/>
      </c>
      <c r="K522" s="2" t="str">
        <f t="shared" si="131"/>
        <v/>
      </c>
      <c r="L522" s="2" t="str">
        <f t="shared" si="138"/>
        <v/>
      </c>
      <c r="M522" s="2" t="str">
        <f t="shared" si="143"/>
        <v/>
      </c>
      <c r="N522" s="2" t="str">
        <f t="shared" si="139"/>
        <v/>
      </c>
      <c r="O522" s="8" t="str">
        <f t="shared" si="140"/>
        <v/>
      </c>
      <c r="P522" s="8" t="str">
        <f t="shared" si="141"/>
        <v/>
      </c>
      <c r="Q522" s="40" t="str">
        <f t="shared" si="132"/>
        <v/>
      </c>
      <c r="R522" s="48" t="str">
        <f t="shared" si="142"/>
        <v/>
      </c>
      <c r="S522" s="8"/>
      <c r="U522" s="35">
        <f t="shared" si="133"/>
        <v>0</v>
      </c>
      <c r="V522" s="24">
        <f t="shared" si="134"/>
        <v>0</v>
      </c>
      <c r="W522" s="41">
        <f t="shared" si="129"/>
        <v>0</v>
      </c>
      <c r="X522" s="31"/>
      <c r="Y522" s="31"/>
      <c r="Z522" s="31"/>
      <c r="AA522" s="25">
        <f t="shared" si="135"/>
        <v>9.0359999999999996</v>
      </c>
      <c r="AB522" s="25">
        <f t="shared" si="136"/>
        <v>-184.49199999999999</v>
      </c>
      <c r="AD522" s="24">
        <f>IF(D522="M",IF(AG522&lt;78,BMILMS!$D$5*AG522^3+BMILMS!$E$5*AG522^2+BMILMS!$F$5*AG522+BMILMS!$G$5,IF(AG522&lt;150,BMILMS!$D$6*AG522^3+BMILMS!$E$6*AG522^2+BMILMS!$F$6*AG522+BMILMS!$G$6,BMILMS!$D$7*AG522^3+BMILMS!$E$7*AG522^2+BMILMS!$F$7*AG522+BMILMS!$G$7)),IF(AG522&lt;69,BMILMS!$D$9*AG522^3+BMILMS!$E$9*AG522^2+BMILMS!$F$9*AG522+BMILMS!$G$9,IF(AG522&lt;150,BMILMS!$D$10*AG522^3+BMILMS!$E$10*AG522^2+BMILMS!$F$10*AG522+BMILMS!$G$10,BMILMS!$D$11*AG522^3+BMILMS!$E$11*AG522^2+BMILMS!$F$11*AG522+BMILMS!$G$11)))</f>
        <v>0.79584630099999998</v>
      </c>
      <c r="AE522" s="24">
        <f>IF(D522="M",(IF(AG522&lt;2.5,BMILMS!$D$21*AG522^3+BMILMS!$E$21*AG522^2+BMILMS!$F$21*AG522+BMILMS!$G$21,IF(AG522&lt;9.5,BMILMS!$D$22*AG522^3+BMILMS!$E$22*AG522^2+BMILMS!$F$22*AG522+BMILMS!$G$22,IF(AG522&lt;26.75,BMILMS!$D$23*AG522^3+BMILMS!$E$23*AG522^2+BMILMS!$F$23*AG522+BMILMS!$G$23,IF(AG522&lt;90,BMILMS!$D$24*AG522^3+BMILMS!$E$24*AG522^2+BMILMS!$F$24*AG522+BMILMS!$G$24,BMILMS!$D$25*AG522^3+BMILMS!$E$25*AG522^2+BMILMS!$F$25*AG522+BMILMS!$G$25))))),(IF(AG522&lt;2.5,BMILMS!$D$27*AG522^3+BMILMS!$E$27*AG522^2+BMILMS!$F$27*AG522+BMILMS!$G$27,IF(AG522&lt;9.5,BMILMS!$D$28*AG522^3+BMILMS!$E$28*AG522^2+BMILMS!$F$28*AG522+BMILMS!$G$28,IF(AG522&lt;26.75,BMILMS!$D$29*AG522^3+BMILMS!$E$29*AG522^2+BMILMS!$F$29*AG522+BMILMS!$G$29,IF(AG522&lt;90,BMILMS!$D$30*AG522^3+BMILMS!$E$30*AG522^2+BMILMS!$F$30*AG522+BMILMS!$G$30,IF(AG522&lt;150,BMILMS!$D$31*AG522^3+BMILMS!$E$31*AG522^2+BMILMS!$F$31*AG522+BMILMS!$G$31,BMILMS!$D$32*AG522^3+BMILMS!$E$32*AG522^2+BMILMS!$F$32*AG522+BMILMS!$G$32)))))))</f>
        <v>12.568967990000001</v>
      </c>
      <c r="AF522" s="24">
        <f>IF(D522="M",(IF(AG522&lt;90,BMILMS!$D$14*AG522^3+BMILMS!$E$14*AG522^2+BMILMS!$F$14*AG522+BMILMS!$G$14,BMILMS!$D$15*AG522^3+BMILMS!$E$15*AG522^2+BMILMS!$F$15*AG522+BMILMS!$G$15)),(IF(AG522&lt;90,BMILMS!$D$17*AG522^3+BMILMS!$E$17*AG522^2+BMILMS!$F$17*AG522+BMILMS!$G$17,BMILMS!$D$18*AG522^3+BMILMS!$E$18*AG522^2+BMILMS!$F$18*AG522+BMILMS!$G$18)))</f>
        <v>8.8969350000000003E-2</v>
      </c>
      <c r="AG522" s="24">
        <f t="shared" si="144"/>
        <v>0</v>
      </c>
      <c r="AI522" s="38">
        <f>IF(D522="M",WeightSDS!P$5*$AG522^7+WeightSDS!Q$5*$AG522^6+WeightSDS!R$5*$AG522^5+WeightSDS!S$5*$AG522^4+WeightSDS!T$5*$AG522^3+WeightSDS!U$5*$AG522^2+WeightSDS!V$5*$AG522+WeightSDS!W$5,IF($AG522&lt;186,WeightSDS!P$8*$AG522^7+WeightSDS!Q$8*$AG522^6+WeightSDS!R$8*$AG522^5+WeightSDS!S$8*$AG522^4+WeightSDS!T$8*$AG522^3+WeightSDS!U$8*$AG522^2+WeightSDS!V$8*$AG522+WeightSDS!W$8,WeightSDS!$U$9-WeightSDS!$V$9*($AG522-WeightSDS!$W$9)))</f>
        <v>0.75407122999999998</v>
      </c>
      <c r="AJ522" s="24">
        <f>IF(D522="M",IF($AG522&lt;45,WeightSDS!M$23*$AG522^10+WeightSDS!N$23*$AG522^9+WeightSDS!O$23*$AG522^8+WeightSDS!P$23*$AG522^7+WeightSDS!Q$23*$AG522^6+WeightSDS!R$23*$AG522^5+WeightSDS!S$23*$AG522^4+WeightSDS!T$23*$AG522^3+WeightSDS!U$23*$AG522^2+WeightSDS!V$23*$AG522+WeightSDS!W$23,IF($AG522&lt;153,WeightSDS!M$25*$AG522^10+WeightSDS!N$25*$AG522^9+WeightSDS!O$25*$AG522^8+WeightSDS!P$25*$AG522^7+WeightSDS!Q$25*$AG522^6+WeightSDS!R$25*$AG522^5+WeightSDS!S$25*$AG522^4+WeightSDS!T$25*$AG522^3+WeightSDS!U$25*$AG522^2+WeightSDS!V$25*$AG522+WeightSDS!W$25,WeightSDS!M$27+WeightSDS!N$27/(1+EXP(WeightSDS!O$27+WeightSDS!P$27*$AG522)))),IF($AG522&lt;43.8,WeightSDS!M$29*$AG522^10+WeightSDS!N$29*$AG522^9+WeightSDS!O$29*$AG522^8+WeightSDS!P$29*$AG522^7+WeightSDS!Q$29*$AG522^6+WeightSDS!R$29*$AG522^5+WeightSDS!S$29*$AG522^4+WeightSDS!T$29*$AG522^3+WeightSDS!U$29*$AG522^2+WeightSDS!V$29*$AG522+WeightSDS!W$29-0.010431*(1-$AG522/210),IF($AG522&lt;123,WeightSDS!M$30*$AG522^10+WeightSDS!N$30*$AG522^9+WeightSDS!O$30*$AG522^8+WeightSDS!P$30*$AG522^7+WeightSDS!Q$30*$AG522^6+WeightSDS!R$30*$AG522^5+WeightSDS!S$30*$AG522^4+WeightSDS!T$30*$AG522^3+WeightSDS!U$30*$AG522^2+WeightSDS!V$30*$AG522+WeightSDS!W$30-0.010431*(1-1/$AG522),WeightSDS!M$32+WeightSDS!N$32/(1+EXP(WeightSDS!O$32+WeightSDS!P$32*$AG522))-0.010431*(1-$AG522/210))))</f>
        <v>2.9500001032655536</v>
      </c>
      <c r="AK522" s="24">
        <f>IF(D522="M",IF($AG522&lt;162,WeightSDS!P$12*$AG522^7+WeightSDS!Q$12*$AG522^6+WeightSDS!R$12*$AG522^5+WeightSDS!S$12*$AG522^4+WeightSDS!T$12*$AG522^3+WeightSDS!U$12*$AG522^2+WeightSDS!V$12*$AG522+WeightSDS!W$12,WeightSDS!P$14*$AG522^7+WeightSDS!Q$14*$AG522^6+WeightSDS!R$14*$AG522^5+WeightSDS!S$14*$AG522^4+WeightSDS!T$14*$AG522^3+WeightSDS!U$14*$AG522^2+WeightSDS!V$14*$AG522+WeightSDS!W$14),IF($AG522&lt;156,WeightSDS!O$17*$AG522^8+WeightSDS!P$17*$AG522^7+WeightSDS!Q$17*$AG522^6+WeightSDS!R$17*$AG522^5+WeightSDS!S$17*$AG522^4+WeightSDS!T$17*$AG522^3+WeightSDS!U$17*$AG522^2+WeightSDS!V$17*$AG522+WeightSDS!W$17,IF($AG522&lt;186,WeightSDS!$U$18+(WeightSDS!$V$18-WeightSDS!$U$18)/24*($AG522-186)+WeightSDS!$W$18*(-$AG522+186)^2-0.005,WeightSDS!$U$18+(WeightSDS!$V$18-WeightSDS!$U$18)/24*($AG522-186)-0.005)))</f>
        <v>0.14604529399999999</v>
      </c>
    </row>
    <row r="523" spans="1:37">
      <c r="A523" s="4"/>
      <c r="B523" s="21"/>
      <c r="C523" s="21"/>
      <c r="D523" s="21"/>
      <c r="E523" s="22"/>
      <c r="F523" s="22"/>
      <c r="G523" s="23"/>
      <c r="H523" s="23"/>
      <c r="I523" s="8" t="str">
        <f t="shared" si="130"/>
        <v/>
      </c>
      <c r="J523" s="2" t="str">
        <f t="shared" si="137"/>
        <v/>
      </c>
      <c r="K523" s="2" t="str">
        <f t="shared" si="131"/>
        <v/>
      </c>
      <c r="L523" s="2" t="str">
        <f t="shared" si="138"/>
        <v/>
      </c>
      <c r="M523" s="2" t="str">
        <f t="shared" si="143"/>
        <v/>
      </c>
      <c r="N523" s="2" t="str">
        <f t="shared" si="139"/>
        <v/>
      </c>
      <c r="O523" s="8" t="str">
        <f t="shared" si="140"/>
        <v/>
      </c>
      <c r="P523" s="8" t="str">
        <f t="shared" si="141"/>
        <v/>
      </c>
      <c r="Q523" s="40" t="str">
        <f t="shared" si="132"/>
        <v/>
      </c>
      <c r="R523" s="48" t="str">
        <f t="shared" si="142"/>
        <v/>
      </c>
      <c r="S523" s="8"/>
      <c r="U523" s="35">
        <f t="shared" si="133"/>
        <v>0</v>
      </c>
      <c r="V523" s="24">
        <f t="shared" si="134"/>
        <v>0</v>
      </c>
      <c r="W523" s="41">
        <f t="shared" si="129"/>
        <v>0</v>
      </c>
      <c r="X523" s="31"/>
      <c r="Y523" s="31"/>
      <c r="Z523" s="31"/>
      <c r="AA523" s="25">
        <f t="shared" si="135"/>
        <v>9.0359999999999996</v>
      </c>
      <c r="AB523" s="25">
        <f t="shared" si="136"/>
        <v>-184.49199999999999</v>
      </c>
      <c r="AD523" s="24">
        <f>IF(D523="M",IF(AG523&lt;78,BMILMS!$D$5*AG523^3+BMILMS!$E$5*AG523^2+BMILMS!$F$5*AG523+BMILMS!$G$5,IF(AG523&lt;150,BMILMS!$D$6*AG523^3+BMILMS!$E$6*AG523^2+BMILMS!$F$6*AG523+BMILMS!$G$6,BMILMS!$D$7*AG523^3+BMILMS!$E$7*AG523^2+BMILMS!$F$7*AG523+BMILMS!$G$7)),IF(AG523&lt;69,BMILMS!$D$9*AG523^3+BMILMS!$E$9*AG523^2+BMILMS!$F$9*AG523+BMILMS!$G$9,IF(AG523&lt;150,BMILMS!$D$10*AG523^3+BMILMS!$E$10*AG523^2+BMILMS!$F$10*AG523+BMILMS!$G$10,BMILMS!$D$11*AG523^3+BMILMS!$E$11*AG523^2+BMILMS!$F$11*AG523+BMILMS!$G$11)))</f>
        <v>0.79584630099999998</v>
      </c>
      <c r="AE523" s="24">
        <f>IF(D523="M",(IF(AG523&lt;2.5,BMILMS!$D$21*AG523^3+BMILMS!$E$21*AG523^2+BMILMS!$F$21*AG523+BMILMS!$G$21,IF(AG523&lt;9.5,BMILMS!$D$22*AG523^3+BMILMS!$E$22*AG523^2+BMILMS!$F$22*AG523+BMILMS!$G$22,IF(AG523&lt;26.75,BMILMS!$D$23*AG523^3+BMILMS!$E$23*AG523^2+BMILMS!$F$23*AG523+BMILMS!$G$23,IF(AG523&lt;90,BMILMS!$D$24*AG523^3+BMILMS!$E$24*AG523^2+BMILMS!$F$24*AG523+BMILMS!$G$24,BMILMS!$D$25*AG523^3+BMILMS!$E$25*AG523^2+BMILMS!$F$25*AG523+BMILMS!$G$25))))),(IF(AG523&lt;2.5,BMILMS!$D$27*AG523^3+BMILMS!$E$27*AG523^2+BMILMS!$F$27*AG523+BMILMS!$G$27,IF(AG523&lt;9.5,BMILMS!$D$28*AG523^3+BMILMS!$E$28*AG523^2+BMILMS!$F$28*AG523+BMILMS!$G$28,IF(AG523&lt;26.75,BMILMS!$D$29*AG523^3+BMILMS!$E$29*AG523^2+BMILMS!$F$29*AG523+BMILMS!$G$29,IF(AG523&lt;90,BMILMS!$D$30*AG523^3+BMILMS!$E$30*AG523^2+BMILMS!$F$30*AG523+BMILMS!$G$30,IF(AG523&lt;150,BMILMS!$D$31*AG523^3+BMILMS!$E$31*AG523^2+BMILMS!$F$31*AG523+BMILMS!$G$31,BMILMS!$D$32*AG523^3+BMILMS!$E$32*AG523^2+BMILMS!$F$32*AG523+BMILMS!$G$32)))))))</f>
        <v>12.568967990000001</v>
      </c>
      <c r="AF523" s="24">
        <f>IF(D523="M",(IF(AG523&lt;90,BMILMS!$D$14*AG523^3+BMILMS!$E$14*AG523^2+BMILMS!$F$14*AG523+BMILMS!$G$14,BMILMS!$D$15*AG523^3+BMILMS!$E$15*AG523^2+BMILMS!$F$15*AG523+BMILMS!$G$15)),(IF(AG523&lt;90,BMILMS!$D$17*AG523^3+BMILMS!$E$17*AG523^2+BMILMS!$F$17*AG523+BMILMS!$G$17,BMILMS!$D$18*AG523^3+BMILMS!$E$18*AG523^2+BMILMS!$F$18*AG523+BMILMS!$G$18)))</f>
        <v>8.8969350000000003E-2</v>
      </c>
      <c r="AG523" s="24">
        <f t="shared" si="144"/>
        <v>0</v>
      </c>
      <c r="AI523" s="38">
        <f>IF(D523="M",WeightSDS!P$5*$AG523^7+WeightSDS!Q$5*$AG523^6+WeightSDS!R$5*$AG523^5+WeightSDS!S$5*$AG523^4+WeightSDS!T$5*$AG523^3+WeightSDS!U$5*$AG523^2+WeightSDS!V$5*$AG523+WeightSDS!W$5,IF($AG523&lt;186,WeightSDS!P$8*$AG523^7+WeightSDS!Q$8*$AG523^6+WeightSDS!R$8*$AG523^5+WeightSDS!S$8*$AG523^4+WeightSDS!T$8*$AG523^3+WeightSDS!U$8*$AG523^2+WeightSDS!V$8*$AG523+WeightSDS!W$8,WeightSDS!$U$9-WeightSDS!$V$9*($AG523-WeightSDS!$W$9)))</f>
        <v>0.75407122999999998</v>
      </c>
      <c r="AJ523" s="24">
        <f>IF(D523="M",IF($AG523&lt;45,WeightSDS!M$23*$AG523^10+WeightSDS!N$23*$AG523^9+WeightSDS!O$23*$AG523^8+WeightSDS!P$23*$AG523^7+WeightSDS!Q$23*$AG523^6+WeightSDS!R$23*$AG523^5+WeightSDS!S$23*$AG523^4+WeightSDS!T$23*$AG523^3+WeightSDS!U$23*$AG523^2+WeightSDS!V$23*$AG523+WeightSDS!W$23,IF($AG523&lt;153,WeightSDS!M$25*$AG523^10+WeightSDS!N$25*$AG523^9+WeightSDS!O$25*$AG523^8+WeightSDS!P$25*$AG523^7+WeightSDS!Q$25*$AG523^6+WeightSDS!R$25*$AG523^5+WeightSDS!S$25*$AG523^4+WeightSDS!T$25*$AG523^3+WeightSDS!U$25*$AG523^2+WeightSDS!V$25*$AG523+WeightSDS!W$25,WeightSDS!M$27+WeightSDS!N$27/(1+EXP(WeightSDS!O$27+WeightSDS!P$27*$AG523)))),IF($AG523&lt;43.8,WeightSDS!M$29*$AG523^10+WeightSDS!N$29*$AG523^9+WeightSDS!O$29*$AG523^8+WeightSDS!P$29*$AG523^7+WeightSDS!Q$29*$AG523^6+WeightSDS!R$29*$AG523^5+WeightSDS!S$29*$AG523^4+WeightSDS!T$29*$AG523^3+WeightSDS!U$29*$AG523^2+WeightSDS!V$29*$AG523+WeightSDS!W$29-0.010431*(1-$AG523/210),IF($AG523&lt;123,WeightSDS!M$30*$AG523^10+WeightSDS!N$30*$AG523^9+WeightSDS!O$30*$AG523^8+WeightSDS!P$30*$AG523^7+WeightSDS!Q$30*$AG523^6+WeightSDS!R$30*$AG523^5+WeightSDS!S$30*$AG523^4+WeightSDS!T$30*$AG523^3+WeightSDS!U$30*$AG523^2+WeightSDS!V$30*$AG523+WeightSDS!W$30-0.010431*(1-1/$AG523),WeightSDS!M$32+WeightSDS!N$32/(1+EXP(WeightSDS!O$32+WeightSDS!P$32*$AG523))-0.010431*(1-$AG523/210))))</f>
        <v>2.9500001032655536</v>
      </c>
      <c r="AK523" s="24">
        <f>IF(D523="M",IF($AG523&lt;162,WeightSDS!P$12*$AG523^7+WeightSDS!Q$12*$AG523^6+WeightSDS!R$12*$AG523^5+WeightSDS!S$12*$AG523^4+WeightSDS!T$12*$AG523^3+WeightSDS!U$12*$AG523^2+WeightSDS!V$12*$AG523+WeightSDS!W$12,WeightSDS!P$14*$AG523^7+WeightSDS!Q$14*$AG523^6+WeightSDS!R$14*$AG523^5+WeightSDS!S$14*$AG523^4+WeightSDS!T$14*$AG523^3+WeightSDS!U$14*$AG523^2+WeightSDS!V$14*$AG523+WeightSDS!W$14),IF($AG523&lt;156,WeightSDS!O$17*$AG523^8+WeightSDS!P$17*$AG523^7+WeightSDS!Q$17*$AG523^6+WeightSDS!R$17*$AG523^5+WeightSDS!S$17*$AG523^4+WeightSDS!T$17*$AG523^3+WeightSDS!U$17*$AG523^2+WeightSDS!V$17*$AG523+WeightSDS!W$17,IF($AG523&lt;186,WeightSDS!$U$18+(WeightSDS!$V$18-WeightSDS!$U$18)/24*($AG523-186)+WeightSDS!$W$18*(-$AG523+186)^2-0.005,WeightSDS!$U$18+(WeightSDS!$V$18-WeightSDS!$U$18)/24*($AG523-186)-0.005)))</f>
        <v>0.14604529399999999</v>
      </c>
    </row>
    <row r="524" spans="1:37">
      <c r="A524" s="4"/>
      <c r="B524" s="21"/>
      <c r="C524" s="21"/>
      <c r="D524" s="21"/>
      <c r="E524" s="22"/>
      <c r="F524" s="22"/>
      <c r="G524" s="23"/>
      <c r="H524" s="23"/>
      <c r="I524" s="8" t="str">
        <f t="shared" si="130"/>
        <v/>
      </c>
      <c r="J524" s="2" t="str">
        <f t="shared" si="137"/>
        <v/>
      </c>
      <c r="K524" s="2" t="str">
        <f t="shared" si="131"/>
        <v/>
      </c>
      <c r="L524" s="2" t="str">
        <f t="shared" si="138"/>
        <v/>
      </c>
      <c r="M524" s="2" t="str">
        <f t="shared" si="143"/>
        <v/>
      </c>
      <c r="N524" s="2" t="str">
        <f t="shared" si="139"/>
        <v/>
      </c>
      <c r="O524" s="8" t="str">
        <f t="shared" si="140"/>
        <v/>
      </c>
      <c r="P524" s="8" t="str">
        <f t="shared" si="141"/>
        <v/>
      </c>
      <c r="Q524" s="40" t="str">
        <f t="shared" si="132"/>
        <v/>
      </c>
      <c r="R524" s="48" t="str">
        <f t="shared" si="142"/>
        <v/>
      </c>
      <c r="S524" s="8"/>
      <c r="U524" s="35">
        <f t="shared" si="133"/>
        <v>0</v>
      </c>
      <c r="V524" s="24">
        <f t="shared" si="134"/>
        <v>0</v>
      </c>
      <c r="W524" s="41">
        <f t="shared" si="129"/>
        <v>0</v>
      </c>
      <c r="X524" s="31"/>
      <c r="Y524" s="31"/>
      <c r="Z524" s="31"/>
      <c r="AA524" s="25">
        <f t="shared" si="135"/>
        <v>9.0359999999999996</v>
      </c>
      <c r="AB524" s="25">
        <f t="shared" si="136"/>
        <v>-184.49199999999999</v>
      </c>
      <c r="AD524" s="24">
        <f>IF(D524="M",IF(AG524&lt;78,BMILMS!$D$5*AG524^3+BMILMS!$E$5*AG524^2+BMILMS!$F$5*AG524+BMILMS!$G$5,IF(AG524&lt;150,BMILMS!$D$6*AG524^3+BMILMS!$E$6*AG524^2+BMILMS!$F$6*AG524+BMILMS!$G$6,BMILMS!$D$7*AG524^3+BMILMS!$E$7*AG524^2+BMILMS!$F$7*AG524+BMILMS!$G$7)),IF(AG524&lt;69,BMILMS!$D$9*AG524^3+BMILMS!$E$9*AG524^2+BMILMS!$F$9*AG524+BMILMS!$G$9,IF(AG524&lt;150,BMILMS!$D$10*AG524^3+BMILMS!$E$10*AG524^2+BMILMS!$F$10*AG524+BMILMS!$G$10,BMILMS!$D$11*AG524^3+BMILMS!$E$11*AG524^2+BMILMS!$F$11*AG524+BMILMS!$G$11)))</f>
        <v>0.79584630099999998</v>
      </c>
      <c r="AE524" s="24">
        <f>IF(D524="M",(IF(AG524&lt;2.5,BMILMS!$D$21*AG524^3+BMILMS!$E$21*AG524^2+BMILMS!$F$21*AG524+BMILMS!$G$21,IF(AG524&lt;9.5,BMILMS!$D$22*AG524^3+BMILMS!$E$22*AG524^2+BMILMS!$F$22*AG524+BMILMS!$G$22,IF(AG524&lt;26.75,BMILMS!$D$23*AG524^3+BMILMS!$E$23*AG524^2+BMILMS!$F$23*AG524+BMILMS!$G$23,IF(AG524&lt;90,BMILMS!$D$24*AG524^3+BMILMS!$E$24*AG524^2+BMILMS!$F$24*AG524+BMILMS!$G$24,BMILMS!$D$25*AG524^3+BMILMS!$E$25*AG524^2+BMILMS!$F$25*AG524+BMILMS!$G$25))))),(IF(AG524&lt;2.5,BMILMS!$D$27*AG524^3+BMILMS!$E$27*AG524^2+BMILMS!$F$27*AG524+BMILMS!$G$27,IF(AG524&lt;9.5,BMILMS!$D$28*AG524^3+BMILMS!$E$28*AG524^2+BMILMS!$F$28*AG524+BMILMS!$G$28,IF(AG524&lt;26.75,BMILMS!$D$29*AG524^3+BMILMS!$E$29*AG524^2+BMILMS!$F$29*AG524+BMILMS!$G$29,IF(AG524&lt;90,BMILMS!$D$30*AG524^3+BMILMS!$E$30*AG524^2+BMILMS!$F$30*AG524+BMILMS!$G$30,IF(AG524&lt;150,BMILMS!$D$31*AG524^3+BMILMS!$E$31*AG524^2+BMILMS!$F$31*AG524+BMILMS!$G$31,BMILMS!$D$32*AG524^3+BMILMS!$E$32*AG524^2+BMILMS!$F$32*AG524+BMILMS!$G$32)))))))</f>
        <v>12.568967990000001</v>
      </c>
      <c r="AF524" s="24">
        <f>IF(D524="M",(IF(AG524&lt;90,BMILMS!$D$14*AG524^3+BMILMS!$E$14*AG524^2+BMILMS!$F$14*AG524+BMILMS!$G$14,BMILMS!$D$15*AG524^3+BMILMS!$E$15*AG524^2+BMILMS!$F$15*AG524+BMILMS!$G$15)),(IF(AG524&lt;90,BMILMS!$D$17*AG524^3+BMILMS!$E$17*AG524^2+BMILMS!$F$17*AG524+BMILMS!$G$17,BMILMS!$D$18*AG524^3+BMILMS!$E$18*AG524^2+BMILMS!$F$18*AG524+BMILMS!$G$18)))</f>
        <v>8.8969350000000003E-2</v>
      </c>
      <c r="AG524" s="24">
        <f t="shared" si="144"/>
        <v>0</v>
      </c>
      <c r="AI524" s="38">
        <f>IF(D524="M",WeightSDS!P$5*$AG524^7+WeightSDS!Q$5*$AG524^6+WeightSDS!R$5*$AG524^5+WeightSDS!S$5*$AG524^4+WeightSDS!T$5*$AG524^3+WeightSDS!U$5*$AG524^2+WeightSDS!V$5*$AG524+WeightSDS!W$5,IF($AG524&lt;186,WeightSDS!P$8*$AG524^7+WeightSDS!Q$8*$AG524^6+WeightSDS!R$8*$AG524^5+WeightSDS!S$8*$AG524^4+WeightSDS!T$8*$AG524^3+WeightSDS!U$8*$AG524^2+WeightSDS!V$8*$AG524+WeightSDS!W$8,WeightSDS!$U$9-WeightSDS!$V$9*($AG524-WeightSDS!$W$9)))</f>
        <v>0.75407122999999998</v>
      </c>
      <c r="AJ524" s="24">
        <f>IF(D524="M",IF($AG524&lt;45,WeightSDS!M$23*$AG524^10+WeightSDS!N$23*$AG524^9+WeightSDS!O$23*$AG524^8+WeightSDS!P$23*$AG524^7+WeightSDS!Q$23*$AG524^6+WeightSDS!R$23*$AG524^5+WeightSDS!S$23*$AG524^4+WeightSDS!T$23*$AG524^3+WeightSDS!U$23*$AG524^2+WeightSDS!V$23*$AG524+WeightSDS!W$23,IF($AG524&lt;153,WeightSDS!M$25*$AG524^10+WeightSDS!N$25*$AG524^9+WeightSDS!O$25*$AG524^8+WeightSDS!P$25*$AG524^7+WeightSDS!Q$25*$AG524^6+WeightSDS!R$25*$AG524^5+WeightSDS!S$25*$AG524^4+WeightSDS!T$25*$AG524^3+WeightSDS!U$25*$AG524^2+WeightSDS!V$25*$AG524+WeightSDS!W$25,WeightSDS!M$27+WeightSDS!N$27/(1+EXP(WeightSDS!O$27+WeightSDS!P$27*$AG524)))),IF($AG524&lt;43.8,WeightSDS!M$29*$AG524^10+WeightSDS!N$29*$AG524^9+WeightSDS!O$29*$AG524^8+WeightSDS!P$29*$AG524^7+WeightSDS!Q$29*$AG524^6+WeightSDS!R$29*$AG524^5+WeightSDS!S$29*$AG524^4+WeightSDS!T$29*$AG524^3+WeightSDS!U$29*$AG524^2+WeightSDS!V$29*$AG524+WeightSDS!W$29-0.010431*(1-$AG524/210),IF($AG524&lt;123,WeightSDS!M$30*$AG524^10+WeightSDS!N$30*$AG524^9+WeightSDS!O$30*$AG524^8+WeightSDS!P$30*$AG524^7+WeightSDS!Q$30*$AG524^6+WeightSDS!R$30*$AG524^5+WeightSDS!S$30*$AG524^4+WeightSDS!T$30*$AG524^3+WeightSDS!U$30*$AG524^2+WeightSDS!V$30*$AG524+WeightSDS!W$30-0.010431*(1-1/$AG524),WeightSDS!M$32+WeightSDS!N$32/(1+EXP(WeightSDS!O$32+WeightSDS!P$32*$AG524))-0.010431*(1-$AG524/210))))</f>
        <v>2.9500001032655536</v>
      </c>
      <c r="AK524" s="24">
        <f>IF(D524="M",IF($AG524&lt;162,WeightSDS!P$12*$AG524^7+WeightSDS!Q$12*$AG524^6+WeightSDS!R$12*$AG524^5+WeightSDS!S$12*$AG524^4+WeightSDS!T$12*$AG524^3+WeightSDS!U$12*$AG524^2+WeightSDS!V$12*$AG524+WeightSDS!W$12,WeightSDS!P$14*$AG524^7+WeightSDS!Q$14*$AG524^6+WeightSDS!R$14*$AG524^5+WeightSDS!S$14*$AG524^4+WeightSDS!T$14*$AG524^3+WeightSDS!U$14*$AG524^2+WeightSDS!V$14*$AG524+WeightSDS!W$14),IF($AG524&lt;156,WeightSDS!O$17*$AG524^8+WeightSDS!P$17*$AG524^7+WeightSDS!Q$17*$AG524^6+WeightSDS!R$17*$AG524^5+WeightSDS!S$17*$AG524^4+WeightSDS!T$17*$AG524^3+WeightSDS!U$17*$AG524^2+WeightSDS!V$17*$AG524+WeightSDS!W$17,IF($AG524&lt;186,WeightSDS!$U$18+(WeightSDS!$V$18-WeightSDS!$U$18)/24*($AG524-186)+WeightSDS!$W$18*(-$AG524+186)^2-0.005,WeightSDS!$U$18+(WeightSDS!$V$18-WeightSDS!$U$18)/24*($AG524-186)-0.005)))</f>
        <v>0.14604529399999999</v>
      </c>
    </row>
    <row r="525" spans="1:37">
      <c r="A525" s="4"/>
      <c r="B525" s="21"/>
      <c r="C525" s="21"/>
      <c r="D525" s="21"/>
      <c r="E525" s="22"/>
      <c r="F525" s="22"/>
      <c r="G525" s="23"/>
      <c r="H525" s="23"/>
      <c r="I525" s="8" t="str">
        <f t="shared" si="130"/>
        <v/>
      </c>
      <c r="J525" s="2" t="str">
        <f t="shared" si="137"/>
        <v/>
      </c>
      <c r="K525" s="2" t="str">
        <f t="shared" si="131"/>
        <v/>
      </c>
      <c r="L525" s="2" t="str">
        <f t="shared" si="138"/>
        <v/>
      </c>
      <c r="M525" s="2" t="str">
        <f t="shared" si="143"/>
        <v/>
      </c>
      <c r="N525" s="2" t="str">
        <f t="shared" si="139"/>
        <v/>
      </c>
      <c r="O525" s="8" t="str">
        <f t="shared" si="140"/>
        <v/>
      </c>
      <c r="P525" s="8" t="str">
        <f t="shared" si="141"/>
        <v/>
      </c>
      <c r="Q525" s="40" t="str">
        <f t="shared" si="132"/>
        <v/>
      </c>
      <c r="R525" s="48" t="str">
        <f t="shared" si="142"/>
        <v/>
      </c>
      <c r="S525" s="8"/>
      <c r="U525" s="35">
        <f t="shared" si="133"/>
        <v>0</v>
      </c>
      <c r="V525" s="24">
        <f t="shared" si="134"/>
        <v>0</v>
      </c>
      <c r="W525" s="41">
        <f t="shared" si="129"/>
        <v>0</v>
      </c>
      <c r="X525" s="31"/>
      <c r="Y525" s="31"/>
      <c r="Z525" s="31"/>
      <c r="AA525" s="25">
        <f t="shared" si="135"/>
        <v>9.0359999999999996</v>
      </c>
      <c r="AB525" s="25">
        <f t="shared" si="136"/>
        <v>-184.49199999999999</v>
      </c>
      <c r="AD525" s="24">
        <f>IF(D525="M",IF(AG525&lt;78,BMILMS!$D$5*AG525^3+BMILMS!$E$5*AG525^2+BMILMS!$F$5*AG525+BMILMS!$G$5,IF(AG525&lt;150,BMILMS!$D$6*AG525^3+BMILMS!$E$6*AG525^2+BMILMS!$F$6*AG525+BMILMS!$G$6,BMILMS!$D$7*AG525^3+BMILMS!$E$7*AG525^2+BMILMS!$F$7*AG525+BMILMS!$G$7)),IF(AG525&lt;69,BMILMS!$D$9*AG525^3+BMILMS!$E$9*AG525^2+BMILMS!$F$9*AG525+BMILMS!$G$9,IF(AG525&lt;150,BMILMS!$D$10*AG525^3+BMILMS!$E$10*AG525^2+BMILMS!$F$10*AG525+BMILMS!$G$10,BMILMS!$D$11*AG525^3+BMILMS!$E$11*AG525^2+BMILMS!$F$11*AG525+BMILMS!$G$11)))</f>
        <v>0.79584630099999998</v>
      </c>
      <c r="AE525" s="24">
        <f>IF(D525="M",(IF(AG525&lt;2.5,BMILMS!$D$21*AG525^3+BMILMS!$E$21*AG525^2+BMILMS!$F$21*AG525+BMILMS!$G$21,IF(AG525&lt;9.5,BMILMS!$D$22*AG525^3+BMILMS!$E$22*AG525^2+BMILMS!$F$22*AG525+BMILMS!$G$22,IF(AG525&lt;26.75,BMILMS!$D$23*AG525^3+BMILMS!$E$23*AG525^2+BMILMS!$F$23*AG525+BMILMS!$G$23,IF(AG525&lt;90,BMILMS!$D$24*AG525^3+BMILMS!$E$24*AG525^2+BMILMS!$F$24*AG525+BMILMS!$G$24,BMILMS!$D$25*AG525^3+BMILMS!$E$25*AG525^2+BMILMS!$F$25*AG525+BMILMS!$G$25))))),(IF(AG525&lt;2.5,BMILMS!$D$27*AG525^3+BMILMS!$E$27*AG525^2+BMILMS!$F$27*AG525+BMILMS!$G$27,IF(AG525&lt;9.5,BMILMS!$D$28*AG525^3+BMILMS!$E$28*AG525^2+BMILMS!$F$28*AG525+BMILMS!$G$28,IF(AG525&lt;26.75,BMILMS!$D$29*AG525^3+BMILMS!$E$29*AG525^2+BMILMS!$F$29*AG525+BMILMS!$G$29,IF(AG525&lt;90,BMILMS!$D$30*AG525^3+BMILMS!$E$30*AG525^2+BMILMS!$F$30*AG525+BMILMS!$G$30,IF(AG525&lt;150,BMILMS!$D$31*AG525^3+BMILMS!$E$31*AG525^2+BMILMS!$F$31*AG525+BMILMS!$G$31,BMILMS!$D$32*AG525^3+BMILMS!$E$32*AG525^2+BMILMS!$F$32*AG525+BMILMS!$G$32)))))))</f>
        <v>12.568967990000001</v>
      </c>
      <c r="AF525" s="24">
        <f>IF(D525="M",(IF(AG525&lt;90,BMILMS!$D$14*AG525^3+BMILMS!$E$14*AG525^2+BMILMS!$F$14*AG525+BMILMS!$G$14,BMILMS!$D$15*AG525^3+BMILMS!$E$15*AG525^2+BMILMS!$F$15*AG525+BMILMS!$G$15)),(IF(AG525&lt;90,BMILMS!$D$17*AG525^3+BMILMS!$E$17*AG525^2+BMILMS!$F$17*AG525+BMILMS!$G$17,BMILMS!$D$18*AG525^3+BMILMS!$E$18*AG525^2+BMILMS!$F$18*AG525+BMILMS!$G$18)))</f>
        <v>8.8969350000000003E-2</v>
      </c>
      <c r="AG525" s="24">
        <f t="shared" si="144"/>
        <v>0</v>
      </c>
      <c r="AI525" s="38">
        <f>IF(D525="M",WeightSDS!P$5*$AG525^7+WeightSDS!Q$5*$AG525^6+WeightSDS!R$5*$AG525^5+WeightSDS!S$5*$AG525^4+WeightSDS!T$5*$AG525^3+WeightSDS!U$5*$AG525^2+WeightSDS!V$5*$AG525+WeightSDS!W$5,IF($AG525&lt;186,WeightSDS!P$8*$AG525^7+WeightSDS!Q$8*$AG525^6+WeightSDS!R$8*$AG525^5+WeightSDS!S$8*$AG525^4+WeightSDS!T$8*$AG525^3+WeightSDS!U$8*$AG525^2+WeightSDS!V$8*$AG525+WeightSDS!W$8,WeightSDS!$U$9-WeightSDS!$V$9*($AG525-WeightSDS!$W$9)))</f>
        <v>0.75407122999999998</v>
      </c>
      <c r="AJ525" s="24">
        <f>IF(D525="M",IF($AG525&lt;45,WeightSDS!M$23*$AG525^10+WeightSDS!N$23*$AG525^9+WeightSDS!O$23*$AG525^8+WeightSDS!P$23*$AG525^7+WeightSDS!Q$23*$AG525^6+WeightSDS!R$23*$AG525^5+WeightSDS!S$23*$AG525^4+WeightSDS!T$23*$AG525^3+WeightSDS!U$23*$AG525^2+WeightSDS!V$23*$AG525+WeightSDS!W$23,IF($AG525&lt;153,WeightSDS!M$25*$AG525^10+WeightSDS!N$25*$AG525^9+WeightSDS!O$25*$AG525^8+WeightSDS!P$25*$AG525^7+WeightSDS!Q$25*$AG525^6+WeightSDS!R$25*$AG525^5+WeightSDS!S$25*$AG525^4+WeightSDS!T$25*$AG525^3+WeightSDS!U$25*$AG525^2+WeightSDS!V$25*$AG525+WeightSDS!W$25,WeightSDS!M$27+WeightSDS!N$27/(1+EXP(WeightSDS!O$27+WeightSDS!P$27*$AG525)))),IF($AG525&lt;43.8,WeightSDS!M$29*$AG525^10+WeightSDS!N$29*$AG525^9+WeightSDS!O$29*$AG525^8+WeightSDS!P$29*$AG525^7+WeightSDS!Q$29*$AG525^6+WeightSDS!R$29*$AG525^5+WeightSDS!S$29*$AG525^4+WeightSDS!T$29*$AG525^3+WeightSDS!U$29*$AG525^2+WeightSDS!V$29*$AG525+WeightSDS!W$29-0.010431*(1-$AG525/210),IF($AG525&lt;123,WeightSDS!M$30*$AG525^10+WeightSDS!N$30*$AG525^9+WeightSDS!O$30*$AG525^8+WeightSDS!P$30*$AG525^7+WeightSDS!Q$30*$AG525^6+WeightSDS!R$30*$AG525^5+WeightSDS!S$30*$AG525^4+WeightSDS!T$30*$AG525^3+WeightSDS!U$30*$AG525^2+WeightSDS!V$30*$AG525+WeightSDS!W$30-0.010431*(1-1/$AG525),WeightSDS!M$32+WeightSDS!N$32/(1+EXP(WeightSDS!O$32+WeightSDS!P$32*$AG525))-0.010431*(1-$AG525/210))))</f>
        <v>2.9500001032655536</v>
      </c>
      <c r="AK525" s="24">
        <f>IF(D525="M",IF($AG525&lt;162,WeightSDS!P$12*$AG525^7+WeightSDS!Q$12*$AG525^6+WeightSDS!R$12*$AG525^5+WeightSDS!S$12*$AG525^4+WeightSDS!T$12*$AG525^3+WeightSDS!U$12*$AG525^2+WeightSDS!V$12*$AG525+WeightSDS!W$12,WeightSDS!P$14*$AG525^7+WeightSDS!Q$14*$AG525^6+WeightSDS!R$14*$AG525^5+WeightSDS!S$14*$AG525^4+WeightSDS!T$14*$AG525^3+WeightSDS!U$14*$AG525^2+WeightSDS!V$14*$AG525+WeightSDS!W$14),IF($AG525&lt;156,WeightSDS!O$17*$AG525^8+WeightSDS!P$17*$AG525^7+WeightSDS!Q$17*$AG525^6+WeightSDS!R$17*$AG525^5+WeightSDS!S$17*$AG525^4+WeightSDS!T$17*$AG525^3+WeightSDS!U$17*$AG525^2+WeightSDS!V$17*$AG525+WeightSDS!W$17,IF($AG525&lt;186,WeightSDS!$U$18+(WeightSDS!$V$18-WeightSDS!$U$18)/24*($AG525-186)+WeightSDS!$W$18*(-$AG525+186)^2-0.005,WeightSDS!$U$18+(WeightSDS!$V$18-WeightSDS!$U$18)/24*($AG525-186)-0.005)))</f>
        <v>0.14604529399999999</v>
      </c>
    </row>
    <row r="526" spans="1:37">
      <c r="A526" s="4"/>
      <c r="B526" s="21"/>
      <c r="C526" s="21"/>
      <c r="D526" s="21"/>
      <c r="E526" s="22"/>
      <c r="F526" s="22"/>
      <c r="G526" s="23"/>
      <c r="H526" s="23"/>
      <c r="I526" s="8" t="str">
        <f t="shared" si="130"/>
        <v/>
      </c>
      <c r="J526" s="2" t="str">
        <f t="shared" si="137"/>
        <v/>
      </c>
      <c r="K526" s="2" t="str">
        <f t="shared" si="131"/>
        <v/>
      </c>
      <c r="L526" s="2" t="str">
        <f t="shared" si="138"/>
        <v/>
      </c>
      <c r="M526" s="2" t="str">
        <f t="shared" si="143"/>
        <v/>
      </c>
      <c r="N526" s="2" t="str">
        <f t="shared" si="139"/>
        <v/>
      </c>
      <c r="O526" s="8" t="str">
        <f t="shared" si="140"/>
        <v/>
      </c>
      <c r="P526" s="8" t="str">
        <f t="shared" si="141"/>
        <v/>
      </c>
      <c r="Q526" s="40" t="str">
        <f t="shared" si="132"/>
        <v/>
      </c>
      <c r="R526" s="48" t="str">
        <f t="shared" si="142"/>
        <v/>
      </c>
      <c r="S526" s="8"/>
      <c r="U526" s="35">
        <f t="shared" si="133"/>
        <v>0</v>
      </c>
      <c r="V526" s="24">
        <f t="shared" si="134"/>
        <v>0</v>
      </c>
      <c r="W526" s="41">
        <f t="shared" si="129"/>
        <v>0</v>
      </c>
      <c r="X526" s="31"/>
      <c r="Y526" s="31"/>
      <c r="Z526" s="31"/>
      <c r="AA526" s="25">
        <f t="shared" si="135"/>
        <v>9.0359999999999996</v>
      </c>
      <c r="AB526" s="25">
        <f t="shared" si="136"/>
        <v>-184.49199999999999</v>
      </c>
      <c r="AD526" s="24">
        <f>IF(D526="M",IF(AG526&lt;78,BMILMS!$D$5*AG526^3+BMILMS!$E$5*AG526^2+BMILMS!$F$5*AG526+BMILMS!$G$5,IF(AG526&lt;150,BMILMS!$D$6*AG526^3+BMILMS!$E$6*AG526^2+BMILMS!$F$6*AG526+BMILMS!$G$6,BMILMS!$D$7*AG526^3+BMILMS!$E$7*AG526^2+BMILMS!$F$7*AG526+BMILMS!$G$7)),IF(AG526&lt;69,BMILMS!$D$9*AG526^3+BMILMS!$E$9*AG526^2+BMILMS!$F$9*AG526+BMILMS!$G$9,IF(AG526&lt;150,BMILMS!$D$10*AG526^3+BMILMS!$E$10*AG526^2+BMILMS!$F$10*AG526+BMILMS!$G$10,BMILMS!$D$11*AG526^3+BMILMS!$E$11*AG526^2+BMILMS!$F$11*AG526+BMILMS!$G$11)))</f>
        <v>0.79584630099999998</v>
      </c>
      <c r="AE526" s="24">
        <f>IF(D526="M",(IF(AG526&lt;2.5,BMILMS!$D$21*AG526^3+BMILMS!$E$21*AG526^2+BMILMS!$F$21*AG526+BMILMS!$G$21,IF(AG526&lt;9.5,BMILMS!$D$22*AG526^3+BMILMS!$E$22*AG526^2+BMILMS!$F$22*AG526+BMILMS!$G$22,IF(AG526&lt;26.75,BMILMS!$D$23*AG526^3+BMILMS!$E$23*AG526^2+BMILMS!$F$23*AG526+BMILMS!$G$23,IF(AG526&lt;90,BMILMS!$D$24*AG526^3+BMILMS!$E$24*AG526^2+BMILMS!$F$24*AG526+BMILMS!$G$24,BMILMS!$D$25*AG526^3+BMILMS!$E$25*AG526^2+BMILMS!$F$25*AG526+BMILMS!$G$25))))),(IF(AG526&lt;2.5,BMILMS!$D$27*AG526^3+BMILMS!$E$27*AG526^2+BMILMS!$F$27*AG526+BMILMS!$G$27,IF(AG526&lt;9.5,BMILMS!$D$28*AG526^3+BMILMS!$E$28*AG526^2+BMILMS!$F$28*AG526+BMILMS!$G$28,IF(AG526&lt;26.75,BMILMS!$D$29*AG526^3+BMILMS!$E$29*AG526^2+BMILMS!$F$29*AG526+BMILMS!$G$29,IF(AG526&lt;90,BMILMS!$D$30*AG526^3+BMILMS!$E$30*AG526^2+BMILMS!$F$30*AG526+BMILMS!$G$30,IF(AG526&lt;150,BMILMS!$D$31*AG526^3+BMILMS!$E$31*AG526^2+BMILMS!$F$31*AG526+BMILMS!$G$31,BMILMS!$D$32*AG526^3+BMILMS!$E$32*AG526^2+BMILMS!$F$32*AG526+BMILMS!$G$32)))))))</f>
        <v>12.568967990000001</v>
      </c>
      <c r="AF526" s="24">
        <f>IF(D526="M",(IF(AG526&lt;90,BMILMS!$D$14*AG526^3+BMILMS!$E$14*AG526^2+BMILMS!$F$14*AG526+BMILMS!$G$14,BMILMS!$D$15*AG526^3+BMILMS!$E$15*AG526^2+BMILMS!$F$15*AG526+BMILMS!$G$15)),(IF(AG526&lt;90,BMILMS!$D$17*AG526^3+BMILMS!$E$17*AG526^2+BMILMS!$F$17*AG526+BMILMS!$G$17,BMILMS!$D$18*AG526^3+BMILMS!$E$18*AG526^2+BMILMS!$F$18*AG526+BMILMS!$G$18)))</f>
        <v>8.8969350000000003E-2</v>
      </c>
      <c r="AG526" s="24">
        <f t="shared" si="144"/>
        <v>0</v>
      </c>
      <c r="AI526" s="38">
        <f>IF(D526="M",WeightSDS!P$5*$AG526^7+WeightSDS!Q$5*$AG526^6+WeightSDS!R$5*$AG526^5+WeightSDS!S$5*$AG526^4+WeightSDS!T$5*$AG526^3+WeightSDS!U$5*$AG526^2+WeightSDS!V$5*$AG526+WeightSDS!W$5,IF($AG526&lt;186,WeightSDS!P$8*$AG526^7+WeightSDS!Q$8*$AG526^6+WeightSDS!R$8*$AG526^5+WeightSDS!S$8*$AG526^4+WeightSDS!T$8*$AG526^3+WeightSDS!U$8*$AG526^2+WeightSDS!V$8*$AG526+WeightSDS!W$8,WeightSDS!$U$9-WeightSDS!$V$9*($AG526-WeightSDS!$W$9)))</f>
        <v>0.75407122999999998</v>
      </c>
      <c r="AJ526" s="24">
        <f>IF(D526="M",IF($AG526&lt;45,WeightSDS!M$23*$AG526^10+WeightSDS!N$23*$AG526^9+WeightSDS!O$23*$AG526^8+WeightSDS!P$23*$AG526^7+WeightSDS!Q$23*$AG526^6+WeightSDS!R$23*$AG526^5+WeightSDS!S$23*$AG526^4+WeightSDS!T$23*$AG526^3+WeightSDS!U$23*$AG526^2+WeightSDS!V$23*$AG526+WeightSDS!W$23,IF($AG526&lt;153,WeightSDS!M$25*$AG526^10+WeightSDS!N$25*$AG526^9+WeightSDS!O$25*$AG526^8+WeightSDS!P$25*$AG526^7+WeightSDS!Q$25*$AG526^6+WeightSDS!R$25*$AG526^5+WeightSDS!S$25*$AG526^4+WeightSDS!T$25*$AG526^3+WeightSDS!U$25*$AG526^2+WeightSDS!V$25*$AG526+WeightSDS!W$25,WeightSDS!M$27+WeightSDS!N$27/(1+EXP(WeightSDS!O$27+WeightSDS!P$27*$AG526)))),IF($AG526&lt;43.8,WeightSDS!M$29*$AG526^10+WeightSDS!N$29*$AG526^9+WeightSDS!O$29*$AG526^8+WeightSDS!P$29*$AG526^7+WeightSDS!Q$29*$AG526^6+WeightSDS!R$29*$AG526^5+WeightSDS!S$29*$AG526^4+WeightSDS!T$29*$AG526^3+WeightSDS!U$29*$AG526^2+WeightSDS!V$29*$AG526+WeightSDS!W$29-0.010431*(1-$AG526/210),IF($AG526&lt;123,WeightSDS!M$30*$AG526^10+WeightSDS!N$30*$AG526^9+WeightSDS!O$30*$AG526^8+WeightSDS!P$30*$AG526^7+WeightSDS!Q$30*$AG526^6+WeightSDS!R$30*$AG526^5+WeightSDS!S$30*$AG526^4+WeightSDS!T$30*$AG526^3+WeightSDS!U$30*$AG526^2+WeightSDS!V$30*$AG526+WeightSDS!W$30-0.010431*(1-1/$AG526),WeightSDS!M$32+WeightSDS!N$32/(1+EXP(WeightSDS!O$32+WeightSDS!P$32*$AG526))-0.010431*(1-$AG526/210))))</f>
        <v>2.9500001032655536</v>
      </c>
      <c r="AK526" s="24">
        <f>IF(D526="M",IF($AG526&lt;162,WeightSDS!P$12*$AG526^7+WeightSDS!Q$12*$AG526^6+WeightSDS!R$12*$AG526^5+WeightSDS!S$12*$AG526^4+WeightSDS!T$12*$AG526^3+WeightSDS!U$12*$AG526^2+WeightSDS!V$12*$AG526+WeightSDS!W$12,WeightSDS!P$14*$AG526^7+WeightSDS!Q$14*$AG526^6+WeightSDS!R$14*$AG526^5+WeightSDS!S$14*$AG526^4+WeightSDS!T$14*$AG526^3+WeightSDS!U$14*$AG526^2+WeightSDS!V$14*$AG526+WeightSDS!W$14),IF($AG526&lt;156,WeightSDS!O$17*$AG526^8+WeightSDS!P$17*$AG526^7+WeightSDS!Q$17*$AG526^6+WeightSDS!R$17*$AG526^5+WeightSDS!S$17*$AG526^4+WeightSDS!T$17*$AG526^3+WeightSDS!U$17*$AG526^2+WeightSDS!V$17*$AG526+WeightSDS!W$17,IF($AG526&lt;186,WeightSDS!$U$18+(WeightSDS!$V$18-WeightSDS!$U$18)/24*($AG526-186)+WeightSDS!$W$18*(-$AG526+186)^2-0.005,WeightSDS!$U$18+(WeightSDS!$V$18-WeightSDS!$U$18)/24*($AG526-186)-0.005)))</f>
        <v>0.14604529399999999</v>
      </c>
    </row>
    <row r="527" spans="1:37">
      <c r="A527" s="4"/>
      <c r="B527" s="21"/>
      <c r="C527" s="21"/>
      <c r="D527" s="21"/>
      <c r="E527" s="22"/>
      <c r="F527" s="22"/>
      <c r="G527" s="23"/>
      <c r="H527" s="23"/>
      <c r="I527" s="8" t="str">
        <f t="shared" si="130"/>
        <v/>
      </c>
      <c r="J527" s="2" t="str">
        <f t="shared" si="137"/>
        <v/>
      </c>
      <c r="K527" s="2" t="str">
        <f t="shared" si="131"/>
        <v/>
      </c>
      <c r="L527" s="2" t="str">
        <f t="shared" si="138"/>
        <v/>
      </c>
      <c r="M527" s="2" t="str">
        <f t="shared" si="143"/>
        <v/>
      </c>
      <c r="N527" s="2" t="str">
        <f t="shared" si="139"/>
        <v/>
      </c>
      <c r="O527" s="8" t="str">
        <f t="shared" si="140"/>
        <v/>
      </c>
      <c r="P527" s="8" t="str">
        <f t="shared" si="141"/>
        <v/>
      </c>
      <c r="Q527" s="40" t="str">
        <f t="shared" si="132"/>
        <v/>
      </c>
      <c r="R527" s="48" t="str">
        <f t="shared" si="142"/>
        <v/>
      </c>
      <c r="S527" s="8"/>
      <c r="U527" s="35">
        <f t="shared" si="133"/>
        <v>0</v>
      </c>
      <c r="V527" s="24">
        <f t="shared" si="134"/>
        <v>0</v>
      </c>
      <c r="W527" s="41">
        <f t="shared" si="129"/>
        <v>0</v>
      </c>
      <c r="X527" s="31"/>
      <c r="Y527" s="31"/>
      <c r="Z527" s="31"/>
      <c r="AA527" s="25">
        <f t="shared" si="135"/>
        <v>9.0359999999999996</v>
      </c>
      <c r="AB527" s="25">
        <f t="shared" si="136"/>
        <v>-184.49199999999999</v>
      </c>
      <c r="AD527" s="24">
        <f>IF(D527="M",IF(AG527&lt;78,BMILMS!$D$5*AG527^3+BMILMS!$E$5*AG527^2+BMILMS!$F$5*AG527+BMILMS!$G$5,IF(AG527&lt;150,BMILMS!$D$6*AG527^3+BMILMS!$E$6*AG527^2+BMILMS!$F$6*AG527+BMILMS!$G$6,BMILMS!$D$7*AG527^3+BMILMS!$E$7*AG527^2+BMILMS!$F$7*AG527+BMILMS!$G$7)),IF(AG527&lt;69,BMILMS!$D$9*AG527^3+BMILMS!$E$9*AG527^2+BMILMS!$F$9*AG527+BMILMS!$G$9,IF(AG527&lt;150,BMILMS!$D$10*AG527^3+BMILMS!$E$10*AG527^2+BMILMS!$F$10*AG527+BMILMS!$G$10,BMILMS!$D$11*AG527^3+BMILMS!$E$11*AG527^2+BMILMS!$F$11*AG527+BMILMS!$G$11)))</f>
        <v>0.79584630099999998</v>
      </c>
      <c r="AE527" s="24">
        <f>IF(D527="M",(IF(AG527&lt;2.5,BMILMS!$D$21*AG527^3+BMILMS!$E$21*AG527^2+BMILMS!$F$21*AG527+BMILMS!$G$21,IF(AG527&lt;9.5,BMILMS!$D$22*AG527^3+BMILMS!$E$22*AG527^2+BMILMS!$F$22*AG527+BMILMS!$G$22,IF(AG527&lt;26.75,BMILMS!$D$23*AG527^3+BMILMS!$E$23*AG527^2+BMILMS!$F$23*AG527+BMILMS!$G$23,IF(AG527&lt;90,BMILMS!$D$24*AG527^3+BMILMS!$E$24*AG527^2+BMILMS!$F$24*AG527+BMILMS!$G$24,BMILMS!$D$25*AG527^3+BMILMS!$E$25*AG527^2+BMILMS!$F$25*AG527+BMILMS!$G$25))))),(IF(AG527&lt;2.5,BMILMS!$D$27*AG527^3+BMILMS!$E$27*AG527^2+BMILMS!$F$27*AG527+BMILMS!$G$27,IF(AG527&lt;9.5,BMILMS!$D$28*AG527^3+BMILMS!$E$28*AG527^2+BMILMS!$F$28*AG527+BMILMS!$G$28,IF(AG527&lt;26.75,BMILMS!$D$29*AG527^3+BMILMS!$E$29*AG527^2+BMILMS!$F$29*AG527+BMILMS!$G$29,IF(AG527&lt;90,BMILMS!$D$30*AG527^3+BMILMS!$E$30*AG527^2+BMILMS!$F$30*AG527+BMILMS!$G$30,IF(AG527&lt;150,BMILMS!$D$31*AG527^3+BMILMS!$E$31*AG527^2+BMILMS!$F$31*AG527+BMILMS!$G$31,BMILMS!$D$32*AG527^3+BMILMS!$E$32*AG527^2+BMILMS!$F$32*AG527+BMILMS!$G$32)))))))</f>
        <v>12.568967990000001</v>
      </c>
      <c r="AF527" s="24">
        <f>IF(D527="M",(IF(AG527&lt;90,BMILMS!$D$14*AG527^3+BMILMS!$E$14*AG527^2+BMILMS!$F$14*AG527+BMILMS!$G$14,BMILMS!$D$15*AG527^3+BMILMS!$E$15*AG527^2+BMILMS!$F$15*AG527+BMILMS!$G$15)),(IF(AG527&lt;90,BMILMS!$D$17*AG527^3+BMILMS!$E$17*AG527^2+BMILMS!$F$17*AG527+BMILMS!$G$17,BMILMS!$D$18*AG527^3+BMILMS!$E$18*AG527^2+BMILMS!$F$18*AG527+BMILMS!$G$18)))</f>
        <v>8.8969350000000003E-2</v>
      </c>
      <c r="AG527" s="24">
        <f t="shared" si="144"/>
        <v>0</v>
      </c>
      <c r="AI527" s="38">
        <f>IF(D527="M",WeightSDS!P$5*$AG527^7+WeightSDS!Q$5*$AG527^6+WeightSDS!R$5*$AG527^5+WeightSDS!S$5*$AG527^4+WeightSDS!T$5*$AG527^3+WeightSDS!U$5*$AG527^2+WeightSDS!V$5*$AG527+WeightSDS!W$5,IF($AG527&lt;186,WeightSDS!P$8*$AG527^7+WeightSDS!Q$8*$AG527^6+WeightSDS!R$8*$AG527^5+WeightSDS!S$8*$AG527^4+WeightSDS!T$8*$AG527^3+WeightSDS!U$8*$AG527^2+WeightSDS!V$8*$AG527+WeightSDS!W$8,WeightSDS!$U$9-WeightSDS!$V$9*($AG527-WeightSDS!$W$9)))</f>
        <v>0.75407122999999998</v>
      </c>
      <c r="AJ527" s="24">
        <f>IF(D527="M",IF($AG527&lt;45,WeightSDS!M$23*$AG527^10+WeightSDS!N$23*$AG527^9+WeightSDS!O$23*$AG527^8+WeightSDS!P$23*$AG527^7+WeightSDS!Q$23*$AG527^6+WeightSDS!R$23*$AG527^5+WeightSDS!S$23*$AG527^4+WeightSDS!T$23*$AG527^3+WeightSDS!U$23*$AG527^2+WeightSDS!V$23*$AG527+WeightSDS!W$23,IF($AG527&lt;153,WeightSDS!M$25*$AG527^10+WeightSDS!N$25*$AG527^9+WeightSDS!O$25*$AG527^8+WeightSDS!P$25*$AG527^7+WeightSDS!Q$25*$AG527^6+WeightSDS!R$25*$AG527^5+WeightSDS!S$25*$AG527^4+WeightSDS!T$25*$AG527^3+WeightSDS!U$25*$AG527^2+WeightSDS!V$25*$AG527+WeightSDS!W$25,WeightSDS!M$27+WeightSDS!N$27/(1+EXP(WeightSDS!O$27+WeightSDS!P$27*$AG527)))),IF($AG527&lt;43.8,WeightSDS!M$29*$AG527^10+WeightSDS!N$29*$AG527^9+WeightSDS!O$29*$AG527^8+WeightSDS!P$29*$AG527^7+WeightSDS!Q$29*$AG527^6+WeightSDS!R$29*$AG527^5+WeightSDS!S$29*$AG527^4+WeightSDS!T$29*$AG527^3+WeightSDS!U$29*$AG527^2+WeightSDS!V$29*$AG527+WeightSDS!W$29-0.010431*(1-$AG527/210),IF($AG527&lt;123,WeightSDS!M$30*$AG527^10+WeightSDS!N$30*$AG527^9+WeightSDS!O$30*$AG527^8+WeightSDS!P$30*$AG527^7+WeightSDS!Q$30*$AG527^6+WeightSDS!R$30*$AG527^5+WeightSDS!S$30*$AG527^4+WeightSDS!T$30*$AG527^3+WeightSDS!U$30*$AG527^2+WeightSDS!V$30*$AG527+WeightSDS!W$30-0.010431*(1-1/$AG527),WeightSDS!M$32+WeightSDS!N$32/(1+EXP(WeightSDS!O$32+WeightSDS!P$32*$AG527))-0.010431*(1-$AG527/210))))</f>
        <v>2.9500001032655536</v>
      </c>
      <c r="AK527" s="24">
        <f>IF(D527="M",IF($AG527&lt;162,WeightSDS!P$12*$AG527^7+WeightSDS!Q$12*$AG527^6+WeightSDS!R$12*$AG527^5+WeightSDS!S$12*$AG527^4+WeightSDS!T$12*$AG527^3+WeightSDS!U$12*$AG527^2+WeightSDS!V$12*$AG527+WeightSDS!W$12,WeightSDS!P$14*$AG527^7+WeightSDS!Q$14*$AG527^6+WeightSDS!R$14*$AG527^5+WeightSDS!S$14*$AG527^4+WeightSDS!T$14*$AG527^3+WeightSDS!U$14*$AG527^2+WeightSDS!V$14*$AG527+WeightSDS!W$14),IF($AG527&lt;156,WeightSDS!O$17*$AG527^8+WeightSDS!P$17*$AG527^7+WeightSDS!Q$17*$AG527^6+WeightSDS!R$17*$AG527^5+WeightSDS!S$17*$AG527^4+WeightSDS!T$17*$AG527^3+WeightSDS!U$17*$AG527^2+WeightSDS!V$17*$AG527+WeightSDS!W$17,IF($AG527&lt;186,WeightSDS!$U$18+(WeightSDS!$V$18-WeightSDS!$U$18)/24*($AG527-186)+WeightSDS!$W$18*(-$AG527+186)^2-0.005,WeightSDS!$U$18+(WeightSDS!$V$18-WeightSDS!$U$18)/24*($AG527-186)-0.005)))</f>
        <v>0.14604529399999999</v>
      </c>
    </row>
    <row r="528" spans="1:37">
      <c r="A528" s="4"/>
      <c r="B528" s="21"/>
      <c r="C528" s="21"/>
      <c r="D528" s="21"/>
      <c r="E528" s="22"/>
      <c r="F528" s="22"/>
      <c r="G528" s="23"/>
      <c r="H528" s="23"/>
      <c r="I528" s="8" t="str">
        <f t="shared" si="130"/>
        <v/>
      </c>
      <c r="J528" s="2" t="str">
        <f t="shared" si="137"/>
        <v/>
      </c>
      <c r="K528" s="2" t="str">
        <f t="shared" si="131"/>
        <v/>
      </c>
      <c r="L528" s="2" t="str">
        <f t="shared" si="138"/>
        <v/>
      </c>
      <c r="M528" s="2" t="str">
        <f t="shared" si="143"/>
        <v/>
      </c>
      <c r="N528" s="2" t="str">
        <f t="shared" si="139"/>
        <v/>
      </c>
      <c r="O528" s="8" t="str">
        <f t="shared" si="140"/>
        <v/>
      </c>
      <c r="P528" s="8" t="str">
        <f t="shared" si="141"/>
        <v/>
      </c>
      <c r="Q528" s="40" t="str">
        <f t="shared" si="132"/>
        <v/>
      </c>
      <c r="R528" s="48" t="str">
        <f t="shared" si="142"/>
        <v/>
      </c>
      <c r="S528" s="8"/>
      <c r="U528" s="35">
        <f t="shared" si="133"/>
        <v>0</v>
      </c>
      <c r="V528" s="24">
        <f t="shared" si="134"/>
        <v>0</v>
      </c>
      <c r="W528" s="41">
        <f t="shared" si="129"/>
        <v>0</v>
      </c>
      <c r="X528" s="31"/>
      <c r="Y528" s="31"/>
      <c r="Z528" s="31"/>
      <c r="AA528" s="25">
        <f t="shared" si="135"/>
        <v>9.0359999999999996</v>
      </c>
      <c r="AB528" s="25">
        <f t="shared" si="136"/>
        <v>-184.49199999999999</v>
      </c>
      <c r="AD528" s="24">
        <f>IF(D528="M",IF(AG528&lt;78,BMILMS!$D$5*AG528^3+BMILMS!$E$5*AG528^2+BMILMS!$F$5*AG528+BMILMS!$G$5,IF(AG528&lt;150,BMILMS!$D$6*AG528^3+BMILMS!$E$6*AG528^2+BMILMS!$F$6*AG528+BMILMS!$G$6,BMILMS!$D$7*AG528^3+BMILMS!$E$7*AG528^2+BMILMS!$F$7*AG528+BMILMS!$G$7)),IF(AG528&lt;69,BMILMS!$D$9*AG528^3+BMILMS!$E$9*AG528^2+BMILMS!$F$9*AG528+BMILMS!$G$9,IF(AG528&lt;150,BMILMS!$D$10*AG528^3+BMILMS!$E$10*AG528^2+BMILMS!$F$10*AG528+BMILMS!$G$10,BMILMS!$D$11*AG528^3+BMILMS!$E$11*AG528^2+BMILMS!$F$11*AG528+BMILMS!$G$11)))</f>
        <v>0.79584630099999998</v>
      </c>
      <c r="AE528" s="24">
        <f>IF(D528="M",(IF(AG528&lt;2.5,BMILMS!$D$21*AG528^3+BMILMS!$E$21*AG528^2+BMILMS!$F$21*AG528+BMILMS!$G$21,IF(AG528&lt;9.5,BMILMS!$D$22*AG528^3+BMILMS!$E$22*AG528^2+BMILMS!$F$22*AG528+BMILMS!$G$22,IF(AG528&lt;26.75,BMILMS!$D$23*AG528^3+BMILMS!$E$23*AG528^2+BMILMS!$F$23*AG528+BMILMS!$G$23,IF(AG528&lt;90,BMILMS!$D$24*AG528^3+BMILMS!$E$24*AG528^2+BMILMS!$F$24*AG528+BMILMS!$G$24,BMILMS!$D$25*AG528^3+BMILMS!$E$25*AG528^2+BMILMS!$F$25*AG528+BMILMS!$G$25))))),(IF(AG528&lt;2.5,BMILMS!$D$27*AG528^3+BMILMS!$E$27*AG528^2+BMILMS!$F$27*AG528+BMILMS!$G$27,IF(AG528&lt;9.5,BMILMS!$D$28*AG528^3+BMILMS!$E$28*AG528^2+BMILMS!$F$28*AG528+BMILMS!$G$28,IF(AG528&lt;26.75,BMILMS!$D$29*AG528^3+BMILMS!$E$29*AG528^2+BMILMS!$F$29*AG528+BMILMS!$G$29,IF(AG528&lt;90,BMILMS!$D$30*AG528^3+BMILMS!$E$30*AG528^2+BMILMS!$F$30*AG528+BMILMS!$G$30,IF(AG528&lt;150,BMILMS!$D$31*AG528^3+BMILMS!$E$31*AG528^2+BMILMS!$F$31*AG528+BMILMS!$G$31,BMILMS!$D$32*AG528^3+BMILMS!$E$32*AG528^2+BMILMS!$F$32*AG528+BMILMS!$G$32)))))))</f>
        <v>12.568967990000001</v>
      </c>
      <c r="AF528" s="24">
        <f>IF(D528="M",(IF(AG528&lt;90,BMILMS!$D$14*AG528^3+BMILMS!$E$14*AG528^2+BMILMS!$F$14*AG528+BMILMS!$G$14,BMILMS!$D$15*AG528^3+BMILMS!$E$15*AG528^2+BMILMS!$F$15*AG528+BMILMS!$G$15)),(IF(AG528&lt;90,BMILMS!$D$17*AG528^3+BMILMS!$E$17*AG528^2+BMILMS!$F$17*AG528+BMILMS!$G$17,BMILMS!$D$18*AG528^3+BMILMS!$E$18*AG528^2+BMILMS!$F$18*AG528+BMILMS!$G$18)))</f>
        <v>8.8969350000000003E-2</v>
      </c>
      <c r="AG528" s="24">
        <f t="shared" si="144"/>
        <v>0</v>
      </c>
      <c r="AI528" s="38">
        <f>IF(D528="M",WeightSDS!P$5*$AG528^7+WeightSDS!Q$5*$AG528^6+WeightSDS!R$5*$AG528^5+WeightSDS!S$5*$AG528^4+WeightSDS!T$5*$AG528^3+WeightSDS!U$5*$AG528^2+WeightSDS!V$5*$AG528+WeightSDS!W$5,IF($AG528&lt;186,WeightSDS!P$8*$AG528^7+WeightSDS!Q$8*$AG528^6+WeightSDS!R$8*$AG528^5+WeightSDS!S$8*$AG528^4+WeightSDS!T$8*$AG528^3+WeightSDS!U$8*$AG528^2+WeightSDS!V$8*$AG528+WeightSDS!W$8,WeightSDS!$U$9-WeightSDS!$V$9*($AG528-WeightSDS!$W$9)))</f>
        <v>0.75407122999999998</v>
      </c>
      <c r="AJ528" s="24">
        <f>IF(D528="M",IF($AG528&lt;45,WeightSDS!M$23*$AG528^10+WeightSDS!N$23*$AG528^9+WeightSDS!O$23*$AG528^8+WeightSDS!P$23*$AG528^7+WeightSDS!Q$23*$AG528^6+WeightSDS!R$23*$AG528^5+WeightSDS!S$23*$AG528^4+WeightSDS!T$23*$AG528^3+WeightSDS!U$23*$AG528^2+WeightSDS!V$23*$AG528+WeightSDS!W$23,IF($AG528&lt;153,WeightSDS!M$25*$AG528^10+WeightSDS!N$25*$AG528^9+WeightSDS!O$25*$AG528^8+WeightSDS!P$25*$AG528^7+WeightSDS!Q$25*$AG528^6+WeightSDS!R$25*$AG528^5+WeightSDS!S$25*$AG528^4+WeightSDS!T$25*$AG528^3+WeightSDS!U$25*$AG528^2+WeightSDS!V$25*$AG528+WeightSDS!W$25,WeightSDS!M$27+WeightSDS!N$27/(1+EXP(WeightSDS!O$27+WeightSDS!P$27*$AG528)))),IF($AG528&lt;43.8,WeightSDS!M$29*$AG528^10+WeightSDS!N$29*$AG528^9+WeightSDS!O$29*$AG528^8+WeightSDS!P$29*$AG528^7+WeightSDS!Q$29*$AG528^6+WeightSDS!R$29*$AG528^5+WeightSDS!S$29*$AG528^4+WeightSDS!T$29*$AG528^3+WeightSDS!U$29*$AG528^2+WeightSDS!V$29*$AG528+WeightSDS!W$29-0.010431*(1-$AG528/210),IF($AG528&lt;123,WeightSDS!M$30*$AG528^10+WeightSDS!N$30*$AG528^9+WeightSDS!O$30*$AG528^8+WeightSDS!P$30*$AG528^7+WeightSDS!Q$30*$AG528^6+WeightSDS!R$30*$AG528^5+WeightSDS!S$30*$AG528^4+WeightSDS!T$30*$AG528^3+WeightSDS!U$30*$AG528^2+WeightSDS!V$30*$AG528+WeightSDS!W$30-0.010431*(1-1/$AG528),WeightSDS!M$32+WeightSDS!N$32/(1+EXP(WeightSDS!O$32+WeightSDS!P$32*$AG528))-0.010431*(1-$AG528/210))))</f>
        <v>2.9500001032655536</v>
      </c>
      <c r="AK528" s="24">
        <f>IF(D528="M",IF($AG528&lt;162,WeightSDS!P$12*$AG528^7+WeightSDS!Q$12*$AG528^6+WeightSDS!R$12*$AG528^5+WeightSDS!S$12*$AG528^4+WeightSDS!T$12*$AG528^3+WeightSDS!U$12*$AG528^2+WeightSDS!V$12*$AG528+WeightSDS!W$12,WeightSDS!P$14*$AG528^7+WeightSDS!Q$14*$AG528^6+WeightSDS!R$14*$AG528^5+WeightSDS!S$14*$AG528^4+WeightSDS!T$14*$AG528^3+WeightSDS!U$14*$AG528^2+WeightSDS!V$14*$AG528+WeightSDS!W$14),IF($AG528&lt;156,WeightSDS!O$17*$AG528^8+WeightSDS!P$17*$AG528^7+WeightSDS!Q$17*$AG528^6+WeightSDS!R$17*$AG528^5+WeightSDS!S$17*$AG528^4+WeightSDS!T$17*$AG528^3+WeightSDS!U$17*$AG528^2+WeightSDS!V$17*$AG528+WeightSDS!W$17,IF($AG528&lt;186,WeightSDS!$U$18+(WeightSDS!$V$18-WeightSDS!$U$18)/24*($AG528-186)+WeightSDS!$W$18*(-$AG528+186)^2-0.005,WeightSDS!$U$18+(WeightSDS!$V$18-WeightSDS!$U$18)/24*($AG528-186)-0.005)))</f>
        <v>0.14604529399999999</v>
      </c>
    </row>
    <row r="529" spans="1:37">
      <c r="A529" s="4"/>
      <c r="B529" s="21"/>
      <c r="C529" s="21"/>
      <c r="D529" s="21"/>
      <c r="E529" s="22"/>
      <c r="F529" s="22"/>
      <c r="G529" s="23"/>
      <c r="H529" s="23"/>
      <c r="I529" s="8" t="str">
        <f t="shared" si="130"/>
        <v/>
      </c>
      <c r="J529" s="2" t="str">
        <f t="shared" si="137"/>
        <v/>
      </c>
      <c r="K529" s="2" t="str">
        <f t="shared" si="131"/>
        <v/>
      </c>
      <c r="L529" s="2" t="str">
        <f t="shared" si="138"/>
        <v/>
      </c>
      <c r="M529" s="2" t="str">
        <f t="shared" si="143"/>
        <v/>
      </c>
      <c r="N529" s="2" t="str">
        <f t="shared" si="139"/>
        <v/>
      </c>
      <c r="O529" s="8" t="str">
        <f t="shared" si="140"/>
        <v/>
      </c>
      <c r="P529" s="8" t="str">
        <f t="shared" si="141"/>
        <v/>
      </c>
      <c r="Q529" s="40" t="str">
        <f t="shared" si="132"/>
        <v/>
      </c>
      <c r="R529" s="48" t="str">
        <f t="shared" si="142"/>
        <v/>
      </c>
      <c r="S529" s="8"/>
      <c r="U529" s="35">
        <f t="shared" si="133"/>
        <v>0</v>
      </c>
      <c r="V529" s="24">
        <f t="shared" si="134"/>
        <v>0</v>
      </c>
      <c r="W529" s="41">
        <f t="shared" si="129"/>
        <v>0</v>
      </c>
      <c r="X529" s="31"/>
      <c r="Y529" s="31"/>
      <c r="Z529" s="31"/>
      <c r="AA529" s="25">
        <f t="shared" si="135"/>
        <v>9.0359999999999996</v>
      </c>
      <c r="AB529" s="25">
        <f t="shared" si="136"/>
        <v>-184.49199999999999</v>
      </c>
      <c r="AD529" s="24">
        <f>IF(D529="M",IF(AG529&lt;78,BMILMS!$D$5*AG529^3+BMILMS!$E$5*AG529^2+BMILMS!$F$5*AG529+BMILMS!$G$5,IF(AG529&lt;150,BMILMS!$D$6*AG529^3+BMILMS!$E$6*AG529^2+BMILMS!$F$6*AG529+BMILMS!$G$6,BMILMS!$D$7*AG529^3+BMILMS!$E$7*AG529^2+BMILMS!$F$7*AG529+BMILMS!$G$7)),IF(AG529&lt;69,BMILMS!$D$9*AG529^3+BMILMS!$E$9*AG529^2+BMILMS!$F$9*AG529+BMILMS!$G$9,IF(AG529&lt;150,BMILMS!$D$10*AG529^3+BMILMS!$E$10*AG529^2+BMILMS!$F$10*AG529+BMILMS!$G$10,BMILMS!$D$11*AG529^3+BMILMS!$E$11*AG529^2+BMILMS!$F$11*AG529+BMILMS!$G$11)))</f>
        <v>0.79584630099999998</v>
      </c>
      <c r="AE529" s="24">
        <f>IF(D529="M",(IF(AG529&lt;2.5,BMILMS!$D$21*AG529^3+BMILMS!$E$21*AG529^2+BMILMS!$F$21*AG529+BMILMS!$G$21,IF(AG529&lt;9.5,BMILMS!$D$22*AG529^3+BMILMS!$E$22*AG529^2+BMILMS!$F$22*AG529+BMILMS!$G$22,IF(AG529&lt;26.75,BMILMS!$D$23*AG529^3+BMILMS!$E$23*AG529^2+BMILMS!$F$23*AG529+BMILMS!$G$23,IF(AG529&lt;90,BMILMS!$D$24*AG529^3+BMILMS!$E$24*AG529^2+BMILMS!$F$24*AG529+BMILMS!$G$24,BMILMS!$D$25*AG529^3+BMILMS!$E$25*AG529^2+BMILMS!$F$25*AG529+BMILMS!$G$25))))),(IF(AG529&lt;2.5,BMILMS!$D$27*AG529^3+BMILMS!$E$27*AG529^2+BMILMS!$F$27*AG529+BMILMS!$G$27,IF(AG529&lt;9.5,BMILMS!$D$28*AG529^3+BMILMS!$E$28*AG529^2+BMILMS!$F$28*AG529+BMILMS!$G$28,IF(AG529&lt;26.75,BMILMS!$D$29*AG529^3+BMILMS!$E$29*AG529^2+BMILMS!$F$29*AG529+BMILMS!$G$29,IF(AG529&lt;90,BMILMS!$D$30*AG529^3+BMILMS!$E$30*AG529^2+BMILMS!$F$30*AG529+BMILMS!$G$30,IF(AG529&lt;150,BMILMS!$D$31*AG529^3+BMILMS!$E$31*AG529^2+BMILMS!$F$31*AG529+BMILMS!$G$31,BMILMS!$D$32*AG529^3+BMILMS!$E$32*AG529^2+BMILMS!$F$32*AG529+BMILMS!$G$32)))))))</f>
        <v>12.568967990000001</v>
      </c>
      <c r="AF529" s="24">
        <f>IF(D529="M",(IF(AG529&lt;90,BMILMS!$D$14*AG529^3+BMILMS!$E$14*AG529^2+BMILMS!$F$14*AG529+BMILMS!$G$14,BMILMS!$D$15*AG529^3+BMILMS!$E$15*AG529^2+BMILMS!$F$15*AG529+BMILMS!$G$15)),(IF(AG529&lt;90,BMILMS!$D$17*AG529^3+BMILMS!$E$17*AG529^2+BMILMS!$F$17*AG529+BMILMS!$G$17,BMILMS!$D$18*AG529^3+BMILMS!$E$18*AG529^2+BMILMS!$F$18*AG529+BMILMS!$G$18)))</f>
        <v>8.8969350000000003E-2</v>
      </c>
      <c r="AG529" s="24">
        <f t="shared" si="144"/>
        <v>0</v>
      </c>
      <c r="AI529" s="38">
        <f>IF(D529="M",WeightSDS!P$5*$AG529^7+WeightSDS!Q$5*$AG529^6+WeightSDS!R$5*$AG529^5+WeightSDS!S$5*$AG529^4+WeightSDS!T$5*$AG529^3+WeightSDS!U$5*$AG529^2+WeightSDS!V$5*$AG529+WeightSDS!W$5,IF($AG529&lt;186,WeightSDS!P$8*$AG529^7+WeightSDS!Q$8*$AG529^6+WeightSDS!R$8*$AG529^5+WeightSDS!S$8*$AG529^4+WeightSDS!T$8*$AG529^3+WeightSDS!U$8*$AG529^2+WeightSDS!V$8*$AG529+WeightSDS!W$8,WeightSDS!$U$9-WeightSDS!$V$9*($AG529-WeightSDS!$W$9)))</f>
        <v>0.75407122999999998</v>
      </c>
      <c r="AJ529" s="24">
        <f>IF(D529="M",IF($AG529&lt;45,WeightSDS!M$23*$AG529^10+WeightSDS!N$23*$AG529^9+WeightSDS!O$23*$AG529^8+WeightSDS!P$23*$AG529^7+WeightSDS!Q$23*$AG529^6+WeightSDS!R$23*$AG529^5+WeightSDS!S$23*$AG529^4+WeightSDS!T$23*$AG529^3+WeightSDS!U$23*$AG529^2+WeightSDS!V$23*$AG529+WeightSDS!W$23,IF($AG529&lt;153,WeightSDS!M$25*$AG529^10+WeightSDS!N$25*$AG529^9+WeightSDS!O$25*$AG529^8+WeightSDS!P$25*$AG529^7+WeightSDS!Q$25*$AG529^6+WeightSDS!R$25*$AG529^5+WeightSDS!S$25*$AG529^4+WeightSDS!T$25*$AG529^3+WeightSDS!U$25*$AG529^2+WeightSDS!V$25*$AG529+WeightSDS!W$25,WeightSDS!M$27+WeightSDS!N$27/(1+EXP(WeightSDS!O$27+WeightSDS!P$27*$AG529)))),IF($AG529&lt;43.8,WeightSDS!M$29*$AG529^10+WeightSDS!N$29*$AG529^9+WeightSDS!O$29*$AG529^8+WeightSDS!P$29*$AG529^7+WeightSDS!Q$29*$AG529^6+WeightSDS!R$29*$AG529^5+WeightSDS!S$29*$AG529^4+WeightSDS!T$29*$AG529^3+WeightSDS!U$29*$AG529^2+WeightSDS!V$29*$AG529+WeightSDS!W$29-0.010431*(1-$AG529/210),IF($AG529&lt;123,WeightSDS!M$30*$AG529^10+WeightSDS!N$30*$AG529^9+WeightSDS!O$30*$AG529^8+WeightSDS!P$30*$AG529^7+WeightSDS!Q$30*$AG529^6+WeightSDS!R$30*$AG529^5+WeightSDS!S$30*$AG529^4+WeightSDS!T$30*$AG529^3+WeightSDS!U$30*$AG529^2+WeightSDS!V$30*$AG529+WeightSDS!W$30-0.010431*(1-1/$AG529),WeightSDS!M$32+WeightSDS!N$32/(1+EXP(WeightSDS!O$32+WeightSDS!P$32*$AG529))-0.010431*(1-$AG529/210))))</f>
        <v>2.9500001032655536</v>
      </c>
      <c r="AK529" s="24">
        <f>IF(D529="M",IF($AG529&lt;162,WeightSDS!P$12*$AG529^7+WeightSDS!Q$12*$AG529^6+WeightSDS!R$12*$AG529^5+WeightSDS!S$12*$AG529^4+WeightSDS!T$12*$AG529^3+WeightSDS!U$12*$AG529^2+WeightSDS!V$12*$AG529+WeightSDS!W$12,WeightSDS!P$14*$AG529^7+WeightSDS!Q$14*$AG529^6+WeightSDS!R$14*$AG529^5+WeightSDS!S$14*$AG529^4+WeightSDS!T$14*$AG529^3+WeightSDS!U$14*$AG529^2+WeightSDS!V$14*$AG529+WeightSDS!W$14),IF($AG529&lt;156,WeightSDS!O$17*$AG529^8+WeightSDS!P$17*$AG529^7+WeightSDS!Q$17*$AG529^6+WeightSDS!R$17*$AG529^5+WeightSDS!S$17*$AG529^4+WeightSDS!T$17*$AG529^3+WeightSDS!U$17*$AG529^2+WeightSDS!V$17*$AG529+WeightSDS!W$17,IF($AG529&lt;186,WeightSDS!$U$18+(WeightSDS!$V$18-WeightSDS!$U$18)/24*($AG529-186)+WeightSDS!$W$18*(-$AG529+186)^2-0.005,WeightSDS!$U$18+(WeightSDS!$V$18-WeightSDS!$U$18)/24*($AG529-186)-0.005)))</f>
        <v>0.14604529399999999</v>
      </c>
    </row>
    <row r="530" spans="1:37">
      <c r="A530" s="4"/>
      <c r="B530" s="21"/>
      <c r="C530" s="21"/>
      <c r="D530" s="21"/>
      <c r="E530" s="22"/>
      <c r="F530" s="22"/>
      <c r="G530" s="23"/>
      <c r="H530" s="23"/>
      <c r="I530" s="8" t="str">
        <f t="shared" si="130"/>
        <v/>
      </c>
      <c r="J530" s="2" t="str">
        <f t="shared" si="137"/>
        <v/>
      </c>
      <c r="K530" s="2" t="str">
        <f t="shared" si="131"/>
        <v/>
      </c>
      <c r="L530" s="2" t="str">
        <f t="shared" si="138"/>
        <v/>
      </c>
      <c r="M530" s="2" t="str">
        <f t="shared" si="143"/>
        <v/>
      </c>
      <c r="N530" s="2" t="str">
        <f t="shared" si="139"/>
        <v/>
      </c>
      <c r="O530" s="8" t="str">
        <f t="shared" si="140"/>
        <v/>
      </c>
      <c r="P530" s="8" t="str">
        <f t="shared" si="141"/>
        <v/>
      </c>
      <c r="Q530" s="40" t="str">
        <f t="shared" si="132"/>
        <v/>
      </c>
      <c r="R530" s="48" t="str">
        <f t="shared" si="142"/>
        <v/>
      </c>
      <c r="S530" s="8"/>
      <c r="U530" s="35">
        <f t="shared" si="133"/>
        <v>0</v>
      </c>
      <c r="V530" s="24">
        <f t="shared" si="134"/>
        <v>0</v>
      </c>
      <c r="W530" s="41">
        <f t="shared" si="129"/>
        <v>0</v>
      </c>
      <c r="X530" s="31"/>
      <c r="Y530" s="31"/>
      <c r="Z530" s="31"/>
      <c r="AA530" s="25">
        <f t="shared" si="135"/>
        <v>9.0359999999999996</v>
      </c>
      <c r="AB530" s="25">
        <f t="shared" si="136"/>
        <v>-184.49199999999999</v>
      </c>
      <c r="AD530" s="24">
        <f>IF(D530="M",IF(AG530&lt;78,BMILMS!$D$5*AG530^3+BMILMS!$E$5*AG530^2+BMILMS!$F$5*AG530+BMILMS!$G$5,IF(AG530&lt;150,BMILMS!$D$6*AG530^3+BMILMS!$E$6*AG530^2+BMILMS!$F$6*AG530+BMILMS!$G$6,BMILMS!$D$7*AG530^3+BMILMS!$E$7*AG530^2+BMILMS!$F$7*AG530+BMILMS!$G$7)),IF(AG530&lt;69,BMILMS!$D$9*AG530^3+BMILMS!$E$9*AG530^2+BMILMS!$F$9*AG530+BMILMS!$G$9,IF(AG530&lt;150,BMILMS!$D$10*AG530^3+BMILMS!$E$10*AG530^2+BMILMS!$F$10*AG530+BMILMS!$G$10,BMILMS!$D$11*AG530^3+BMILMS!$E$11*AG530^2+BMILMS!$F$11*AG530+BMILMS!$G$11)))</f>
        <v>0.79584630099999998</v>
      </c>
      <c r="AE530" s="24">
        <f>IF(D530="M",(IF(AG530&lt;2.5,BMILMS!$D$21*AG530^3+BMILMS!$E$21*AG530^2+BMILMS!$F$21*AG530+BMILMS!$G$21,IF(AG530&lt;9.5,BMILMS!$D$22*AG530^3+BMILMS!$E$22*AG530^2+BMILMS!$F$22*AG530+BMILMS!$G$22,IF(AG530&lt;26.75,BMILMS!$D$23*AG530^3+BMILMS!$E$23*AG530^2+BMILMS!$F$23*AG530+BMILMS!$G$23,IF(AG530&lt;90,BMILMS!$D$24*AG530^3+BMILMS!$E$24*AG530^2+BMILMS!$F$24*AG530+BMILMS!$G$24,BMILMS!$D$25*AG530^3+BMILMS!$E$25*AG530^2+BMILMS!$F$25*AG530+BMILMS!$G$25))))),(IF(AG530&lt;2.5,BMILMS!$D$27*AG530^3+BMILMS!$E$27*AG530^2+BMILMS!$F$27*AG530+BMILMS!$G$27,IF(AG530&lt;9.5,BMILMS!$D$28*AG530^3+BMILMS!$E$28*AG530^2+BMILMS!$F$28*AG530+BMILMS!$G$28,IF(AG530&lt;26.75,BMILMS!$D$29*AG530^3+BMILMS!$E$29*AG530^2+BMILMS!$F$29*AG530+BMILMS!$G$29,IF(AG530&lt;90,BMILMS!$D$30*AG530^3+BMILMS!$E$30*AG530^2+BMILMS!$F$30*AG530+BMILMS!$G$30,IF(AG530&lt;150,BMILMS!$D$31*AG530^3+BMILMS!$E$31*AG530^2+BMILMS!$F$31*AG530+BMILMS!$G$31,BMILMS!$D$32*AG530^3+BMILMS!$E$32*AG530^2+BMILMS!$F$32*AG530+BMILMS!$G$32)))))))</f>
        <v>12.568967990000001</v>
      </c>
      <c r="AF530" s="24">
        <f>IF(D530="M",(IF(AG530&lt;90,BMILMS!$D$14*AG530^3+BMILMS!$E$14*AG530^2+BMILMS!$F$14*AG530+BMILMS!$G$14,BMILMS!$D$15*AG530^3+BMILMS!$E$15*AG530^2+BMILMS!$F$15*AG530+BMILMS!$G$15)),(IF(AG530&lt;90,BMILMS!$D$17*AG530^3+BMILMS!$E$17*AG530^2+BMILMS!$F$17*AG530+BMILMS!$G$17,BMILMS!$D$18*AG530^3+BMILMS!$E$18*AG530^2+BMILMS!$F$18*AG530+BMILMS!$G$18)))</f>
        <v>8.8969350000000003E-2</v>
      </c>
      <c r="AG530" s="24">
        <f t="shared" si="144"/>
        <v>0</v>
      </c>
      <c r="AI530" s="38">
        <f>IF(D530="M",WeightSDS!P$5*$AG530^7+WeightSDS!Q$5*$AG530^6+WeightSDS!R$5*$AG530^5+WeightSDS!S$5*$AG530^4+WeightSDS!T$5*$AG530^3+WeightSDS!U$5*$AG530^2+WeightSDS!V$5*$AG530+WeightSDS!W$5,IF($AG530&lt;186,WeightSDS!P$8*$AG530^7+WeightSDS!Q$8*$AG530^6+WeightSDS!R$8*$AG530^5+WeightSDS!S$8*$AG530^4+WeightSDS!T$8*$AG530^3+WeightSDS!U$8*$AG530^2+WeightSDS!V$8*$AG530+WeightSDS!W$8,WeightSDS!$U$9-WeightSDS!$V$9*($AG530-WeightSDS!$W$9)))</f>
        <v>0.75407122999999998</v>
      </c>
      <c r="AJ530" s="24">
        <f>IF(D530="M",IF($AG530&lt;45,WeightSDS!M$23*$AG530^10+WeightSDS!N$23*$AG530^9+WeightSDS!O$23*$AG530^8+WeightSDS!P$23*$AG530^7+WeightSDS!Q$23*$AG530^6+WeightSDS!R$23*$AG530^5+WeightSDS!S$23*$AG530^4+WeightSDS!T$23*$AG530^3+WeightSDS!U$23*$AG530^2+WeightSDS!V$23*$AG530+WeightSDS!W$23,IF($AG530&lt;153,WeightSDS!M$25*$AG530^10+WeightSDS!N$25*$AG530^9+WeightSDS!O$25*$AG530^8+WeightSDS!P$25*$AG530^7+WeightSDS!Q$25*$AG530^6+WeightSDS!R$25*$AG530^5+WeightSDS!S$25*$AG530^4+WeightSDS!T$25*$AG530^3+WeightSDS!U$25*$AG530^2+WeightSDS!V$25*$AG530+WeightSDS!W$25,WeightSDS!M$27+WeightSDS!N$27/(1+EXP(WeightSDS!O$27+WeightSDS!P$27*$AG530)))),IF($AG530&lt;43.8,WeightSDS!M$29*$AG530^10+WeightSDS!N$29*$AG530^9+WeightSDS!O$29*$AG530^8+WeightSDS!P$29*$AG530^7+WeightSDS!Q$29*$AG530^6+WeightSDS!R$29*$AG530^5+WeightSDS!S$29*$AG530^4+WeightSDS!T$29*$AG530^3+WeightSDS!U$29*$AG530^2+WeightSDS!V$29*$AG530+WeightSDS!W$29-0.010431*(1-$AG530/210),IF($AG530&lt;123,WeightSDS!M$30*$AG530^10+WeightSDS!N$30*$AG530^9+WeightSDS!O$30*$AG530^8+WeightSDS!P$30*$AG530^7+WeightSDS!Q$30*$AG530^6+WeightSDS!R$30*$AG530^5+WeightSDS!S$30*$AG530^4+WeightSDS!T$30*$AG530^3+WeightSDS!U$30*$AG530^2+WeightSDS!V$30*$AG530+WeightSDS!W$30-0.010431*(1-1/$AG530),WeightSDS!M$32+WeightSDS!N$32/(1+EXP(WeightSDS!O$32+WeightSDS!P$32*$AG530))-0.010431*(1-$AG530/210))))</f>
        <v>2.9500001032655536</v>
      </c>
      <c r="AK530" s="24">
        <f>IF(D530="M",IF($AG530&lt;162,WeightSDS!P$12*$AG530^7+WeightSDS!Q$12*$AG530^6+WeightSDS!R$12*$AG530^5+WeightSDS!S$12*$AG530^4+WeightSDS!T$12*$AG530^3+WeightSDS!U$12*$AG530^2+WeightSDS!V$12*$AG530+WeightSDS!W$12,WeightSDS!P$14*$AG530^7+WeightSDS!Q$14*$AG530^6+WeightSDS!R$14*$AG530^5+WeightSDS!S$14*$AG530^4+WeightSDS!T$14*$AG530^3+WeightSDS!U$14*$AG530^2+WeightSDS!V$14*$AG530+WeightSDS!W$14),IF($AG530&lt;156,WeightSDS!O$17*$AG530^8+WeightSDS!P$17*$AG530^7+WeightSDS!Q$17*$AG530^6+WeightSDS!R$17*$AG530^5+WeightSDS!S$17*$AG530^4+WeightSDS!T$17*$AG530^3+WeightSDS!U$17*$AG530^2+WeightSDS!V$17*$AG530+WeightSDS!W$17,IF($AG530&lt;186,WeightSDS!$U$18+(WeightSDS!$V$18-WeightSDS!$U$18)/24*($AG530-186)+WeightSDS!$W$18*(-$AG530+186)^2-0.005,WeightSDS!$U$18+(WeightSDS!$V$18-WeightSDS!$U$18)/24*($AG530-186)-0.005)))</f>
        <v>0.14604529399999999</v>
      </c>
    </row>
    <row r="531" spans="1:37">
      <c r="A531" s="4"/>
      <c r="B531" s="21"/>
      <c r="C531" s="21"/>
      <c r="D531" s="21"/>
      <c r="E531" s="22"/>
      <c r="F531" s="22"/>
      <c r="G531" s="23"/>
      <c r="H531" s="23"/>
      <c r="I531" s="8" t="str">
        <f t="shared" si="130"/>
        <v/>
      </c>
      <c r="J531" s="2" t="str">
        <f t="shared" si="137"/>
        <v/>
      </c>
      <c r="K531" s="2" t="str">
        <f t="shared" si="131"/>
        <v/>
      </c>
      <c r="L531" s="2" t="str">
        <f t="shared" si="138"/>
        <v/>
      </c>
      <c r="M531" s="2" t="str">
        <f t="shared" si="143"/>
        <v/>
      </c>
      <c r="N531" s="2" t="str">
        <f t="shared" si="139"/>
        <v/>
      </c>
      <c r="O531" s="8" t="str">
        <f t="shared" si="140"/>
        <v/>
      </c>
      <c r="P531" s="8" t="str">
        <f t="shared" si="141"/>
        <v/>
      </c>
      <c r="Q531" s="40" t="str">
        <f t="shared" si="132"/>
        <v/>
      </c>
      <c r="R531" s="48" t="str">
        <f t="shared" si="142"/>
        <v/>
      </c>
      <c r="S531" s="8"/>
      <c r="U531" s="35">
        <f t="shared" si="133"/>
        <v>0</v>
      </c>
      <c r="V531" s="24">
        <f t="shared" si="134"/>
        <v>0</v>
      </c>
      <c r="W531" s="41">
        <f t="shared" si="129"/>
        <v>0</v>
      </c>
      <c r="X531" s="31"/>
      <c r="Y531" s="31"/>
      <c r="Z531" s="31"/>
      <c r="AA531" s="25">
        <f t="shared" si="135"/>
        <v>9.0359999999999996</v>
      </c>
      <c r="AB531" s="25">
        <f t="shared" si="136"/>
        <v>-184.49199999999999</v>
      </c>
      <c r="AD531" s="24">
        <f>IF(D531="M",IF(AG531&lt;78,BMILMS!$D$5*AG531^3+BMILMS!$E$5*AG531^2+BMILMS!$F$5*AG531+BMILMS!$G$5,IF(AG531&lt;150,BMILMS!$D$6*AG531^3+BMILMS!$E$6*AG531^2+BMILMS!$F$6*AG531+BMILMS!$G$6,BMILMS!$D$7*AG531^3+BMILMS!$E$7*AG531^2+BMILMS!$F$7*AG531+BMILMS!$G$7)),IF(AG531&lt;69,BMILMS!$D$9*AG531^3+BMILMS!$E$9*AG531^2+BMILMS!$F$9*AG531+BMILMS!$G$9,IF(AG531&lt;150,BMILMS!$D$10*AG531^3+BMILMS!$E$10*AG531^2+BMILMS!$F$10*AG531+BMILMS!$G$10,BMILMS!$D$11*AG531^3+BMILMS!$E$11*AG531^2+BMILMS!$F$11*AG531+BMILMS!$G$11)))</f>
        <v>0.79584630099999998</v>
      </c>
      <c r="AE531" s="24">
        <f>IF(D531="M",(IF(AG531&lt;2.5,BMILMS!$D$21*AG531^3+BMILMS!$E$21*AG531^2+BMILMS!$F$21*AG531+BMILMS!$G$21,IF(AG531&lt;9.5,BMILMS!$D$22*AG531^3+BMILMS!$E$22*AG531^2+BMILMS!$F$22*AG531+BMILMS!$G$22,IF(AG531&lt;26.75,BMILMS!$D$23*AG531^3+BMILMS!$E$23*AG531^2+BMILMS!$F$23*AG531+BMILMS!$G$23,IF(AG531&lt;90,BMILMS!$D$24*AG531^3+BMILMS!$E$24*AG531^2+BMILMS!$F$24*AG531+BMILMS!$G$24,BMILMS!$D$25*AG531^3+BMILMS!$E$25*AG531^2+BMILMS!$F$25*AG531+BMILMS!$G$25))))),(IF(AG531&lt;2.5,BMILMS!$D$27*AG531^3+BMILMS!$E$27*AG531^2+BMILMS!$F$27*AG531+BMILMS!$G$27,IF(AG531&lt;9.5,BMILMS!$D$28*AG531^3+BMILMS!$E$28*AG531^2+BMILMS!$F$28*AG531+BMILMS!$G$28,IF(AG531&lt;26.75,BMILMS!$D$29*AG531^3+BMILMS!$E$29*AG531^2+BMILMS!$F$29*AG531+BMILMS!$G$29,IF(AG531&lt;90,BMILMS!$D$30*AG531^3+BMILMS!$E$30*AG531^2+BMILMS!$F$30*AG531+BMILMS!$G$30,IF(AG531&lt;150,BMILMS!$D$31*AG531^3+BMILMS!$E$31*AG531^2+BMILMS!$F$31*AG531+BMILMS!$G$31,BMILMS!$D$32*AG531^3+BMILMS!$E$32*AG531^2+BMILMS!$F$32*AG531+BMILMS!$G$32)))))))</f>
        <v>12.568967990000001</v>
      </c>
      <c r="AF531" s="24">
        <f>IF(D531="M",(IF(AG531&lt;90,BMILMS!$D$14*AG531^3+BMILMS!$E$14*AG531^2+BMILMS!$F$14*AG531+BMILMS!$G$14,BMILMS!$D$15*AG531^3+BMILMS!$E$15*AG531^2+BMILMS!$F$15*AG531+BMILMS!$G$15)),(IF(AG531&lt;90,BMILMS!$D$17*AG531^3+BMILMS!$E$17*AG531^2+BMILMS!$F$17*AG531+BMILMS!$G$17,BMILMS!$D$18*AG531^3+BMILMS!$E$18*AG531^2+BMILMS!$F$18*AG531+BMILMS!$G$18)))</f>
        <v>8.8969350000000003E-2</v>
      </c>
      <c r="AG531" s="24">
        <f t="shared" si="144"/>
        <v>0</v>
      </c>
      <c r="AI531" s="38">
        <f>IF(D531="M",WeightSDS!P$5*$AG531^7+WeightSDS!Q$5*$AG531^6+WeightSDS!R$5*$AG531^5+WeightSDS!S$5*$AG531^4+WeightSDS!T$5*$AG531^3+WeightSDS!U$5*$AG531^2+WeightSDS!V$5*$AG531+WeightSDS!W$5,IF($AG531&lt;186,WeightSDS!P$8*$AG531^7+WeightSDS!Q$8*$AG531^6+WeightSDS!R$8*$AG531^5+WeightSDS!S$8*$AG531^4+WeightSDS!T$8*$AG531^3+WeightSDS!U$8*$AG531^2+WeightSDS!V$8*$AG531+WeightSDS!W$8,WeightSDS!$U$9-WeightSDS!$V$9*($AG531-WeightSDS!$W$9)))</f>
        <v>0.75407122999999998</v>
      </c>
      <c r="AJ531" s="24">
        <f>IF(D531="M",IF($AG531&lt;45,WeightSDS!M$23*$AG531^10+WeightSDS!N$23*$AG531^9+WeightSDS!O$23*$AG531^8+WeightSDS!P$23*$AG531^7+WeightSDS!Q$23*$AG531^6+WeightSDS!R$23*$AG531^5+WeightSDS!S$23*$AG531^4+WeightSDS!T$23*$AG531^3+WeightSDS!U$23*$AG531^2+WeightSDS!V$23*$AG531+WeightSDS!W$23,IF($AG531&lt;153,WeightSDS!M$25*$AG531^10+WeightSDS!N$25*$AG531^9+WeightSDS!O$25*$AG531^8+WeightSDS!P$25*$AG531^7+WeightSDS!Q$25*$AG531^6+WeightSDS!R$25*$AG531^5+WeightSDS!S$25*$AG531^4+WeightSDS!T$25*$AG531^3+WeightSDS!U$25*$AG531^2+WeightSDS!V$25*$AG531+WeightSDS!W$25,WeightSDS!M$27+WeightSDS!N$27/(1+EXP(WeightSDS!O$27+WeightSDS!P$27*$AG531)))),IF($AG531&lt;43.8,WeightSDS!M$29*$AG531^10+WeightSDS!N$29*$AG531^9+WeightSDS!O$29*$AG531^8+WeightSDS!P$29*$AG531^7+WeightSDS!Q$29*$AG531^6+WeightSDS!R$29*$AG531^5+WeightSDS!S$29*$AG531^4+WeightSDS!T$29*$AG531^3+WeightSDS!U$29*$AG531^2+WeightSDS!V$29*$AG531+WeightSDS!W$29-0.010431*(1-$AG531/210),IF($AG531&lt;123,WeightSDS!M$30*$AG531^10+WeightSDS!N$30*$AG531^9+WeightSDS!O$30*$AG531^8+WeightSDS!P$30*$AG531^7+WeightSDS!Q$30*$AG531^6+WeightSDS!R$30*$AG531^5+WeightSDS!S$30*$AG531^4+WeightSDS!T$30*$AG531^3+WeightSDS!U$30*$AG531^2+WeightSDS!V$30*$AG531+WeightSDS!W$30-0.010431*(1-1/$AG531),WeightSDS!M$32+WeightSDS!N$32/(1+EXP(WeightSDS!O$32+WeightSDS!P$32*$AG531))-0.010431*(1-$AG531/210))))</f>
        <v>2.9500001032655536</v>
      </c>
      <c r="AK531" s="24">
        <f>IF(D531="M",IF($AG531&lt;162,WeightSDS!P$12*$AG531^7+WeightSDS!Q$12*$AG531^6+WeightSDS!R$12*$AG531^5+WeightSDS!S$12*$AG531^4+WeightSDS!T$12*$AG531^3+WeightSDS!U$12*$AG531^2+WeightSDS!V$12*$AG531+WeightSDS!W$12,WeightSDS!P$14*$AG531^7+WeightSDS!Q$14*$AG531^6+WeightSDS!R$14*$AG531^5+WeightSDS!S$14*$AG531^4+WeightSDS!T$14*$AG531^3+WeightSDS!U$14*$AG531^2+WeightSDS!V$14*$AG531+WeightSDS!W$14),IF($AG531&lt;156,WeightSDS!O$17*$AG531^8+WeightSDS!P$17*$AG531^7+WeightSDS!Q$17*$AG531^6+WeightSDS!R$17*$AG531^5+WeightSDS!S$17*$AG531^4+WeightSDS!T$17*$AG531^3+WeightSDS!U$17*$AG531^2+WeightSDS!V$17*$AG531+WeightSDS!W$17,IF($AG531&lt;186,WeightSDS!$U$18+(WeightSDS!$V$18-WeightSDS!$U$18)/24*($AG531-186)+WeightSDS!$W$18*(-$AG531+186)^2-0.005,WeightSDS!$U$18+(WeightSDS!$V$18-WeightSDS!$U$18)/24*($AG531-186)-0.005)))</f>
        <v>0.14604529399999999</v>
      </c>
    </row>
    <row r="532" spans="1:37">
      <c r="A532" s="4"/>
      <c r="B532" s="21"/>
      <c r="C532" s="21"/>
      <c r="D532" s="21"/>
      <c r="E532" s="22"/>
      <c r="F532" s="22"/>
      <c r="G532" s="23"/>
      <c r="H532" s="23"/>
      <c r="I532" s="8" t="str">
        <f t="shared" si="130"/>
        <v/>
      </c>
      <c r="J532" s="2" t="str">
        <f t="shared" si="137"/>
        <v/>
      </c>
      <c r="K532" s="2" t="str">
        <f t="shared" si="131"/>
        <v/>
      </c>
      <c r="L532" s="2" t="str">
        <f t="shared" si="138"/>
        <v/>
      </c>
      <c r="M532" s="2" t="str">
        <f t="shared" si="143"/>
        <v/>
      </c>
      <c r="N532" s="2" t="str">
        <f t="shared" si="139"/>
        <v/>
      </c>
      <c r="O532" s="8" t="str">
        <f t="shared" si="140"/>
        <v/>
      </c>
      <c r="P532" s="8" t="str">
        <f t="shared" si="141"/>
        <v/>
      </c>
      <c r="Q532" s="40" t="str">
        <f t="shared" si="132"/>
        <v/>
      </c>
      <c r="R532" s="48" t="str">
        <f t="shared" si="142"/>
        <v/>
      </c>
      <c r="S532" s="8"/>
      <c r="U532" s="35">
        <f t="shared" si="133"/>
        <v>0</v>
      </c>
      <c r="V532" s="24">
        <f t="shared" si="134"/>
        <v>0</v>
      </c>
      <c r="W532" s="41">
        <f t="shared" si="129"/>
        <v>0</v>
      </c>
      <c r="X532" s="31"/>
      <c r="Y532" s="31"/>
      <c r="Z532" s="31"/>
      <c r="AA532" s="25">
        <f t="shared" si="135"/>
        <v>9.0359999999999996</v>
      </c>
      <c r="AB532" s="25">
        <f t="shared" si="136"/>
        <v>-184.49199999999999</v>
      </c>
      <c r="AD532" s="24">
        <f>IF(D532="M",IF(AG532&lt;78,BMILMS!$D$5*AG532^3+BMILMS!$E$5*AG532^2+BMILMS!$F$5*AG532+BMILMS!$G$5,IF(AG532&lt;150,BMILMS!$D$6*AG532^3+BMILMS!$E$6*AG532^2+BMILMS!$F$6*AG532+BMILMS!$G$6,BMILMS!$D$7*AG532^3+BMILMS!$E$7*AG532^2+BMILMS!$F$7*AG532+BMILMS!$G$7)),IF(AG532&lt;69,BMILMS!$D$9*AG532^3+BMILMS!$E$9*AG532^2+BMILMS!$F$9*AG532+BMILMS!$G$9,IF(AG532&lt;150,BMILMS!$D$10*AG532^3+BMILMS!$E$10*AG532^2+BMILMS!$F$10*AG532+BMILMS!$G$10,BMILMS!$D$11*AG532^3+BMILMS!$E$11*AG532^2+BMILMS!$F$11*AG532+BMILMS!$G$11)))</f>
        <v>0.79584630099999998</v>
      </c>
      <c r="AE532" s="24">
        <f>IF(D532="M",(IF(AG532&lt;2.5,BMILMS!$D$21*AG532^3+BMILMS!$E$21*AG532^2+BMILMS!$F$21*AG532+BMILMS!$G$21,IF(AG532&lt;9.5,BMILMS!$D$22*AG532^3+BMILMS!$E$22*AG532^2+BMILMS!$F$22*AG532+BMILMS!$G$22,IF(AG532&lt;26.75,BMILMS!$D$23*AG532^3+BMILMS!$E$23*AG532^2+BMILMS!$F$23*AG532+BMILMS!$G$23,IF(AG532&lt;90,BMILMS!$D$24*AG532^3+BMILMS!$E$24*AG532^2+BMILMS!$F$24*AG532+BMILMS!$G$24,BMILMS!$D$25*AG532^3+BMILMS!$E$25*AG532^2+BMILMS!$F$25*AG532+BMILMS!$G$25))))),(IF(AG532&lt;2.5,BMILMS!$D$27*AG532^3+BMILMS!$E$27*AG532^2+BMILMS!$F$27*AG532+BMILMS!$G$27,IF(AG532&lt;9.5,BMILMS!$D$28*AG532^3+BMILMS!$E$28*AG532^2+BMILMS!$F$28*AG532+BMILMS!$G$28,IF(AG532&lt;26.75,BMILMS!$D$29*AG532^3+BMILMS!$E$29*AG532^2+BMILMS!$F$29*AG532+BMILMS!$G$29,IF(AG532&lt;90,BMILMS!$D$30*AG532^3+BMILMS!$E$30*AG532^2+BMILMS!$F$30*AG532+BMILMS!$G$30,IF(AG532&lt;150,BMILMS!$D$31*AG532^3+BMILMS!$E$31*AG532^2+BMILMS!$F$31*AG532+BMILMS!$G$31,BMILMS!$D$32*AG532^3+BMILMS!$E$32*AG532^2+BMILMS!$F$32*AG532+BMILMS!$G$32)))))))</f>
        <v>12.568967990000001</v>
      </c>
      <c r="AF532" s="24">
        <f>IF(D532="M",(IF(AG532&lt;90,BMILMS!$D$14*AG532^3+BMILMS!$E$14*AG532^2+BMILMS!$F$14*AG532+BMILMS!$G$14,BMILMS!$D$15*AG532^3+BMILMS!$E$15*AG532^2+BMILMS!$F$15*AG532+BMILMS!$G$15)),(IF(AG532&lt;90,BMILMS!$D$17*AG532^3+BMILMS!$E$17*AG532^2+BMILMS!$F$17*AG532+BMILMS!$G$17,BMILMS!$D$18*AG532^3+BMILMS!$E$18*AG532^2+BMILMS!$F$18*AG532+BMILMS!$G$18)))</f>
        <v>8.8969350000000003E-2</v>
      </c>
      <c r="AG532" s="24">
        <f t="shared" si="144"/>
        <v>0</v>
      </c>
      <c r="AI532" s="38">
        <f>IF(D532="M",WeightSDS!P$5*$AG532^7+WeightSDS!Q$5*$AG532^6+WeightSDS!R$5*$AG532^5+WeightSDS!S$5*$AG532^4+WeightSDS!T$5*$AG532^3+WeightSDS!U$5*$AG532^2+WeightSDS!V$5*$AG532+WeightSDS!W$5,IF($AG532&lt;186,WeightSDS!P$8*$AG532^7+WeightSDS!Q$8*$AG532^6+WeightSDS!R$8*$AG532^5+WeightSDS!S$8*$AG532^4+WeightSDS!T$8*$AG532^3+WeightSDS!U$8*$AG532^2+WeightSDS!V$8*$AG532+WeightSDS!W$8,WeightSDS!$U$9-WeightSDS!$V$9*($AG532-WeightSDS!$W$9)))</f>
        <v>0.75407122999999998</v>
      </c>
      <c r="AJ532" s="24">
        <f>IF(D532="M",IF($AG532&lt;45,WeightSDS!M$23*$AG532^10+WeightSDS!N$23*$AG532^9+WeightSDS!O$23*$AG532^8+WeightSDS!P$23*$AG532^7+WeightSDS!Q$23*$AG532^6+WeightSDS!R$23*$AG532^5+WeightSDS!S$23*$AG532^4+WeightSDS!T$23*$AG532^3+WeightSDS!U$23*$AG532^2+WeightSDS!V$23*$AG532+WeightSDS!W$23,IF($AG532&lt;153,WeightSDS!M$25*$AG532^10+WeightSDS!N$25*$AG532^9+WeightSDS!O$25*$AG532^8+WeightSDS!P$25*$AG532^7+WeightSDS!Q$25*$AG532^6+WeightSDS!R$25*$AG532^5+WeightSDS!S$25*$AG532^4+WeightSDS!T$25*$AG532^3+WeightSDS!U$25*$AG532^2+WeightSDS!V$25*$AG532+WeightSDS!W$25,WeightSDS!M$27+WeightSDS!N$27/(1+EXP(WeightSDS!O$27+WeightSDS!P$27*$AG532)))),IF($AG532&lt;43.8,WeightSDS!M$29*$AG532^10+WeightSDS!N$29*$AG532^9+WeightSDS!O$29*$AG532^8+WeightSDS!P$29*$AG532^7+WeightSDS!Q$29*$AG532^6+WeightSDS!R$29*$AG532^5+WeightSDS!S$29*$AG532^4+WeightSDS!T$29*$AG532^3+WeightSDS!U$29*$AG532^2+WeightSDS!V$29*$AG532+WeightSDS!W$29-0.010431*(1-$AG532/210),IF($AG532&lt;123,WeightSDS!M$30*$AG532^10+WeightSDS!N$30*$AG532^9+WeightSDS!O$30*$AG532^8+WeightSDS!P$30*$AG532^7+WeightSDS!Q$30*$AG532^6+WeightSDS!R$30*$AG532^5+WeightSDS!S$30*$AG532^4+WeightSDS!T$30*$AG532^3+WeightSDS!U$30*$AG532^2+WeightSDS!V$30*$AG532+WeightSDS!W$30-0.010431*(1-1/$AG532),WeightSDS!M$32+WeightSDS!N$32/(1+EXP(WeightSDS!O$32+WeightSDS!P$32*$AG532))-0.010431*(1-$AG532/210))))</f>
        <v>2.9500001032655536</v>
      </c>
      <c r="AK532" s="24">
        <f>IF(D532="M",IF($AG532&lt;162,WeightSDS!P$12*$AG532^7+WeightSDS!Q$12*$AG532^6+WeightSDS!R$12*$AG532^5+WeightSDS!S$12*$AG532^4+WeightSDS!T$12*$AG532^3+WeightSDS!U$12*$AG532^2+WeightSDS!V$12*$AG532+WeightSDS!W$12,WeightSDS!P$14*$AG532^7+WeightSDS!Q$14*$AG532^6+WeightSDS!R$14*$AG532^5+WeightSDS!S$14*$AG532^4+WeightSDS!T$14*$AG532^3+WeightSDS!U$14*$AG532^2+WeightSDS!V$14*$AG532+WeightSDS!W$14),IF($AG532&lt;156,WeightSDS!O$17*$AG532^8+WeightSDS!P$17*$AG532^7+WeightSDS!Q$17*$AG532^6+WeightSDS!R$17*$AG532^5+WeightSDS!S$17*$AG532^4+WeightSDS!T$17*$AG532^3+WeightSDS!U$17*$AG532^2+WeightSDS!V$17*$AG532+WeightSDS!W$17,IF($AG532&lt;186,WeightSDS!$U$18+(WeightSDS!$V$18-WeightSDS!$U$18)/24*($AG532-186)+WeightSDS!$W$18*(-$AG532+186)^2-0.005,WeightSDS!$U$18+(WeightSDS!$V$18-WeightSDS!$U$18)/24*($AG532-186)-0.005)))</f>
        <v>0.14604529399999999</v>
      </c>
    </row>
    <row r="533" spans="1:37">
      <c r="A533" s="4"/>
      <c r="B533" s="21"/>
      <c r="C533" s="21"/>
      <c r="D533" s="21"/>
      <c r="E533" s="22"/>
      <c r="F533" s="22"/>
      <c r="G533" s="23"/>
      <c r="H533" s="23"/>
      <c r="I533" s="8" t="str">
        <f t="shared" si="130"/>
        <v/>
      </c>
      <c r="J533" s="2" t="str">
        <f t="shared" si="137"/>
        <v/>
      </c>
      <c r="K533" s="2" t="str">
        <f t="shared" si="131"/>
        <v/>
      </c>
      <c r="L533" s="2" t="str">
        <f t="shared" si="138"/>
        <v/>
      </c>
      <c r="M533" s="2" t="str">
        <f t="shared" si="143"/>
        <v/>
      </c>
      <c r="N533" s="2" t="str">
        <f t="shared" si="139"/>
        <v/>
      </c>
      <c r="O533" s="8" t="str">
        <f t="shared" si="140"/>
        <v/>
      </c>
      <c r="P533" s="8" t="str">
        <f t="shared" si="141"/>
        <v/>
      </c>
      <c r="Q533" s="40" t="str">
        <f t="shared" si="132"/>
        <v/>
      </c>
      <c r="R533" s="48" t="str">
        <f t="shared" si="142"/>
        <v/>
      </c>
      <c r="S533" s="8"/>
      <c r="U533" s="35">
        <f t="shared" si="133"/>
        <v>0</v>
      </c>
      <c r="V533" s="24">
        <f t="shared" si="134"/>
        <v>0</v>
      </c>
      <c r="W533" s="41">
        <f t="shared" si="129"/>
        <v>0</v>
      </c>
      <c r="X533" s="31"/>
      <c r="Y533" s="31"/>
      <c r="Z533" s="31"/>
      <c r="AA533" s="25">
        <f t="shared" si="135"/>
        <v>9.0359999999999996</v>
      </c>
      <c r="AB533" s="25">
        <f t="shared" si="136"/>
        <v>-184.49199999999999</v>
      </c>
      <c r="AD533" s="24">
        <f>IF(D533="M",IF(AG533&lt;78,BMILMS!$D$5*AG533^3+BMILMS!$E$5*AG533^2+BMILMS!$F$5*AG533+BMILMS!$G$5,IF(AG533&lt;150,BMILMS!$D$6*AG533^3+BMILMS!$E$6*AG533^2+BMILMS!$F$6*AG533+BMILMS!$G$6,BMILMS!$D$7*AG533^3+BMILMS!$E$7*AG533^2+BMILMS!$F$7*AG533+BMILMS!$G$7)),IF(AG533&lt;69,BMILMS!$D$9*AG533^3+BMILMS!$E$9*AG533^2+BMILMS!$F$9*AG533+BMILMS!$G$9,IF(AG533&lt;150,BMILMS!$D$10*AG533^3+BMILMS!$E$10*AG533^2+BMILMS!$F$10*AG533+BMILMS!$G$10,BMILMS!$D$11*AG533^3+BMILMS!$E$11*AG533^2+BMILMS!$F$11*AG533+BMILMS!$G$11)))</f>
        <v>0.79584630099999998</v>
      </c>
      <c r="AE533" s="24">
        <f>IF(D533="M",(IF(AG533&lt;2.5,BMILMS!$D$21*AG533^3+BMILMS!$E$21*AG533^2+BMILMS!$F$21*AG533+BMILMS!$G$21,IF(AG533&lt;9.5,BMILMS!$D$22*AG533^3+BMILMS!$E$22*AG533^2+BMILMS!$F$22*AG533+BMILMS!$G$22,IF(AG533&lt;26.75,BMILMS!$D$23*AG533^3+BMILMS!$E$23*AG533^2+BMILMS!$F$23*AG533+BMILMS!$G$23,IF(AG533&lt;90,BMILMS!$D$24*AG533^3+BMILMS!$E$24*AG533^2+BMILMS!$F$24*AG533+BMILMS!$G$24,BMILMS!$D$25*AG533^3+BMILMS!$E$25*AG533^2+BMILMS!$F$25*AG533+BMILMS!$G$25))))),(IF(AG533&lt;2.5,BMILMS!$D$27*AG533^3+BMILMS!$E$27*AG533^2+BMILMS!$F$27*AG533+BMILMS!$G$27,IF(AG533&lt;9.5,BMILMS!$D$28*AG533^3+BMILMS!$E$28*AG533^2+BMILMS!$F$28*AG533+BMILMS!$G$28,IF(AG533&lt;26.75,BMILMS!$D$29*AG533^3+BMILMS!$E$29*AG533^2+BMILMS!$F$29*AG533+BMILMS!$G$29,IF(AG533&lt;90,BMILMS!$D$30*AG533^3+BMILMS!$E$30*AG533^2+BMILMS!$F$30*AG533+BMILMS!$G$30,IF(AG533&lt;150,BMILMS!$D$31*AG533^3+BMILMS!$E$31*AG533^2+BMILMS!$F$31*AG533+BMILMS!$G$31,BMILMS!$D$32*AG533^3+BMILMS!$E$32*AG533^2+BMILMS!$F$32*AG533+BMILMS!$G$32)))))))</f>
        <v>12.568967990000001</v>
      </c>
      <c r="AF533" s="24">
        <f>IF(D533="M",(IF(AG533&lt;90,BMILMS!$D$14*AG533^3+BMILMS!$E$14*AG533^2+BMILMS!$F$14*AG533+BMILMS!$G$14,BMILMS!$D$15*AG533^3+BMILMS!$E$15*AG533^2+BMILMS!$F$15*AG533+BMILMS!$G$15)),(IF(AG533&lt;90,BMILMS!$D$17*AG533^3+BMILMS!$E$17*AG533^2+BMILMS!$F$17*AG533+BMILMS!$G$17,BMILMS!$D$18*AG533^3+BMILMS!$E$18*AG533^2+BMILMS!$F$18*AG533+BMILMS!$G$18)))</f>
        <v>8.8969350000000003E-2</v>
      </c>
      <c r="AG533" s="24">
        <f t="shared" si="144"/>
        <v>0</v>
      </c>
      <c r="AI533" s="38">
        <f>IF(D533="M",WeightSDS!P$5*$AG533^7+WeightSDS!Q$5*$AG533^6+WeightSDS!R$5*$AG533^5+WeightSDS!S$5*$AG533^4+WeightSDS!T$5*$AG533^3+WeightSDS!U$5*$AG533^2+WeightSDS!V$5*$AG533+WeightSDS!W$5,IF($AG533&lt;186,WeightSDS!P$8*$AG533^7+WeightSDS!Q$8*$AG533^6+WeightSDS!R$8*$AG533^5+WeightSDS!S$8*$AG533^4+WeightSDS!T$8*$AG533^3+WeightSDS!U$8*$AG533^2+WeightSDS!V$8*$AG533+WeightSDS!W$8,WeightSDS!$U$9-WeightSDS!$V$9*($AG533-WeightSDS!$W$9)))</f>
        <v>0.75407122999999998</v>
      </c>
      <c r="AJ533" s="24">
        <f>IF(D533="M",IF($AG533&lt;45,WeightSDS!M$23*$AG533^10+WeightSDS!N$23*$AG533^9+WeightSDS!O$23*$AG533^8+WeightSDS!P$23*$AG533^7+WeightSDS!Q$23*$AG533^6+WeightSDS!R$23*$AG533^5+WeightSDS!S$23*$AG533^4+WeightSDS!T$23*$AG533^3+WeightSDS!U$23*$AG533^2+WeightSDS!V$23*$AG533+WeightSDS!W$23,IF($AG533&lt;153,WeightSDS!M$25*$AG533^10+WeightSDS!N$25*$AG533^9+WeightSDS!O$25*$AG533^8+WeightSDS!P$25*$AG533^7+WeightSDS!Q$25*$AG533^6+WeightSDS!R$25*$AG533^5+WeightSDS!S$25*$AG533^4+WeightSDS!T$25*$AG533^3+WeightSDS!U$25*$AG533^2+WeightSDS!V$25*$AG533+WeightSDS!W$25,WeightSDS!M$27+WeightSDS!N$27/(1+EXP(WeightSDS!O$27+WeightSDS!P$27*$AG533)))),IF($AG533&lt;43.8,WeightSDS!M$29*$AG533^10+WeightSDS!N$29*$AG533^9+WeightSDS!O$29*$AG533^8+WeightSDS!P$29*$AG533^7+WeightSDS!Q$29*$AG533^6+WeightSDS!R$29*$AG533^5+WeightSDS!S$29*$AG533^4+WeightSDS!T$29*$AG533^3+WeightSDS!U$29*$AG533^2+WeightSDS!V$29*$AG533+WeightSDS!W$29-0.010431*(1-$AG533/210),IF($AG533&lt;123,WeightSDS!M$30*$AG533^10+WeightSDS!N$30*$AG533^9+WeightSDS!O$30*$AG533^8+WeightSDS!P$30*$AG533^7+WeightSDS!Q$30*$AG533^6+WeightSDS!R$30*$AG533^5+WeightSDS!S$30*$AG533^4+WeightSDS!T$30*$AG533^3+WeightSDS!U$30*$AG533^2+WeightSDS!V$30*$AG533+WeightSDS!W$30-0.010431*(1-1/$AG533),WeightSDS!M$32+WeightSDS!N$32/(1+EXP(WeightSDS!O$32+WeightSDS!P$32*$AG533))-0.010431*(1-$AG533/210))))</f>
        <v>2.9500001032655536</v>
      </c>
      <c r="AK533" s="24">
        <f>IF(D533="M",IF($AG533&lt;162,WeightSDS!P$12*$AG533^7+WeightSDS!Q$12*$AG533^6+WeightSDS!R$12*$AG533^5+WeightSDS!S$12*$AG533^4+WeightSDS!T$12*$AG533^3+WeightSDS!U$12*$AG533^2+WeightSDS!V$12*$AG533+WeightSDS!W$12,WeightSDS!P$14*$AG533^7+WeightSDS!Q$14*$AG533^6+WeightSDS!R$14*$AG533^5+WeightSDS!S$14*$AG533^4+WeightSDS!T$14*$AG533^3+WeightSDS!U$14*$AG533^2+WeightSDS!V$14*$AG533+WeightSDS!W$14),IF($AG533&lt;156,WeightSDS!O$17*$AG533^8+WeightSDS!P$17*$AG533^7+WeightSDS!Q$17*$AG533^6+WeightSDS!R$17*$AG533^5+WeightSDS!S$17*$AG533^4+WeightSDS!T$17*$AG533^3+WeightSDS!U$17*$AG533^2+WeightSDS!V$17*$AG533+WeightSDS!W$17,IF($AG533&lt;186,WeightSDS!$U$18+(WeightSDS!$V$18-WeightSDS!$U$18)/24*($AG533-186)+WeightSDS!$W$18*(-$AG533+186)^2-0.005,WeightSDS!$U$18+(WeightSDS!$V$18-WeightSDS!$U$18)/24*($AG533-186)-0.005)))</f>
        <v>0.14604529399999999</v>
      </c>
    </row>
    <row r="534" spans="1:37">
      <c r="A534" s="4"/>
      <c r="B534" s="21"/>
      <c r="C534" s="21"/>
      <c r="D534" s="21"/>
      <c r="E534" s="22"/>
      <c r="F534" s="22"/>
      <c r="G534" s="23"/>
      <c r="H534" s="23"/>
      <c r="I534" s="8" t="str">
        <f t="shared" si="130"/>
        <v/>
      </c>
      <c r="J534" s="2" t="str">
        <f t="shared" si="137"/>
        <v/>
      </c>
      <c r="K534" s="2" t="str">
        <f t="shared" si="131"/>
        <v/>
      </c>
      <c r="L534" s="2" t="str">
        <f t="shared" si="138"/>
        <v/>
      </c>
      <c r="M534" s="2" t="str">
        <f t="shared" si="143"/>
        <v/>
      </c>
      <c r="N534" s="2" t="str">
        <f t="shared" si="139"/>
        <v/>
      </c>
      <c r="O534" s="8" t="str">
        <f t="shared" si="140"/>
        <v/>
      </c>
      <c r="P534" s="8" t="str">
        <f t="shared" si="141"/>
        <v/>
      </c>
      <c r="Q534" s="40" t="str">
        <f t="shared" si="132"/>
        <v/>
      </c>
      <c r="R534" s="48" t="str">
        <f t="shared" si="142"/>
        <v/>
      </c>
      <c r="S534" s="8"/>
      <c r="U534" s="35">
        <f t="shared" si="133"/>
        <v>0</v>
      </c>
      <c r="V534" s="24">
        <f t="shared" si="134"/>
        <v>0</v>
      </c>
      <c r="W534" s="41">
        <f t="shared" si="129"/>
        <v>0</v>
      </c>
      <c r="X534" s="31"/>
      <c r="Y534" s="31"/>
      <c r="Z534" s="31"/>
      <c r="AA534" s="25">
        <f t="shared" si="135"/>
        <v>9.0359999999999996</v>
      </c>
      <c r="AB534" s="25">
        <f t="shared" si="136"/>
        <v>-184.49199999999999</v>
      </c>
      <c r="AD534" s="24">
        <f>IF(D534="M",IF(AG534&lt;78,BMILMS!$D$5*AG534^3+BMILMS!$E$5*AG534^2+BMILMS!$F$5*AG534+BMILMS!$G$5,IF(AG534&lt;150,BMILMS!$D$6*AG534^3+BMILMS!$E$6*AG534^2+BMILMS!$F$6*AG534+BMILMS!$G$6,BMILMS!$D$7*AG534^3+BMILMS!$E$7*AG534^2+BMILMS!$F$7*AG534+BMILMS!$G$7)),IF(AG534&lt;69,BMILMS!$D$9*AG534^3+BMILMS!$E$9*AG534^2+BMILMS!$F$9*AG534+BMILMS!$G$9,IF(AG534&lt;150,BMILMS!$D$10*AG534^3+BMILMS!$E$10*AG534^2+BMILMS!$F$10*AG534+BMILMS!$G$10,BMILMS!$D$11*AG534^3+BMILMS!$E$11*AG534^2+BMILMS!$F$11*AG534+BMILMS!$G$11)))</f>
        <v>0.79584630099999998</v>
      </c>
      <c r="AE534" s="24">
        <f>IF(D534="M",(IF(AG534&lt;2.5,BMILMS!$D$21*AG534^3+BMILMS!$E$21*AG534^2+BMILMS!$F$21*AG534+BMILMS!$G$21,IF(AG534&lt;9.5,BMILMS!$D$22*AG534^3+BMILMS!$E$22*AG534^2+BMILMS!$F$22*AG534+BMILMS!$G$22,IF(AG534&lt;26.75,BMILMS!$D$23*AG534^3+BMILMS!$E$23*AG534^2+BMILMS!$F$23*AG534+BMILMS!$G$23,IF(AG534&lt;90,BMILMS!$D$24*AG534^3+BMILMS!$E$24*AG534^2+BMILMS!$F$24*AG534+BMILMS!$G$24,BMILMS!$D$25*AG534^3+BMILMS!$E$25*AG534^2+BMILMS!$F$25*AG534+BMILMS!$G$25))))),(IF(AG534&lt;2.5,BMILMS!$D$27*AG534^3+BMILMS!$E$27*AG534^2+BMILMS!$F$27*AG534+BMILMS!$G$27,IF(AG534&lt;9.5,BMILMS!$D$28*AG534^3+BMILMS!$E$28*AG534^2+BMILMS!$F$28*AG534+BMILMS!$G$28,IF(AG534&lt;26.75,BMILMS!$D$29*AG534^3+BMILMS!$E$29*AG534^2+BMILMS!$F$29*AG534+BMILMS!$G$29,IF(AG534&lt;90,BMILMS!$D$30*AG534^3+BMILMS!$E$30*AG534^2+BMILMS!$F$30*AG534+BMILMS!$G$30,IF(AG534&lt;150,BMILMS!$D$31*AG534^3+BMILMS!$E$31*AG534^2+BMILMS!$F$31*AG534+BMILMS!$G$31,BMILMS!$D$32*AG534^3+BMILMS!$E$32*AG534^2+BMILMS!$F$32*AG534+BMILMS!$G$32)))))))</f>
        <v>12.568967990000001</v>
      </c>
      <c r="AF534" s="24">
        <f>IF(D534="M",(IF(AG534&lt;90,BMILMS!$D$14*AG534^3+BMILMS!$E$14*AG534^2+BMILMS!$F$14*AG534+BMILMS!$G$14,BMILMS!$D$15*AG534^3+BMILMS!$E$15*AG534^2+BMILMS!$F$15*AG534+BMILMS!$G$15)),(IF(AG534&lt;90,BMILMS!$D$17*AG534^3+BMILMS!$E$17*AG534^2+BMILMS!$F$17*AG534+BMILMS!$G$17,BMILMS!$D$18*AG534^3+BMILMS!$E$18*AG534^2+BMILMS!$F$18*AG534+BMILMS!$G$18)))</f>
        <v>8.8969350000000003E-2</v>
      </c>
      <c r="AG534" s="24">
        <f t="shared" si="144"/>
        <v>0</v>
      </c>
      <c r="AI534" s="38">
        <f>IF(D534="M",WeightSDS!P$5*$AG534^7+WeightSDS!Q$5*$AG534^6+WeightSDS!R$5*$AG534^5+WeightSDS!S$5*$AG534^4+WeightSDS!T$5*$AG534^3+WeightSDS!U$5*$AG534^2+WeightSDS!V$5*$AG534+WeightSDS!W$5,IF($AG534&lt;186,WeightSDS!P$8*$AG534^7+WeightSDS!Q$8*$AG534^6+WeightSDS!R$8*$AG534^5+WeightSDS!S$8*$AG534^4+WeightSDS!T$8*$AG534^3+WeightSDS!U$8*$AG534^2+WeightSDS!V$8*$AG534+WeightSDS!W$8,WeightSDS!$U$9-WeightSDS!$V$9*($AG534-WeightSDS!$W$9)))</f>
        <v>0.75407122999999998</v>
      </c>
      <c r="AJ534" s="24">
        <f>IF(D534="M",IF($AG534&lt;45,WeightSDS!M$23*$AG534^10+WeightSDS!N$23*$AG534^9+WeightSDS!O$23*$AG534^8+WeightSDS!P$23*$AG534^7+WeightSDS!Q$23*$AG534^6+WeightSDS!R$23*$AG534^5+WeightSDS!S$23*$AG534^4+WeightSDS!T$23*$AG534^3+WeightSDS!U$23*$AG534^2+WeightSDS!V$23*$AG534+WeightSDS!W$23,IF($AG534&lt;153,WeightSDS!M$25*$AG534^10+WeightSDS!N$25*$AG534^9+WeightSDS!O$25*$AG534^8+WeightSDS!P$25*$AG534^7+WeightSDS!Q$25*$AG534^6+WeightSDS!R$25*$AG534^5+WeightSDS!S$25*$AG534^4+WeightSDS!T$25*$AG534^3+WeightSDS!U$25*$AG534^2+WeightSDS!V$25*$AG534+WeightSDS!W$25,WeightSDS!M$27+WeightSDS!N$27/(1+EXP(WeightSDS!O$27+WeightSDS!P$27*$AG534)))),IF($AG534&lt;43.8,WeightSDS!M$29*$AG534^10+WeightSDS!N$29*$AG534^9+WeightSDS!O$29*$AG534^8+WeightSDS!P$29*$AG534^7+WeightSDS!Q$29*$AG534^6+WeightSDS!R$29*$AG534^5+WeightSDS!S$29*$AG534^4+WeightSDS!T$29*$AG534^3+WeightSDS!U$29*$AG534^2+WeightSDS!V$29*$AG534+WeightSDS!W$29-0.010431*(1-$AG534/210),IF($AG534&lt;123,WeightSDS!M$30*$AG534^10+WeightSDS!N$30*$AG534^9+WeightSDS!O$30*$AG534^8+WeightSDS!P$30*$AG534^7+WeightSDS!Q$30*$AG534^6+WeightSDS!R$30*$AG534^5+WeightSDS!S$30*$AG534^4+WeightSDS!T$30*$AG534^3+WeightSDS!U$30*$AG534^2+WeightSDS!V$30*$AG534+WeightSDS!W$30-0.010431*(1-1/$AG534),WeightSDS!M$32+WeightSDS!N$32/(1+EXP(WeightSDS!O$32+WeightSDS!P$32*$AG534))-0.010431*(1-$AG534/210))))</f>
        <v>2.9500001032655536</v>
      </c>
      <c r="AK534" s="24">
        <f>IF(D534="M",IF($AG534&lt;162,WeightSDS!P$12*$AG534^7+WeightSDS!Q$12*$AG534^6+WeightSDS!R$12*$AG534^5+WeightSDS!S$12*$AG534^4+WeightSDS!T$12*$AG534^3+WeightSDS!U$12*$AG534^2+WeightSDS!V$12*$AG534+WeightSDS!W$12,WeightSDS!P$14*$AG534^7+WeightSDS!Q$14*$AG534^6+WeightSDS!R$14*$AG534^5+WeightSDS!S$14*$AG534^4+WeightSDS!T$14*$AG534^3+WeightSDS!U$14*$AG534^2+WeightSDS!V$14*$AG534+WeightSDS!W$14),IF($AG534&lt;156,WeightSDS!O$17*$AG534^8+WeightSDS!P$17*$AG534^7+WeightSDS!Q$17*$AG534^6+WeightSDS!R$17*$AG534^5+WeightSDS!S$17*$AG534^4+WeightSDS!T$17*$AG534^3+WeightSDS!U$17*$AG534^2+WeightSDS!V$17*$AG534+WeightSDS!W$17,IF($AG534&lt;186,WeightSDS!$U$18+(WeightSDS!$V$18-WeightSDS!$U$18)/24*($AG534-186)+WeightSDS!$W$18*(-$AG534+186)^2-0.005,WeightSDS!$U$18+(WeightSDS!$V$18-WeightSDS!$U$18)/24*($AG534-186)-0.005)))</f>
        <v>0.14604529399999999</v>
      </c>
    </row>
    <row r="535" spans="1:37">
      <c r="A535" s="4"/>
      <c r="B535" s="21"/>
      <c r="C535" s="21"/>
      <c r="D535" s="21"/>
      <c r="E535" s="22"/>
      <c r="F535" s="22"/>
      <c r="G535" s="23"/>
      <c r="H535" s="23"/>
      <c r="I535" s="8" t="str">
        <f t="shared" si="130"/>
        <v/>
      </c>
      <c r="J535" s="2" t="str">
        <f t="shared" si="137"/>
        <v/>
      </c>
      <c r="K535" s="2" t="str">
        <f t="shared" si="131"/>
        <v/>
      </c>
      <c r="L535" s="2" t="str">
        <f t="shared" si="138"/>
        <v/>
      </c>
      <c r="M535" s="2" t="str">
        <f t="shared" si="143"/>
        <v/>
      </c>
      <c r="N535" s="2" t="str">
        <f t="shared" si="139"/>
        <v/>
      </c>
      <c r="O535" s="8" t="str">
        <f t="shared" si="140"/>
        <v/>
      </c>
      <c r="P535" s="8" t="str">
        <f t="shared" si="141"/>
        <v/>
      </c>
      <c r="Q535" s="40" t="str">
        <f t="shared" si="132"/>
        <v/>
      </c>
      <c r="R535" s="48" t="str">
        <f t="shared" si="142"/>
        <v/>
      </c>
      <c r="S535" s="8"/>
      <c r="U535" s="35">
        <f t="shared" si="133"/>
        <v>0</v>
      </c>
      <c r="V535" s="24">
        <f t="shared" si="134"/>
        <v>0</v>
      </c>
      <c r="W535" s="41">
        <f t="shared" si="129"/>
        <v>0</v>
      </c>
      <c r="X535" s="31"/>
      <c r="Y535" s="31"/>
      <c r="Z535" s="31"/>
      <c r="AA535" s="25">
        <f t="shared" si="135"/>
        <v>9.0359999999999996</v>
      </c>
      <c r="AB535" s="25">
        <f t="shared" si="136"/>
        <v>-184.49199999999999</v>
      </c>
      <c r="AD535" s="24">
        <f>IF(D535="M",IF(AG535&lt;78,BMILMS!$D$5*AG535^3+BMILMS!$E$5*AG535^2+BMILMS!$F$5*AG535+BMILMS!$G$5,IF(AG535&lt;150,BMILMS!$D$6*AG535^3+BMILMS!$E$6*AG535^2+BMILMS!$F$6*AG535+BMILMS!$G$6,BMILMS!$D$7*AG535^3+BMILMS!$E$7*AG535^2+BMILMS!$F$7*AG535+BMILMS!$G$7)),IF(AG535&lt;69,BMILMS!$D$9*AG535^3+BMILMS!$E$9*AG535^2+BMILMS!$F$9*AG535+BMILMS!$G$9,IF(AG535&lt;150,BMILMS!$D$10*AG535^3+BMILMS!$E$10*AG535^2+BMILMS!$F$10*AG535+BMILMS!$G$10,BMILMS!$D$11*AG535^3+BMILMS!$E$11*AG535^2+BMILMS!$F$11*AG535+BMILMS!$G$11)))</f>
        <v>0.79584630099999998</v>
      </c>
      <c r="AE535" s="24">
        <f>IF(D535="M",(IF(AG535&lt;2.5,BMILMS!$D$21*AG535^3+BMILMS!$E$21*AG535^2+BMILMS!$F$21*AG535+BMILMS!$G$21,IF(AG535&lt;9.5,BMILMS!$D$22*AG535^3+BMILMS!$E$22*AG535^2+BMILMS!$F$22*AG535+BMILMS!$G$22,IF(AG535&lt;26.75,BMILMS!$D$23*AG535^3+BMILMS!$E$23*AG535^2+BMILMS!$F$23*AG535+BMILMS!$G$23,IF(AG535&lt;90,BMILMS!$D$24*AG535^3+BMILMS!$E$24*AG535^2+BMILMS!$F$24*AG535+BMILMS!$G$24,BMILMS!$D$25*AG535^3+BMILMS!$E$25*AG535^2+BMILMS!$F$25*AG535+BMILMS!$G$25))))),(IF(AG535&lt;2.5,BMILMS!$D$27*AG535^3+BMILMS!$E$27*AG535^2+BMILMS!$F$27*AG535+BMILMS!$G$27,IF(AG535&lt;9.5,BMILMS!$D$28*AG535^3+BMILMS!$E$28*AG535^2+BMILMS!$F$28*AG535+BMILMS!$G$28,IF(AG535&lt;26.75,BMILMS!$D$29*AG535^3+BMILMS!$E$29*AG535^2+BMILMS!$F$29*AG535+BMILMS!$G$29,IF(AG535&lt;90,BMILMS!$D$30*AG535^3+BMILMS!$E$30*AG535^2+BMILMS!$F$30*AG535+BMILMS!$G$30,IF(AG535&lt;150,BMILMS!$D$31*AG535^3+BMILMS!$E$31*AG535^2+BMILMS!$F$31*AG535+BMILMS!$G$31,BMILMS!$D$32*AG535^3+BMILMS!$E$32*AG535^2+BMILMS!$F$32*AG535+BMILMS!$G$32)))))))</f>
        <v>12.568967990000001</v>
      </c>
      <c r="AF535" s="24">
        <f>IF(D535="M",(IF(AG535&lt;90,BMILMS!$D$14*AG535^3+BMILMS!$E$14*AG535^2+BMILMS!$F$14*AG535+BMILMS!$G$14,BMILMS!$D$15*AG535^3+BMILMS!$E$15*AG535^2+BMILMS!$F$15*AG535+BMILMS!$G$15)),(IF(AG535&lt;90,BMILMS!$D$17*AG535^3+BMILMS!$E$17*AG535^2+BMILMS!$F$17*AG535+BMILMS!$G$17,BMILMS!$D$18*AG535^3+BMILMS!$E$18*AG535^2+BMILMS!$F$18*AG535+BMILMS!$G$18)))</f>
        <v>8.8969350000000003E-2</v>
      </c>
      <c r="AG535" s="24">
        <f t="shared" si="144"/>
        <v>0</v>
      </c>
      <c r="AI535" s="38">
        <f>IF(D535="M",WeightSDS!P$5*$AG535^7+WeightSDS!Q$5*$AG535^6+WeightSDS!R$5*$AG535^5+WeightSDS!S$5*$AG535^4+WeightSDS!T$5*$AG535^3+WeightSDS!U$5*$AG535^2+WeightSDS!V$5*$AG535+WeightSDS!W$5,IF($AG535&lt;186,WeightSDS!P$8*$AG535^7+WeightSDS!Q$8*$AG535^6+WeightSDS!R$8*$AG535^5+WeightSDS!S$8*$AG535^4+WeightSDS!T$8*$AG535^3+WeightSDS!U$8*$AG535^2+WeightSDS!V$8*$AG535+WeightSDS!W$8,WeightSDS!$U$9-WeightSDS!$V$9*($AG535-WeightSDS!$W$9)))</f>
        <v>0.75407122999999998</v>
      </c>
      <c r="AJ535" s="24">
        <f>IF(D535="M",IF($AG535&lt;45,WeightSDS!M$23*$AG535^10+WeightSDS!N$23*$AG535^9+WeightSDS!O$23*$AG535^8+WeightSDS!P$23*$AG535^7+WeightSDS!Q$23*$AG535^6+WeightSDS!R$23*$AG535^5+WeightSDS!S$23*$AG535^4+WeightSDS!T$23*$AG535^3+WeightSDS!U$23*$AG535^2+WeightSDS!V$23*$AG535+WeightSDS!W$23,IF($AG535&lt;153,WeightSDS!M$25*$AG535^10+WeightSDS!N$25*$AG535^9+WeightSDS!O$25*$AG535^8+WeightSDS!P$25*$AG535^7+WeightSDS!Q$25*$AG535^6+WeightSDS!R$25*$AG535^5+WeightSDS!S$25*$AG535^4+WeightSDS!T$25*$AG535^3+WeightSDS!U$25*$AG535^2+WeightSDS!V$25*$AG535+WeightSDS!W$25,WeightSDS!M$27+WeightSDS!N$27/(1+EXP(WeightSDS!O$27+WeightSDS!P$27*$AG535)))),IF($AG535&lt;43.8,WeightSDS!M$29*$AG535^10+WeightSDS!N$29*$AG535^9+WeightSDS!O$29*$AG535^8+WeightSDS!P$29*$AG535^7+WeightSDS!Q$29*$AG535^6+WeightSDS!R$29*$AG535^5+WeightSDS!S$29*$AG535^4+WeightSDS!T$29*$AG535^3+WeightSDS!U$29*$AG535^2+WeightSDS!V$29*$AG535+WeightSDS!W$29-0.010431*(1-$AG535/210),IF($AG535&lt;123,WeightSDS!M$30*$AG535^10+WeightSDS!N$30*$AG535^9+WeightSDS!O$30*$AG535^8+WeightSDS!P$30*$AG535^7+WeightSDS!Q$30*$AG535^6+WeightSDS!R$30*$AG535^5+WeightSDS!S$30*$AG535^4+WeightSDS!T$30*$AG535^3+WeightSDS!U$30*$AG535^2+WeightSDS!V$30*$AG535+WeightSDS!W$30-0.010431*(1-1/$AG535),WeightSDS!M$32+WeightSDS!N$32/(1+EXP(WeightSDS!O$32+WeightSDS!P$32*$AG535))-0.010431*(1-$AG535/210))))</f>
        <v>2.9500001032655536</v>
      </c>
      <c r="AK535" s="24">
        <f>IF(D535="M",IF($AG535&lt;162,WeightSDS!P$12*$AG535^7+WeightSDS!Q$12*$AG535^6+WeightSDS!R$12*$AG535^5+WeightSDS!S$12*$AG535^4+WeightSDS!T$12*$AG535^3+WeightSDS!U$12*$AG535^2+WeightSDS!V$12*$AG535+WeightSDS!W$12,WeightSDS!P$14*$AG535^7+WeightSDS!Q$14*$AG535^6+WeightSDS!R$14*$AG535^5+WeightSDS!S$14*$AG535^4+WeightSDS!T$14*$AG535^3+WeightSDS!U$14*$AG535^2+WeightSDS!V$14*$AG535+WeightSDS!W$14),IF($AG535&lt;156,WeightSDS!O$17*$AG535^8+WeightSDS!P$17*$AG535^7+WeightSDS!Q$17*$AG535^6+WeightSDS!R$17*$AG535^5+WeightSDS!S$17*$AG535^4+WeightSDS!T$17*$AG535^3+WeightSDS!U$17*$AG535^2+WeightSDS!V$17*$AG535+WeightSDS!W$17,IF($AG535&lt;186,WeightSDS!$U$18+(WeightSDS!$V$18-WeightSDS!$U$18)/24*($AG535-186)+WeightSDS!$W$18*(-$AG535+186)^2-0.005,WeightSDS!$U$18+(WeightSDS!$V$18-WeightSDS!$U$18)/24*($AG535-186)-0.005)))</f>
        <v>0.14604529399999999</v>
      </c>
    </row>
    <row r="536" spans="1:37">
      <c r="A536" s="4"/>
      <c r="B536" s="21"/>
      <c r="C536" s="21"/>
      <c r="D536" s="21"/>
      <c r="E536" s="22"/>
      <c r="F536" s="22"/>
      <c r="G536" s="23"/>
      <c r="H536" s="23"/>
      <c r="I536" s="8" t="str">
        <f t="shared" si="130"/>
        <v/>
      </c>
      <c r="J536" s="2" t="str">
        <f t="shared" si="137"/>
        <v/>
      </c>
      <c r="K536" s="2" t="str">
        <f t="shared" si="131"/>
        <v/>
      </c>
      <c r="L536" s="2" t="str">
        <f t="shared" si="138"/>
        <v/>
      </c>
      <c r="M536" s="2" t="str">
        <f t="shared" si="143"/>
        <v/>
      </c>
      <c r="N536" s="2" t="str">
        <f t="shared" si="139"/>
        <v/>
      </c>
      <c r="O536" s="8" t="str">
        <f t="shared" si="140"/>
        <v/>
      </c>
      <c r="P536" s="8" t="str">
        <f t="shared" si="141"/>
        <v/>
      </c>
      <c r="Q536" s="40" t="str">
        <f t="shared" si="132"/>
        <v/>
      </c>
      <c r="R536" s="48" t="str">
        <f t="shared" si="142"/>
        <v/>
      </c>
      <c r="S536" s="8"/>
      <c r="U536" s="35">
        <f t="shared" si="133"/>
        <v>0</v>
      </c>
      <c r="V536" s="24">
        <f t="shared" si="134"/>
        <v>0</v>
      </c>
      <c r="W536" s="41">
        <f t="shared" si="129"/>
        <v>0</v>
      </c>
      <c r="X536" s="31"/>
      <c r="Y536" s="31"/>
      <c r="Z536" s="31"/>
      <c r="AA536" s="25">
        <f t="shared" si="135"/>
        <v>9.0359999999999996</v>
      </c>
      <c r="AB536" s="25">
        <f t="shared" si="136"/>
        <v>-184.49199999999999</v>
      </c>
      <c r="AD536" s="24">
        <f>IF(D536="M",IF(AG536&lt;78,BMILMS!$D$5*AG536^3+BMILMS!$E$5*AG536^2+BMILMS!$F$5*AG536+BMILMS!$G$5,IF(AG536&lt;150,BMILMS!$D$6*AG536^3+BMILMS!$E$6*AG536^2+BMILMS!$F$6*AG536+BMILMS!$G$6,BMILMS!$D$7*AG536^3+BMILMS!$E$7*AG536^2+BMILMS!$F$7*AG536+BMILMS!$G$7)),IF(AG536&lt;69,BMILMS!$D$9*AG536^3+BMILMS!$E$9*AG536^2+BMILMS!$F$9*AG536+BMILMS!$G$9,IF(AG536&lt;150,BMILMS!$D$10*AG536^3+BMILMS!$E$10*AG536^2+BMILMS!$F$10*AG536+BMILMS!$G$10,BMILMS!$D$11*AG536^3+BMILMS!$E$11*AG536^2+BMILMS!$F$11*AG536+BMILMS!$G$11)))</f>
        <v>0.79584630099999998</v>
      </c>
      <c r="AE536" s="24">
        <f>IF(D536="M",(IF(AG536&lt;2.5,BMILMS!$D$21*AG536^3+BMILMS!$E$21*AG536^2+BMILMS!$F$21*AG536+BMILMS!$G$21,IF(AG536&lt;9.5,BMILMS!$D$22*AG536^3+BMILMS!$E$22*AG536^2+BMILMS!$F$22*AG536+BMILMS!$G$22,IF(AG536&lt;26.75,BMILMS!$D$23*AG536^3+BMILMS!$E$23*AG536^2+BMILMS!$F$23*AG536+BMILMS!$G$23,IF(AG536&lt;90,BMILMS!$D$24*AG536^3+BMILMS!$E$24*AG536^2+BMILMS!$F$24*AG536+BMILMS!$G$24,BMILMS!$D$25*AG536^3+BMILMS!$E$25*AG536^2+BMILMS!$F$25*AG536+BMILMS!$G$25))))),(IF(AG536&lt;2.5,BMILMS!$D$27*AG536^3+BMILMS!$E$27*AG536^2+BMILMS!$F$27*AG536+BMILMS!$G$27,IF(AG536&lt;9.5,BMILMS!$D$28*AG536^3+BMILMS!$E$28*AG536^2+BMILMS!$F$28*AG536+BMILMS!$G$28,IF(AG536&lt;26.75,BMILMS!$D$29*AG536^3+BMILMS!$E$29*AG536^2+BMILMS!$F$29*AG536+BMILMS!$G$29,IF(AG536&lt;90,BMILMS!$D$30*AG536^3+BMILMS!$E$30*AG536^2+BMILMS!$F$30*AG536+BMILMS!$G$30,IF(AG536&lt;150,BMILMS!$D$31*AG536^3+BMILMS!$E$31*AG536^2+BMILMS!$F$31*AG536+BMILMS!$G$31,BMILMS!$D$32*AG536^3+BMILMS!$E$32*AG536^2+BMILMS!$F$32*AG536+BMILMS!$G$32)))))))</f>
        <v>12.568967990000001</v>
      </c>
      <c r="AF536" s="24">
        <f>IF(D536="M",(IF(AG536&lt;90,BMILMS!$D$14*AG536^3+BMILMS!$E$14*AG536^2+BMILMS!$F$14*AG536+BMILMS!$G$14,BMILMS!$D$15*AG536^3+BMILMS!$E$15*AG536^2+BMILMS!$F$15*AG536+BMILMS!$G$15)),(IF(AG536&lt;90,BMILMS!$D$17*AG536^3+BMILMS!$E$17*AG536^2+BMILMS!$F$17*AG536+BMILMS!$G$17,BMILMS!$D$18*AG536^3+BMILMS!$E$18*AG536^2+BMILMS!$F$18*AG536+BMILMS!$G$18)))</f>
        <v>8.8969350000000003E-2</v>
      </c>
      <c r="AG536" s="24">
        <f t="shared" si="144"/>
        <v>0</v>
      </c>
      <c r="AI536" s="38">
        <f>IF(D536="M",WeightSDS!P$5*$AG536^7+WeightSDS!Q$5*$AG536^6+WeightSDS!R$5*$AG536^5+WeightSDS!S$5*$AG536^4+WeightSDS!T$5*$AG536^3+WeightSDS!U$5*$AG536^2+WeightSDS!V$5*$AG536+WeightSDS!W$5,IF($AG536&lt;186,WeightSDS!P$8*$AG536^7+WeightSDS!Q$8*$AG536^6+WeightSDS!R$8*$AG536^5+WeightSDS!S$8*$AG536^4+WeightSDS!T$8*$AG536^3+WeightSDS!U$8*$AG536^2+WeightSDS!V$8*$AG536+WeightSDS!W$8,WeightSDS!$U$9-WeightSDS!$V$9*($AG536-WeightSDS!$W$9)))</f>
        <v>0.75407122999999998</v>
      </c>
      <c r="AJ536" s="24">
        <f>IF(D536="M",IF($AG536&lt;45,WeightSDS!M$23*$AG536^10+WeightSDS!N$23*$AG536^9+WeightSDS!O$23*$AG536^8+WeightSDS!P$23*$AG536^7+WeightSDS!Q$23*$AG536^6+WeightSDS!R$23*$AG536^5+WeightSDS!S$23*$AG536^4+WeightSDS!T$23*$AG536^3+WeightSDS!U$23*$AG536^2+WeightSDS!V$23*$AG536+WeightSDS!W$23,IF($AG536&lt;153,WeightSDS!M$25*$AG536^10+WeightSDS!N$25*$AG536^9+WeightSDS!O$25*$AG536^8+WeightSDS!P$25*$AG536^7+WeightSDS!Q$25*$AG536^6+WeightSDS!R$25*$AG536^5+WeightSDS!S$25*$AG536^4+WeightSDS!T$25*$AG536^3+WeightSDS!U$25*$AG536^2+WeightSDS!V$25*$AG536+WeightSDS!W$25,WeightSDS!M$27+WeightSDS!N$27/(1+EXP(WeightSDS!O$27+WeightSDS!P$27*$AG536)))),IF($AG536&lt;43.8,WeightSDS!M$29*$AG536^10+WeightSDS!N$29*$AG536^9+WeightSDS!O$29*$AG536^8+WeightSDS!P$29*$AG536^7+WeightSDS!Q$29*$AG536^6+WeightSDS!R$29*$AG536^5+WeightSDS!S$29*$AG536^4+WeightSDS!T$29*$AG536^3+WeightSDS!U$29*$AG536^2+WeightSDS!V$29*$AG536+WeightSDS!W$29-0.010431*(1-$AG536/210),IF($AG536&lt;123,WeightSDS!M$30*$AG536^10+WeightSDS!N$30*$AG536^9+WeightSDS!O$30*$AG536^8+WeightSDS!P$30*$AG536^7+WeightSDS!Q$30*$AG536^6+WeightSDS!R$30*$AG536^5+WeightSDS!S$30*$AG536^4+WeightSDS!T$30*$AG536^3+WeightSDS!U$30*$AG536^2+WeightSDS!V$30*$AG536+WeightSDS!W$30-0.010431*(1-1/$AG536),WeightSDS!M$32+WeightSDS!N$32/(1+EXP(WeightSDS!O$32+WeightSDS!P$32*$AG536))-0.010431*(1-$AG536/210))))</f>
        <v>2.9500001032655536</v>
      </c>
      <c r="AK536" s="24">
        <f>IF(D536="M",IF($AG536&lt;162,WeightSDS!P$12*$AG536^7+WeightSDS!Q$12*$AG536^6+WeightSDS!R$12*$AG536^5+WeightSDS!S$12*$AG536^4+WeightSDS!T$12*$AG536^3+WeightSDS!U$12*$AG536^2+WeightSDS!V$12*$AG536+WeightSDS!W$12,WeightSDS!P$14*$AG536^7+WeightSDS!Q$14*$AG536^6+WeightSDS!R$14*$AG536^5+WeightSDS!S$14*$AG536^4+WeightSDS!T$14*$AG536^3+WeightSDS!U$14*$AG536^2+WeightSDS!V$14*$AG536+WeightSDS!W$14),IF($AG536&lt;156,WeightSDS!O$17*$AG536^8+WeightSDS!P$17*$AG536^7+WeightSDS!Q$17*$AG536^6+WeightSDS!R$17*$AG536^5+WeightSDS!S$17*$AG536^4+WeightSDS!T$17*$AG536^3+WeightSDS!U$17*$AG536^2+WeightSDS!V$17*$AG536+WeightSDS!W$17,IF($AG536&lt;186,WeightSDS!$U$18+(WeightSDS!$V$18-WeightSDS!$U$18)/24*($AG536-186)+WeightSDS!$W$18*(-$AG536+186)^2-0.005,WeightSDS!$U$18+(WeightSDS!$V$18-WeightSDS!$U$18)/24*($AG536-186)-0.005)))</f>
        <v>0.14604529399999999</v>
      </c>
    </row>
    <row r="537" spans="1:37">
      <c r="A537" s="4"/>
      <c r="B537" s="21"/>
      <c r="C537" s="21"/>
      <c r="D537" s="21"/>
      <c r="E537" s="22"/>
      <c r="F537" s="22"/>
      <c r="G537" s="23"/>
      <c r="H537" s="23"/>
      <c r="I537" s="8" t="str">
        <f t="shared" si="130"/>
        <v/>
      </c>
      <c r="J537" s="2" t="str">
        <f t="shared" si="137"/>
        <v/>
      </c>
      <c r="K537" s="2" t="str">
        <f t="shared" si="131"/>
        <v/>
      </c>
      <c r="L537" s="2" t="str">
        <f t="shared" si="138"/>
        <v/>
      </c>
      <c r="M537" s="2" t="str">
        <f t="shared" si="143"/>
        <v/>
      </c>
      <c r="N537" s="2" t="str">
        <f t="shared" si="139"/>
        <v/>
      </c>
      <c r="O537" s="8" t="str">
        <f t="shared" si="140"/>
        <v/>
      </c>
      <c r="P537" s="8" t="str">
        <f t="shared" si="141"/>
        <v/>
      </c>
      <c r="Q537" s="40" t="str">
        <f t="shared" si="132"/>
        <v/>
      </c>
      <c r="R537" s="48" t="str">
        <f t="shared" si="142"/>
        <v/>
      </c>
      <c r="S537" s="8"/>
      <c r="U537" s="35">
        <f t="shared" si="133"/>
        <v>0</v>
      </c>
      <c r="V537" s="24">
        <f t="shared" si="134"/>
        <v>0</v>
      </c>
      <c r="W537" s="41">
        <f t="shared" si="129"/>
        <v>0</v>
      </c>
      <c r="X537" s="31"/>
      <c r="Y537" s="31"/>
      <c r="Z537" s="31"/>
      <c r="AA537" s="25">
        <f t="shared" si="135"/>
        <v>9.0359999999999996</v>
      </c>
      <c r="AB537" s="25">
        <f t="shared" si="136"/>
        <v>-184.49199999999999</v>
      </c>
      <c r="AD537" s="24">
        <f>IF(D537="M",IF(AG537&lt;78,BMILMS!$D$5*AG537^3+BMILMS!$E$5*AG537^2+BMILMS!$F$5*AG537+BMILMS!$G$5,IF(AG537&lt;150,BMILMS!$D$6*AG537^3+BMILMS!$E$6*AG537^2+BMILMS!$F$6*AG537+BMILMS!$G$6,BMILMS!$D$7*AG537^3+BMILMS!$E$7*AG537^2+BMILMS!$F$7*AG537+BMILMS!$G$7)),IF(AG537&lt;69,BMILMS!$D$9*AG537^3+BMILMS!$E$9*AG537^2+BMILMS!$F$9*AG537+BMILMS!$G$9,IF(AG537&lt;150,BMILMS!$D$10*AG537^3+BMILMS!$E$10*AG537^2+BMILMS!$F$10*AG537+BMILMS!$G$10,BMILMS!$D$11*AG537^3+BMILMS!$E$11*AG537^2+BMILMS!$F$11*AG537+BMILMS!$G$11)))</f>
        <v>0.79584630099999998</v>
      </c>
      <c r="AE537" s="24">
        <f>IF(D537="M",(IF(AG537&lt;2.5,BMILMS!$D$21*AG537^3+BMILMS!$E$21*AG537^2+BMILMS!$F$21*AG537+BMILMS!$G$21,IF(AG537&lt;9.5,BMILMS!$D$22*AG537^3+BMILMS!$E$22*AG537^2+BMILMS!$F$22*AG537+BMILMS!$G$22,IF(AG537&lt;26.75,BMILMS!$D$23*AG537^3+BMILMS!$E$23*AG537^2+BMILMS!$F$23*AG537+BMILMS!$G$23,IF(AG537&lt;90,BMILMS!$D$24*AG537^3+BMILMS!$E$24*AG537^2+BMILMS!$F$24*AG537+BMILMS!$G$24,BMILMS!$D$25*AG537^3+BMILMS!$E$25*AG537^2+BMILMS!$F$25*AG537+BMILMS!$G$25))))),(IF(AG537&lt;2.5,BMILMS!$D$27*AG537^3+BMILMS!$E$27*AG537^2+BMILMS!$F$27*AG537+BMILMS!$G$27,IF(AG537&lt;9.5,BMILMS!$D$28*AG537^3+BMILMS!$E$28*AG537^2+BMILMS!$F$28*AG537+BMILMS!$G$28,IF(AG537&lt;26.75,BMILMS!$D$29*AG537^3+BMILMS!$E$29*AG537^2+BMILMS!$F$29*AG537+BMILMS!$G$29,IF(AG537&lt;90,BMILMS!$D$30*AG537^3+BMILMS!$E$30*AG537^2+BMILMS!$F$30*AG537+BMILMS!$G$30,IF(AG537&lt;150,BMILMS!$D$31*AG537^3+BMILMS!$E$31*AG537^2+BMILMS!$F$31*AG537+BMILMS!$G$31,BMILMS!$D$32*AG537^3+BMILMS!$E$32*AG537^2+BMILMS!$F$32*AG537+BMILMS!$G$32)))))))</f>
        <v>12.568967990000001</v>
      </c>
      <c r="AF537" s="24">
        <f>IF(D537="M",(IF(AG537&lt;90,BMILMS!$D$14*AG537^3+BMILMS!$E$14*AG537^2+BMILMS!$F$14*AG537+BMILMS!$G$14,BMILMS!$D$15*AG537^3+BMILMS!$E$15*AG537^2+BMILMS!$F$15*AG537+BMILMS!$G$15)),(IF(AG537&lt;90,BMILMS!$D$17*AG537^3+BMILMS!$E$17*AG537^2+BMILMS!$F$17*AG537+BMILMS!$G$17,BMILMS!$D$18*AG537^3+BMILMS!$E$18*AG537^2+BMILMS!$F$18*AG537+BMILMS!$G$18)))</f>
        <v>8.8969350000000003E-2</v>
      </c>
      <c r="AG537" s="24">
        <f t="shared" si="144"/>
        <v>0</v>
      </c>
      <c r="AI537" s="38">
        <f>IF(D537="M",WeightSDS!P$5*$AG537^7+WeightSDS!Q$5*$AG537^6+WeightSDS!R$5*$AG537^5+WeightSDS!S$5*$AG537^4+WeightSDS!T$5*$AG537^3+WeightSDS!U$5*$AG537^2+WeightSDS!V$5*$AG537+WeightSDS!W$5,IF($AG537&lt;186,WeightSDS!P$8*$AG537^7+WeightSDS!Q$8*$AG537^6+WeightSDS!R$8*$AG537^5+WeightSDS!S$8*$AG537^4+WeightSDS!T$8*$AG537^3+WeightSDS!U$8*$AG537^2+WeightSDS!V$8*$AG537+WeightSDS!W$8,WeightSDS!$U$9-WeightSDS!$V$9*($AG537-WeightSDS!$W$9)))</f>
        <v>0.75407122999999998</v>
      </c>
      <c r="AJ537" s="24">
        <f>IF(D537="M",IF($AG537&lt;45,WeightSDS!M$23*$AG537^10+WeightSDS!N$23*$AG537^9+WeightSDS!O$23*$AG537^8+WeightSDS!P$23*$AG537^7+WeightSDS!Q$23*$AG537^6+WeightSDS!R$23*$AG537^5+WeightSDS!S$23*$AG537^4+WeightSDS!T$23*$AG537^3+WeightSDS!U$23*$AG537^2+WeightSDS!V$23*$AG537+WeightSDS!W$23,IF($AG537&lt;153,WeightSDS!M$25*$AG537^10+WeightSDS!N$25*$AG537^9+WeightSDS!O$25*$AG537^8+WeightSDS!P$25*$AG537^7+WeightSDS!Q$25*$AG537^6+WeightSDS!R$25*$AG537^5+WeightSDS!S$25*$AG537^4+WeightSDS!T$25*$AG537^3+WeightSDS!U$25*$AG537^2+WeightSDS!V$25*$AG537+WeightSDS!W$25,WeightSDS!M$27+WeightSDS!N$27/(1+EXP(WeightSDS!O$27+WeightSDS!P$27*$AG537)))),IF($AG537&lt;43.8,WeightSDS!M$29*$AG537^10+WeightSDS!N$29*$AG537^9+WeightSDS!O$29*$AG537^8+WeightSDS!P$29*$AG537^7+WeightSDS!Q$29*$AG537^6+WeightSDS!R$29*$AG537^5+WeightSDS!S$29*$AG537^4+WeightSDS!T$29*$AG537^3+WeightSDS!U$29*$AG537^2+WeightSDS!V$29*$AG537+WeightSDS!W$29-0.010431*(1-$AG537/210),IF($AG537&lt;123,WeightSDS!M$30*$AG537^10+WeightSDS!N$30*$AG537^9+WeightSDS!O$30*$AG537^8+WeightSDS!P$30*$AG537^7+WeightSDS!Q$30*$AG537^6+WeightSDS!R$30*$AG537^5+WeightSDS!S$30*$AG537^4+WeightSDS!T$30*$AG537^3+WeightSDS!U$30*$AG537^2+WeightSDS!V$30*$AG537+WeightSDS!W$30-0.010431*(1-1/$AG537),WeightSDS!M$32+WeightSDS!N$32/(1+EXP(WeightSDS!O$32+WeightSDS!P$32*$AG537))-0.010431*(1-$AG537/210))))</f>
        <v>2.9500001032655536</v>
      </c>
      <c r="AK537" s="24">
        <f>IF(D537="M",IF($AG537&lt;162,WeightSDS!P$12*$AG537^7+WeightSDS!Q$12*$AG537^6+WeightSDS!R$12*$AG537^5+WeightSDS!S$12*$AG537^4+WeightSDS!T$12*$AG537^3+WeightSDS!U$12*$AG537^2+WeightSDS!V$12*$AG537+WeightSDS!W$12,WeightSDS!P$14*$AG537^7+WeightSDS!Q$14*$AG537^6+WeightSDS!R$14*$AG537^5+WeightSDS!S$14*$AG537^4+WeightSDS!T$14*$AG537^3+WeightSDS!U$14*$AG537^2+WeightSDS!V$14*$AG537+WeightSDS!W$14),IF($AG537&lt;156,WeightSDS!O$17*$AG537^8+WeightSDS!P$17*$AG537^7+WeightSDS!Q$17*$AG537^6+WeightSDS!R$17*$AG537^5+WeightSDS!S$17*$AG537^4+WeightSDS!T$17*$AG537^3+WeightSDS!U$17*$AG537^2+WeightSDS!V$17*$AG537+WeightSDS!W$17,IF($AG537&lt;186,WeightSDS!$U$18+(WeightSDS!$V$18-WeightSDS!$U$18)/24*($AG537-186)+WeightSDS!$W$18*(-$AG537+186)^2-0.005,WeightSDS!$U$18+(WeightSDS!$V$18-WeightSDS!$U$18)/24*($AG537-186)-0.005)))</f>
        <v>0.14604529399999999</v>
      </c>
    </row>
    <row r="538" spans="1:37">
      <c r="A538" s="4"/>
      <c r="B538" s="21"/>
      <c r="C538" s="21"/>
      <c r="D538" s="21"/>
      <c r="E538" s="22"/>
      <c r="F538" s="22"/>
      <c r="G538" s="23"/>
      <c r="H538" s="23"/>
      <c r="I538" s="8" t="str">
        <f t="shared" si="130"/>
        <v/>
      </c>
      <c r="J538" s="2" t="str">
        <f t="shared" si="137"/>
        <v/>
      </c>
      <c r="K538" s="2" t="str">
        <f t="shared" si="131"/>
        <v/>
      </c>
      <c r="L538" s="2" t="str">
        <f t="shared" si="138"/>
        <v/>
      </c>
      <c r="M538" s="2" t="str">
        <f t="shared" si="143"/>
        <v/>
      </c>
      <c r="N538" s="2" t="str">
        <f t="shared" si="139"/>
        <v/>
      </c>
      <c r="O538" s="8" t="str">
        <f t="shared" si="140"/>
        <v/>
      </c>
      <c r="P538" s="8" t="str">
        <f t="shared" si="141"/>
        <v/>
      </c>
      <c r="Q538" s="40" t="str">
        <f t="shared" si="132"/>
        <v/>
      </c>
      <c r="R538" s="48" t="str">
        <f t="shared" si="142"/>
        <v/>
      </c>
      <c r="S538" s="8"/>
      <c r="U538" s="35">
        <f t="shared" si="133"/>
        <v>0</v>
      </c>
      <c r="V538" s="24">
        <f t="shared" si="134"/>
        <v>0</v>
      </c>
      <c r="W538" s="41">
        <f t="shared" si="129"/>
        <v>0</v>
      </c>
      <c r="X538" s="31"/>
      <c r="Y538" s="31"/>
      <c r="Z538" s="31"/>
      <c r="AA538" s="25">
        <f t="shared" si="135"/>
        <v>9.0359999999999996</v>
      </c>
      <c r="AB538" s="25">
        <f t="shared" si="136"/>
        <v>-184.49199999999999</v>
      </c>
      <c r="AD538" s="24">
        <f>IF(D538="M",IF(AG538&lt;78,BMILMS!$D$5*AG538^3+BMILMS!$E$5*AG538^2+BMILMS!$F$5*AG538+BMILMS!$G$5,IF(AG538&lt;150,BMILMS!$D$6*AG538^3+BMILMS!$E$6*AG538^2+BMILMS!$F$6*AG538+BMILMS!$G$6,BMILMS!$D$7*AG538^3+BMILMS!$E$7*AG538^2+BMILMS!$F$7*AG538+BMILMS!$G$7)),IF(AG538&lt;69,BMILMS!$D$9*AG538^3+BMILMS!$E$9*AG538^2+BMILMS!$F$9*AG538+BMILMS!$G$9,IF(AG538&lt;150,BMILMS!$D$10*AG538^3+BMILMS!$E$10*AG538^2+BMILMS!$F$10*AG538+BMILMS!$G$10,BMILMS!$D$11*AG538^3+BMILMS!$E$11*AG538^2+BMILMS!$F$11*AG538+BMILMS!$G$11)))</f>
        <v>0.79584630099999998</v>
      </c>
      <c r="AE538" s="24">
        <f>IF(D538="M",(IF(AG538&lt;2.5,BMILMS!$D$21*AG538^3+BMILMS!$E$21*AG538^2+BMILMS!$F$21*AG538+BMILMS!$G$21,IF(AG538&lt;9.5,BMILMS!$D$22*AG538^3+BMILMS!$E$22*AG538^2+BMILMS!$F$22*AG538+BMILMS!$G$22,IF(AG538&lt;26.75,BMILMS!$D$23*AG538^3+BMILMS!$E$23*AG538^2+BMILMS!$F$23*AG538+BMILMS!$G$23,IF(AG538&lt;90,BMILMS!$D$24*AG538^3+BMILMS!$E$24*AG538^2+BMILMS!$F$24*AG538+BMILMS!$G$24,BMILMS!$D$25*AG538^3+BMILMS!$E$25*AG538^2+BMILMS!$F$25*AG538+BMILMS!$G$25))))),(IF(AG538&lt;2.5,BMILMS!$D$27*AG538^3+BMILMS!$E$27*AG538^2+BMILMS!$F$27*AG538+BMILMS!$G$27,IF(AG538&lt;9.5,BMILMS!$D$28*AG538^3+BMILMS!$E$28*AG538^2+BMILMS!$F$28*AG538+BMILMS!$G$28,IF(AG538&lt;26.75,BMILMS!$D$29*AG538^3+BMILMS!$E$29*AG538^2+BMILMS!$F$29*AG538+BMILMS!$G$29,IF(AG538&lt;90,BMILMS!$D$30*AG538^3+BMILMS!$E$30*AG538^2+BMILMS!$F$30*AG538+BMILMS!$G$30,IF(AG538&lt;150,BMILMS!$D$31*AG538^3+BMILMS!$E$31*AG538^2+BMILMS!$F$31*AG538+BMILMS!$G$31,BMILMS!$D$32*AG538^3+BMILMS!$E$32*AG538^2+BMILMS!$F$32*AG538+BMILMS!$G$32)))))))</f>
        <v>12.568967990000001</v>
      </c>
      <c r="AF538" s="24">
        <f>IF(D538="M",(IF(AG538&lt;90,BMILMS!$D$14*AG538^3+BMILMS!$E$14*AG538^2+BMILMS!$F$14*AG538+BMILMS!$G$14,BMILMS!$D$15*AG538^3+BMILMS!$E$15*AG538^2+BMILMS!$F$15*AG538+BMILMS!$G$15)),(IF(AG538&lt;90,BMILMS!$D$17*AG538^3+BMILMS!$E$17*AG538^2+BMILMS!$F$17*AG538+BMILMS!$G$17,BMILMS!$D$18*AG538^3+BMILMS!$E$18*AG538^2+BMILMS!$F$18*AG538+BMILMS!$G$18)))</f>
        <v>8.8969350000000003E-2</v>
      </c>
      <c r="AG538" s="24">
        <f t="shared" si="144"/>
        <v>0</v>
      </c>
      <c r="AI538" s="38">
        <f>IF(D538="M",WeightSDS!P$5*$AG538^7+WeightSDS!Q$5*$AG538^6+WeightSDS!R$5*$AG538^5+WeightSDS!S$5*$AG538^4+WeightSDS!T$5*$AG538^3+WeightSDS!U$5*$AG538^2+WeightSDS!V$5*$AG538+WeightSDS!W$5,IF($AG538&lt;186,WeightSDS!P$8*$AG538^7+WeightSDS!Q$8*$AG538^6+WeightSDS!R$8*$AG538^5+WeightSDS!S$8*$AG538^4+WeightSDS!T$8*$AG538^3+WeightSDS!U$8*$AG538^2+WeightSDS!V$8*$AG538+WeightSDS!W$8,WeightSDS!$U$9-WeightSDS!$V$9*($AG538-WeightSDS!$W$9)))</f>
        <v>0.75407122999999998</v>
      </c>
      <c r="AJ538" s="24">
        <f>IF(D538="M",IF($AG538&lt;45,WeightSDS!M$23*$AG538^10+WeightSDS!N$23*$AG538^9+WeightSDS!O$23*$AG538^8+WeightSDS!P$23*$AG538^7+WeightSDS!Q$23*$AG538^6+WeightSDS!R$23*$AG538^5+WeightSDS!S$23*$AG538^4+WeightSDS!T$23*$AG538^3+WeightSDS!U$23*$AG538^2+WeightSDS!V$23*$AG538+WeightSDS!W$23,IF($AG538&lt;153,WeightSDS!M$25*$AG538^10+WeightSDS!N$25*$AG538^9+WeightSDS!O$25*$AG538^8+WeightSDS!P$25*$AG538^7+WeightSDS!Q$25*$AG538^6+WeightSDS!R$25*$AG538^5+WeightSDS!S$25*$AG538^4+WeightSDS!T$25*$AG538^3+WeightSDS!U$25*$AG538^2+WeightSDS!V$25*$AG538+WeightSDS!W$25,WeightSDS!M$27+WeightSDS!N$27/(1+EXP(WeightSDS!O$27+WeightSDS!P$27*$AG538)))),IF($AG538&lt;43.8,WeightSDS!M$29*$AG538^10+WeightSDS!N$29*$AG538^9+WeightSDS!O$29*$AG538^8+WeightSDS!P$29*$AG538^7+WeightSDS!Q$29*$AG538^6+WeightSDS!R$29*$AG538^5+WeightSDS!S$29*$AG538^4+WeightSDS!T$29*$AG538^3+WeightSDS!U$29*$AG538^2+WeightSDS!V$29*$AG538+WeightSDS!W$29-0.010431*(1-$AG538/210),IF($AG538&lt;123,WeightSDS!M$30*$AG538^10+WeightSDS!N$30*$AG538^9+WeightSDS!O$30*$AG538^8+WeightSDS!P$30*$AG538^7+WeightSDS!Q$30*$AG538^6+WeightSDS!R$30*$AG538^5+WeightSDS!S$30*$AG538^4+WeightSDS!T$30*$AG538^3+WeightSDS!U$30*$AG538^2+WeightSDS!V$30*$AG538+WeightSDS!W$30-0.010431*(1-1/$AG538),WeightSDS!M$32+WeightSDS!N$32/(1+EXP(WeightSDS!O$32+WeightSDS!P$32*$AG538))-0.010431*(1-$AG538/210))))</f>
        <v>2.9500001032655536</v>
      </c>
      <c r="AK538" s="24">
        <f>IF(D538="M",IF($AG538&lt;162,WeightSDS!P$12*$AG538^7+WeightSDS!Q$12*$AG538^6+WeightSDS!R$12*$AG538^5+WeightSDS!S$12*$AG538^4+WeightSDS!T$12*$AG538^3+WeightSDS!U$12*$AG538^2+WeightSDS!V$12*$AG538+WeightSDS!W$12,WeightSDS!P$14*$AG538^7+WeightSDS!Q$14*$AG538^6+WeightSDS!R$14*$AG538^5+WeightSDS!S$14*$AG538^4+WeightSDS!T$14*$AG538^3+WeightSDS!U$14*$AG538^2+WeightSDS!V$14*$AG538+WeightSDS!W$14),IF($AG538&lt;156,WeightSDS!O$17*$AG538^8+WeightSDS!P$17*$AG538^7+WeightSDS!Q$17*$AG538^6+WeightSDS!R$17*$AG538^5+WeightSDS!S$17*$AG538^4+WeightSDS!T$17*$AG538^3+WeightSDS!U$17*$AG538^2+WeightSDS!V$17*$AG538+WeightSDS!W$17,IF($AG538&lt;186,WeightSDS!$U$18+(WeightSDS!$V$18-WeightSDS!$U$18)/24*($AG538-186)+WeightSDS!$W$18*(-$AG538+186)^2-0.005,WeightSDS!$U$18+(WeightSDS!$V$18-WeightSDS!$U$18)/24*($AG538-186)-0.005)))</f>
        <v>0.14604529399999999</v>
      </c>
    </row>
    <row r="539" spans="1:37">
      <c r="A539" s="4"/>
      <c r="B539" s="21"/>
      <c r="C539" s="21"/>
      <c r="D539" s="21"/>
      <c r="E539" s="22"/>
      <c r="F539" s="22"/>
      <c r="G539" s="23"/>
      <c r="H539" s="23"/>
      <c r="I539" s="8" t="str">
        <f t="shared" si="130"/>
        <v/>
      </c>
      <c r="J539" s="2" t="str">
        <f t="shared" si="137"/>
        <v/>
      </c>
      <c r="K539" s="2" t="str">
        <f t="shared" si="131"/>
        <v/>
      </c>
      <c r="L539" s="2" t="str">
        <f t="shared" si="138"/>
        <v/>
      </c>
      <c r="M539" s="2" t="str">
        <f t="shared" si="143"/>
        <v/>
      </c>
      <c r="N539" s="2" t="str">
        <f t="shared" si="139"/>
        <v/>
      </c>
      <c r="O539" s="8" t="str">
        <f t="shared" si="140"/>
        <v/>
      </c>
      <c r="P539" s="8" t="str">
        <f t="shared" si="141"/>
        <v/>
      </c>
      <c r="Q539" s="40" t="str">
        <f t="shared" si="132"/>
        <v/>
      </c>
      <c r="R539" s="48" t="str">
        <f t="shared" si="142"/>
        <v/>
      </c>
      <c r="S539" s="8"/>
      <c r="U539" s="35">
        <f t="shared" si="133"/>
        <v>0</v>
      </c>
      <c r="V539" s="24">
        <f t="shared" si="134"/>
        <v>0</v>
      </c>
      <c r="W539" s="41">
        <f t="shared" si="129"/>
        <v>0</v>
      </c>
      <c r="X539" s="31"/>
      <c r="Y539" s="31"/>
      <c r="Z539" s="31"/>
      <c r="AA539" s="25">
        <f t="shared" si="135"/>
        <v>9.0359999999999996</v>
      </c>
      <c r="AB539" s="25">
        <f t="shared" si="136"/>
        <v>-184.49199999999999</v>
      </c>
      <c r="AD539" s="24">
        <f>IF(D539="M",IF(AG539&lt;78,BMILMS!$D$5*AG539^3+BMILMS!$E$5*AG539^2+BMILMS!$F$5*AG539+BMILMS!$G$5,IF(AG539&lt;150,BMILMS!$D$6*AG539^3+BMILMS!$E$6*AG539^2+BMILMS!$F$6*AG539+BMILMS!$G$6,BMILMS!$D$7*AG539^3+BMILMS!$E$7*AG539^2+BMILMS!$F$7*AG539+BMILMS!$G$7)),IF(AG539&lt;69,BMILMS!$D$9*AG539^3+BMILMS!$E$9*AG539^2+BMILMS!$F$9*AG539+BMILMS!$G$9,IF(AG539&lt;150,BMILMS!$D$10*AG539^3+BMILMS!$E$10*AG539^2+BMILMS!$F$10*AG539+BMILMS!$G$10,BMILMS!$D$11*AG539^3+BMILMS!$E$11*AG539^2+BMILMS!$F$11*AG539+BMILMS!$G$11)))</f>
        <v>0.79584630099999998</v>
      </c>
      <c r="AE539" s="24">
        <f>IF(D539="M",(IF(AG539&lt;2.5,BMILMS!$D$21*AG539^3+BMILMS!$E$21*AG539^2+BMILMS!$F$21*AG539+BMILMS!$G$21,IF(AG539&lt;9.5,BMILMS!$D$22*AG539^3+BMILMS!$E$22*AG539^2+BMILMS!$F$22*AG539+BMILMS!$G$22,IF(AG539&lt;26.75,BMILMS!$D$23*AG539^3+BMILMS!$E$23*AG539^2+BMILMS!$F$23*AG539+BMILMS!$G$23,IF(AG539&lt;90,BMILMS!$D$24*AG539^3+BMILMS!$E$24*AG539^2+BMILMS!$F$24*AG539+BMILMS!$G$24,BMILMS!$D$25*AG539^3+BMILMS!$E$25*AG539^2+BMILMS!$F$25*AG539+BMILMS!$G$25))))),(IF(AG539&lt;2.5,BMILMS!$D$27*AG539^3+BMILMS!$E$27*AG539^2+BMILMS!$F$27*AG539+BMILMS!$G$27,IF(AG539&lt;9.5,BMILMS!$D$28*AG539^3+BMILMS!$E$28*AG539^2+BMILMS!$F$28*AG539+BMILMS!$G$28,IF(AG539&lt;26.75,BMILMS!$D$29*AG539^3+BMILMS!$E$29*AG539^2+BMILMS!$F$29*AG539+BMILMS!$G$29,IF(AG539&lt;90,BMILMS!$D$30*AG539^3+BMILMS!$E$30*AG539^2+BMILMS!$F$30*AG539+BMILMS!$G$30,IF(AG539&lt;150,BMILMS!$D$31*AG539^3+BMILMS!$E$31*AG539^2+BMILMS!$F$31*AG539+BMILMS!$G$31,BMILMS!$D$32*AG539^3+BMILMS!$E$32*AG539^2+BMILMS!$F$32*AG539+BMILMS!$G$32)))))))</f>
        <v>12.568967990000001</v>
      </c>
      <c r="AF539" s="24">
        <f>IF(D539="M",(IF(AG539&lt;90,BMILMS!$D$14*AG539^3+BMILMS!$E$14*AG539^2+BMILMS!$F$14*AG539+BMILMS!$G$14,BMILMS!$D$15*AG539^3+BMILMS!$E$15*AG539^2+BMILMS!$F$15*AG539+BMILMS!$G$15)),(IF(AG539&lt;90,BMILMS!$D$17*AG539^3+BMILMS!$E$17*AG539^2+BMILMS!$F$17*AG539+BMILMS!$G$17,BMILMS!$D$18*AG539^3+BMILMS!$E$18*AG539^2+BMILMS!$F$18*AG539+BMILMS!$G$18)))</f>
        <v>8.8969350000000003E-2</v>
      </c>
      <c r="AG539" s="24">
        <f t="shared" si="144"/>
        <v>0</v>
      </c>
      <c r="AI539" s="38">
        <f>IF(D539="M",WeightSDS!P$5*$AG539^7+WeightSDS!Q$5*$AG539^6+WeightSDS!R$5*$AG539^5+WeightSDS!S$5*$AG539^4+WeightSDS!T$5*$AG539^3+WeightSDS!U$5*$AG539^2+WeightSDS!V$5*$AG539+WeightSDS!W$5,IF($AG539&lt;186,WeightSDS!P$8*$AG539^7+WeightSDS!Q$8*$AG539^6+WeightSDS!R$8*$AG539^5+WeightSDS!S$8*$AG539^4+WeightSDS!T$8*$AG539^3+WeightSDS!U$8*$AG539^2+WeightSDS!V$8*$AG539+WeightSDS!W$8,WeightSDS!$U$9-WeightSDS!$V$9*($AG539-WeightSDS!$W$9)))</f>
        <v>0.75407122999999998</v>
      </c>
      <c r="AJ539" s="24">
        <f>IF(D539="M",IF($AG539&lt;45,WeightSDS!M$23*$AG539^10+WeightSDS!N$23*$AG539^9+WeightSDS!O$23*$AG539^8+WeightSDS!P$23*$AG539^7+WeightSDS!Q$23*$AG539^6+WeightSDS!R$23*$AG539^5+WeightSDS!S$23*$AG539^4+WeightSDS!T$23*$AG539^3+WeightSDS!U$23*$AG539^2+WeightSDS!V$23*$AG539+WeightSDS!W$23,IF($AG539&lt;153,WeightSDS!M$25*$AG539^10+WeightSDS!N$25*$AG539^9+WeightSDS!O$25*$AG539^8+WeightSDS!P$25*$AG539^7+WeightSDS!Q$25*$AG539^6+WeightSDS!R$25*$AG539^5+WeightSDS!S$25*$AG539^4+WeightSDS!T$25*$AG539^3+WeightSDS!U$25*$AG539^2+WeightSDS!V$25*$AG539+WeightSDS!W$25,WeightSDS!M$27+WeightSDS!N$27/(1+EXP(WeightSDS!O$27+WeightSDS!P$27*$AG539)))),IF($AG539&lt;43.8,WeightSDS!M$29*$AG539^10+WeightSDS!N$29*$AG539^9+WeightSDS!O$29*$AG539^8+WeightSDS!P$29*$AG539^7+WeightSDS!Q$29*$AG539^6+WeightSDS!R$29*$AG539^5+WeightSDS!S$29*$AG539^4+WeightSDS!T$29*$AG539^3+WeightSDS!U$29*$AG539^2+WeightSDS!V$29*$AG539+WeightSDS!W$29-0.010431*(1-$AG539/210),IF($AG539&lt;123,WeightSDS!M$30*$AG539^10+WeightSDS!N$30*$AG539^9+WeightSDS!O$30*$AG539^8+WeightSDS!P$30*$AG539^7+WeightSDS!Q$30*$AG539^6+WeightSDS!R$30*$AG539^5+WeightSDS!S$30*$AG539^4+WeightSDS!T$30*$AG539^3+WeightSDS!U$30*$AG539^2+WeightSDS!V$30*$AG539+WeightSDS!W$30-0.010431*(1-1/$AG539),WeightSDS!M$32+WeightSDS!N$32/(1+EXP(WeightSDS!O$32+WeightSDS!P$32*$AG539))-0.010431*(1-$AG539/210))))</f>
        <v>2.9500001032655536</v>
      </c>
      <c r="AK539" s="24">
        <f>IF(D539="M",IF($AG539&lt;162,WeightSDS!P$12*$AG539^7+WeightSDS!Q$12*$AG539^6+WeightSDS!R$12*$AG539^5+WeightSDS!S$12*$AG539^4+WeightSDS!T$12*$AG539^3+WeightSDS!U$12*$AG539^2+WeightSDS!V$12*$AG539+WeightSDS!W$12,WeightSDS!P$14*$AG539^7+WeightSDS!Q$14*$AG539^6+WeightSDS!R$14*$AG539^5+WeightSDS!S$14*$AG539^4+WeightSDS!T$14*$AG539^3+WeightSDS!U$14*$AG539^2+WeightSDS!V$14*$AG539+WeightSDS!W$14),IF($AG539&lt;156,WeightSDS!O$17*$AG539^8+WeightSDS!P$17*$AG539^7+WeightSDS!Q$17*$AG539^6+WeightSDS!R$17*$AG539^5+WeightSDS!S$17*$AG539^4+WeightSDS!T$17*$AG539^3+WeightSDS!U$17*$AG539^2+WeightSDS!V$17*$AG539+WeightSDS!W$17,IF($AG539&lt;186,WeightSDS!$U$18+(WeightSDS!$V$18-WeightSDS!$U$18)/24*($AG539-186)+WeightSDS!$W$18*(-$AG539+186)^2-0.005,WeightSDS!$U$18+(WeightSDS!$V$18-WeightSDS!$U$18)/24*($AG539-186)-0.005)))</f>
        <v>0.14604529399999999</v>
      </c>
    </row>
    <row r="540" spans="1:37">
      <c r="A540" s="4"/>
      <c r="B540" s="21"/>
      <c r="C540" s="21"/>
      <c r="D540" s="21"/>
      <c r="E540" s="22"/>
      <c r="F540" s="22"/>
      <c r="G540" s="23"/>
      <c r="H540" s="23"/>
      <c r="I540" s="8" t="str">
        <f t="shared" si="130"/>
        <v/>
      </c>
      <c r="J540" s="2" t="str">
        <f t="shared" si="137"/>
        <v/>
      </c>
      <c r="K540" s="2" t="str">
        <f t="shared" si="131"/>
        <v/>
      </c>
      <c r="L540" s="2" t="str">
        <f t="shared" si="138"/>
        <v/>
      </c>
      <c r="M540" s="2" t="str">
        <f t="shared" si="143"/>
        <v/>
      </c>
      <c r="N540" s="2" t="str">
        <f t="shared" si="139"/>
        <v/>
      </c>
      <c r="O540" s="8" t="str">
        <f t="shared" si="140"/>
        <v/>
      </c>
      <c r="P540" s="8" t="str">
        <f t="shared" si="141"/>
        <v/>
      </c>
      <c r="Q540" s="40" t="str">
        <f t="shared" si="132"/>
        <v/>
      </c>
      <c r="R540" s="48" t="str">
        <f t="shared" si="142"/>
        <v/>
      </c>
      <c r="S540" s="8"/>
      <c r="U540" s="35">
        <f t="shared" si="133"/>
        <v>0</v>
      </c>
      <c r="V540" s="24">
        <f t="shared" si="134"/>
        <v>0</v>
      </c>
      <c r="W540" s="41">
        <f t="shared" si="129"/>
        <v>0</v>
      </c>
      <c r="X540" s="31"/>
      <c r="Y540" s="31"/>
      <c r="Z540" s="31"/>
      <c r="AA540" s="25">
        <f t="shared" si="135"/>
        <v>9.0359999999999996</v>
      </c>
      <c r="AB540" s="25">
        <f t="shared" si="136"/>
        <v>-184.49199999999999</v>
      </c>
      <c r="AD540" s="24">
        <f>IF(D540="M",IF(AG540&lt;78,BMILMS!$D$5*AG540^3+BMILMS!$E$5*AG540^2+BMILMS!$F$5*AG540+BMILMS!$G$5,IF(AG540&lt;150,BMILMS!$D$6*AG540^3+BMILMS!$E$6*AG540^2+BMILMS!$F$6*AG540+BMILMS!$G$6,BMILMS!$D$7*AG540^3+BMILMS!$E$7*AG540^2+BMILMS!$F$7*AG540+BMILMS!$G$7)),IF(AG540&lt;69,BMILMS!$D$9*AG540^3+BMILMS!$E$9*AG540^2+BMILMS!$F$9*AG540+BMILMS!$G$9,IF(AG540&lt;150,BMILMS!$D$10*AG540^3+BMILMS!$E$10*AG540^2+BMILMS!$F$10*AG540+BMILMS!$G$10,BMILMS!$D$11*AG540^3+BMILMS!$E$11*AG540^2+BMILMS!$F$11*AG540+BMILMS!$G$11)))</f>
        <v>0.79584630099999998</v>
      </c>
      <c r="AE540" s="24">
        <f>IF(D540="M",(IF(AG540&lt;2.5,BMILMS!$D$21*AG540^3+BMILMS!$E$21*AG540^2+BMILMS!$F$21*AG540+BMILMS!$G$21,IF(AG540&lt;9.5,BMILMS!$D$22*AG540^3+BMILMS!$E$22*AG540^2+BMILMS!$F$22*AG540+BMILMS!$G$22,IF(AG540&lt;26.75,BMILMS!$D$23*AG540^3+BMILMS!$E$23*AG540^2+BMILMS!$F$23*AG540+BMILMS!$G$23,IF(AG540&lt;90,BMILMS!$D$24*AG540^3+BMILMS!$E$24*AG540^2+BMILMS!$F$24*AG540+BMILMS!$G$24,BMILMS!$D$25*AG540^3+BMILMS!$E$25*AG540^2+BMILMS!$F$25*AG540+BMILMS!$G$25))))),(IF(AG540&lt;2.5,BMILMS!$D$27*AG540^3+BMILMS!$E$27*AG540^2+BMILMS!$F$27*AG540+BMILMS!$G$27,IF(AG540&lt;9.5,BMILMS!$D$28*AG540^3+BMILMS!$E$28*AG540^2+BMILMS!$F$28*AG540+BMILMS!$G$28,IF(AG540&lt;26.75,BMILMS!$D$29*AG540^3+BMILMS!$E$29*AG540^2+BMILMS!$F$29*AG540+BMILMS!$G$29,IF(AG540&lt;90,BMILMS!$D$30*AG540^3+BMILMS!$E$30*AG540^2+BMILMS!$F$30*AG540+BMILMS!$G$30,IF(AG540&lt;150,BMILMS!$D$31*AG540^3+BMILMS!$E$31*AG540^2+BMILMS!$F$31*AG540+BMILMS!$G$31,BMILMS!$D$32*AG540^3+BMILMS!$E$32*AG540^2+BMILMS!$F$32*AG540+BMILMS!$G$32)))))))</f>
        <v>12.568967990000001</v>
      </c>
      <c r="AF540" s="24">
        <f>IF(D540="M",(IF(AG540&lt;90,BMILMS!$D$14*AG540^3+BMILMS!$E$14*AG540^2+BMILMS!$F$14*AG540+BMILMS!$G$14,BMILMS!$D$15*AG540^3+BMILMS!$E$15*AG540^2+BMILMS!$F$15*AG540+BMILMS!$G$15)),(IF(AG540&lt;90,BMILMS!$D$17*AG540^3+BMILMS!$E$17*AG540^2+BMILMS!$F$17*AG540+BMILMS!$G$17,BMILMS!$D$18*AG540^3+BMILMS!$E$18*AG540^2+BMILMS!$F$18*AG540+BMILMS!$G$18)))</f>
        <v>8.8969350000000003E-2</v>
      </c>
      <c r="AG540" s="24">
        <f t="shared" si="144"/>
        <v>0</v>
      </c>
      <c r="AI540" s="38">
        <f>IF(D540="M",WeightSDS!P$5*$AG540^7+WeightSDS!Q$5*$AG540^6+WeightSDS!R$5*$AG540^5+WeightSDS!S$5*$AG540^4+WeightSDS!T$5*$AG540^3+WeightSDS!U$5*$AG540^2+WeightSDS!V$5*$AG540+WeightSDS!W$5,IF($AG540&lt;186,WeightSDS!P$8*$AG540^7+WeightSDS!Q$8*$AG540^6+WeightSDS!R$8*$AG540^5+WeightSDS!S$8*$AG540^4+WeightSDS!T$8*$AG540^3+WeightSDS!U$8*$AG540^2+WeightSDS!V$8*$AG540+WeightSDS!W$8,WeightSDS!$U$9-WeightSDS!$V$9*($AG540-WeightSDS!$W$9)))</f>
        <v>0.75407122999999998</v>
      </c>
      <c r="AJ540" s="24">
        <f>IF(D540="M",IF($AG540&lt;45,WeightSDS!M$23*$AG540^10+WeightSDS!N$23*$AG540^9+WeightSDS!O$23*$AG540^8+WeightSDS!P$23*$AG540^7+WeightSDS!Q$23*$AG540^6+WeightSDS!R$23*$AG540^5+WeightSDS!S$23*$AG540^4+WeightSDS!T$23*$AG540^3+WeightSDS!U$23*$AG540^2+WeightSDS!V$23*$AG540+WeightSDS!W$23,IF($AG540&lt;153,WeightSDS!M$25*$AG540^10+WeightSDS!N$25*$AG540^9+WeightSDS!O$25*$AG540^8+WeightSDS!P$25*$AG540^7+WeightSDS!Q$25*$AG540^6+WeightSDS!R$25*$AG540^5+WeightSDS!S$25*$AG540^4+WeightSDS!T$25*$AG540^3+WeightSDS!U$25*$AG540^2+WeightSDS!V$25*$AG540+WeightSDS!W$25,WeightSDS!M$27+WeightSDS!N$27/(1+EXP(WeightSDS!O$27+WeightSDS!P$27*$AG540)))),IF($AG540&lt;43.8,WeightSDS!M$29*$AG540^10+WeightSDS!N$29*$AG540^9+WeightSDS!O$29*$AG540^8+WeightSDS!P$29*$AG540^7+WeightSDS!Q$29*$AG540^6+WeightSDS!R$29*$AG540^5+WeightSDS!S$29*$AG540^4+WeightSDS!T$29*$AG540^3+WeightSDS!U$29*$AG540^2+WeightSDS!V$29*$AG540+WeightSDS!W$29-0.010431*(1-$AG540/210),IF($AG540&lt;123,WeightSDS!M$30*$AG540^10+WeightSDS!N$30*$AG540^9+WeightSDS!O$30*$AG540^8+WeightSDS!P$30*$AG540^7+WeightSDS!Q$30*$AG540^6+WeightSDS!R$30*$AG540^5+WeightSDS!S$30*$AG540^4+WeightSDS!T$30*$AG540^3+WeightSDS!U$30*$AG540^2+WeightSDS!V$30*$AG540+WeightSDS!W$30-0.010431*(1-1/$AG540),WeightSDS!M$32+WeightSDS!N$32/(1+EXP(WeightSDS!O$32+WeightSDS!P$32*$AG540))-0.010431*(1-$AG540/210))))</f>
        <v>2.9500001032655536</v>
      </c>
      <c r="AK540" s="24">
        <f>IF(D540="M",IF($AG540&lt;162,WeightSDS!P$12*$AG540^7+WeightSDS!Q$12*$AG540^6+WeightSDS!R$12*$AG540^5+WeightSDS!S$12*$AG540^4+WeightSDS!T$12*$AG540^3+WeightSDS!U$12*$AG540^2+WeightSDS!V$12*$AG540+WeightSDS!W$12,WeightSDS!P$14*$AG540^7+WeightSDS!Q$14*$AG540^6+WeightSDS!R$14*$AG540^5+WeightSDS!S$14*$AG540^4+WeightSDS!T$14*$AG540^3+WeightSDS!U$14*$AG540^2+WeightSDS!V$14*$AG540+WeightSDS!W$14),IF($AG540&lt;156,WeightSDS!O$17*$AG540^8+WeightSDS!P$17*$AG540^7+WeightSDS!Q$17*$AG540^6+WeightSDS!R$17*$AG540^5+WeightSDS!S$17*$AG540^4+WeightSDS!T$17*$AG540^3+WeightSDS!U$17*$AG540^2+WeightSDS!V$17*$AG540+WeightSDS!W$17,IF($AG540&lt;186,WeightSDS!$U$18+(WeightSDS!$V$18-WeightSDS!$U$18)/24*($AG540-186)+WeightSDS!$W$18*(-$AG540+186)^2-0.005,WeightSDS!$U$18+(WeightSDS!$V$18-WeightSDS!$U$18)/24*($AG540-186)-0.005)))</f>
        <v>0.14604529399999999</v>
      </c>
    </row>
    <row r="541" spans="1:37">
      <c r="A541" s="4"/>
      <c r="B541" s="21"/>
      <c r="C541" s="21"/>
      <c r="D541" s="21"/>
      <c r="E541" s="22"/>
      <c r="F541" s="22"/>
      <c r="G541" s="23"/>
      <c r="H541" s="23"/>
      <c r="I541" s="8" t="str">
        <f t="shared" si="130"/>
        <v/>
      </c>
      <c r="J541" s="2" t="str">
        <f t="shared" si="137"/>
        <v/>
      </c>
      <c r="K541" s="2" t="str">
        <f t="shared" si="131"/>
        <v/>
      </c>
      <c r="L541" s="2" t="str">
        <f t="shared" si="138"/>
        <v/>
      </c>
      <c r="M541" s="2" t="str">
        <f t="shared" si="143"/>
        <v/>
      </c>
      <c r="N541" s="2" t="str">
        <f t="shared" si="139"/>
        <v/>
      </c>
      <c r="O541" s="8" t="str">
        <f t="shared" si="140"/>
        <v/>
      </c>
      <c r="P541" s="8" t="str">
        <f t="shared" si="141"/>
        <v/>
      </c>
      <c r="Q541" s="40" t="str">
        <f t="shared" si="132"/>
        <v/>
      </c>
      <c r="R541" s="48" t="str">
        <f t="shared" si="142"/>
        <v/>
      </c>
      <c r="S541" s="8"/>
      <c r="U541" s="35">
        <f t="shared" si="133"/>
        <v>0</v>
      </c>
      <c r="V541" s="24">
        <f t="shared" si="134"/>
        <v>0</v>
      </c>
      <c r="W541" s="41">
        <f t="shared" si="129"/>
        <v>0</v>
      </c>
      <c r="X541" s="31"/>
      <c r="Y541" s="31"/>
      <c r="Z541" s="31"/>
      <c r="AA541" s="25">
        <f t="shared" si="135"/>
        <v>9.0359999999999996</v>
      </c>
      <c r="AB541" s="25">
        <f t="shared" si="136"/>
        <v>-184.49199999999999</v>
      </c>
      <c r="AD541" s="24">
        <f>IF(D541="M",IF(AG541&lt;78,BMILMS!$D$5*AG541^3+BMILMS!$E$5*AG541^2+BMILMS!$F$5*AG541+BMILMS!$G$5,IF(AG541&lt;150,BMILMS!$D$6*AG541^3+BMILMS!$E$6*AG541^2+BMILMS!$F$6*AG541+BMILMS!$G$6,BMILMS!$D$7*AG541^3+BMILMS!$E$7*AG541^2+BMILMS!$F$7*AG541+BMILMS!$G$7)),IF(AG541&lt;69,BMILMS!$D$9*AG541^3+BMILMS!$E$9*AG541^2+BMILMS!$F$9*AG541+BMILMS!$G$9,IF(AG541&lt;150,BMILMS!$D$10*AG541^3+BMILMS!$E$10*AG541^2+BMILMS!$F$10*AG541+BMILMS!$G$10,BMILMS!$D$11*AG541^3+BMILMS!$E$11*AG541^2+BMILMS!$F$11*AG541+BMILMS!$G$11)))</f>
        <v>0.79584630099999998</v>
      </c>
      <c r="AE541" s="24">
        <f>IF(D541="M",(IF(AG541&lt;2.5,BMILMS!$D$21*AG541^3+BMILMS!$E$21*AG541^2+BMILMS!$F$21*AG541+BMILMS!$G$21,IF(AG541&lt;9.5,BMILMS!$D$22*AG541^3+BMILMS!$E$22*AG541^2+BMILMS!$F$22*AG541+BMILMS!$G$22,IF(AG541&lt;26.75,BMILMS!$D$23*AG541^3+BMILMS!$E$23*AG541^2+BMILMS!$F$23*AG541+BMILMS!$G$23,IF(AG541&lt;90,BMILMS!$D$24*AG541^3+BMILMS!$E$24*AG541^2+BMILMS!$F$24*AG541+BMILMS!$G$24,BMILMS!$D$25*AG541^3+BMILMS!$E$25*AG541^2+BMILMS!$F$25*AG541+BMILMS!$G$25))))),(IF(AG541&lt;2.5,BMILMS!$D$27*AG541^3+BMILMS!$E$27*AG541^2+BMILMS!$F$27*AG541+BMILMS!$G$27,IF(AG541&lt;9.5,BMILMS!$D$28*AG541^3+BMILMS!$E$28*AG541^2+BMILMS!$F$28*AG541+BMILMS!$G$28,IF(AG541&lt;26.75,BMILMS!$D$29*AG541^3+BMILMS!$E$29*AG541^2+BMILMS!$F$29*AG541+BMILMS!$G$29,IF(AG541&lt;90,BMILMS!$D$30*AG541^3+BMILMS!$E$30*AG541^2+BMILMS!$F$30*AG541+BMILMS!$G$30,IF(AG541&lt;150,BMILMS!$D$31*AG541^3+BMILMS!$E$31*AG541^2+BMILMS!$F$31*AG541+BMILMS!$G$31,BMILMS!$D$32*AG541^3+BMILMS!$E$32*AG541^2+BMILMS!$F$32*AG541+BMILMS!$G$32)))))))</f>
        <v>12.568967990000001</v>
      </c>
      <c r="AF541" s="24">
        <f>IF(D541="M",(IF(AG541&lt;90,BMILMS!$D$14*AG541^3+BMILMS!$E$14*AG541^2+BMILMS!$F$14*AG541+BMILMS!$G$14,BMILMS!$D$15*AG541^3+BMILMS!$E$15*AG541^2+BMILMS!$F$15*AG541+BMILMS!$G$15)),(IF(AG541&lt;90,BMILMS!$D$17*AG541^3+BMILMS!$E$17*AG541^2+BMILMS!$F$17*AG541+BMILMS!$G$17,BMILMS!$D$18*AG541^3+BMILMS!$E$18*AG541^2+BMILMS!$F$18*AG541+BMILMS!$G$18)))</f>
        <v>8.8969350000000003E-2</v>
      </c>
      <c r="AG541" s="24">
        <f t="shared" si="144"/>
        <v>0</v>
      </c>
      <c r="AI541" s="38">
        <f>IF(D541="M",WeightSDS!P$5*$AG541^7+WeightSDS!Q$5*$AG541^6+WeightSDS!R$5*$AG541^5+WeightSDS!S$5*$AG541^4+WeightSDS!T$5*$AG541^3+WeightSDS!U$5*$AG541^2+WeightSDS!V$5*$AG541+WeightSDS!W$5,IF($AG541&lt;186,WeightSDS!P$8*$AG541^7+WeightSDS!Q$8*$AG541^6+WeightSDS!R$8*$AG541^5+WeightSDS!S$8*$AG541^4+WeightSDS!T$8*$AG541^3+WeightSDS!U$8*$AG541^2+WeightSDS!V$8*$AG541+WeightSDS!W$8,WeightSDS!$U$9-WeightSDS!$V$9*($AG541-WeightSDS!$W$9)))</f>
        <v>0.75407122999999998</v>
      </c>
      <c r="AJ541" s="24">
        <f>IF(D541="M",IF($AG541&lt;45,WeightSDS!M$23*$AG541^10+WeightSDS!N$23*$AG541^9+WeightSDS!O$23*$AG541^8+WeightSDS!P$23*$AG541^7+WeightSDS!Q$23*$AG541^6+WeightSDS!R$23*$AG541^5+WeightSDS!S$23*$AG541^4+WeightSDS!T$23*$AG541^3+WeightSDS!U$23*$AG541^2+WeightSDS!V$23*$AG541+WeightSDS!W$23,IF($AG541&lt;153,WeightSDS!M$25*$AG541^10+WeightSDS!N$25*$AG541^9+WeightSDS!O$25*$AG541^8+WeightSDS!P$25*$AG541^7+WeightSDS!Q$25*$AG541^6+WeightSDS!R$25*$AG541^5+WeightSDS!S$25*$AG541^4+WeightSDS!T$25*$AG541^3+WeightSDS!U$25*$AG541^2+WeightSDS!V$25*$AG541+WeightSDS!W$25,WeightSDS!M$27+WeightSDS!N$27/(1+EXP(WeightSDS!O$27+WeightSDS!P$27*$AG541)))),IF($AG541&lt;43.8,WeightSDS!M$29*$AG541^10+WeightSDS!N$29*$AG541^9+WeightSDS!O$29*$AG541^8+WeightSDS!P$29*$AG541^7+WeightSDS!Q$29*$AG541^6+WeightSDS!R$29*$AG541^5+WeightSDS!S$29*$AG541^4+WeightSDS!T$29*$AG541^3+WeightSDS!U$29*$AG541^2+WeightSDS!V$29*$AG541+WeightSDS!W$29-0.010431*(1-$AG541/210),IF($AG541&lt;123,WeightSDS!M$30*$AG541^10+WeightSDS!N$30*$AG541^9+WeightSDS!O$30*$AG541^8+WeightSDS!P$30*$AG541^7+WeightSDS!Q$30*$AG541^6+WeightSDS!R$30*$AG541^5+WeightSDS!S$30*$AG541^4+WeightSDS!T$30*$AG541^3+WeightSDS!U$30*$AG541^2+WeightSDS!V$30*$AG541+WeightSDS!W$30-0.010431*(1-1/$AG541),WeightSDS!M$32+WeightSDS!N$32/(1+EXP(WeightSDS!O$32+WeightSDS!P$32*$AG541))-0.010431*(1-$AG541/210))))</f>
        <v>2.9500001032655536</v>
      </c>
      <c r="AK541" s="24">
        <f>IF(D541="M",IF($AG541&lt;162,WeightSDS!P$12*$AG541^7+WeightSDS!Q$12*$AG541^6+WeightSDS!R$12*$AG541^5+WeightSDS!S$12*$AG541^4+WeightSDS!T$12*$AG541^3+WeightSDS!U$12*$AG541^2+WeightSDS!V$12*$AG541+WeightSDS!W$12,WeightSDS!P$14*$AG541^7+WeightSDS!Q$14*$AG541^6+WeightSDS!R$14*$AG541^5+WeightSDS!S$14*$AG541^4+WeightSDS!T$14*$AG541^3+WeightSDS!U$14*$AG541^2+WeightSDS!V$14*$AG541+WeightSDS!W$14),IF($AG541&lt;156,WeightSDS!O$17*$AG541^8+WeightSDS!P$17*$AG541^7+WeightSDS!Q$17*$AG541^6+WeightSDS!R$17*$AG541^5+WeightSDS!S$17*$AG541^4+WeightSDS!T$17*$AG541^3+WeightSDS!U$17*$AG541^2+WeightSDS!V$17*$AG541+WeightSDS!W$17,IF($AG541&lt;186,WeightSDS!$U$18+(WeightSDS!$V$18-WeightSDS!$U$18)/24*($AG541-186)+WeightSDS!$W$18*(-$AG541+186)^2-0.005,WeightSDS!$U$18+(WeightSDS!$V$18-WeightSDS!$U$18)/24*($AG541-186)-0.005)))</f>
        <v>0.14604529399999999</v>
      </c>
    </row>
    <row r="542" spans="1:37">
      <c r="A542" s="4"/>
      <c r="B542" s="21"/>
      <c r="C542" s="21"/>
      <c r="D542" s="21"/>
      <c r="E542" s="22"/>
      <c r="F542" s="22"/>
      <c r="G542" s="23"/>
      <c r="H542" s="23"/>
      <c r="I542" s="8" t="str">
        <f t="shared" si="130"/>
        <v/>
      </c>
      <c r="J542" s="2" t="str">
        <f t="shared" si="137"/>
        <v/>
      </c>
      <c r="K542" s="2" t="str">
        <f t="shared" si="131"/>
        <v/>
      </c>
      <c r="L542" s="2" t="str">
        <f t="shared" si="138"/>
        <v/>
      </c>
      <c r="M542" s="2" t="str">
        <f t="shared" si="143"/>
        <v/>
      </c>
      <c r="N542" s="2" t="str">
        <f t="shared" si="139"/>
        <v/>
      </c>
      <c r="O542" s="8" t="str">
        <f t="shared" si="140"/>
        <v/>
      </c>
      <c r="P542" s="8" t="str">
        <f t="shared" si="141"/>
        <v/>
      </c>
      <c r="Q542" s="40" t="str">
        <f t="shared" si="132"/>
        <v/>
      </c>
      <c r="R542" s="48" t="str">
        <f t="shared" si="142"/>
        <v/>
      </c>
      <c r="S542" s="8"/>
      <c r="U542" s="35">
        <f t="shared" si="133"/>
        <v>0</v>
      </c>
      <c r="V542" s="24">
        <f t="shared" si="134"/>
        <v>0</v>
      </c>
      <c r="W542" s="41">
        <f t="shared" ref="W542:W605" si="145">DATEDIF(E542,F542,"Y")+(F542-(DATE(YEAR(E542)+DATEDIF(E542,F542,"Y"),MONTH(E542),DAY(E542))))/(365+IF(MOD(YEAR((DATE(YEAR(F542)-1,MONTH(E542),DAY(E542)))),4)=0,IF((DATE(YEAR(F542)-1,MONTH(E542),DAY(E542)))&gt;DATE(YEAR((DATE(YEAR(F542)-1,MONTH(E542),DAY(E542)))),2,29),0,1),0)+IF(MOD(YEAR(F542),4)=0,IF(F542&gt;DATE(YEAR(F542),2,29),1,0),0))</f>
        <v>0</v>
      </c>
      <c r="X542" s="31"/>
      <c r="Y542" s="31"/>
      <c r="Z542" s="31"/>
      <c r="AA542" s="25">
        <f t="shared" si="135"/>
        <v>9.0359999999999996</v>
      </c>
      <c r="AB542" s="25">
        <f t="shared" si="136"/>
        <v>-184.49199999999999</v>
      </c>
      <c r="AD542" s="24">
        <f>IF(D542="M",IF(AG542&lt;78,BMILMS!$D$5*AG542^3+BMILMS!$E$5*AG542^2+BMILMS!$F$5*AG542+BMILMS!$G$5,IF(AG542&lt;150,BMILMS!$D$6*AG542^3+BMILMS!$E$6*AG542^2+BMILMS!$F$6*AG542+BMILMS!$G$6,BMILMS!$D$7*AG542^3+BMILMS!$E$7*AG542^2+BMILMS!$F$7*AG542+BMILMS!$G$7)),IF(AG542&lt;69,BMILMS!$D$9*AG542^3+BMILMS!$E$9*AG542^2+BMILMS!$F$9*AG542+BMILMS!$G$9,IF(AG542&lt;150,BMILMS!$D$10*AG542^3+BMILMS!$E$10*AG542^2+BMILMS!$F$10*AG542+BMILMS!$G$10,BMILMS!$D$11*AG542^3+BMILMS!$E$11*AG542^2+BMILMS!$F$11*AG542+BMILMS!$G$11)))</f>
        <v>0.79584630099999998</v>
      </c>
      <c r="AE542" s="24">
        <f>IF(D542="M",(IF(AG542&lt;2.5,BMILMS!$D$21*AG542^3+BMILMS!$E$21*AG542^2+BMILMS!$F$21*AG542+BMILMS!$G$21,IF(AG542&lt;9.5,BMILMS!$D$22*AG542^3+BMILMS!$E$22*AG542^2+BMILMS!$F$22*AG542+BMILMS!$G$22,IF(AG542&lt;26.75,BMILMS!$D$23*AG542^3+BMILMS!$E$23*AG542^2+BMILMS!$F$23*AG542+BMILMS!$G$23,IF(AG542&lt;90,BMILMS!$D$24*AG542^3+BMILMS!$E$24*AG542^2+BMILMS!$F$24*AG542+BMILMS!$G$24,BMILMS!$D$25*AG542^3+BMILMS!$E$25*AG542^2+BMILMS!$F$25*AG542+BMILMS!$G$25))))),(IF(AG542&lt;2.5,BMILMS!$D$27*AG542^3+BMILMS!$E$27*AG542^2+BMILMS!$F$27*AG542+BMILMS!$G$27,IF(AG542&lt;9.5,BMILMS!$D$28*AG542^3+BMILMS!$E$28*AG542^2+BMILMS!$F$28*AG542+BMILMS!$G$28,IF(AG542&lt;26.75,BMILMS!$D$29*AG542^3+BMILMS!$E$29*AG542^2+BMILMS!$F$29*AG542+BMILMS!$G$29,IF(AG542&lt;90,BMILMS!$D$30*AG542^3+BMILMS!$E$30*AG542^2+BMILMS!$F$30*AG542+BMILMS!$G$30,IF(AG542&lt;150,BMILMS!$D$31*AG542^3+BMILMS!$E$31*AG542^2+BMILMS!$F$31*AG542+BMILMS!$G$31,BMILMS!$D$32*AG542^3+BMILMS!$E$32*AG542^2+BMILMS!$F$32*AG542+BMILMS!$G$32)))))))</f>
        <v>12.568967990000001</v>
      </c>
      <c r="AF542" s="24">
        <f>IF(D542="M",(IF(AG542&lt;90,BMILMS!$D$14*AG542^3+BMILMS!$E$14*AG542^2+BMILMS!$F$14*AG542+BMILMS!$G$14,BMILMS!$D$15*AG542^3+BMILMS!$E$15*AG542^2+BMILMS!$F$15*AG542+BMILMS!$G$15)),(IF(AG542&lt;90,BMILMS!$D$17*AG542^3+BMILMS!$E$17*AG542^2+BMILMS!$F$17*AG542+BMILMS!$G$17,BMILMS!$D$18*AG542^3+BMILMS!$E$18*AG542^2+BMILMS!$F$18*AG542+BMILMS!$G$18)))</f>
        <v>8.8969350000000003E-2</v>
      </c>
      <c r="AG542" s="24">
        <f t="shared" si="144"/>
        <v>0</v>
      </c>
      <c r="AI542" s="38">
        <f>IF(D542="M",WeightSDS!P$5*$AG542^7+WeightSDS!Q$5*$AG542^6+WeightSDS!R$5*$AG542^5+WeightSDS!S$5*$AG542^4+WeightSDS!T$5*$AG542^3+WeightSDS!U$5*$AG542^2+WeightSDS!V$5*$AG542+WeightSDS!W$5,IF($AG542&lt;186,WeightSDS!P$8*$AG542^7+WeightSDS!Q$8*$AG542^6+WeightSDS!R$8*$AG542^5+WeightSDS!S$8*$AG542^4+WeightSDS!T$8*$AG542^3+WeightSDS!U$8*$AG542^2+WeightSDS!V$8*$AG542+WeightSDS!W$8,WeightSDS!$U$9-WeightSDS!$V$9*($AG542-WeightSDS!$W$9)))</f>
        <v>0.75407122999999998</v>
      </c>
      <c r="AJ542" s="24">
        <f>IF(D542="M",IF($AG542&lt;45,WeightSDS!M$23*$AG542^10+WeightSDS!N$23*$AG542^9+WeightSDS!O$23*$AG542^8+WeightSDS!P$23*$AG542^7+WeightSDS!Q$23*$AG542^6+WeightSDS!R$23*$AG542^5+WeightSDS!S$23*$AG542^4+WeightSDS!T$23*$AG542^3+WeightSDS!U$23*$AG542^2+WeightSDS!V$23*$AG542+WeightSDS!W$23,IF($AG542&lt;153,WeightSDS!M$25*$AG542^10+WeightSDS!N$25*$AG542^9+WeightSDS!O$25*$AG542^8+WeightSDS!P$25*$AG542^7+WeightSDS!Q$25*$AG542^6+WeightSDS!R$25*$AG542^5+WeightSDS!S$25*$AG542^4+WeightSDS!T$25*$AG542^3+WeightSDS!U$25*$AG542^2+WeightSDS!V$25*$AG542+WeightSDS!W$25,WeightSDS!M$27+WeightSDS!N$27/(1+EXP(WeightSDS!O$27+WeightSDS!P$27*$AG542)))),IF($AG542&lt;43.8,WeightSDS!M$29*$AG542^10+WeightSDS!N$29*$AG542^9+WeightSDS!O$29*$AG542^8+WeightSDS!P$29*$AG542^7+WeightSDS!Q$29*$AG542^6+WeightSDS!R$29*$AG542^5+WeightSDS!S$29*$AG542^4+WeightSDS!T$29*$AG542^3+WeightSDS!U$29*$AG542^2+WeightSDS!V$29*$AG542+WeightSDS!W$29-0.010431*(1-$AG542/210),IF($AG542&lt;123,WeightSDS!M$30*$AG542^10+WeightSDS!N$30*$AG542^9+WeightSDS!O$30*$AG542^8+WeightSDS!P$30*$AG542^7+WeightSDS!Q$30*$AG542^6+WeightSDS!R$30*$AG542^5+WeightSDS!S$30*$AG542^4+WeightSDS!T$30*$AG542^3+WeightSDS!U$30*$AG542^2+WeightSDS!V$30*$AG542+WeightSDS!W$30-0.010431*(1-1/$AG542),WeightSDS!M$32+WeightSDS!N$32/(1+EXP(WeightSDS!O$32+WeightSDS!P$32*$AG542))-0.010431*(1-$AG542/210))))</f>
        <v>2.9500001032655536</v>
      </c>
      <c r="AK542" s="24">
        <f>IF(D542="M",IF($AG542&lt;162,WeightSDS!P$12*$AG542^7+WeightSDS!Q$12*$AG542^6+WeightSDS!R$12*$AG542^5+WeightSDS!S$12*$AG542^4+WeightSDS!T$12*$AG542^3+WeightSDS!U$12*$AG542^2+WeightSDS!V$12*$AG542+WeightSDS!W$12,WeightSDS!P$14*$AG542^7+WeightSDS!Q$14*$AG542^6+WeightSDS!R$14*$AG542^5+WeightSDS!S$14*$AG542^4+WeightSDS!T$14*$AG542^3+WeightSDS!U$14*$AG542^2+WeightSDS!V$14*$AG542+WeightSDS!W$14),IF($AG542&lt;156,WeightSDS!O$17*$AG542^8+WeightSDS!P$17*$AG542^7+WeightSDS!Q$17*$AG542^6+WeightSDS!R$17*$AG542^5+WeightSDS!S$17*$AG542^4+WeightSDS!T$17*$AG542^3+WeightSDS!U$17*$AG542^2+WeightSDS!V$17*$AG542+WeightSDS!W$17,IF($AG542&lt;186,WeightSDS!$U$18+(WeightSDS!$V$18-WeightSDS!$U$18)/24*($AG542-186)+WeightSDS!$W$18*(-$AG542+186)^2-0.005,WeightSDS!$U$18+(WeightSDS!$V$18-WeightSDS!$U$18)/24*($AG542-186)-0.005)))</f>
        <v>0.14604529399999999</v>
      </c>
    </row>
    <row r="543" spans="1:37">
      <c r="A543" s="4"/>
      <c r="B543" s="21"/>
      <c r="C543" s="21"/>
      <c r="D543" s="21"/>
      <c r="E543" s="22"/>
      <c r="F543" s="22"/>
      <c r="G543" s="23"/>
      <c r="H543" s="23"/>
      <c r="I543" s="8" t="str">
        <f t="shared" si="130"/>
        <v/>
      </c>
      <c r="J543" s="2" t="str">
        <f t="shared" si="137"/>
        <v/>
      </c>
      <c r="K543" s="2" t="str">
        <f t="shared" si="131"/>
        <v/>
      </c>
      <c r="L543" s="2" t="str">
        <f t="shared" si="138"/>
        <v/>
      </c>
      <c r="M543" s="2" t="str">
        <f t="shared" si="143"/>
        <v/>
      </c>
      <c r="N543" s="2" t="str">
        <f t="shared" si="139"/>
        <v/>
      </c>
      <c r="O543" s="8" t="str">
        <f t="shared" si="140"/>
        <v/>
      </c>
      <c r="P543" s="8" t="str">
        <f t="shared" si="141"/>
        <v/>
      </c>
      <c r="Q543" s="40" t="str">
        <f t="shared" si="132"/>
        <v/>
      </c>
      <c r="R543" s="48" t="str">
        <f t="shared" si="142"/>
        <v/>
      </c>
      <c r="S543" s="8"/>
      <c r="U543" s="35">
        <f t="shared" si="133"/>
        <v>0</v>
      </c>
      <c r="V543" s="24">
        <f t="shared" si="134"/>
        <v>0</v>
      </c>
      <c r="W543" s="41">
        <f t="shared" si="145"/>
        <v>0</v>
      </c>
      <c r="X543" s="31"/>
      <c r="Y543" s="31"/>
      <c r="Z543" s="31"/>
      <c r="AA543" s="25">
        <f t="shared" si="135"/>
        <v>9.0359999999999996</v>
      </c>
      <c r="AB543" s="25">
        <f t="shared" si="136"/>
        <v>-184.49199999999999</v>
      </c>
      <c r="AD543" s="24">
        <f>IF(D543="M",IF(AG543&lt;78,BMILMS!$D$5*AG543^3+BMILMS!$E$5*AG543^2+BMILMS!$F$5*AG543+BMILMS!$G$5,IF(AG543&lt;150,BMILMS!$D$6*AG543^3+BMILMS!$E$6*AG543^2+BMILMS!$F$6*AG543+BMILMS!$G$6,BMILMS!$D$7*AG543^3+BMILMS!$E$7*AG543^2+BMILMS!$F$7*AG543+BMILMS!$G$7)),IF(AG543&lt;69,BMILMS!$D$9*AG543^3+BMILMS!$E$9*AG543^2+BMILMS!$F$9*AG543+BMILMS!$G$9,IF(AG543&lt;150,BMILMS!$D$10*AG543^3+BMILMS!$E$10*AG543^2+BMILMS!$F$10*AG543+BMILMS!$G$10,BMILMS!$D$11*AG543^3+BMILMS!$E$11*AG543^2+BMILMS!$F$11*AG543+BMILMS!$G$11)))</f>
        <v>0.79584630099999998</v>
      </c>
      <c r="AE543" s="24">
        <f>IF(D543="M",(IF(AG543&lt;2.5,BMILMS!$D$21*AG543^3+BMILMS!$E$21*AG543^2+BMILMS!$F$21*AG543+BMILMS!$G$21,IF(AG543&lt;9.5,BMILMS!$D$22*AG543^3+BMILMS!$E$22*AG543^2+BMILMS!$F$22*AG543+BMILMS!$G$22,IF(AG543&lt;26.75,BMILMS!$D$23*AG543^3+BMILMS!$E$23*AG543^2+BMILMS!$F$23*AG543+BMILMS!$G$23,IF(AG543&lt;90,BMILMS!$D$24*AG543^3+BMILMS!$E$24*AG543^2+BMILMS!$F$24*AG543+BMILMS!$G$24,BMILMS!$D$25*AG543^3+BMILMS!$E$25*AG543^2+BMILMS!$F$25*AG543+BMILMS!$G$25))))),(IF(AG543&lt;2.5,BMILMS!$D$27*AG543^3+BMILMS!$E$27*AG543^2+BMILMS!$F$27*AG543+BMILMS!$G$27,IF(AG543&lt;9.5,BMILMS!$D$28*AG543^3+BMILMS!$E$28*AG543^2+BMILMS!$F$28*AG543+BMILMS!$G$28,IF(AG543&lt;26.75,BMILMS!$D$29*AG543^3+BMILMS!$E$29*AG543^2+BMILMS!$F$29*AG543+BMILMS!$G$29,IF(AG543&lt;90,BMILMS!$D$30*AG543^3+BMILMS!$E$30*AG543^2+BMILMS!$F$30*AG543+BMILMS!$G$30,IF(AG543&lt;150,BMILMS!$D$31*AG543^3+BMILMS!$E$31*AG543^2+BMILMS!$F$31*AG543+BMILMS!$G$31,BMILMS!$D$32*AG543^3+BMILMS!$E$32*AG543^2+BMILMS!$F$32*AG543+BMILMS!$G$32)))))))</f>
        <v>12.568967990000001</v>
      </c>
      <c r="AF543" s="24">
        <f>IF(D543="M",(IF(AG543&lt;90,BMILMS!$D$14*AG543^3+BMILMS!$E$14*AG543^2+BMILMS!$F$14*AG543+BMILMS!$G$14,BMILMS!$D$15*AG543^3+BMILMS!$E$15*AG543^2+BMILMS!$F$15*AG543+BMILMS!$G$15)),(IF(AG543&lt;90,BMILMS!$D$17*AG543^3+BMILMS!$E$17*AG543^2+BMILMS!$F$17*AG543+BMILMS!$G$17,BMILMS!$D$18*AG543^3+BMILMS!$E$18*AG543^2+BMILMS!$F$18*AG543+BMILMS!$G$18)))</f>
        <v>8.8969350000000003E-2</v>
      </c>
      <c r="AG543" s="24">
        <f t="shared" si="144"/>
        <v>0</v>
      </c>
      <c r="AI543" s="38">
        <f>IF(D543="M",WeightSDS!P$5*$AG543^7+WeightSDS!Q$5*$AG543^6+WeightSDS!R$5*$AG543^5+WeightSDS!S$5*$AG543^4+WeightSDS!T$5*$AG543^3+WeightSDS!U$5*$AG543^2+WeightSDS!V$5*$AG543+WeightSDS!W$5,IF($AG543&lt;186,WeightSDS!P$8*$AG543^7+WeightSDS!Q$8*$AG543^6+WeightSDS!R$8*$AG543^5+WeightSDS!S$8*$AG543^4+WeightSDS!T$8*$AG543^3+WeightSDS!U$8*$AG543^2+WeightSDS!V$8*$AG543+WeightSDS!W$8,WeightSDS!$U$9-WeightSDS!$V$9*($AG543-WeightSDS!$W$9)))</f>
        <v>0.75407122999999998</v>
      </c>
      <c r="AJ543" s="24">
        <f>IF(D543="M",IF($AG543&lt;45,WeightSDS!M$23*$AG543^10+WeightSDS!N$23*$AG543^9+WeightSDS!O$23*$AG543^8+WeightSDS!P$23*$AG543^7+WeightSDS!Q$23*$AG543^6+WeightSDS!R$23*$AG543^5+WeightSDS!S$23*$AG543^4+WeightSDS!T$23*$AG543^3+WeightSDS!U$23*$AG543^2+WeightSDS!V$23*$AG543+WeightSDS!W$23,IF($AG543&lt;153,WeightSDS!M$25*$AG543^10+WeightSDS!N$25*$AG543^9+WeightSDS!O$25*$AG543^8+WeightSDS!P$25*$AG543^7+WeightSDS!Q$25*$AG543^6+WeightSDS!R$25*$AG543^5+WeightSDS!S$25*$AG543^4+WeightSDS!T$25*$AG543^3+WeightSDS!U$25*$AG543^2+WeightSDS!V$25*$AG543+WeightSDS!W$25,WeightSDS!M$27+WeightSDS!N$27/(1+EXP(WeightSDS!O$27+WeightSDS!P$27*$AG543)))),IF($AG543&lt;43.8,WeightSDS!M$29*$AG543^10+WeightSDS!N$29*$AG543^9+WeightSDS!O$29*$AG543^8+WeightSDS!P$29*$AG543^7+WeightSDS!Q$29*$AG543^6+WeightSDS!R$29*$AG543^5+WeightSDS!S$29*$AG543^4+WeightSDS!T$29*$AG543^3+WeightSDS!U$29*$AG543^2+WeightSDS!V$29*$AG543+WeightSDS!W$29-0.010431*(1-$AG543/210),IF($AG543&lt;123,WeightSDS!M$30*$AG543^10+WeightSDS!N$30*$AG543^9+WeightSDS!O$30*$AG543^8+WeightSDS!P$30*$AG543^7+WeightSDS!Q$30*$AG543^6+WeightSDS!R$30*$AG543^5+WeightSDS!S$30*$AG543^4+WeightSDS!T$30*$AG543^3+WeightSDS!U$30*$AG543^2+WeightSDS!V$30*$AG543+WeightSDS!W$30-0.010431*(1-1/$AG543),WeightSDS!M$32+WeightSDS!N$32/(1+EXP(WeightSDS!O$32+WeightSDS!P$32*$AG543))-0.010431*(1-$AG543/210))))</f>
        <v>2.9500001032655536</v>
      </c>
      <c r="AK543" s="24">
        <f>IF(D543="M",IF($AG543&lt;162,WeightSDS!P$12*$AG543^7+WeightSDS!Q$12*$AG543^6+WeightSDS!R$12*$AG543^5+WeightSDS!S$12*$AG543^4+WeightSDS!T$12*$AG543^3+WeightSDS!U$12*$AG543^2+WeightSDS!V$12*$AG543+WeightSDS!W$12,WeightSDS!P$14*$AG543^7+WeightSDS!Q$14*$AG543^6+WeightSDS!R$14*$AG543^5+WeightSDS!S$14*$AG543^4+WeightSDS!T$14*$AG543^3+WeightSDS!U$14*$AG543^2+WeightSDS!V$14*$AG543+WeightSDS!W$14),IF($AG543&lt;156,WeightSDS!O$17*$AG543^8+WeightSDS!P$17*$AG543^7+WeightSDS!Q$17*$AG543^6+WeightSDS!R$17*$AG543^5+WeightSDS!S$17*$AG543^4+WeightSDS!T$17*$AG543^3+WeightSDS!U$17*$AG543^2+WeightSDS!V$17*$AG543+WeightSDS!W$17,IF($AG543&lt;186,WeightSDS!$U$18+(WeightSDS!$V$18-WeightSDS!$U$18)/24*($AG543-186)+WeightSDS!$W$18*(-$AG543+186)^2-0.005,WeightSDS!$U$18+(WeightSDS!$V$18-WeightSDS!$U$18)/24*($AG543-186)-0.005)))</f>
        <v>0.14604529399999999</v>
      </c>
    </row>
    <row r="544" spans="1:37">
      <c r="A544" s="4"/>
      <c r="B544" s="21"/>
      <c r="C544" s="21"/>
      <c r="D544" s="21"/>
      <c r="E544" s="22"/>
      <c r="F544" s="22"/>
      <c r="G544" s="23"/>
      <c r="H544" s="23"/>
      <c r="I544" s="8" t="str">
        <f t="shared" si="130"/>
        <v/>
      </c>
      <c r="J544" s="2" t="str">
        <f t="shared" si="137"/>
        <v/>
      </c>
      <c r="K544" s="2" t="str">
        <f t="shared" si="131"/>
        <v/>
      </c>
      <c r="L544" s="2" t="str">
        <f t="shared" si="138"/>
        <v/>
      </c>
      <c r="M544" s="2" t="str">
        <f t="shared" si="143"/>
        <v/>
      </c>
      <c r="N544" s="2" t="str">
        <f t="shared" si="139"/>
        <v/>
      </c>
      <c r="O544" s="8" t="str">
        <f t="shared" si="140"/>
        <v/>
      </c>
      <c r="P544" s="8" t="str">
        <f t="shared" si="141"/>
        <v/>
      </c>
      <c r="Q544" s="40" t="str">
        <f t="shared" si="132"/>
        <v/>
      </c>
      <c r="R544" s="48" t="str">
        <f t="shared" si="142"/>
        <v/>
      </c>
      <c r="S544" s="8"/>
      <c r="U544" s="35">
        <f t="shared" si="133"/>
        <v>0</v>
      </c>
      <c r="V544" s="24">
        <f t="shared" si="134"/>
        <v>0</v>
      </c>
      <c r="W544" s="41">
        <f t="shared" si="145"/>
        <v>0</v>
      </c>
      <c r="X544" s="31"/>
      <c r="Y544" s="31"/>
      <c r="Z544" s="31"/>
      <c r="AA544" s="25">
        <f t="shared" si="135"/>
        <v>9.0359999999999996</v>
      </c>
      <c r="AB544" s="25">
        <f t="shared" si="136"/>
        <v>-184.49199999999999</v>
      </c>
      <c r="AD544" s="24">
        <f>IF(D544="M",IF(AG544&lt;78,BMILMS!$D$5*AG544^3+BMILMS!$E$5*AG544^2+BMILMS!$F$5*AG544+BMILMS!$G$5,IF(AG544&lt;150,BMILMS!$D$6*AG544^3+BMILMS!$E$6*AG544^2+BMILMS!$F$6*AG544+BMILMS!$G$6,BMILMS!$D$7*AG544^3+BMILMS!$E$7*AG544^2+BMILMS!$F$7*AG544+BMILMS!$G$7)),IF(AG544&lt;69,BMILMS!$D$9*AG544^3+BMILMS!$E$9*AG544^2+BMILMS!$F$9*AG544+BMILMS!$G$9,IF(AG544&lt;150,BMILMS!$D$10*AG544^3+BMILMS!$E$10*AG544^2+BMILMS!$F$10*AG544+BMILMS!$G$10,BMILMS!$D$11*AG544^3+BMILMS!$E$11*AG544^2+BMILMS!$F$11*AG544+BMILMS!$G$11)))</f>
        <v>0.79584630099999998</v>
      </c>
      <c r="AE544" s="24">
        <f>IF(D544="M",(IF(AG544&lt;2.5,BMILMS!$D$21*AG544^3+BMILMS!$E$21*AG544^2+BMILMS!$F$21*AG544+BMILMS!$G$21,IF(AG544&lt;9.5,BMILMS!$D$22*AG544^3+BMILMS!$E$22*AG544^2+BMILMS!$F$22*AG544+BMILMS!$G$22,IF(AG544&lt;26.75,BMILMS!$D$23*AG544^3+BMILMS!$E$23*AG544^2+BMILMS!$F$23*AG544+BMILMS!$G$23,IF(AG544&lt;90,BMILMS!$D$24*AG544^3+BMILMS!$E$24*AG544^2+BMILMS!$F$24*AG544+BMILMS!$G$24,BMILMS!$D$25*AG544^3+BMILMS!$E$25*AG544^2+BMILMS!$F$25*AG544+BMILMS!$G$25))))),(IF(AG544&lt;2.5,BMILMS!$D$27*AG544^3+BMILMS!$E$27*AG544^2+BMILMS!$F$27*AG544+BMILMS!$G$27,IF(AG544&lt;9.5,BMILMS!$D$28*AG544^3+BMILMS!$E$28*AG544^2+BMILMS!$F$28*AG544+BMILMS!$G$28,IF(AG544&lt;26.75,BMILMS!$D$29*AG544^3+BMILMS!$E$29*AG544^2+BMILMS!$F$29*AG544+BMILMS!$G$29,IF(AG544&lt;90,BMILMS!$D$30*AG544^3+BMILMS!$E$30*AG544^2+BMILMS!$F$30*AG544+BMILMS!$G$30,IF(AG544&lt;150,BMILMS!$D$31*AG544^3+BMILMS!$E$31*AG544^2+BMILMS!$F$31*AG544+BMILMS!$G$31,BMILMS!$D$32*AG544^3+BMILMS!$E$32*AG544^2+BMILMS!$F$32*AG544+BMILMS!$G$32)))))))</f>
        <v>12.568967990000001</v>
      </c>
      <c r="AF544" s="24">
        <f>IF(D544="M",(IF(AG544&lt;90,BMILMS!$D$14*AG544^3+BMILMS!$E$14*AG544^2+BMILMS!$F$14*AG544+BMILMS!$G$14,BMILMS!$D$15*AG544^3+BMILMS!$E$15*AG544^2+BMILMS!$F$15*AG544+BMILMS!$G$15)),(IF(AG544&lt;90,BMILMS!$D$17*AG544^3+BMILMS!$E$17*AG544^2+BMILMS!$F$17*AG544+BMILMS!$G$17,BMILMS!$D$18*AG544^3+BMILMS!$E$18*AG544^2+BMILMS!$F$18*AG544+BMILMS!$G$18)))</f>
        <v>8.8969350000000003E-2</v>
      </c>
      <c r="AG544" s="24">
        <f t="shared" si="144"/>
        <v>0</v>
      </c>
      <c r="AI544" s="38">
        <f>IF(D544="M",WeightSDS!P$5*$AG544^7+WeightSDS!Q$5*$AG544^6+WeightSDS!R$5*$AG544^5+WeightSDS!S$5*$AG544^4+WeightSDS!T$5*$AG544^3+WeightSDS!U$5*$AG544^2+WeightSDS!V$5*$AG544+WeightSDS!W$5,IF($AG544&lt;186,WeightSDS!P$8*$AG544^7+WeightSDS!Q$8*$AG544^6+WeightSDS!R$8*$AG544^5+WeightSDS!S$8*$AG544^4+WeightSDS!T$8*$AG544^3+WeightSDS!U$8*$AG544^2+WeightSDS!V$8*$AG544+WeightSDS!W$8,WeightSDS!$U$9-WeightSDS!$V$9*($AG544-WeightSDS!$W$9)))</f>
        <v>0.75407122999999998</v>
      </c>
      <c r="AJ544" s="24">
        <f>IF(D544="M",IF($AG544&lt;45,WeightSDS!M$23*$AG544^10+WeightSDS!N$23*$AG544^9+WeightSDS!O$23*$AG544^8+WeightSDS!P$23*$AG544^7+WeightSDS!Q$23*$AG544^6+WeightSDS!R$23*$AG544^5+WeightSDS!S$23*$AG544^4+WeightSDS!T$23*$AG544^3+WeightSDS!U$23*$AG544^2+WeightSDS!V$23*$AG544+WeightSDS!W$23,IF($AG544&lt;153,WeightSDS!M$25*$AG544^10+WeightSDS!N$25*$AG544^9+WeightSDS!O$25*$AG544^8+WeightSDS!P$25*$AG544^7+WeightSDS!Q$25*$AG544^6+WeightSDS!R$25*$AG544^5+WeightSDS!S$25*$AG544^4+WeightSDS!T$25*$AG544^3+WeightSDS!U$25*$AG544^2+WeightSDS!V$25*$AG544+WeightSDS!W$25,WeightSDS!M$27+WeightSDS!N$27/(1+EXP(WeightSDS!O$27+WeightSDS!P$27*$AG544)))),IF($AG544&lt;43.8,WeightSDS!M$29*$AG544^10+WeightSDS!N$29*$AG544^9+WeightSDS!O$29*$AG544^8+WeightSDS!P$29*$AG544^7+WeightSDS!Q$29*$AG544^6+WeightSDS!R$29*$AG544^5+WeightSDS!S$29*$AG544^4+WeightSDS!T$29*$AG544^3+WeightSDS!U$29*$AG544^2+WeightSDS!V$29*$AG544+WeightSDS!W$29-0.010431*(1-$AG544/210),IF($AG544&lt;123,WeightSDS!M$30*$AG544^10+WeightSDS!N$30*$AG544^9+WeightSDS!O$30*$AG544^8+WeightSDS!P$30*$AG544^7+WeightSDS!Q$30*$AG544^6+WeightSDS!R$30*$AG544^5+WeightSDS!S$30*$AG544^4+WeightSDS!T$30*$AG544^3+WeightSDS!U$30*$AG544^2+WeightSDS!V$30*$AG544+WeightSDS!W$30-0.010431*(1-1/$AG544),WeightSDS!M$32+WeightSDS!N$32/(1+EXP(WeightSDS!O$32+WeightSDS!P$32*$AG544))-0.010431*(1-$AG544/210))))</f>
        <v>2.9500001032655536</v>
      </c>
      <c r="AK544" s="24">
        <f>IF(D544="M",IF($AG544&lt;162,WeightSDS!P$12*$AG544^7+WeightSDS!Q$12*$AG544^6+WeightSDS!R$12*$AG544^5+WeightSDS!S$12*$AG544^4+WeightSDS!T$12*$AG544^3+WeightSDS!U$12*$AG544^2+WeightSDS!V$12*$AG544+WeightSDS!W$12,WeightSDS!P$14*$AG544^7+WeightSDS!Q$14*$AG544^6+WeightSDS!R$14*$AG544^5+WeightSDS!S$14*$AG544^4+WeightSDS!T$14*$AG544^3+WeightSDS!U$14*$AG544^2+WeightSDS!V$14*$AG544+WeightSDS!W$14),IF($AG544&lt;156,WeightSDS!O$17*$AG544^8+WeightSDS!P$17*$AG544^7+WeightSDS!Q$17*$AG544^6+WeightSDS!R$17*$AG544^5+WeightSDS!S$17*$AG544^4+WeightSDS!T$17*$AG544^3+WeightSDS!U$17*$AG544^2+WeightSDS!V$17*$AG544+WeightSDS!W$17,IF($AG544&lt;186,WeightSDS!$U$18+(WeightSDS!$V$18-WeightSDS!$U$18)/24*($AG544-186)+WeightSDS!$W$18*(-$AG544+186)^2-0.005,WeightSDS!$U$18+(WeightSDS!$V$18-WeightSDS!$U$18)/24*($AG544-186)-0.005)))</f>
        <v>0.14604529399999999</v>
      </c>
    </row>
    <row r="545" spans="1:37">
      <c r="A545" s="4"/>
      <c r="B545" s="21"/>
      <c r="C545" s="21"/>
      <c r="D545" s="21"/>
      <c r="E545" s="22"/>
      <c r="F545" s="22"/>
      <c r="G545" s="23"/>
      <c r="H545" s="23"/>
      <c r="I545" s="8" t="str">
        <f t="shared" si="130"/>
        <v/>
      </c>
      <c r="J545" s="2" t="str">
        <f t="shared" si="137"/>
        <v/>
      </c>
      <c r="K545" s="2" t="str">
        <f t="shared" si="131"/>
        <v/>
      </c>
      <c r="L545" s="2" t="str">
        <f t="shared" si="138"/>
        <v/>
      </c>
      <c r="M545" s="2" t="str">
        <f t="shared" si="143"/>
        <v/>
      </c>
      <c r="N545" s="2" t="str">
        <f t="shared" si="139"/>
        <v/>
      </c>
      <c r="O545" s="8" t="str">
        <f t="shared" si="140"/>
        <v/>
      </c>
      <c r="P545" s="8" t="str">
        <f t="shared" si="141"/>
        <v/>
      </c>
      <c r="Q545" s="40" t="str">
        <f t="shared" si="132"/>
        <v/>
      </c>
      <c r="R545" s="48" t="str">
        <f t="shared" si="142"/>
        <v/>
      </c>
      <c r="S545" s="8"/>
      <c r="U545" s="35">
        <f t="shared" si="133"/>
        <v>0</v>
      </c>
      <c r="V545" s="24">
        <f t="shared" si="134"/>
        <v>0</v>
      </c>
      <c r="W545" s="41">
        <f t="shared" si="145"/>
        <v>0</v>
      </c>
      <c r="X545" s="31"/>
      <c r="Y545" s="31"/>
      <c r="Z545" s="31"/>
      <c r="AA545" s="25">
        <f t="shared" si="135"/>
        <v>9.0359999999999996</v>
      </c>
      <c r="AB545" s="25">
        <f t="shared" si="136"/>
        <v>-184.49199999999999</v>
      </c>
      <c r="AD545" s="24">
        <f>IF(D545="M",IF(AG545&lt;78,BMILMS!$D$5*AG545^3+BMILMS!$E$5*AG545^2+BMILMS!$F$5*AG545+BMILMS!$G$5,IF(AG545&lt;150,BMILMS!$D$6*AG545^3+BMILMS!$E$6*AG545^2+BMILMS!$F$6*AG545+BMILMS!$G$6,BMILMS!$D$7*AG545^3+BMILMS!$E$7*AG545^2+BMILMS!$F$7*AG545+BMILMS!$G$7)),IF(AG545&lt;69,BMILMS!$D$9*AG545^3+BMILMS!$E$9*AG545^2+BMILMS!$F$9*AG545+BMILMS!$G$9,IF(AG545&lt;150,BMILMS!$D$10*AG545^3+BMILMS!$E$10*AG545^2+BMILMS!$F$10*AG545+BMILMS!$G$10,BMILMS!$D$11*AG545^3+BMILMS!$E$11*AG545^2+BMILMS!$F$11*AG545+BMILMS!$G$11)))</f>
        <v>0.79584630099999998</v>
      </c>
      <c r="AE545" s="24">
        <f>IF(D545="M",(IF(AG545&lt;2.5,BMILMS!$D$21*AG545^3+BMILMS!$E$21*AG545^2+BMILMS!$F$21*AG545+BMILMS!$G$21,IF(AG545&lt;9.5,BMILMS!$D$22*AG545^3+BMILMS!$E$22*AG545^2+BMILMS!$F$22*AG545+BMILMS!$G$22,IF(AG545&lt;26.75,BMILMS!$D$23*AG545^3+BMILMS!$E$23*AG545^2+BMILMS!$F$23*AG545+BMILMS!$G$23,IF(AG545&lt;90,BMILMS!$D$24*AG545^3+BMILMS!$E$24*AG545^2+BMILMS!$F$24*AG545+BMILMS!$G$24,BMILMS!$D$25*AG545^3+BMILMS!$E$25*AG545^2+BMILMS!$F$25*AG545+BMILMS!$G$25))))),(IF(AG545&lt;2.5,BMILMS!$D$27*AG545^3+BMILMS!$E$27*AG545^2+BMILMS!$F$27*AG545+BMILMS!$G$27,IF(AG545&lt;9.5,BMILMS!$D$28*AG545^3+BMILMS!$E$28*AG545^2+BMILMS!$F$28*AG545+BMILMS!$G$28,IF(AG545&lt;26.75,BMILMS!$D$29*AG545^3+BMILMS!$E$29*AG545^2+BMILMS!$F$29*AG545+BMILMS!$G$29,IF(AG545&lt;90,BMILMS!$D$30*AG545^3+BMILMS!$E$30*AG545^2+BMILMS!$F$30*AG545+BMILMS!$G$30,IF(AG545&lt;150,BMILMS!$D$31*AG545^3+BMILMS!$E$31*AG545^2+BMILMS!$F$31*AG545+BMILMS!$G$31,BMILMS!$D$32*AG545^3+BMILMS!$E$32*AG545^2+BMILMS!$F$32*AG545+BMILMS!$G$32)))))))</f>
        <v>12.568967990000001</v>
      </c>
      <c r="AF545" s="24">
        <f>IF(D545="M",(IF(AG545&lt;90,BMILMS!$D$14*AG545^3+BMILMS!$E$14*AG545^2+BMILMS!$F$14*AG545+BMILMS!$G$14,BMILMS!$D$15*AG545^3+BMILMS!$E$15*AG545^2+BMILMS!$F$15*AG545+BMILMS!$G$15)),(IF(AG545&lt;90,BMILMS!$D$17*AG545^3+BMILMS!$E$17*AG545^2+BMILMS!$F$17*AG545+BMILMS!$G$17,BMILMS!$D$18*AG545^3+BMILMS!$E$18*AG545^2+BMILMS!$F$18*AG545+BMILMS!$G$18)))</f>
        <v>8.8969350000000003E-2</v>
      </c>
      <c r="AG545" s="24">
        <f t="shared" si="144"/>
        <v>0</v>
      </c>
      <c r="AI545" s="38">
        <f>IF(D545="M",WeightSDS!P$5*$AG545^7+WeightSDS!Q$5*$AG545^6+WeightSDS!R$5*$AG545^5+WeightSDS!S$5*$AG545^4+WeightSDS!T$5*$AG545^3+WeightSDS!U$5*$AG545^2+WeightSDS!V$5*$AG545+WeightSDS!W$5,IF($AG545&lt;186,WeightSDS!P$8*$AG545^7+WeightSDS!Q$8*$AG545^6+WeightSDS!R$8*$AG545^5+WeightSDS!S$8*$AG545^4+WeightSDS!T$8*$AG545^3+WeightSDS!U$8*$AG545^2+WeightSDS!V$8*$AG545+WeightSDS!W$8,WeightSDS!$U$9-WeightSDS!$V$9*($AG545-WeightSDS!$W$9)))</f>
        <v>0.75407122999999998</v>
      </c>
      <c r="AJ545" s="24">
        <f>IF(D545="M",IF($AG545&lt;45,WeightSDS!M$23*$AG545^10+WeightSDS!N$23*$AG545^9+WeightSDS!O$23*$AG545^8+WeightSDS!P$23*$AG545^7+WeightSDS!Q$23*$AG545^6+WeightSDS!R$23*$AG545^5+WeightSDS!S$23*$AG545^4+WeightSDS!T$23*$AG545^3+WeightSDS!U$23*$AG545^2+WeightSDS!V$23*$AG545+WeightSDS!W$23,IF($AG545&lt;153,WeightSDS!M$25*$AG545^10+WeightSDS!N$25*$AG545^9+WeightSDS!O$25*$AG545^8+WeightSDS!P$25*$AG545^7+WeightSDS!Q$25*$AG545^6+WeightSDS!R$25*$AG545^5+WeightSDS!S$25*$AG545^4+WeightSDS!T$25*$AG545^3+WeightSDS!U$25*$AG545^2+WeightSDS!V$25*$AG545+WeightSDS!W$25,WeightSDS!M$27+WeightSDS!N$27/(1+EXP(WeightSDS!O$27+WeightSDS!P$27*$AG545)))),IF($AG545&lt;43.8,WeightSDS!M$29*$AG545^10+WeightSDS!N$29*$AG545^9+WeightSDS!O$29*$AG545^8+WeightSDS!P$29*$AG545^7+WeightSDS!Q$29*$AG545^6+WeightSDS!R$29*$AG545^5+WeightSDS!S$29*$AG545^4+WeightSDS!T$29*$AG545^3+WeightSDS!U$29*$AG545^2+WeightSDS!V$29*$AG545+WeightSDS!W$29-0.010431*(1-$AG545/210),IF($AG545&lt;123,WeightSDS!M$30*$AG545^10+WeightSDS!N$30*$AG545^9+WeightSDS!O$30*$AG545^8+WeightSDS!P$30*$AG545^7+WeightSDS!Q$30*$AG545^6+WeightSDS!R$30*$AG545^5+WeightSDS!S$30*$AG545^4+WeightSDS!T$30*$AG545^3+WeightSDS!U$30*$AG545^2+WeightSDS!V$30*$AG545+WeightSDS!W$30-0.010431*(1-1/$AG545),WeightSDS!M$32+WeightSDS!N$32/(1+EXP(WeightSDS!O$32+WeightSDS!P$32*$AG545))-0.010431*(1-$AG545/210))))</f>
        <v>2.9500001032655536</v>
      </c>
      <c r="AK545" s="24">
        <f>IF(D545="M",IF($AG545&lt;162,WeightSDS!P$12*$AG545^7+WeightSDS!Q$12*$AG545^6+WeightSDS!R$12*$AG545^5+WeightSDS!S$12*$AG545^4+WeightSDS!T$12*$AG545^3+WeightSDS!U$12*$AG545^2+WeightSDS!V$12*$AG545+WeightSDS!W$12,WeightSDS!P$14*$AG545^7+WeightSDS!Q$14*$AG545^6+WeightSDS!R$14*$AG545^5+WeightSDS!S$14*$AG545^4+WeightSDS!T$14*$AG545^3+WeightSDS!U$14*$AG545^2+WeightSDS!V$14*$AG545+WeightSDS!W$14),IF($AG545&lt;156,WeightSDS!O$17*$AG545^8+WeightSDS!P$17*$AG545^7+WeightSDS!Q$17*$AG545^6+WeightSDS!R$17*$AG545^5+WeightSDS!S$17*$AG545^4+WeightSDS!T$17*$AG545^3+WeightSDS!U$17*$AG545^2+WeightSDS!V$17*$AG545+WeightSDS!W$17,IF($AG545&lt;186,WeightSDS!$U$18+(WeightSDS!$V$18-WeightSDS!$U$18)/24*($AG545-186)+WeightSDS!$W$18*(-$AG545+186)^2-0.005,WeightSDS!$U$18+(WeightSDS!$V$18-WeightSDS!$U$18)/24*($AG545-186)-0.005)))</f>
        <v>0.14604529399999999</v>
      </c>
    </row>
    <row r="546" spans="1:37">
      <c r="A546" s="4"/>
      <c r="B546" s="21"/>
      <c r="C546" s="21"/>
      <c r="D546" s="21"/>
      <c r="E546" s="22"/>
      <c r="F546" s="22"/>
      <c r="G546" s="23"/>
      <c r="H546" s="23"/>
      <c r="I546" s="8" t="str">
        <f t="shared" si="130"/>
        <v/>
      </c>
      <c r="J546" s="2" t="str">
        <f t="shared" si="137"/>
        <v/>
      </c>
      <c r="K546" s="2" t="str">
        <f t="shared" si="131"/>
        <v/>
      </c>
      <c r="L546" s="2" t="str">
        <f t="shared" si="138"/>
        <v/>
      </c>
      <c r="M546" s="2" t="str">
        <f t="shared" si="143"/>
        <v/>
      </c>
      <c r="N546" s="2" t="str">
        <f t="shared" si="139"/>
        <v/>
      </c>
      <c r="O546" s="8" t="str">
        <f t="shared" si="140"/>
        <v/>
      </c>
      <c r="P546" s="8" t="str">
        <f t="shared" si="141"/>
        <v/>
      </c>
      <c r="Q546" s="40" t="str">
        <f t="shared" si="132"/>
        <v/>
      </c>
      <c r="R546" s="48" t="str">
        <f t="shared" si="142"/>
        <v/>
      </c>
      <c r="S546" s="8"/>
      <c r="U546" s="35">
        <f t="shared" si="133"/>
        <v>0</v>
      </c>
      <c r="V546" s="24">
        <f t="shared" si="134"/>
        <v>0</v>
      </c>
      <c r="W546" s="41">
        <f t="shared" si="145"/>
        <v>0</v>
      </c>
      <c r="X546" s="31"/>
      <c r="Y546" s="31"/>
      <c r="Z546" s="31"/>
      <c r="AA546" s="25">
        <f t="shared" si="135"/>
        <v>9.0359999999999996</v>
      </c>
      <c r="AB546" s="25">
        <f t="shared" si="136"/>
        <v>-184.49199999999999</v>
      </c>
      <c r="AD546" s="24">
        <f>IF(D546="M",IF(AG546&lt;78,BMILMS!$D$5*AG546^3+BMILMS!$E$5*AG546^2+BMILMS!$F$5*AG546+BMILMS!$G$5,IF(AG546&lt;150,BMILMS!$D$6*AG546^3+BMILMS!$E$6*AG546^2+BMILMS!$F$6*AG546+BMILMS!$G$6,BMILMS!$D$7*AG546^3+BMILMS!$E$7*AG546^2+BMILMS!$F$7*AG546+BMILMS!$G$7)),IF(AG546&lt;69,BMILMS!$D$9*AG546^3+BMILMS!$E$9*AG546^2+BMILMS!$F$9*AG546+BMILMS!$G$9,IF(AG546&lt;150,BMILMS!$D$10*AG546^3+BMILMS!$E$10*AG546^2+BMILMS!$F$10*AG546+BMILMS!$G$10,BMILMS!$D$11*AG546^3+BMILMS!$E$11*AG546^2+BMILMS!$F$11*AG546+BMILMS!$G$11)))</f>
        <v>0.79584630099999998</v>
      </c>
      <c r="AE546" s="24">
        <f>IF(D546="M",(IF(AG546&lt;2.5,BMILMS!$D$21*AG546^3+BMILMS!$E$21*AG546^2+BMILMS!$F$21*AG546+BMILMS!$G$21,IF(AG546&lt;9.5,BMILMS!$D$22*AG546^3+BMILMS!$E$22*AG546^2+BMILMS!$F$22*AG546+BMILMS!$G$22,IF(AG546&lt;26.75,BMILMS!$D$23*AG546^3+BMILMS!$E$23*AG546^2+BMILMS!$F$23*AG546+BMILMS!$G$23,IF(AG546&lt;90,BMILMS!$D$24*AG546^3+BMILMS!$E$24*AG546^2+BMILMS!$F$24*AG546+BMILMS!$G$24,BMILMS!$D$25*AG546^3+BMILMS!$E$25*AG546^2+BMILMS!$F$25*AG546+BMILMS!$G$25))))),(IF(AG546&lt;2.5,BMILMS!$D$27*AG546^3+BMILMS!$E$27*AG546^2+BMILMS!$F$27*AG546+BMILMS!$G$27,IF(AG546&lt;9.5,BMILMS!$D$28*AG546^3+BMILMS!$E$28*AG546^2+BMILMS!$F$28*AG546+BMILMS!$G$28,IF(AG546&lt;26.75,BMILMS!$D$29*AG546^3+BMILMS!$E$29*AG546^2+BMILMS!$F$29*AG546+BMILMS!$G$29,IF(AG546&lt;90,BMILMS!$D$30*AG546^3+BMILMS!$E$30*AG546^2+BMILMS!$F$30*AG546+BMILMS!$G$30,IF(AG546&lt;150,BMILMS!$D$31*AG546^3+BMILMS!$E$31*AG546^2+BMILMS!$F$31*AG546+BMILMS!$G$31,BMILMS!$D$32*AG546^3+BMILMS!$E$32*AG546^2+BMILMS!$F$32*AG546+BMILMS!$G$32)))))))</f>
        <v>12.568967990000001</v>
      </c>
      <c r="AF546" s="24">
        <f>IF(D546="M",(IF(AG546&lt;90,BMILMS!$D$14*AG546^3+BMILMS!$E$14*AG546^2+BMILMS!$F$14*AG546+BMILMS!$G$14,BMILMS!$D$15*AG546^3+BMILMS!$E$15*AG546^2+BMILMS!$F$15*AG546+BMILMS!$G$15)),(IF(AG546&lt;90,BMILMS!$D$17*AG546^3+BMILMS!$E$17*AG546^2+BMILMS!$F$17*AG546+BMILMS!$G$17,BMILMS!$D$18*AG546^3+BMILMS!$E$18*AG546^2+BMILMS!$F$18*AG546+BMILMS!$G$18)))</f>
        <v>8.8969350000000003E-2</v>
      </c>
      <c r="AG546" s="24">
        <f t="shared" si="144"/>
        <v>0</v>
      </c>
      <c r="AI546" s="38">
        <f>IF(D546="M",WeightSDS!P$5*$AG546^7+WeightSDS!Q$5*$AG546^6+WeightSDS!R$5*$AG546^5+WeightSDS!S$5*$AG546^4+WeightSDS!T$5*$AG546^3+WeightSDS!U$5*$AG546^2+WeightSDS!V$5*$AG546+WeightSDS!W$5,IF($AG546&lt;186,WeightSDS!P$8*$AG546^7+WeightSDS!Q$8*$AG546^6+WeightSDS!R$8*$AG546^5+WeightSDS!S$8*$AG546^4+WeightSDS!T$8*$AG546^3+WeightSDS!U$8*$AG546^2+WeightSDS!V$8*$AG546+WeightSDS!W$8,WeightSDS!$U$9-WeightSDS!$V$9*($AG546-WeightSDS!$W$9)))</f>
        <v>0.75407122999999998</v>
      </c>
      <c r="AJ546" s="24">
        <f>IF(D546="M",IF($AG546&lt;45,WeightSDS!M$23*$AG546^10+WeightSDS!N$23*$AG546^9+WeightSDS!O$23*$AG546^8+WeightSDS!P$23*$AG546^7+WeightSDS!Q$23*$AG546^6+WeightSDS!R$23*$AG546^5+WeightSDS!S$23*$AG546^4+WeightSDS!T$23*$AG546^3+WeightSDS!U$23*$AG546^2+WeightSDS!V$23*$AG546+WeightSDS!W$23,IF($AG546&lt;153,WeightSDS!M$25*$AG546^10+WeightSDS!N$25*$AG546^9+WeightSDS!O$25*$AG546^8+WeightSDS!P$25*$AG546^7+WeightSDS!Q$25*$AG546^6+WeightSDS!R$25*$AG546^5+WeightSDS!S$25*$AG546^4+WeightSDS!T$25*$AG546^3+WeightSDS!U$25*$AG546^2+WeightSDS!V$25*$AG546+WeightSDS!W$25,WeightSDS!M$27+WeightSDS!N$27/(1+EXP(WeightSDS!O$27+WeightSDS!P$27*$AG546)))),IF($AG546&lt;43.8,WeightSDS!M$29*$AG546^10+WeightSDS!N$29*$AG546^9+WeightSDS!O$29*$AG546^8+WeightSDS!P$29*$AG546^7+WeightSDS!Q$29*$AG546^6+WeightSDS!R$29*$AG546^5+WeightSDS!S$29*$AG546^4+WeightSDS!T$29*$AG546^3+WeightSDS!U$29*$AG546^2+WeightSDS!V$29*$AG546+WeightSDS!W$29-0.010431*(1-$AG546/210),IF($AG546&lt;123,WeightSDS!M$30*$AG546^10+WeightSDS!N$30*$AG546^9+WeightSDS!O$30*$AG546^8+WeightSDS!P$30*$AG546^7+WeightSDS!Q$30*$AG546^6+WeightSDS!R$30*$AG546^5+WeightSDS!S$30*$AG546^4+WeightSDS!T$30*$AG546^3+WeightSDS!U$30*$AG546^2+WeightSDS!V$30*$AG546+WeightSDS!W$30-0.010431*(1-1/$AG546),WeightSDS!M$32+WeightSDS!N$32/(1+EXP(WeightSDS!O$32+WeightSDS!P$32*$AG546))-0.010431*(1-$AG546/210))))</f>
        <v>2.9500001032655536</v>
      </c>
      <c r="AK546" s="24">
        <f>IF(D546="M",IF($AG546&lt;162,WeightSDS!P$12*$AG546^7+WeightSDS!Q$12*$AG546^6+WeightSDS!R$12*$AG546^5+WeightSDS!S$12*$AG546^4+WeightSDS!T$12*$AG546^3+WeightSDS!U$12*$AG546^2+WeightSDS!V$12*$AG546+WeightSDS!W$12,WeightSDS!P$14*$AG546^7+WeightSDS!Q$14*$AG546^6+WeightSDS!R$14*$AG546^5+WeightSDS!S$14*$AG546^4+WeightSDS!T$14*$AG546^3+WeightSDS!U$14*$AG546^2+WeightSDS!V$14*$AG546+WeightSDS!W$14),IF($AG546&lt;156,WeightSDS!O$17*$AG546^8+WeightSDS!P$17*$AG546^7+WeightSDS!Q$17*$AG546^6+WeightSDS!R$17*$AG546^5+WeightSDS!S$17*$AG546^4+WeightSDS!T$17*$AG546^3+WeightSDS!U$17*$AG546^2+WeightSDS!V$17*$AG546+WeightSDS!W$17,IF($AG546&lt;186,WeightSDS!$U$18+(WeightSDS!$V$18-WeightSDS!$U$18)/24*($AG546-186)+WeightSDS!$W$18*(-$AG546+186)^2-0.005,WeightSDS!$U$18+(WeightSDS!$V$18-WeightSDS!$U$18)/24*($AG546-186)-0.005)))</f>
        <v>0.14604529399999999</v>
      </c>
    </row>
    <row r="547" spans="1:37">
      <c r="A547" s="4"/>
      <c r="B547" s="21"/>
      <c r="C547" s="21"/>
      <c r="D547" s="21"/>
      <c r="E547" s="22"/>
      <c r="F547" s="22"/>
      <c r="G547" s="23"/>
      <c r="H547" s="23"/>
      <c r="I547" s="8" t="str">
        <f t="shared" si="130"/>
        <v/>
      </c>
      <c r="J547" s="2" t="str">
        <f t="shared" si="137"/>
        <v/>
      </c>
      <c r="K547" s="2" t="str">
        <f t="shared" si="131"/>
        <v/>
      </c>
      <c r="L547" s="2" t="str">
        <f t="shared" si="138"/>
        <v/>
      </c>
      <c r="M547" s="2" t="str">
        <f t="shared" si="143"/>
        <v/>
      </c>
      <c r="N547" s="2" t="str">
        <f t="shared" si="139"/>
        <v/>
      </c>
      <c r="O547" s="8" t="str">
        <f t="shared" si="140"/>
        <v/>
      </c>
      <c r="P547" s="8" t="str">
        <f t="shared" si="141"/>
        <v/>
      </c>
      <c r="Q547" s="40" t="str">
        <f t="shared" si="132"/>
        <v/>
      </c>
      <c r="R547" s="48" t="str">
        <f t="shared" si="142"/>
        <v/>
      </c>
      <c r="S547" s="8"/>
      <c r="U547" s="35">
        <f t="shared" si="133"/>
        <v>0</v>
      </c>
      <c r="V547" s="24">
        <f t="shared" si="134"/>
        <v>0</v>
      </c>
      <c r="W547" s="41">
        <f t="shared" si="145"/>
        <v>0</v>
      </c>
      <c r="X547" s="31"/>
      <c r="Y547" s="31"/>
      <c r="Z547" s="31"/>
      <c r="AA547" s="25">
        <f t="shared" si="135"/>
        <v>9.0359999999999996</v>
      </c>
      <c r="AB547" s="25">
        <f t="shared" si="136"/>
        <v>-184.49199999999999</v>
      </c>
      <c r="AD547" s="24">
        <f>IF(D547="M",IF(AG547&lt;78,BMILMS!$D$5*AG547^3+BMILMS!$E$5*AG547^2+BMILMS!$F$5*AG547+BMILMS!$G$5,IF(AG547&lt;150,BMILMS!$D$6*AG547^3+BMILMS!$E$6*AG547^2+BMILMS!$F$6*AG547+BMILMS!$G$6,BMILMS!$D$7*AG547^3+BMILMS!$E$7*AG547^2+BMILMS!$F$7*AG547+BMILMS!$G$7)),IF(AG547&lt;69,BMILMS!$D$9*AG547^3+BMILMS!$E$9*AG547^2+BMILMS!$F$9*AG547+BMILMS!$G$9,IF(AG547&lt;150,BMILMS!$D$10*AG547^3+BMILMS!$E$10*AG547^2+BMILMS!$F$10*AG547+BMILMS!$G$10,BMILMS!$D$11*AG547^3+BMILMS!$E$11*AG547^2+BMILMS!$F$11*AG547+BMILMS!$G$11)))</f>
        <v>0.79584630099999998</v>
      </c>
      <c r="AE547" s="24">
        <f>IF(D547="M",(IF(AG547&lt;2.5,BMILMS!$D$21*AG547^3+BMILMS!$E$21*AG547^2+BMILMS!$F$21*AG547+BMILMS!$G$21,IF(AG547&lt;9.5,BMILMS!$D$22*AG547^3+BMILMS!$E$22*AG547^2+BMILMS!$F$22*AG547+BMILMS!$G$22,IF(AG547&lt;26.75,BMILMS!$D$23*AG547^3+BMILMS!$E$23*AG547^2+BMILMS!$F$23*AG547+BMILMS!$G$23,IF(AG547&lt;90,BMILMS!$D$24*AG547^3+BMILMS!$E$24*AG547^2+BMILMS!$F$24*AG547+BMILMS!$G$24,BMILMS!$D$25*AG547^3+BMILMS!$E$25*AG547^2+BMILMS!$F$25*AG547+BMILMS!$G$25))))),(IF(AG547&lt;2.5,BMILMS!$D$27*AG547^3+BMILMS!$E$27*AG547^2+BMILMS!$F$27*AG547+BMILMS!$G$27,IF(AG547&lt;9.5,BMILMS!$D$28*AG547^3+BMILMS!$E$28*AG547^2+BMILMS!$F$28*AG547+BMILMS!$G$28,IF(AG547&lt;26.75,BMILMS!$D$29*AG547^3+BMILMS!$E$29*AG547^2+BMILMS!$F$29*AG547+BMILMS!$G$29,IF(AG547&lt;90,BMILMS!$D$30*AG547^3+BMILMS!$E$30*AG547^2+BMILMS!$F$30*AG547+BMILMS!$G$30,IF(AG547&lt;150,BMILMS!$D$31*AG547^3+BMILMS!$E$31*AG547^2+BMILMS!$F$31*AG547+BMILMS!$G$31,BMILMS!$D$32*AG547^3+BMILMS!$E$32*AG547^2+BMILMS!$F$32*AG547+BMILMS!$G$32)))))))</f>
        <v>12.568967990000001</v>
      </c>
      <c r="AF547" s="24">
        <f>IF(D547="M",(IF(AG547&lt;90,BMILMS!$D$14*AG547^3+BMILMS!$E$14*AG547^2+BMILMS!$F$14*AG547+BMILMS!$G$14,BMILMS!$D$15*AG547^3+BMILMS!$E$15*AG547^2+BMILMS!$F$15*AG547+BMILMS!$G$15)),(IF(AG547&lt;90,BMILMS!$D$17*AG547^3+BMILMS!$E$17*AG547^2+BMILMS!$F$17*AG547+BMILMS!$G$17,BMILMS!$D$18*AG547^3+BMILMS!$E$18*AG547^2+BMILMS!$F$18*AG547+BMILMS!$G$18)))</f>
        <v>8.8969350000000003E-2</v>
      </c>
      <c r="AG547" s="24">
        <f t="shared" si="144"/>
        <v>0</v>
      </c>
      <c r="AI547" s="38">
        <f>IF(D547="M",WeightSDS!P$5*$AG547^7+WeightSDS!Q$5*$AG547^6+WeightSDS!R$5*$AG547^5+WeightSDS!S$5*$AG547^4+WeightSDS!T$5*$AG547^3+WeightSDS!U$5*$AG547^2+WeightSDS!V$5*$AG547+WeightSDS!W$5,IF($AG547&lt;186,WeightSDS!P$8*$AG547^7+WeightSDS!Q$8*$AG547^6+WeightSDS!R$8*$AG547^5+WeightSDS!S$8*$AG547^4+WeightSDS!T$8*$AG547^3+WeightSDS!U$8*$AG547^2+WeightSDS!V$8*$AG547+WeightSDS!W$8,WeightSDS!$U$9-WeightSDS!$V$9*($AG547-WeightSDS!$W$9)))</f>
        <v>0.75407122999999998</v>
      </c>
      <c r="AJ547" s="24">
        <f>IF(D547="M",IF($AG547&lt;45,WeightSDS!M$23*$AG547^10+WeightSDS!N$23*$AG547^9+WeightSDS!O$23*$AG547^8+WeightSDS!P$23*$AG547^7+WeightSDS!Q$23*$AG547^6+WeightSDS!R$23*$AG547^5+WeightSDS!S$23*$AG547^4+WeightSDS!T$23*$AG547^3+WeightSDS!U$23*$AG547^2+WeightSDS!V$23*$AG547+WeightSDS!W$23,IF($AG547&lt;153,WeightSDS!M$25*$AG547^10+WeightSDS!N$25*$AG547^9+WeightSDS!O$25*$AG547^8+WeightSDS!P$25*$AG547^7+WeightSDS!Q$25*$AG547^6+WeightSDS!R$25*$AG547^5+WeightSDS!S$25*$AG547^4+WeightSDS!T$25*$AG547^3+WeightSDS!U$25*$AG547^2+WeightSDS!V$25*$AG547+WeightSDS!W$25,WeightSDS!M$27+WeightSDS!N$27/(1+EXP(WeightSDS!O$27+WeightSDS!P$27*$AG547)))),IF($AG547&lt;43.8,WeightSDS!M$29*$AG547^10+WeightSDS!N$29*$AG547^9+WeightSDS!O$29*$AG547^8+WeightSDS!P$29*$AG547^7+WeightSDS!Q$29*$AG547^6+WeightSDS!R$29*$AG547^5+WeightSDS!S$29*$AG547^4+WeightSDS!T$29*$AG547^3+WeightSDS!U$29*$AG547^2+WeightSDS!V$29*$AG547+WeightSDS!W$29-0.010431*(1-$AG547/210),IF($AG547&lt;123,WeightSDS!M$30*$AG547^10+WeightSDS!N$30*$AG547^9+WeightSDS!O$30*$AG547^8+WeightSDS!P$30*$AG547^7+WeightSDS!Q$30*$AG547^6+WeightSDS!R$30*$AG547^5+WeightSDS!S$30*$AG547^4+WeightSDS!T$30*$AG547^3+WeightSDS!U$30*$AG547^2+WeightSDS!V$30*$AG547+WeightSDS!W$30-0.010431*(1-1/$AG547),WeightSDS!M$32+WeightSDS!N$32/(1+EXP(WeightSDS!O$32+WeightSDS!P$32*$AG547))-0.010431*(1-$AG547/210))))</f>
        <v>2.9500001032655536</v>
      </c>
      <c r="AK547" s="24">
        <f>IF(D547="M",IF($AG547&lt;162,WeightSDS!P$12*$AG547^7+WeightSDS!Q$12*$AG547^6+WeightSDS!R$12*$AG547^5+WeightSDS!S$12*$AG547^4+WeightSDS!T$12*$AG547^3+WeightSDS!U$12*$AG547^2+WeightSDS!V$12*$AG547+WeightSDS!W$12,WeightSDS!P$14*$AG547^7+WeightSDS!Q$14*$AG547^6+WeightSDS!R$14*$AG547^5+WeightSDS!S$14*$AG547^4+WeightSDS!T$14*$AG547^3+WeightSDS!U$14*$AG547^2+WeightSDS!V$14*$AG547+WeightSDS!W$14),IF($AG547&lt;156,WeightSDS!O$17*$AG547^8+WeightSDS!P$17*$AG547^7+WeightSDS!Q$17*$AG547^6+WeightSDS!R$17*$AG547^5+WeightSDS!S$17*$AG547^4+WeightSDS!T$17*$AG547^3+WeightSDS!U$17*$AG547^2+WeightSDS!V$17*$AG547+WeightSDS!W$17,IF($AG547&lt;186,WeightSDS!$U$18+(WeightSDS!$V$18-WeightSDS!$U$18)/24*($AG547-186)+WeightSDS!$W$18*(-$AG547+186)^2-0.005,WeightSDS!$U$18+(WeightSDS!$V$18-WeightSDS!$U$18)/24*($AG547-186)-0.005)))</f>
        <v>0.14604529399999999</v>
      </c>
    </row>
    <row r="548" spans="1:37">
      <c r="A548" s="4"/>
      <c r="B548" s="21"/>
      <c r="C548" s="21"/>
      <c r="D548" s="21"/>
      <c r="E548" s="22"/>
      <c r="F548" s="22"/>
      <c r="G548" s="23"/>
      <c r="H548" s="23"/>
      <c r="I548" s="8" t="str">
        <f t="shared" si="130"/>
        <v/>
      </c>
      <c r="J548" s="2" t="str">
        <f t="shared" si="137"/>
        <v/>
      </c>
      <c r="K548" s="2" t="str">
        <f t="shared" si="131"/>
        <v/>
      </c>
      <c r="L548" s="2" t="str">
        <f t="shared" si="138"/>
        <v/>
      </c>
      <c r="M548" s="2" t="str">
        <f t="shared" si="143"/>
        <v/>
      </c>
      <c r="N548" s="2" t="str">
        <f t="shared" si="139"/>
        <v/>
      </c>
      <c r="O548" s="8" t="str">
        <f t="shared" si="140"/>
        <v/>
      </c>
      <c r="P548" s="8" t="str">
        <f t="shared" si="141"/>
        <v/>
      </c>
      <c r="Q548" s="40" t="str">
        <f t="shared" si="132"/>
        <v/>
      </c>
      <c r="R548" s="48" t="str">
        <f t="shared" si="142"/>
        <v/>
      </c>
      <c r="S548" s="8"/>
      <c r="U548" s="35">
        <f t="shared" si="133"/>
        <v>0</v>
      </c>
      <c r="V548" s="24">
        <f t="shared" si="134"/>
        <v>0</v>
      </c>
      <c r="W548" s="41">
        <f t="shared" si="145"/>
        <v>0</v>
      </c>
      <c r="X548" s="31"/>
      <c r="Y548" s="31"/>
      <c r="Z548" s="31"/>
      <c r="AA548" s="25">
        <f t="shared" si="135"/>
        <v>9.0359999999999996</v>
      </c>
      <c r="AB548" s="25">
        <f t="shared" si="136"/>
        <v>-184.49199999999999</v>
      </c>
      <c r="AD548" s="24">
        <f>IF(D548="M",IF(AG548&lt;78,BMILMS!$D$5*AG548^3+BMILMS!$E$5*AG548^2+BMILMS!$F$5*AG548+BMILMS!$G$5,IF(AG548&lt;150,BMILMS!$D$6*AG548^3+BMILMS!$E$6*AG548^2+BMILMS!$F$6*AG548+BMILMS!$G$6,BMILMS!$D$7*AG548^3+BMILMS!$E$7*AG548^2+BMILMS!$F$7*AG548+BMILMS!$G$7)),IF(AG548&lt;69,BMILMS!$D$9*AG548^3+BMILMS!$E$9*AG548^2+BMILMS!$F$9*AG548+BMILMS!$G$9,IF(AG548&lt;150,BMILMS!$D$10*AG548^3+BMILMS!$E$10*AG548^2+BMILMS!$F$10*AG548+BMILMS!$G$10,BMILMS!$D$11*AG548^3+BMILMS!$E$11*AG548^2+BMILMS!$F$11*AG548+BMILMS!$G$11)))</f>
        <v>0.79584630099999998</v>
      </c>
      <c r="AE548" s="24">
        <f>IF(D548="M",(IF(AG548&lt;2.5,BMILMS!$D$21*AG548^3+BMILMS!$E$21*AG548^2+BMILMS!$F$21*AG548+BMILMS!$G$21,IF(AG548&lt;9.5,BMILMS!$D$22*AG548^3+BMILMS!$E$22*AG548^2+BMILMS!$F$22*AG548+BMILMS!$G$22,IF(AG548&lt;26.75,BMILMS!$D$23*AG548^3+BMILMS!$E$23*AG548^2+BMILMS!$F$23*AG548+BMILMS!$G$23,IF(AG548&lt;90,BMILMS!$D$24*AG548^3+BMILMS!$E$24*AG548^2+BMILMS!$F$24*AG548+BMILMS!$G$24,BMILMS!$D$25*AG548^3+BMILMS!$E$25*AG548^2+BMILMS!$F$25*AG548+BMILMS!$G$25))))),(IF(AG548&lt;2.5,BMILMS!$D$27*AG548^3+BMILMS!$E$27*AG548^2+BMILMS!$F$27*AG548+BMILMS!$G$27,IF(AG548&lt;9.5,BMILMS!$D$28*AG548^3+BMILMS!$E$28*AG548^2+BMILMS!$F$28*AG548+BMILMS!$G$28,IF(AG548&lt;26.75,BMILMS!$D$29*AG548^3+BMILMS!$E$29*AG548^2+BMILMS!$F$29*AG548+BMILMS!$G$29,IF(AG548&lt;90,BMILMS!$D$30*AG548^3+BMILMS!$E$30*AG548^2+BMILMS!$F$30*AG548+BMILMS!$G$30,IF(AG548&lt;150,BMILMS!$D$31*AG548^3+BMILMS!$E$31*AG548^2+BMILMS!$F$31*AG548+BMILMS!$G$31,BMILMS!$D$32*AG548^3+BMILMS!$E$32*AG548^2+BMILMS!$F$32*AG548+BMILMS!$G$32)))))))</f>
        <v>12.568967990000001</v>
      </c>
      <c r="AF548" s="24">
        <f>IF(D548="M",(IF(AG548&lt;90,BMILMS!$D$14*AG548^3+BMILMS!$E$14*AG548^2+BMILMS!$F$14*AG548+BMILMS!$G$14,BMILMS!$D$15*AG548^3+BMILMS!$E$15*AG548^2+BMILMS!$F$15*AG548+BMILMS!$G$15)),(IF(AG548&lt;90,BMILMS!$D$17*AG548^3+BMILMS!$E$17*AG548^2+BMILMS!$F$17*AG548+BMILMS!$G$17,BMILMS!$D$18*AG548^3+BMILMS!$E$18*AG548^2+BMILMS!$F$18*AG548+BMILMS!$G$18)))</f>
        <v>8.8969350000000003E-2</v>
      </c>
      <c r="AG548" s="24">
        <f t="shared" si="144"/>
        <v>0</v>
      </c>
      <c r="AI548" s="38">
        <f>IF(D548="M",WeightSDS!P$5*$AG548^7+WeightSDS!Q$5*$AG548^6+WeightSDS!R$5*$AG548^5+WeightSDS!S$5*$AG548^4+WeightSDS!T$5*$AG548^3+WeightSDS!U$5*$AG548^2+WeightSDS!V$5*$AG548+WeightSDS!W$5,IF($AG548&lt;186,WeightSDS!P$8*$AG548^7+WeightSDS!Q$8*$AG548^6+WeightSDS!R$8*$AG548^5+WeightSDS!S$8*$AG548^4+WeightSDS!T$8*$AG548^3+WeightSDS!U$8*$AG548^2+WeightSDS!V$8*$AG548+WeightSDS!W$8,WeightSDS!$U$9-WeightSDS!$V$9*($AG548-WeightSDS!$W$9)))</f>
        <v>0.75407122999999998</v>
      </c>
      <c r="AJ548" s="24">
        <f>IF(D548="M",IF($AG548&lt;45,WeightSDS!M$23*$AG548^10+WeightSDS!N$23*$AG548^9+WeightSDS!O$23*$AG548^8+WeightSDS!P$23*$AG548^7+WeightSDS!Q$23*$AG548^6+WeightSDS!R$23*$AG548^5+WeightSDS!S$23*$AG548^4+WeightSDS!T$23*$AG548^3+WeightSDS!U$23*$AG548^2+WeightSDS!V$23*$AG548+WeightSDS!W$23,IF($AG548&lt;153,WeightSDS!M$25*$AG548^10+WeightSDS!N$25*$AG548^9+WeightSDS!O$25*$AG548^8+WeightSDS!P$25*$AG548^7+WeightSDS!Q$25*$AG548^6+WeightSDS!R$25*$AG548^5+WeightSDS!S$25*$AG548^4+WeightSDS!T$25*$AG548^3+WeightSDS!U$25*$AG548^2+WeightSDS!V$25*$AG548+WeightSDS!W$25,WeightSDS!M$27+WeightSDS!N$27/(1+EXP(WeightSDS!O$27+WeightSDS!P$27*$AG548)))),IF($AG548&lt;43.8,WeightSDS!M$29*$AG548^10+WeightSDS!N$29*$AG548^9+WeightSDS!O$29*$AG548^8+WeightSDS!P$29*$AG548^7+WeightSDS!Q$29*$AG548^6+WeightSDS!R$29*$AG548^5+WeightSDS!S$29*$AG548^4+WeightSDS!T$29*$AG548^3+WeightSDS!U$29*$AG548^2+WeightSDS!V$29*$AG548+WeightSDS!W$29-0.010431*(1-$AG548/210),IF($AG548&lt;123,WeightSDS!M$30*$AG548^10+WeightSDS!N$30*$AG548^9+WeightSDS!O$30*$AG548^8+WeightSDS!P$30*$AG548^7+WeightSDS!Q$30*$AG548^6+WeightSDS!R$30*$AG548^5+WeightSDS!S$30*$AG548^4+WeightSDS!T$30*$AG548^3+WeightSDS!U$30*$AG548^2+WeightSDS!V$30*$AG548+WeightSDS!W$30-0.010431*(1-1/$AG548),WeightSDS!M$32+WeightSDS!N$32/(1+EXP(WeightSDS!O$32+WeightSDS!P$32*$AG548))-0.010431*(1-$AG548/210))))</f>
        <v>2.9500001032655536</v>
      </c>
      <c r="AK548" s="24">
        <f>IF(D548="M",IF($AG548&lt;162,WeightSDS!P$12*$AG548^7+WeightSDS!Q$12*$AG548^6+WeightSDS!R$12*$AG548^5+WeightSDS!S$12*$AG548^4+WeightSDS!T$12*$AG548^3+WeightSDS!U$12*$AG548^2+WeightSDS!V$12*$AG548+WeightSDS!W$12,WeightSDS!P$14*$AG548^7+WeightSDS!Q$14*$AG548^6+WeightSDS!R$14*$AG548^5+WeightSDS!S$14*$AG548^4+WeightSDS!T$14*$AG548^3+WeightSDS!U$14*$AG548^2+WeightSDS!V$14*$AG548+WeightSDS!W$14),IF($AG548&lt;156,WeightSDS!O$17*$AG548^8+WeightSDS!P$17*$AG548^7+WeightSDS!Q$17*$AG548^6+WeightSDS!R$17*$AG548^5+WeightSDS!S$17*$AG548^4+WeightSDS!T$17*$AG548^3+WeightSDS!U$17*$AG548^2+WeightSDS!V$17*$AG548+WeightSDS!W$17,IF($AG548&lt;186,WeightSDS!$U$18+(WeightSDS!$V$18-WeightSDS!$U$18)/24*($AG548-186)+WeightSDS!$W$18*(-$AG548+186)^2-0.005,WeightSDS!$U$18+(WeightSDS!$V$18-WeightSDS!$U$18)/24*($AG548-186)-0.005)))</f>
        <v>0.14604529399999999</v>
      </c>
    </row>
    <row r="549" spans="1:37">
      <c r="A549" s="4"/>
      <c r="B549" s="21"/>
      <c r="C549" s="21"/>
      <c r="D549" s="21"/>
      <c r="E549" s="22"/>
      <c r="F549" s="22"/>
      <c r="G549" s="23"/>
      <c r="H549" s="23"/>
      <c r="I549" s="8" t="str">
        <f t="shared" si="130"/>
        <v/>
      </c>
      <c r="J549" s="2" t="str">
        <f t="shared" si="137"/>
        <v/>
      </c>
      <c r="K549" s="2" t="str">
        <f t="shared" si="131"/>
        <v/>
      </c>
      <c r="L549" s="2" t="str">
        <f t="shared" si="138"/>
        <v/>
      </c>
      <c r="M549" s="2" t="str">
        <f t="shared" si="143"/>
        <v/>
      </c>
      <c r="N549" s="2" t="str">
        <f t="shared" si="139"/>
        <v/>
      </c>
      <c r="O549" s="8" t="str">
        <f t="shared" si="140"/>
        <v/>
      </c>
      <c r="P549" s="8" t="str">
        <f t="shared" si="141"/>
        <v/>
      </c>
      <c r="Q549" s="40" t="str">
        <f t="shared" si="132"/>
        <v/>
      </c>
      <c r="R549" s="48" t="str">
        <f t="shared" si="142"/>
        <v/>
      </c>
      <c r="S549" s="8"/>
      <c r="U549" s="35">
        <f t="shared" si="133"/>
        <v>0</v>
      </c>
      <c r="V549" s="24">
        <f t="shared" si="134"/>
        <v>0</v>
      </c>
      <c r="W549" s="41">
        <f t="shared" si="145"/>
        <v>0</v>
      </c>
      <c r="X549" s="31"/>
      <c r="Y549" s="31"/>
      <c r="Z549" s="31"/>
      <c r="AA549" s="25">
        <f t="shared" si="135"/>
        <v>9.0359999999999996</v>
      </c>
      <c r="AB549" s="25">
        <f t="shared" si="136"/>
        <v>-184.49199999999999</v>
      </c>
      <c r="AD549" s="24">
        <f>IF(D549="M",IF(AG549&lt;78,BMILMS!$D$5*AG549^3+BMILMS!$E$5*AG549^2+BMILMS!$F$5*AG549+BMILMS!$G$5,IF(AG549&lt;150,BMILMS!$D$6*AG549^3+BMILMS!$E$6*AG549^2+BMILMS!$F$6*AG549+BMILMS!$G$6,BMILMS!$D$7*AG549^3+BMILMS!$E$7*AG549^2+BMILMS!$F$7*AG549+BMILMS!$G$7)),IF(AG549&lt;69,BMILMS!$D$9*AG549^3+BMILMS!$E$9*AG549^2+BMILMS!$F$9*AG549+BMILMS!$G$9,IF(AG549&lt;150,BMILMS!$D$10*AG549^3+BMILMS!$E$10*AG549^2+BMILMS!$F$10*AG549+BMILMS!$G$10,BMILMS!$D$11*AG549^3+BMILMS!$E$11*AG549^2+BMILMS!$F$11*AG549+BMILMS!$G$11)))</f>
        <v>0.79584630099999998</v>
      </c>
      <c r="AE549" s="24">
        <f>IF(D549="M",(IF(AG549&lt;2.5,BMILMS!$D$21*AG549^3+BMILMS!$E$21*AG549^2+BMILMS!$F$21*AG549+BMILMS!$G$21,IF(AG549&lt;9.5,BMILMS!$D$22*AG549^3+BMILMS!$E$22*AG549^2+BMILMS!$F$22*AG549+BMILMS!$G$22,IF(AG549&lt;26.75,BMILMS!$D$23*AG549^3+BMILMS!$E$23*AG549^2+BMILMS!$F$23*AG549+BMILMS!$G$23,IF(AG549&lt;90,BMILMS!$D$24*AG549^3+BMILMS!$E$24*AG549^2+BMILMS!$F$24*AG549+BMILMS!$G$24,BMILMS!$D$25*AG549^3+BMILMS!$E$25*AG549^2+BMILMS!$F$25*AG549+BMILMS!$G$25))))),(IF(AG549&lt;2.5,BMILMS!$D$27*AG549^3+BMILMS!$E$27*AG549^2+BMILMS!$F$27*AG549+BMILMS!$G$27,IF(AG549&lt;9.5,BMILMS!$D$28*AG549^3+BMILMS!$E$28*AG549^2+BMILMS!$F$28*AG549+BMILMS!$G$28,IF(AG549&lt;26.75,BMILMS!$D$29*AG549^3+BMILMS!$E$29*AG549^2+BMILMS!$F$29*AG549+BMILMS!$G$29,IF(AG549&lt;90,BMILMS!$D$30*AG549^3+BMILMS!$E$30*AG549^2+BMILMS!$F$30*AG549+BMILMS!$G$30,IF(AG549&lt;150,BMILMS!$D$31*AG549^3+BMILMS!$E$31*AG549^2+BMILMS!$F$31*AG549+BMILMS!$G$31,BMILMS!$D$32*AG549^3+BMILMS!$E$32*AG549^2+BMILMS!$F$32*AG549+BMILMS!$G$32)))))))</f>
        <v>12.568967990000001</v>
      </c>
      <c r="AF549" s="24">
        <f>IF(D549="M",(IF(AG549&lt;90,BMILMS!$D$14*AG549^3+BMILMS!$E$14*AG549^2+BMILMS!$F$14*AG549+BMILMS!$G$14,BMILMS!$D$15*AG549^3+BMILMS!$E$15*AG549^2+BMILMS!$F$15*AG549+BMILMS!$G$15)),(IF(AG549&lt;90,BMILMS!$D$17*AG549^3+BMILMS!$E$17*AG549^2+BMILMS!$F$17*AG549+BMILMS!$G$17,BMILMS!$D$18*AG549^3+BMILMS!$E$18*AG549^2+BMILMS!$F$18*AG549+BMILMS!$G$18)))</f>
        <v>8.8969350000000003E-2</v>
      </c>
      <c r="AG549" s="24">
        <f t="shared" si="144"/>
        <v>0</v>
      </c>
      <c r="AI549" s="38">
        <f>IF(D549="M",WeightSDS!P$5*$AG549^7+WeightSDS!Q$5*$AG549^6+WeightSDS!R$5*$AG549^5+WeightSDS!S$5*$AG549^4+WeightSDS!T$5*$AG549^3+WeightSDS!U$5*$AG549^2+WeightSDS!V$5*$AG549+WeightSDS!W$5,IF($AG549&lt;186,WeightSDS!P$8*$AG549^7+WeightSDS!Q$8*$AG549^6+WeightSDS!R$8*$AG549^5+WeightSDS!S$8*$AG549^4+WeightSDS!T$8*$AG549^3+WeightSDS!U$8*$AG549^2+WeightSDS!V$8*$AG549+WeightSDS!W$8,WeightSDS!$U$9-WeightSDS!$V$9*($AG549-WeightSDS!$W$9)))</f>
        <v>0.75407122999999998</v>
      </c>
      <c r="AJ549" s="24">
        <f>IF(D549="M",IF($AG549&lt;45,WeightSDS!M$23*$AG549^10+WeightSDS!N$23*$AG549^9+WeightSDS!O$23*$AG549^8+WeightSDS!P$23*$AG549^7+WeightSDS!Q$23*$AG549^6+WeightSDS!R$23*$AG549^5+WeightSDS!S$23*$AG549^4+WeightSDS!T$23*$AG549^3+WeightSDS!U$23*$AG549^2+WeightSDS!V$23*$AG549+WeightSDS!W$23,IF($AG549&lt;153,WeightSDS!M$25*$AG549^10+WeightSDS!N$25*$AG549^9+WeightSDS!O$25*$AG549^8+WeightSDS!P$25*$AG549^7+WeightSDS!Q$25*$AG549^6+WeightSDS!R$25*$AG549^5+WeightSDS!S$25*$AG549^4+WeightSDS!T$25*$AG549^3+WeightSDS!U$25*$AG549^2+WeightSDS!V$25*$AG549+WeightSDS!W$25,WeightSDS!M$27+WeightSDS!N$27/(1+EXP(WeightSDS!O$27+WeightSDS!P$27*$AG549)))),IF($AG549&lt;43.8,WeightSDS!M$29*$AG549^10+WeightSDS!N$29*$AG549^9+WeightSDS!O$29*$AG549^8+WeightSDS!P$29*$AG549^7+WeightSDS!Q$29*$AG549^6+WeightSDS!R$29*$AG549^5+WeightSDS!S$29*$AG549^4+WeightSDS!T$29*$AG549^3+WeightSDS!U$29*$AG549^2+WeightSDS!V$29*$AG549+WeightSDS!W$29-0.010431*(1-$AG549/210),IF($AG549&lt;123,WeightSDS!M$30*$AG549^10+WeightSDS!N$30*$AG549^9+WeightSDS!O$30*$AG549^8+WeightSDS!P$30*$AG549^7+WeightSDS!Q$30*$AG549^6+WeightSDS!R$30*$AG549^5+WeightSDS!S$30*$AG549^4+WeightSDS!T$30*$AG549^3+WeightSDS!U$30*$AG549^2+WeightSDS!V$30*$AG549+WeightSDS!W$30-0.010431*(1-1/$AG549),WeightSDS!M$32+WeightSDS!N$32/(1+EXP(WeightSDS!O$32+WeightSDS!P$32*$AG549))-0.010431*(1-$AG549/210))))</f>
        <v>2.9500001032655536</v>
      </c>
      <c r="AK549" s="24">
        <f>IF(D549="M",IF($AG549&lt;162,WeightSDS!P$12*$AG549^7+WeightSDS!Q$12*$AG549^6+WeightSDS!R$12*$AG549^5+WeightSDS!S$12*$AG549^4+WeightSDS!T$12*$AG549^3+WeightSDS!U$12*$AG549^2+WeightSDS!V$12*$AG549+WeightSDS!W$12,WeightSDS!P$14*$AG549^7+WeightSDS!Q$14*$AG549^6+WeightSDS!R$14*$AG549^5+WeightSDS!S$14*$AG549^4+WeightSDS!T$14*$AG549^3+WeightSDS!U$14*$AG549^2+WeightSDS!V$14*$AG549+WeightSDS!W$14),IF($AG549&lt;156,WeightSDS!O$17*$AG549^8+WeightSDS!P$17*$AG549^7+WeightSDS!Q$17*$AG549^6+WeightSDS!R$17*$AG549^5+WeightSDS!S$17*$AG549^4+WeightSDS!T$17*$AG549^3+WeightSDS!U$17*$AG549^2+WeightSDS!V$17*$AG549+WeightSDS!W$17,IF($AG549&lt;186,WeightSDS!$U$18+(WeightSDS!$V$18-WeightSDS!$U$18)/24*($AG549-186)+WeightSDS!$W$18*(-$AG549+186)^2-0.005,WeightSDS!$U$18+(WeightSDS!$V$18-WeightSDS!$U$18)/24*($AG549-186)-0.005)))</f>
        <v>0.14604529399999999</v>
      </c>
    </row>
    <row r="550" spans="1:37">
      <c r="A550" s="4"/>
      <c r="B550" s="21"/>
      <c r="C550" s="21"/>
      <c r="D550" s="21"/>
      <c r="E550" s="22"/>
      <c r="F550" s="22"/>
      <c r="G550" s="23"/>
      <c r="H550" s="23"/>
      <c r="I550" s="8" t="str">
        <f t="shared" si="130"/>
        <v/>
      </c>
      <c r="J550" s="2" t="str">
        <f t="shared" si="137"/>
        <v/>
      </c>
      <c r="K550" s="2" t="str">
        <f t="shared" si="131"/>
        <v/>
      </c>
      <c r="L550" s="2" t="str">
        <f t="shared" si="138"/>
        <v/>
      </c>
      <c r="M550" s="2" t="str">
        <f t="shared" si="143"/>
        <v/>
      </c>
      <c r="N550" s="2" t="str">
        <f t="shared" si="139"/>
        <v/>
      </c>
      <c r="O550" s="8" t="str">
        <f t="shared" si="140"/>
        <v/>
      </c>
      <c r="P550" s="8" t="str">
        <f t="shared" si="141"/>
        <v/>
      </c>
      <c r="Q550" s="40" t="str">
        <f t="shared" si="132"/>
        <v/>
      </c>
      <c r="R550" s="48" t="str">
        <f t="shared" si="142"/>
        <v/>
      </c>
      <c r="S550" s="8"/>
      <c r="U550" s="35">
        <f t="shared" si="133"/>
        <v>0</v>
      </c>
      <c r="V550" s="24">
        <f t="shared" si="134"/>
        <v>0</v>
      </c>
      <c r="W550" s="41">
        <f t="shared" si="145"/>
        <v>0</v>
      </c>
      <c r="X550" s="31"/>
      <c r="Y550" s="31"/>
      <c r="Z550" s="31"/>
      <c r="AA550" s="25">
        <f t="shared" si="135"/>
        <v>9.0359999999999996</v>
      </c>
      <c r="AB550" s="25">
        <f t="shared" si="136"/>
        <v>-184.49199999999999</v>
      </c>
      <c r="AD550" s="24">
        <f>IF(D550="M",IF(AG550&lt;78,BMILMS!$D$5*AG550^3+BMILMS!$E$5*AG550^2+BMILMS!$F$5*AG550+BMILMS!$G$5,IF(AG550&lt;150,BMILMS!$D$6*AG550^3+BMILMS!$E$6*AG550^2+BMILMS!$F$6*AG550+BMILMS!$G$6,BMILMS!$D$7*AG550^3+BMILMS!$E$7*AG550^2+BMILMS!$F$7*AG550+BMILMS!$G$7)),IF(AG550&lt;69,BMILMS!$D$9*AG550^3+BMILMS!$E$9*AG550^2+BMILMS!$F$9*AG550+BMILMS!$G$9,IF(AG550&lt;150,BMILMS!$D$10*AG550^3+BMILMS!$E$10*AG550^2+BMILMS!$F$10*AG550+BMILMS!$G$10,BMILMS!$D$11*AG550^3+BMILMS!$E$11*AG550^2+BMILMS!$F$11*AG550+BMILMS!$G$11)))</f>
        <v>0.79584630099999998</v>
      </c>
      <c r="AE550" s="24">
        <f>IF(D550="M",(IF(AG550&lt;2.5,BMILMS!$D$21*AG550^3+BMILMS!$E$21*AG550^2+BMILMS!$F$21*AG550+BMILMS!$G$21,IF(AG550&lt;9.5,BMILMS!$D$22*AG550^3+BMILMS!$E$22*AG550^2+BMILMS!$F$22*AG550+BMILMS!$G$22,IF(AG550&lt;26.75,BMILMS!$D$23*AG550^3+BMILMS!$E$23*AG550^2+BMILMS!$F$23*AG550+BMILMS!$G$23,IF(AG550&lt;90,BMILMS!$D$24*AG550^3+BMILMS!$E$24*AG550^2+BMILMS!$F$24*AG550+BMILMS!$G$24,BMILMS!$D$25*AG550^3+BMILMS!$E$25*AG550^2+BMILMS!$F$25*AG550+BMILMS!$G$25))))),(IF(AG550&lt;2.5,BMILMS!$D$27*AG550^3+BMILMS!$E$27*AG550^2+BMILMS!$F$27*AG550+BMILMS!$G$27,IF(AG550&lt;9.5,BMILMS!$D$28*AG550^3+BMILMS!$E$28*AG550^2+BMILMS!$F$28*AG550+BMILMS!$G$28,IF(AG550&lt;26.75,BMILMS!$D$29*AG550^3+BMILMS!$E$29*AG550^2+BMILMS!$F$29*AG550+BMILMS!$G$29,IF(AG550&lt;90,BMILMS!$D$30*AG550^3+BMILMS!$E$30*AG550^2+BMILMS!$F$30*AG550+BMILMS!$G$30,IF(AG550&lt;150,BMILMS!$D$31*AG550^3+BMILMS!$E$31*AG550^2+BMILMS!$F$31*AG550+BMILMS!$G$31,BMILMS!$D$32*AG550^3+BMILMS!$E$32*AG550^2+BMILMS!$F$32*AG550+BMILMS!$G$32)))))))</f>
        <v>12.568967990000001</v>
      </c>
      <c r="AF550" s="24">
        <f>IF(D550="M",(IF(AG550&lt;90,BMILMS!$D$14*AG550^3+BMILMS!$E$14*AG550^2+BMILMS!$F$14*AG550+BMILMS!$G$14,BMILMS!$D$15*AG550^3+BMILMS!$E$15*AG550^2+BMILMS!$F$15*AG550+BMILMS!$G$15)),(IF(AG550&lt;90,BMILMS!$D$17*AG550^3+BMILMS!$E$17*AG550^2+BMILMS!$F$17*AG550+BMILMS!$G$17,BMILMS!$D$18*AG550^3+BMILMS!$E$18*AG550^2+BMILMS!$F$18*AG550+BMILMS!$G$18)))</f>
        <v>8.8969350000000003E-2</v>
      </c>
      <c r="AG550" s="24">
        <f t="shared" si="144"/>
        <v>0</v>
      </c>
      <c r="AI550" s="38">
        <f>IF(D550="M",WeightSDS!P$5*$AG550^7+WeightSDS!Q$5*$AG550^6+WeightSDS!R$5*$AG550^5+WeightSDS!S$5*$AG550^4+WeightSDS!T$5*$AG550^3+WeightSDS!U$5*$AG550^2+WeightSDS!V$5*$AG550+WeightSDS!W$5,IF($AG550&lt;186,WeightSDS!P$8*$AG550^7+WeightSDS!Q$8*$AG550^6+WeightSDS!R$8*$AG550^5+WeightSDS!S$8*$AG550^4+WeightSDS!T$8*$AG550^3+WeightSDS!U$8*$AG550^2+WeightSDS!V$8*$AG550+WeightSDS!W$8,WeightSDS!$U$9-WeightSDS!$V$9*($AG550-WeightSDS!$W$9)))</f>
        <v>0.75407122999999998</v>
      </c>
      <c r="AJ550" s="24">
        <f>IF(D550="M",IF($AG550&lt;45,WeightSDS!M$23*$AG550^10+WeightSDS!N$23*$AG550^9+WeightSDS!O$23*$AG550^8+WeightSDS!P$23*$AG550^7+WeightSDS!Q$23*$AG550^6+WeightSDS!R$23*$AG550^5+WeightSDS!S$23*$AG550^4+WeightSDS!T$23*$AG550^3+WeightSDS!U$23*$AG550^2+WeightSDS!V$23*$AG550+WeightSDS!W$23,IF($AG550&lt;153,WeightSDS!M$25*$AG550^10+WeightSDS!N$25*$AG550^9+WeightSDS!O$25*$AG550^8+WeightSDS!P$25*$AG550^7+WeightSDS!Q$25*$AG550^6+WeightSDS!R$25*$AG550^5+WeightSDS!S$25*$AG550^4+WeightSDS!T$25*$AG550^3+WeightSDS!U$25*$AG550^2+WeightSDS!V$25*$AG550+WeightSDS!W$25,WeightSDS!M$27+WeightSDS!N$27/(1+EXP(WeightSDS!O$27+WeightSDS!P$27*$AG550)))),IF($AG550&lt;43.8,WeightSDS!M$29*$AG550^10+WeightSDS!N$29*$AG550^9+WeightSDS!O$29*$AG550^8+WeightSDS!P$29*$AG550^7+WeightSDS!Q$29*$AG550^6+WeightSDS!R$29*$AG550^5+WeightSDS!S$29*$AG550^4+WeightSDS!T$29*$AG550^3+WeightSDS!U$29*$AG550^2+WeightSDS!V$29*$AG550+WeightSDS!W$29-0.010431*(1-$AG550/210),IF($AG550&lt;123,WeightSDS!M$30*$AG550^10+WeightSDS!N$30*$AG550^9+WeightSDS!O$30*$AG550^8+WeightSDS!P$30*$AG550^7+WeightSDS!Q$30*$AG550^6+WeightSDS!R$30*$AG550^5+WeightSDS!S$30*$AG550^4+WeightSDS!T$30*$AG550^3+WeightSDS!U$30*$AG550^2+WeightSDS!V$30*$AG550+WeightSDS!W$30-0.010431*(1-1/$AG550),WeightSDS!M$32+WeightSDS!N$32/(1+EXP(WeightSDS!O$32+WeightSDS!P$32*$AG550))-0.010431*(1-$AG550/210))))</f>
        <v>2.9500001032655536</v>
      </c>
      <c r="AK550" s="24">
        <f>IF(D550="M",IF($AG550&lt;162,WeightSDS!P$12*$AG550^7+WeightSDS!Q$12*$AG550^6+WeightSDS!R$12*$AG550^5+WeightSDS!S$12*$AG550^4+WeightSDS!T$12*$AG550^3+WeightSDS!U$12*$AG550^2+WeightSDS!V$12*$AG550+WeightSDS!W$12,WeightSDS!P$14*$AG550^7+WeightSDS!Q$14*$AG550^6+WeightSDS!R$14*$AG550^5+WeightSDS!S$14*$AG550^4+WeightSDS!T$14*$AG550^3+WeightSDS!U$14*$AG550^2+WeightSDS!V$14*$AG550+WeightSDS!W$14),IF($AG550&lt;156,WeightSDS!O$17*$AG550^8+WeightSDS!P$17*$AG550^7+WeightSDS!Q$17*$AG550^6+WeightSDS!R$17*$AG550^5+WeightSDS!S$17*$AG550^4+WeightSDS!T$17*$AG550^3+WeightSDS!U$17*$AG550^2+WeightSDS!V$17*$AG550+WeightSDS!W$17,IF($AG550&lt;186,WeightSDS!$U$18+(WeightSDS!$V$18-WeightSDS!$U$18)/24*($AG550-186)+WeightSDS!$W$18*(-$AG550+186)^2-0.005,WeightSDS!$U$18+(WeightSDS!$V$18-WeightSDS!$U$18)/24*($AG550-186)-0.005)))</f>
        <v>0.14604529399999999</v>
      </c>
    </row>
    <row r="551" spans="1:37">
      <c r="A551" s="4"/>
      <c r="B551" s="21"/>
      <c r="C551" s="21"/>
      <c r="D551" s="21"/>
      <c r="E551" s="22"/>
      <c r="F551" s="22"/>
      <c r="G551" s="23"/>
      <c r="H551" s="23"/>
      <c r="I551" s="8" t="str">
        <f t="shared" si="130"/>
        <v/>
      </c>
      <c r="J551" s="2" t="str">
        <f t="shared" si="137"/>
        <v/>
      </c>
      <c r="K551" s="2" t="str">
        <f t="shared" si="131"/>
        <v/>
      </c>
      <c r="L551" s="2" t="str">
        <f t="shared" si="138"/>
        <v/>
      </c>
      <c r="M551" s="2" t="str">
        <f t="shared" si="143"/>
        <v/>
      </c>
      <c r="N551" s="2" t="str">
        <f t="shared" si="139"/>
        <v/>
      </c>
      <c r="O551" s="8" t="str">
        <f t="shared" si="140"/>
        <v/>
      </c>
      <c r="P551" s="8" t="str">
        <f t="shared" si="141"/>
        <v/>
      </c>
      <c r="Q551" s="40" t="str">
        <f t="shared" si="132"/>
        <v/>
      </c>
      <c r="R551" s="48" t="str">
        <f t="shared" si="142"/>
        <v/>
      </c>
      <c r="S551" s="8"/>
      <c r="U551" s="35">
        <f t="shared" si="133"/>
        <v>0</v>
      </c>
      <c r="V551" s="24">
        <f t="shared" si="134"/>
        <v>0</v>
      </c>
      <c r="W551" s="41">
        <f t="shared" si="145"/>
        <v>0</v>
      </c>
      <c r="X551" s="31"/>
      <c r="Y551" s="31"/>
      <c r="Z551" s="31"/>
      <c r="AA551" s="25">
        <f t="shared" si="135"/>
        <v>9.0359999999999996</v>
      </c>
      <c r="AB551" s="25">
        <f t="shared" si="136"/>
        <v>-184.49199999999999</v>
      </c>
      <c r="AD551" s="24">
        <f>IF(D551="M",IF(AG551&lt;78,BMILMS!$D$5*AG551^3+BMILMS!$E$5*AG551^2+BMILMS!$F$5*AG551+BMILMS!$G$5,IF(AG551&lt;150,BMILMS!$D$6*AG551^3+BMILMS!$E$6*AG551^2+BMILMS!$F$6*AG551+BMILMS!$G$6,BMILMS!$D$7*AG551^3+BMILMS!$E$7*AG551^2+BMILMS!$F$7*AG551+BMILMS!$G$7)),IF(AG551&lt;69,BMILMS!$D$9*AG551^3+BMILMS!$E$9*AG551^2+BMILMS!$F$9*AG551+BMILMS!$G$9,IF(AG551&lt;150,BMILMS!$D$10*AG551^3+BMILMS!$E$10*AG551^2+BMILMS!$F$10*AG551+BMILMS!$G$10,BMILMS!$D$11*AG551^3+BMILMS!$E$11*AG551^2+BMILMS!$F$11*AG551+BMILMS!$G$11)))</f>
        <v>0.79584630099999998</v>
      </c>
      <c r="AE551" s="24">
        <f>IF(D551="M",(IF(AG551&lt;2.5,BMILMS!$D$21*AG551^3+BMILMS!$E$21*AG551^2+BMILMS!$F$21*AG551+BMILMS!$G$21,IF(AG551&lt;9.5,BMILMS!$D$22*AG551^3+BMILMS!$E$22*AG551^2+BMILMS!$F$22*AG551+BMILMS!$G$22,IF(AG551&lt;26.75,BMILMS!$D$23*AG551^3+BMILMS!$E$23*AG551^2+BMILMS!$F$23*AG551+BMILMS!$G$23,IF(AG551&lt;90,BMILMS!$D$24*AG551^3+BMILMS!$E$24*AG551^2+BMILMS!$F$24*AG551+BMILMS!$G$24,BMILMS!$D$25*AG551^3+BMILMS!$E$25*AG551^2+BMILMS!$F$25*AG551+BMILMS!$G$25))))),(IF(AG551&lt;2.5,BMILMS!$D$27*AG551^3+BMILMS!$E$27*AG551^2+BMILMS!$F$27*AG551+BMILMS!$G$27,IF(AG551&lt;9.5,BMILMS!$D$28*AG551^3+BMILMS!$E$28*AG551^2+BMILMS!$F$28*AG551+BMILMS!$G$28,IF(AG551&lt;26.75,BMILMS!$D$29*AG551^3+BMILMS!$E$29*AG551^2+BMILMS!$F$29*AG551+BMILMS!$G$29,IF(AG551&lt;90,BMILMS!$D$30*AG551^3+BMILMS!$E$30*AG551^2+BMILMS!$F$30*AG551+BMILMS!$G$30,IF(AG551&lt;150,BMILMS!$D$31*AG551^3+BMILMS!$E$31*AG551^2+BMILMS!$F$31*AG551+BMILMS!$G$31,BMILMS!$D$32*AG551^3+BMILMS!$E$32*AG551^2+BMILMS!$F$32*AG551+BMILMS!$G$32)))))))</f>
        <v>12.568967990000001</v>
      </c>
      <c r="AF551" s="24">
        <f>IF(D551="M",(IF(AG551&lt;90,BMILMS!$D$14*AG551^3+BMILMS!$E$14*AG551^2+BMILMS!$F$14*AG551+BMILMS!$G$14,BMILMS!$D$15*AG551^3+BMILMS!$E$15*AG551^2+BMILMS!$F$15*AG551+BMILMS!$G$15)),(IF(AG551&lt;90,BMILMS!$D$17*AG551^3+BMILMS!$E$17*AG551^2+BMILMS!$F$17*AG551+BMILMS!$G$17,BMILMS!$D$18*AG551^3+BMILMS!$E$18*AG551^2+BMILMS!$F$18*AG551+BMILMS!$G$18)))</f>
        <v>8.8969350000000003E-2</v>
      </c>
      <c r="AG551" s="24">
        <f t="shared" si="144"/>
        <v>0</v>
      </c>
      <c r="AI551" s="38">
        <f>IF(D551="M",WeightSDS!P$5*$AG551^7+WeightSDS!Q$5*$AG551^6+WeightSDS!R$5*$AG551^5+WeightSDS!S$5*$AG551^4+WeightSDS!T$5*$AG551^3+WeightSDS!U$5*$AG551^2+WeightSDS!V$5*$AG551+WeightSDS!W$5,IF($AG551&lt;186,WeightSDS!P$8*$AG551^7+WeightSDS!Q$8*$AG551^6+WeightSDS!R$8*$AG551^5+WeightSDS!S$8*$AG551^4+WeightSDS!T$8*$AG551^3+WeightSDS!U$8*$AG551^2+WeightSDS!V$8*$AG551+WeightSDS!W$8,WeightSDS!$U$9-WeightSDS!$V$9*($AG551-WeightSDS!$W$9)))</f>
        <v>0.75407122999999998</v>
      </c>
      <c r="AJ551" s="24">
        <f>IF(D551="M",IF($AG551&lt;45,WeightSDS!M$23*$AG551^10+WeightSDS!N$23*$AG551^9+WeightSDS!O$23*$AG551^8+WeightSDS!P$23*$AG551^7+WeightSDS!Q$23*$AG551^6+WeightSDS!R$23*$AG551^5+WeightSDS!S$23*$AG551^4+WeightSDS!T$23*$AG551^3+WeightSDS!U$23*$AG551^2+WeightSDS!V$23*$AG551+WeightSDS!W$23,IF($AG551&lt;153,WeightSDS!M$25*$AG551^10+WeightSDS!N$25*$AG551^9+WeightSDS!O$25*$AG551^8+WeightSDS!P$25*$AG551^7+WeightSDS!Q$25*$AG551^6+WeightSDS!R$25*$AG551^5+WeightSDS!S$25*$AG551^4+WeightSDS!T$25*$AG551^3+WeightSDS!U$25*$AG551^2+WeightSDS!V$25*$AG551+WeightSDS!W$25,WeightSDS!M$27+WeightSDS!N$27/(1+EXP(WeightSDS!O$27+WeightSDS!P$27*$AG551)))),IF($AG551&lt;43.8,WeightSDS!M$29*$AG551^10+WeightSDS!N$29*$AG551^9+WeightSDS!O$29*$AG551^8+WeightSDS!P$29*$AG551^7+WeightSDS!Q$29*$AG551^6+WeightSDS!R$29*$AG551^5+WeightSDS!S$29*$AG551^4+WeightSDS!T$29*$AG551^3+WeightSDS!U$29*$AG551^2+WeightSDS!V$29*$AG551+WeightSDS!W$29-0.010431*(1-$AG551/210),IF($AG551&lt;123,WeightSDS!M$30*$AG551^10+WeightSDS!N$30*$AG551^9+WeightSDS!O$30*$AG551^8+WeightSDS!P$30*$AG551^7+WeightSDS!Q$30*$AG551^6+WeightSDS!R$30*$AG551^5+WeightSDS!S$30*$AG551^4+WeightSDS!T$30*$AG551^3+WeightSDS!U$30*$AG551^2+WeightSDS!V$30*$AG551+WeightSDS!W$30-0.010431*(1-1/$AG551),WeightSDS!M$32+WeightSDS!N$32/(1+EXP(WeightSDS!O$32+WeightSDS!P$32*$AG551))-0.010431*(1-$AG551/210))))</f>
        <v>2.9500001032655536</v>
      </c>
      <c r="AK551" s="24">
        <f>IF(D551="M",IF($AG551&lt;162,WeightSDS!P$12*$AG551^7+WeightSDS!Q$12*$AG551^6+WeightSDS!R$12*$AG551^5+WeightSDS!S$12*$AG551^4+WeightSDS!T$12*$AG551^3+WeightSDS!U$12*$AG551^2+WeightSDS!V$12*$AG551+WeightSDS!W$12,WeightSDS!P$14*$AG551^7+WeightSDS!Q$14*$AG551^6+WeightSDS!R$14*$AG551^5+WeightSDS!S$14*$AG551^4+WeightSDS!T$14*$AG551^3+WeightSDS!U$14*$AG551^2+WeightSDS!V$14*$AG551+WeightSDS!W$14),IF($AG551&lt;156,WeightSDS!O$17*$AG551^8+WeightSDS!P$17*$AG551^7+WeightSDS!Q$17*$AG551^6+WeightSDS!R$17*$AG551^5+WeightSDS!S$17*$AG551^4+WeightSDS!T$17*$AG551^3+WeightSDS!U$17*$AG551^2+WeightSDS!V$17*$AG551+WeightSDS!W$17,IF($AG551&lt;186,WeightSDS!$U$18+(WeightSDS!$V$18-WeightSDS!$U$18)/24*($AG551-186)+WeightSDS!$W$18*(-$AG551+186)^2-0.005,WeightSDS!$U$18+(WeightSDS!$V$18-WeightSDS!$U$18)/24*($AG551-186)-0.005)))</f>
        <v>0.14604529399999999</v>
      </c>
    </row>
    <row r="552" spans="1:37">
      <c r="A552" s="4"/>
      <c r="B552" s="21"/>
      <c r="C552" s="21"/>
      <c r="D552" s="21"/>
      <c r="E552" s="22"/>
      <c r="F552" s="22"/>
      <c r="G552" s="23"/>
      <c r="H552" s="23"/>
      <c r="I552" s="8" t="str">
        <f t="shared" si="130"/>
        <v/>
      </c>
      <c r="J552" s="2" t="str">
        <f t="shared" si="137"/>
        <v/>
      </c>
      <c r="K552" s="2" t="str">
        <f t="shared" si="131"/>
        <v/>
      </c>
      <c r="L552" s="2" t="str">
        <f t="shared" si="138"/>
        <v/>
      </c>
      <c r="M552" s="2" t="str">
        <f t="shared" si="143"/>
        <v/>
      </c>
      <c r="N552" s="2" t="str">
        <f t="shared" si="139"/>
        <v/>
      </c>
      <c r="O552" s="8" t="str">
        <f t="shared" si="140"/>
        <v/>
      </c>
      <c r="P552" s="8" t="str">
        <f t="shared" si="141"/>
        <v/>
      </c>
      <c r="Q552" s="40" t="str">
        <f t="shared" si="132"/>
        <v/>
      </c>
      <c r="R552" s="48" t="str">
        <f t="shared" si="142"/>
        <v/>
      </c>
      <c r="S552" s="8"/>
      <c r="U552" s="35">
        <f t="shared" si="133"/>
        <v>0</v>
      </c>
      <c r="V552" s="24">
        <f t="shared" si="134"/>
        <v>0</v>
      </c>
      <c r="W552" s="41">
        <f t="shared" si="145"/>
        <v>0</v>
      </c>
      <c r="X552" s="31"/>
      <c r="Y552" s="31"/>
      <c r="Z552" s="31"/>
      <c r="AA552" s="25">
        <f t="shared" si="135"/>
        <v>9.0359999999999996</v>
      </c>
      <c r="AB552" s="25">
        <f t="shared" si="136"/>
        <v>-184.49199999999999</v>
      </c>
      <c r="AD552" s="24">
        <f>IF(D552="M",IF(AG552&lt;78,BMILMS!$D$5*AG552^3+BMILMS!$E$5*AG552^2+BMILMS!$F$5*AG552+BMILMS!$G$5,IF(AG552&lt;150,BMILMS!$D$6*AG552^3+BMILMS!$E$6*AG552^2+BMILMS!$F$6*AG552+BMILMS!$G$6,BMILMS!$D$7*AG552^3+BMILMS!$E$7*AG552^2+BMILMS!$F$7*AG552+BMILMS!$G$7)),IF(AG552&lt;69,BMILMS!$D$9*AG552^3+BMILMS!$E$9*AG552^2+BMILMS!$F$9*AG552+BMILMS!$G$9,IF(AG552&lt;150,BMILMS!$D$10*AG552^3+BMILMS!$E$10*AG552^2+BMILMS!$F$10*AG552+BMILMS!$G$10,BMILMS!$D$11*AG552^3+BMILMS!$E$11*AG552^2+BMILMS!$F$11*AG552+BMILMS!$G$11)))</f>
        <v>0.79584630099999998</v>
      </c>
      <c r="AE552" s="24">
        <f>IF(D552="M",(IF(AG552&lt;2.5,BMILMS!$D$21*AG552^3+BMILMS!$E$21*AG552^2+BMILMS!$F$21*AG552+BMILMS!$G$21,IF(AG552&lt;9.5,BMILMS!$D$22*AG552^3+BMILMS!$E$22*AG552^2+BMILMS!$F$22*AG552+BMILMS!$G$22,IF(AG552&lt;26.75,BMILMS!$D$23*AG552^3+BMILMS!$E$23*AG552^2+BMILMS!$F$23*AG552+BMILMS!$G$23,IF(AG552&lt;90,BMILMS!$D$24*AG552^3+BMILMS!$E$24*AG552^2+BMILMS!$F$24*AG552+BMILMS!$G$24,BMILMS!$D$25*AG552^3+BMILMS!$E$25*AG552^2+BMILMS!$F$25*AG552+BMILMS!$G$25))))),(IF(AG552&lt;2.5,BMILMS!$D$27*AG552^3+BMILMS!$E$27*AG552^2+BMILMS!$F$27*AG552+BMILMS!$G$27,IF(AG552&lt;9.5,BMILMS!$D$28*AG552^3+BMILMS!$E$28*AG552^2+BMILMS!$F$28*AG552+BMILMS!$G$28,IF(AG552&lt;26.75,BMILMS!$D$29*AG552^3+BMILMS!$E$29*AG552^2+BMILMS!$F$29*AG552+BMILMS!$G$29,IF(AG552&lt;90,BMILMS!$D$30*AG552^3+BMILMS!$E$30*AG552^2+BMILMS!$F$30*AG552+BMILMS!$G$30,IF(AG552&lt;150,BMILMS!$D$31*AG552^3+BMILMS!$E$31*AG552^2+BMILMS!$F$31*AG552+BMILMS!$G$31,BMILMS!$D$32*AG552^3+BMILMS!$E$32*AG552^2+BMILMS!$F$32*AG552+BMILMS!$G$32)))))))</f>
        <v>12.568967990000001</v>
      </c>
      <c r="AF552" s="24">
        <f>IF(D552="M",(IF(AG552&lt;90,BMILMS!$D$14*AG552^3+BMILMS!$E$14*AG552^2+BMILMS!$F$14*AG552+BMILMS!$G$14,BMILMS!$D$15*AG552^3+BMILMS!$E$15*AG552^2+BMILMS!$F$15*AG552+BMILMS!$G$15)),(IF(AG552&lt;90,BMILMS!$D$17*AG552^3+BMILMS!$E$17*AG552^2+BMILMS!$F$17*AG552+BMILMS!$G$17,BMILMS!$D$18*AG552^3+BMILMS!$E$18*AG552^2+BMILMS!$F$18*AG552+BMILMS!$G$18)))</f>
        <v>8.8969350000000003E-2</v>
      </c>
      <c r="AG552" s="24">
        <f t="shared" si="144"/>
        <v>0</v>
      </c>
      <c r="AI552" s="38">
        <f>IF(D552="M",WeightSDS!P$5*$AG552^7+WeightSDS!Q$5*$AG552^6+WeightSDS!R$5*$AG552^5+WeightSDS!S$5*$AG552^4+WeightSDS!T$5*$AG552^3+WeightSDS!U$5*$AG552^2+WeightSDS!V$5*$AG552+WeightSDS!W$5,IF($AG552&lt;186,WeightSDS!P$8*$AG552^7+WeightSDS!Q$8*$AG552^6+WeightSDS!R$8*$AG552^5+WeightSDS!S$8*$AG552^4+WeightSDS!T$8*$AG552^3+WeightSDS!U$8*$AG552^2+WeightSDS!V$8*$AG552+WeightSDS!W$8,WeightSDS!$U$9-WeightSDS!$V$9*($AG552-WeightSDS!$W$9)))</f>
        <v>0.75407122999999998</v>
      </c>
      <c r="AJ552" s="24">
        <f>IF(D552="M",IF($AG552&lt;45,WeightSDS!M$23*$AG552^10+WeightSDS!N$23*$AG552^9+WeightSDS!O$23*$AG552^8+WeightSDS!P$23*$AG552^7+WeightSDS!Q$23*$AG552^6+WeightSDS!R$23*$AG552^5+WeightSDS!S$23*$AG552^4+WeightSDS!T$23*$AG552^3+WeightSDS!U$23*$AG552^2+WeightSDS!V$23*$AG552+WeightSDS!W$23,IF($AG552&lt;153,WeightSDS!M$25*$AG552^10+WeightSDS!N$25*$AG552^9+WeightSDS!O$25*$AG552^8+WeightSDS!P$25*$AG552^7+WeightSDS!Q$25*$AG552^6+WeightSDS!R$25*$AG552^5+WeightSDS!S$25*$AG552^4+WeightSDS!T$25*$AG552^3+WeightSDS!U$25*$AG552^2+WeightSDS!V$25*$AG552+WeightSDS!W$25,WeightSDS!M$27+WeightSDS!N$27/(1+EXP(WeightSDS!O$27+WeightSDS!P$27*$AG552)))),IF($AG552&lt;43.8,WeightSDS!M$29*$AG552^10+WeightSDS!N$29*$AG552^9+WeightSDS!O$29*$AG552^8+WeightSDS!P$29*$AG552^7+WeightSDS!Q$29*$AG552^6+WeightSDS!R$29*$AG552^5+WeightSDS!S$29*$AG552^4+WeightSDS!T$29*$AG552^3+WeightSDS!U$29*$AG552^2+WeightSDS!V$29*$AG552+WeightSDS!W$29-0.010431*(1-$AG552/210),IF($AG552&lt;123,WeightSDS!M$30*$AG552^10+WeightSDS!N$30*$AG552^9+WeightSDS!O$30*$AG552^8+WeightSDS!P$30*$AG552^7+WeightSDS!Q$30*$AG552^6+WeightSDS!R$30*$AG552^5+WeightSDS!S$30*$AG552^4+WeightSDS!T$30*$AG552^3+WeightSDS!U$30*$AG552^2+WeightSDS!V$30*$AG552+WeightSDS!W$30-0.010431*(1-1/$AG552),WeightSDS!M$32+WeightSDS!N$32/(1+EXP(WeightSDS!O$32+WeightSDS!P$32*$AG552))-0.010431*(1-$AG552/210))))</f>
        <v>2.9500001032655536</v>
      </c>
      <c r="AK552" s="24">
        <f>IF(D552="M",IF($AG552&lt;162,WeightSDS!P$12*$AG552^7+WeightSDS!Q$12*$AG552^6+WeightSDS!R$12*$AG552^5+WeightSDS!S$12*$AG552^4+WeightSDS!T$12*$AG552^3+WeightSDS!U$12*$AG552^2+WeightSDS!V$12*$AG552+WeightSDS!W$12,WeightSDS!P$14*$AG552^7+WeightSDS!Q$14*$AG552^6+WeightSDS!R$14*$AG552^5+WeightSDS!S$14*$AG552^4+WeightSDS!T$14*$AG552^3+WeightSDS!U$14*$AG552^2+WeightSDS!V$14*$AG552+WeightSDS!W$14),IF($AG552&lt;156,WeightSDS!O$17*$AG552^8+WeightSDS!P$17*$AG552^7+WeightSDS!Q$17*$AG552^6+WeightSDS!R$17*$AG552^5+WeightSDS!S$17*$AG552^4+WeightSDS!T$17*$AG552^3+WeightSDS!U$17*$AG552^2+WeightSDS!V$17*$AG552+WeightSDS!W$17,IF($AG552&lt;186,WeightSDS!$U$18+(WeightSDS!$V$18-WeightSDS!$U$18)/24*($AG552-186)+WeightSDS!$W$18*(-$AG552+186)^2-0.005,WeightSDS!$U$18+(WeightSDS!$V$18-WeightSDS!$U$18)/24*($AG552-186)-0.005)))</f>
        <v>0.14604529399999999</v>
      </c>
    </row>
    <row r="553" spans="1:37">
      <c r="A553" s="4"/>
      <c r="B553" s="21"/>
      <c r="C553" s="21"/>
      <c r="D553" s="21"/>
      <c r="E553" s="22"/>
      <c r="F553" s="22"/>
      <c r="G553" s="23"/>
      <c r="H553" s="23"/>
      <c r="I553" s="8" t="str">
        <f t="shared" si="130"/>
        <v/>
      </c>
      <c r="J553" s="2" t="str">
        <f t="shared" si="137"/>
        <v/>
      </c>
      <c r="K553" s="2" t="str">
        <f t="shared" si="131"/>
        <v/>
      </c>
      <c r="L553" s="2" t="str">
        <f t="shared" si="138"/>
        <v/>
      </c>
      <c r="M553" s="2" t="str">
        <f t="shared" si="143"/>
        <v/>
      </c>
      <c r="N553" s="2" t="str">
        <f t="shared" si="139"/>
        <v/>
      </c>
      <c r="O553" s="8" t="str">
        <f t="shared" si="140"/>
        <v/>
      </c>
      <c r="P553" s="8" t="str">
        <f t="shared" si="141"/>
        <v/>
      </c>
      <c r="Q553" s="40" t="str">
        <f t="shared" si="132"/>
        <v/>
      </c>
      <c r="R553" s="48" t="str">
        <f t="shared" si="142"/>
        <v/>
      </c>
      <c r="S553" s="8"/>
      <c r="U553" s="35">
        <f t="shared" si="133"/>
        <v>0</v>
      </c>
      <c r="V553" s="24">
        <f t="shared" si="134"/>
        <v>0</v>
      </c>
      <c r="W553" s="41">
        <f t="shared" si="145"/>
        <v>0</v>
      </c>
      <c r="X553" s="31"/>
      <c r="Y553" s="31"/>
      <c r="Z553" s="31"/>
      <c r="AA553" s="25">
        <f t="shared" si="135"/>
        <v>9.0359999999999996</v>
      </c>
      <c r="AB553" s="25">
        <f t="shared" si="136"/>
        <v>-184.49199999999999</v>
      </c>
      <c r="AD553" s="24">
        <f>IF(D553="M",IF(AG553&lt;78,BMILMS!$D$5*AG553^3+BMILMS!$E$5*AG553^2+BMILMS!$F$5*AG553+BMILMS!$G$5,IF(AG553&lt;150,BMILMS!$D$6*AG553^3+BMILMS!$E$6*AG553^2+BMILMS!$F$6*AG553+BMILMS!$G$6,BMILMS!$D$7*AG553^3+BMILMS!$E$7*AG553^2+BMILMS!$F$7*AG553+BMILMS!$G$7)),IF(AG553&lt;69,BMILMS!$D$9*AG553^3+BMILMS!$E$9*AG553^2+BMILMS!$F$9*AG553+BMILMS!$G$9,IF(AG553&lt;150,BMILMS!$D$10*AG553^3+BMILMS!$E$10*AG553^2+BMILMS!$F$10*AG553+BMILMS!$G$10,BMILMS!$D$11*AG553^3+BMILMS!$E$11*AG553^2+BMILMS!$F$11*AG553+BMILMS!$G$11)))</f>
        <v>0.79584630099999998</v>
      </c>
      <c r="AE553" s="24">
        <f>IF(D553="M",(IF(AG553&lt;2.5,BMILMS!$D$21*AG553^3+BMILMS!$E$21*AG553^2+BMILMS!$F$21*AG553+BMILMS!$G$21,IF(AG553&lt;9.5,BMILMS!$D$22*AG553^3+BMILMS!$E$22*AG553^2+BMILMS!$F$22*AG553+BMILMS!$G$22,IF(AG553&lt;26.75,BMILMS!$D$23*AG553^3+BMILMS!$E$23*AG553^2+BMILMS!$F$23*AG553+BMILMS!$G$23,IF(AG553&lt;90,BMILMS!$D$24*AG553^3+BMILMS!$E$24*AG553^2+BMILMS!$F$24*AG553+BMILMS!$G$24,BMILMS!$D$25*AG553^3+BMILMS!$E$25*AG553^2+BMILMS!$F$25*AG553+BMILMS!$G$25))))),(IF(AG553&lt;2.5,BMILMS!$D$27*AG553^3+BMILMS!$E$27*AG553^2+BMILMS!$F$27*AG553+BMILMS!$G$27,IF(AG553&lt;9.5,BMILMS!$D$28*AG553^3+BMILMS!$E$28*AG553^2+BMILMS!$F$28*AG553+BMILMS!$G$28,IF(AG553&lt;26.75,BMILMS!$D$29*AG553^3+BMILMS!$E$29*AG553^2+BMILMS!$F$29*AG553+BMILMS!$G$29,IF(AG553&lt;90,BMILMS!$D$30*AG553^3+BMILMS!$E$30*AG553^2+BMILMS!$F$30*AG553+BMILMS!$G$30,IF(AG553&lt;150,BMILMS!$D$31*AG553^3+BMILMS!$E$31*AG553^2+BMILMS!$F$31*AG553+BMILMS!$G$31,BMILMS!$D$32*AG553^3+BMILMS!$E$32*AG553^2+BMILMS!$F$32*AG553+BMILMS!$G$32)))))))</f>
        <v>12.568967990000001</v>
      </c>
      <c r="AF553" s="24">
        <f>IF(D553="M",(IF(AG553&lt;90,BMILMS!$D$14*AG553^3+BMILMS!$E$14*AG553^2+BMILMS!$F$14*AG553+BMILMS!$G$14,BMILMS!$D$15*AG553^3+BMILMS!$E$15*AG553^2+BMILMS!$F$15*AG553+BMILMS!$G$15)),(IF(AG553&lt;90,BMILMS!$D$17*AG553^3+BMILMS!$E$17*AG553^2+BMILMS!$F$17*AG553+BMILMS!$G$17,BMILMS!$D$18*AG553^3+BMILMS!$E$18*AG553^2+BMILMS!$F$18*AG553+BMILMS!$G$18)))</f>
        <v>8.8969350000000003E-2</v>
      </c>
      <c r="AG553" s="24">
        <f t="shared" si="144"/>
        <v>0</v>
      </c>
      <c r="AI553" s="38">
        <f>IF(D553="M",WeightSDS!P$5*$AG553^7+WeightSDS!Q$5*$AG553^6+WeightSDS!R$5*$AG553^5+WeightSDS!S$5*$AG553^4+WeightSDS!T$5*$AG553^3+WeightSDS!U$5*$AG553^2+WeightSDS!V$5*$AG553+WeightSDS!W$5,IF($AG553&lt;186,WeightSDS!P$8*$AG553^7+WeightSDS!Q$8*$AG553^6+WeightSDS!R$8*$AG553^5+WeightSDS!S$8*$AG553^4+WeightSDS!T$8*$AG553^3+WeightSDS!U$8*$AG553^2+WeightSDS!V$8*$AG553+WeightSDS!W$8,WeightSDS!$U$9-WeightSDS!$V$9*($AG553-WeightSDS!$W$9)))</f>
        <v>0.75407122999999998</v>
      </c>
      <c r="AJ553" s="24">
        <f>IF(D553="M",IF($AG553&lt;45,WeightSDS!M$23*$AG553^10+WeightSDS!N$23*$AG553^9+WeightSDS!O$23*$AG553^8+WeightSDS!P$23*$AG553^7+WeightSDS!Q$23*$AG553^6+WeightSDS!R$23*$AG553^5+WeightSDS!S$23*$AG553^4+WeightSDS!T$23*$AG553^3+WeightSDS!U$23*$AG553^2+WeightSDS!V$23*$AG553+WeightSDS!W$23,IF($AG553&lt;153,WeightSDS!M$25*$AG553^10+WeightSDS!N$25*$AG553^9+WeightSDS!O$25*$AG553^8+WeightSDS!P$25*$AG553^7+WeightSDS!Q$25*$AG553^6+WeightSDS!R$25*$AG553^5+WeightSDS!S$25*$AG553^4+WeightSDS!T$25*$AG553^3+WeightSDS!U$25*$AG553^2+WeightSDS!V$25*$AG553+WeightSDS!W$25,WeightSDS!M$27+WeightSDS!N$27/(1+EXP(WeightSDS!O$27+WeightSDS!P$27*$AG553)))),IF($AG553&lt;43.8,WeightSDS!M$29*$AG553^10+WeightSDS!N$29*$AG553^9+WeightSDS!O$29*$AG553^8+WeightSDS!P$29*$AG553^7+WeightSDS!Q$29*$AG553^6+WeightSDS!R$29*$AG553^5+WeightSDS!S$29*$AG553^4+WeightSDS!T$29*$AG553^3+WeightSDS!U$29*$AG553^2+WeightSDS!V$29*$AG553+WeightSDS!W$29-0.010431*(1-$AG553/210),IF($AG553&lt;123,WeightSDS!M$30*$AG553^10+WeightSDS!N$30*$AG553^9+WeightSDS!O$30*$AG553^8+WeightSDS!P$30*$AG553^7+WeightSDS!Q$30*$AG553^6+WeightSDS!R$30*$AG553^5+WeightSDS!S$30*$AG553^4+WeightSDS!T$30*$AG553^3+WeightSDS!U$30*$AG553^2+WeightSDS!V$30*$AG553+WeightSDS!W$30-0.010431*(1-1/$AG553),WeightSDS!M$32+WeightSDS!N$32/(1+EXP(WeightSDS!O$32+WeightSDS!P$32*$AG553))-0.010431*(1-$AG553/210))))</f>
        <v>2.9500001032655536</v>
      </c>
      <c r="AK553" s="24">
        <f>IF(D553="M",IF($AG553&lt;162,WeightSDS!P$12*$AG553^7+WeightSDS!Q$12*$AG553^6+WeightSDS!R$12*$AG553^5+WeightSDS!S$12*$AG553^4+WeightSDS!T$12*$AG553^3+WeightSDS!U$12*$AG553^2+WeightSDS!V$12*$AG553+WeightSDS!W$12,WeightSDS!P$14*$AG553^7+WeightSDS!Q$14*$AG553^6+WeightSDS!R$14*$AG553^5+WeightSDS!S$14*$AG553^4+WeightSDS!T$14*$AG553^3+WeightSDS!U$14*$AG553^2+WeightSDS!V$14*$AG553+WeightSDS!W$14),IF($AG553&lt;156,WeightSDS!O$17*$AG553^8+WeightSDS!P$17*$AG553^7+WeightSDS!Q$17*$AG553^6+WeightSDS!R$17*$AG553^5+WeightSDS!S$17*$AG553^4+WeightSDS!T$17*$AG553^3+WeightSDS!U$17*$AG553^2+WeightSDS!V$17*$AG553+WeightSDS!W$17,IF($AG553&lt;186,WeightSDS!$U$18+(WeightSDS!$V$18-WeightSDS!$U$18)/24*($AG553-186)+WeightSDS!$W$18*(-$AG553+186)^2-0.005,WeightSDS!$U$18+(WeightSDS!$V$18-WeightSDS!$U$18)/24*($AG553-186)-0.005)))</f>
        <v>0.14604529399999999</v>
      </c>
    </row>
    <row r="554" spans="1:37">
      <c r="A554" s="4"/>
      <c r="B554" s="21"/>
      <c r="C554" s="21"/>
      <c r="D554" s="21"/>
      <c r="E554" s="22"/>
      <c r="F554" s="22"/>
      <c r="G554" s="23"/>
      <c r="H554" s="23"/>
      <c r="I554" s="8" t="str">
        <f t="shared" si="130"/>
        <v/>
      </c>
      <c r="J554" s="2" t="str">
        <f t="shared" si="137"/>
        <v/>
      </c>
      <c r="K554" s="2" t="str">
        <f t="shared" si="131"/>
        <v/>
      </c>
      <c r="L554" s="2" t="str">
        <f t="shared" si="138"/>
        <v/>
      </c>
      <c r="M554" s="2" t="str">
        <f t="shared" si="143"/>
        <v/>
      </c>
      <c r="N554" s="2" t="str">
        <f t="shared" si="139"/>
        <v/>
      </c>
      <c r="O554" s="8" t="str">
        <f t="shared" si="140"/>
        <v/>
      </c>
      <c r="P554" s="8" t="str">
        <f t="shared" si="141"/>
        <v/>
      </c>
      <c r="Q554" s="40" t="str">
        <f t="shared" si="132"/>
        <v/>
      </c>
      <c r="R554" s="48" t="str">
        <f t="shared" si="142"/>
        <v/>
      </c>
      <c r="S554" s="8"/>
      <c r="U554" s="35">
        <f t="shared" si="133"/>
        <v>0</v>
      </c>
      <c r="V554" s="24">
        <f t="shared" si="134"/>
        <v>0</v>
      </c>
      <c r="W554" s="41">
        <f t="shared" si="145"/>
        <v>0</v>
      </c>
      <c r="X554" s="31"/>
      <c r="Y554" s="31"/>
      <c r="Z554" s="31"/>
      <c r="AA554" s="25">
        <f t="shared" si="135"/>
        <v>9.0359999999999996</v>
      </c>
      <c r="AB554" s="25">
        <f t="shared" si="136"/>
        <v>-184.49199999999999</v>
      </c>
      <c r="AD554" s="24">
        <f>IF(D554="M",IF(AG554&lt;78,BMILMS!$D$5*AG554^3+BMILMS!$E$5*AG554^2+BMILMS!$F$5*AG554+BMILMS!$G$5,IF(AG554&lt;150,BMILMS!$D$6*AG554^3+BMILMS!$E$6*AG554^2+BMILMS!$F$6*AG554+BMILMS!$G$6,BMILMS!$D$7*AG554^3+BMILMS!$E$7*AG554^2+BMILMS!$F$7*AG554+BMILMS!$G$7)),IF(AG554&lt;69,BMILMS!$D$9*AG554^3+BMILMS!$E$9*AG554^2+BMILMS!$F$9*AG554+BMILMS!$G$9,IF(AG554&lt;150,BMILMS!$D$10*AG554^3+BMILMS!$E$10*AG554^2+BMILMS!$F$10*AG554+BMILMS!$G$10,BMILMS!$D$11*AG554^3+BMILMS!$E$11*AG554^2+BMILMS!$F$11*AG554+BMILMS!$G$11)))</f>
        <v>0.79584630099999998</v>
      </c>
      <c r="AE554" s="24">
        <f>IF(D554="M",(IF(AG554&lt;2.5,BMILMS!$D$21*AG554^3+BMILMS!$E$21*AG554^2+BMILMS!$F$21*AG554+BMILMS!$G$21,IF(AG554&lt;9.5,BMILMS!$D$22*AG554^3+BMILMS!$E$22*AG554^2+BMILMS!$F$22*AG554+BMILMS!$G$22,IF(AG554&lt;26.75,BMILMS!$D$23*AG554^3+BMILMS!$E$23*AG554^2+BMILMS!$F$23*AG554+BMILMS!$G$23,IF(AG554&lt;90,BMILMS!$D$24*AG554^3+BMILMS!$E$24*AG554^2+BMILMS!$F$24*AG554+BMILMS!$G$24,BMILMS!$D$25*AG554^3+BMILMS!$E$25*AG554^2+BMILMS!$F$25*AG554+BMILMS!$G$25))))),(IF(AG554&lt;2.5,BMILMS!$D$27*AG554^3+BMILMS!$E$27*AG554^2+BMILMS!$F$27*AG554+BMILMS!$G$27,IF(AG554&lt;9.5,BMILMS!$D$28*AG554^3+BMILMS!$E$28*AG554^2+BMILMS!$F$28*AG554+BMILMS!$G$28,IF(AG554&lt;26.75,BMILMS!$D$29*AG554^3+BMILMS!$E$29*AG554^2+BMILMS!$F$29*AG554+BMILMS!$G$29,IF(AG554&lt;90,BMILMS!$D$30*AG554^3+BMILMS!$E$30*AG554^2+BMILMS!$F$30*AG554+BMILMS!$G$30,IF(AG554&lt;150,BMILMS!$D$31*AG554^3+BMILMS!$E$31*AG554^2+BMILMS!$F$31*AG554+BMILMS!$G$31,BMILMS!$D$32*AG554^3+BMILMS!$E$32*AG554^2+BMILMS!$F$32*AG554+BMILMS!$G$32)))))))</f>
        <v>12.568967990000001</v>
      </c>
      <c r="AF554" s="24">
        <f>IF(D554="M",(IF(AG554&lt;90,BMILMS!$D$14*AG554^3+BMILMS!$E$14*AG554^2+BMILMS!$F$14*AG554+BMILMS!$G$14,BMILMS!$D$15*AG554^3+BMILMS!$E$15*AG554^2+BMILMS!$F$15*AG554+BMILMS!$G$15)),(IF(AG554&lt;90,BMILMS!$D$17*AG554^3+BMILMS!$E$17*AG554^2+BMILMS!$F$17*AG554+BMILMS!$G$17,BMILMS!$D$18*AG554^3+BMILMS!$E$18*AG554^2+BMILMS!$F$18*AG554+BMILMS!$G$18)))</f>
        <v>8.8969350000000003E-2</v>
      </c>
      <c r="AG554" s="24">
        <f t="shared" si="144"/>
        <v>0</v>
      </c>
      <c r="AI554" s="38">
        <f>IF(D554="M",WeightSDS!P$5*$AG554^7+WeightSDS!Q$5*$AG554^6+WeightSDS!R$5*$AG554^5+WeightSDS!S$5*$AG554^4+WeightSDS!T$5*$AG554^3+WeightSDS!U$5*$AG554^2+WeightSDS!V$5*$AG554+WeightSDS!W$5,IF($AG554&lt;186,WeightSDS!P$8*$AG554^7+WeightSDS!Q$8*$AG554^6+WeightSDS!R$8*$AG554^5+WeightSDS!S$8*$AG554^4+WeightSDS!T$8*$AG554^3+WeightSDS!U$8*$AG554^2+WeightSDS!V$8*$AG554+WeightSDS!W$8,WeightSDS!$U$9-WeightSDS!$V$9*($AG554-WeightSDS!$W$9)))</f>
        <v>0.75407122999999998</v>
      </c>
      <c r="AJ554" s="24">
        <f>IF(D554="M",IF($AG554&lt;45,WeightSDS!M$23*$AG554^10+WeightSDS!N$23*$AG554^9+WeightSDS!O$23*$AG554^8+WeightSDS!P$23*$AG554^7+WeightSDS!Q$23*$AG554^6+WeightSDS!R$23*$AG554^5+WeightSDS!S$23*$AG554^4+WeightSDS!T$23*$AG554^3+WeightSDS!U$23*$AG554^2+WeightSDS!V$23*$AG554+WeightSDS!W$23,IF($AG554&lt;153,WeightSDS!M$25*$AG554^10+WeightSDS!N$25*$AG554^9+WeightSDS!O$25*$AG554^8+WeightSDS!P$25*$AG554^7+WeightSDS!Q$25*$AG554^6+WeightSDS!R$25*$AG554^5+WeightSDS!S$25*$AG554^4+WeightSDS!T$25*$AG554^3+WeightSDS!U$25*$AG554^2+WeightSDS!V$25*$AG554+WeightSDS!W$25,WeightSDS!M$27+WeightSDS!N$27/(1+EXP(WeightSDS!O$27+WeightSDS!P$27*$AG554)))),IF($AG554&lt;43.8,WeightSDS!M$29*$AG554^10+WeightSDS!N$29*$AG554^9+WeightSDS!O$29*$AG554^8+WeightSDS!P$29*$AG554^7+WeightSDS!Q$29*$AG554^6+WeightSDS!R$29*$AG554^5+WeightSDS!S$29*$AG554^4+WeightSDS!T$29*$AG554^3+WeightSDS!U$29*$AG554^2+WeightSDS!V$29*$AG554+WeightSDS!W$29-0.010431*(1-$AG554/210),IF($AG554&lt;123,WeightSDS!M$30*$AG554^10+WeightSDS!N$30*$AG554^9+WeightSDS!O$30*$AG554^8+WeightSDS!P$30*$AG554^7+WeightSDS!Q$30*$AG554^6+WeightSDS!R$30*$AG554^5+WeightSDS!S$30*$AG554^4+WeightSDS!T$30*$AG554^3+WeightSDS!U$30*$AG554^2+WeightSDS!V$30*$AG554+WeightSDS!W$30-0.010431*(1-1/$AG554),WeightSDS!M$32+WeightSDS!N$32/(1+EXP(WeightSDS!O$32+WeightSDS!P$32*$AG554))-0.010431*(1-$AG554/210))))</f>
        <v>2.9500001032655536</v>
      </c>
      <c r="AK554" s="24">
        <f>IF(D554="M",IF($AG554&lt;162,WeightSDS!P$12*$AG554^7+WeightSDS!Q$12*$AG554^6+WeightSDS!R$12*$AG554^5+WeightSDS!S$12*$AG554^4+WeightSDS!T$12*$AG554^3+WeightSDS!U$12*$AG554^2+WeightSDS!V$12*$AG554+WeightSDS!W$12,WeightSDS!P$14*$AG554^7+WeightSDS!Q$14*$AG554^6+WeightSDS!R$14*$AG554^5+WeightSDS!S$14*$AG554^4+WeightSDS!T$14*$AG554^3+WeightSDS!U$14*$AG554^2+WeightSDS!V$14*$AG554+WeightSDS!W$14),IF($AG554&lt;156,WeightSDS!O$17*$AG554^8+WeightSDS!P$17*$AG554^7+WeightSDS!Q$17*$AG554^6+WeightSDS!R$17*$AG554^5+WeightSDS!S$17*$AG554^4+WeightSDS!T$17*$AG554^3+WeightSDS!U$17*$AG554^2+WeightSDS!V$17*$AG554+WeightSDS!W$17,IF($AG554&lt;186,WeightSDS!$U$18+(WeightSDS!$V$18-WeightSDS!$U$18)/24*($AG554-186)+WeightSDS!$W$18*(-$AG554+186)^2-0.005,WeightSDS!$U$18+(WeightSDS!$V$18-WeightSDS!$U$18)/24*($AG554-186)-0.005)))</f>
        <v>0.14604529399999999</v>
      </c>
    </row>
    <row r="555" spans="1:37">
      <c r="A555" s="4"/>
      <c r="B555" s="21"/>
      <c r="C555" s="21"/>
      <c r="D555" s="21"/>
      <c r="E555" s="22"/>
      <c r="F555" s="22"/>
      <c r="G555" s="23"/>
      <c r="H555" s="23"/>
      <c r="I555" s="8" t="str">
        <f t="shared" si="130"/>
        <v/>
      </c>
      <c r="J555" s="2" t="str">
        <f t="shared" si="137"/>
        <v/>
      </c>
      <c r="K555" s="2" t="str">
        <f t="shared" si="131"/>
        <v/>
      </c>
      <c r="L555" s="2" t="str">
        <f t="shared" si="138"/>
        <v/>
      </c>
      <c r="M555" s="2" t="str">
        <f t="shared" si="143"/>
        <v/>
      </c>
      <c r="N555" s="2" t="str">
        <f t="shared" si="139"/>
        <v/>
      </c>
      <c r="O555" s="8" t="str">
        <f t="shared" si="140"/>
        <v/>
      </c>
      <c r="P555" s="8" t="str">
        <f t="shared" si="141"/>
        <v/>
      </c>
      <c r="Q555" s="40" t="str">
        <f t="shared" si="132"/>
        <v/>
      </c>
      <c r="R555" s="48" t="str">
        <f t="shared" si="142"/>
        <v/>
      </c>
      <c r="S555" s="8"/>
      <c r="U555" s="35">
        <f t="shared" si="133"/>
        <v>0</v>
      </c>
      <c r="V555" s="24">
        <f t="shared" si="134"/>
        <v>0</v>
      </c>
      <c r="W555" s="41">
        <f t="shared" si="145"/>
        <v>0</v>
      </c>
      <c r="X555" s="31"/>
      <c r="Y555" s="31"/>
      <c r="Z555" s="31"/>
      <c r="AA555" s="25">
        <f t="shared" si="135"/>
        <v>9.0359999999999996</v>
      </c>
      <c r="AB555" s="25">
        <f t="shared" si="136"/>
        <v>-184.49199999999999</v>
      </c>
      <c r="AD555" s="24">
        <f>IF(D555="M",IF(AG555&lt;78,BMILMS!$D$5*AG555^3+BMILMS!$E$5*AG555^2+BMILMS!$F$5*AG555+BMILMS!$G$5,IF(AG555&lt;150,BMILMS!$D$6*AG555^3+BMILMS!$E$6*AG555^2+BMILMS!$F$6*AG555+BMILMS!$G$6,BMILMS!$D$7*AG555^3+BMILMS!$E$7*AG555^2+BMILMS!$F$7*AG555+BMILMS!$G$7)),IF(AG555&lt;69,BMILMS!$D$9*AG555^3+BMILMS!$E$9*AG555^2+BMILMS!$F$9*AG555+BMILMS!$G$9,IF(AG555&lt;150,BMILMS!$D$10*AG555^3+BMILMS!$E$10*AG555^2+BMILMS!$F$10*AG555+BMILMS!$G$10,BMILMS!$D$11*AG555^3+BMILMS!$E$11*AG555^2+BMILMS!$F$11*AG555+BMILMS!$G$11)))</f>
        <v>0.79584630099999998</v>
      </c>
      <c r="AE555" s="24">
        <f>IF(D555="M",(IF(AG555&lt;2.5,BMILMS!$D$21*AG555^3+BMILMS!$E$21*AG555^2+BMILMS!$F$21*AG555+BMILMS!$G$21,IF(AG555&lt;9.5,BMILMS!$D$22*AG555^3+BMILMS!$E$22*AG555^2+BMILMS!$F$22*AG555+BMILMS!$G$22,IF(AG555&lt;26.75,BMILMS!$D$23*AG555^3+BMILMS!$E$23*AG555^2+BMILMS!$F$23*AG555+BMILMS!$G$23,IF(AG555&lt;90,BMILMS!$D$24*AG555^3+BMILMS!$E$24*AG555^2+BMILMS!$F$24*AG555+BMILMS!$G$24,BMILMS!$D$25*AG555^3+BMILMS!$E$25*AG555^2+BMILMS!$F$25*AG555+BMILMS!$G$25))))),(IF(AG555&lt;2.5,BMILMS!$D$27*AG555^3+BMILMS!$E$27*AG555^2+BMILMS!$F$27*AG555+BMILMS!$G$27,IF(AG555&lt;9.5,BMILMS!$D$28*AG555^3+BMILMS!$E$28*AG555^2+BMILMS!$F$28*AG555+BMILMS!$G$28,IF(AG555&lt;26.75,BMILMS!$D$29*AG555^3+BMILMS!$E$29*AG555^2+BMILMS!$F$29*AG555+BMILMS!$G$29,IF(AG555&lt;90,BMILMS!$D$30*AG555^3+BMILMS!$E$30*AG555^2+BMILMS!$F$30*AG555+BMILMS!$G$30,IF(AG555&lt;150,BMILMS!$D$31*AG555^3+BMILMS!$E$31*AG555^2+BMILMS!$F$31*AG555+BMILMS!$G$31,BMILMS!$D$32*AG555^3+BMILMS!$E$32*AG555^2+BMILMS!$F$32*AG555+BMILMS!$G$32)))))))</f>
        <v>12.568967990000001</v>
      </c>
      <c r="AF555" s="24">
        <f>IF(D555="M",(IF(AG555&lt;90,BMILMS!$D$14*AG555^3+BMILMS!$E$14*AG555^2+BMILMS!$F$14*AG555+BMILMS!$G$14,BMILMS!$D$15*AG555^3+BMILMS!$E$15*AG555^2+BMILMS!$F$15*AG555+BMILMS!$G$15)),(IF(AG555&lt;90,BMILMS!$D$17*AG555^3+BMILMS!$E$17*AG555^2+BMILMS!$F$17*AG555+BMILMS!$G$17,BMILMS!$D$18*AG555^3+BMILMS!$E$18*AG555^2+BMILMS!$F$18*AG555+BMILMS!$G$18)))</f>
        <v>8.8969350000000003E-2</v>
      </c>
      <c r="AG555" s="24">
        <f t="shared" si="144"/>
        <v>0</v>
      </c>
      <c r="AI555" s="38">
        <f>IF(D555="M",WeightSDS!P$5*$AG555^7+WeightSDS!Q$5*$AG555^6+WeightSDS!R$5*$AG555^5+WeightSDS!S$5*$AG555^4+WeightSDS!T$5*$AG555^3+WeightSDS!U$5*$AG555^2+WeightSDS!V$5*$AG555+WeightSDS!W$5,IF($AG555&lt;186,WeightSDS!P$8*$AG555^7+WeightSDS!Q$8*$AG555^6+WeightSDS!R$8*$AG555^5+WeightSDS!S$8*$AG555^4+WeightSDS!T$8*$AG555^3+WeightSDS!U$8*$AG555^2+WeightSDS!V$8*$AG555+WeightSDS!W$8,WeightSDS!$U$9-WeightSDS!$V$9*($AG555-WeightSDS!$W$9)))</f>
        <v>0.75407122999999998</v>
      </c>
      <c r="AJ555" s="24">
        <f>IF(D555="M",IF($AG555&lt;45,WeightSDS!M$23*$AG555^10+WeightSDS!N$23*$AG555^9+WeightSDS!O$23*$AG555^8+WeightSDS!P$23*$AG555^7+WeightSDS!Q$23*$AG555^6+WeightSDS!R$23*$AG555^5+WeightSDS!S$23*$AG555^4+WeightSDS!T$23*$AG555^3+WeightSDS!U$23*$AG555^2+WeightSDS!V$23*$AG555+WeightSDS!W$23,IF($AG555&lt;153,WeightSDS!M$25*$AG555^10+WeightSDS!N$25*$AG555^9+WeightSDS!O$25*$AG555^8+WeightSDS!P$25*$AG555^7+WeightSDS!Q$25*$AG555^6+WeightSDS!R$25*$AG555^5+WeightSDS!S$25*$AG555^4+WeightSDS!T$25*$AG555^3+WeightSDS!U$25*$AG555^2+WeightSDS!V$25*$AG555+WeightSDS!W$25,WeightSDS!M$27+WeightSDS!N$27/(1+EXP(WeightSDS!O$27+WeightSDS!P$27*$AG555)))),IF($AG555&lt;43.8,WeightSDS!M$29*$AG555^10+WeightSDS!N$29*$AG555^9+WeightSDS!O$29*$AG555^8+WeightSDS!P$29*$AG555^7+WeightSDS!Q$29*$AG555^6+WeightSDS!R$29*$AG555^5+WeightSDS!S$29*$AG555^4+WeightSDS!T$29*$AG555^3+WeightSDS!U$29*$AG555^2+WeightSDS!V$29*$AG555+WeightSDS!W$29-0.010431*(1-$AG555/210),IF($AG555&lt;123,WeightSDS!M$30*$AG555^10+WeightSDS!N$30*$AG555^9+WeightSDS!O$30*$AG555^8+WeightSDS!P$30*$AG555^7+WeightSDS!Q$30*$AG555^6+WeightSDS!R$30*$AG555^5+WeightSDS!S$30*$AG555^4+WeightSDS!T$30*$AG555^3+WeightSDS!U$30*$AG555^2+WeightSDS!V$30*$AG555+WeightSDS!W$30-0.010431*(1-1/$AG555),WeightSDS!M$32+WeightSDS!N$32/(1+EXP(WeightSDS!O$32+WeightSDS!P$32*$AG555))-0.010431*(1-$AG555/210))))</f>
        <v>2.9500001032655536</v>
      </c>
      <c r="AK555" s="24">
        <f>IF(D555="M",IF($AG555&lt;162,WeightSDS!P$12*$AG555^7+WeightSDS!Q$12*$AG555^6+WeightSDS!R$12*$AG555^5+WeightSDS!S$12*$AG555^4+WeightSDS!T$12*$AG555^3+WeightSDS!U$12*$AG555^2+WeightSDS!V$12*$AG555+WeightSDS!W$12,WeightSDS!P$14*$AG555^7+WeightSDS!Q$14*$AG555^6+WeightSDS!R$14*$AG555^5+WeightSDS!S$14*$AG555^4+WeightSDS!T$14*$AG555^3+WeightSDS!U$14*$AG555^2+WeightSDS!V$14*$AG555+WeightSDS!W$14),IF($AG555&lt;156,WeightSDS!O$17*$AG555^8+WeightSDS!P$17*$AG555^7+WeightSDS!Q$17*$AG555^6+WeightSDS!R$17*$AG555^5+WeightSDS!S$17*$AG555^4+WeightSDS!T$17*$AG555^3+WeightSDS!U$17*$AG555^2+WeightSDS!V$17*$AG555+WeightSDS!W$17,IF($AG555&lt;186,WeightSDS!$U$18+(WeightSDS!$V$18-WeightSDS!$U$18)/24*($AG555-186)+WeightSDS!$W$18*(-$AG555+186)^2-0.005,WeightSDS!$U$18+(WeightSDS!$V$18-WeightSDS!$U$18)/24*($AG555-186)-0.005)))</f>
        <v>0.14604529399999999</v>
      </c>
    </row>
    <row r="556" spans="1:37">
      <c r="A556" s="4"/>
      <c r="B556" s="21"/>
      <c r="C556" s="21"/>
      <c r="D556" s="21"/>
      <c r="E556" s="22"/>
      <c r="F556" s="22"/>
      <c r="G556" s="23"/>
      <c r="H556" s="23"/>
      <c r="I556" s="8" t="str">
        <f t="shared" si="130"/>
        <v/>
      </c>
      <c r="J556" s="2" t="str">
        <f t="shared" si="137"/>
        <v/>
      </c>
      <c r="K556" s="2" t="str">
        <f t="shared" si="131"/>
        <v/>
      </c>
      <c r="L556" s="2" t="str">
        <f t="shared" si="138"/>
        <v/>
      </c>
      <c r="M556" s="2" t="str">
        <f t="shared" si="143"/>
        <v/>
      </c>
      <c r="N556" s="2" t="str">
        <f t="shared" si="139"/>
        <v/>
      </c>
      <c r="O556" s="8" t="str">
        <f t="shared" si="140"/>
        <v/>
      </c>
      <c r="P556" s="8" t="str">
        <f t="shared" si="141"/>
        <v/>
      </c>
      <c r="Q556" s="40" t="str">
        <f t="shared" si="132"/>
        <v/>
      </c>
      <c r="R556" s="48" t="str">
        <f t="shared" si="142"/>
        <v/>
      </c>
      <c r="S556" s="8"/>
      <c r="U556" s="35">
        <f t="shared" si="133"/>
        <v>0</v>
      </c>
      <c r="V556" s="24">
        <f t="shared" si="134"/>
        <v>0</v>
      </c>
      <c r="W556" s="41">
        <f t="shared" si="145"/>
        <v>0</v>
      </c>
      <c r="X556" s="31"/>
      <c r="Y556" s="31"/>
      <c r="Z556" s="31"/>
      <c r="AA556" s="25">
        <f t="shared" si="135"/>
        <v>9.0359999999999996</v>
      </c>
      <c r="AB556" s="25">
        <f t="shared" si="136"/>
        <v>-184.49199999999999</v>
      </c>
      <c r="AD556" s="24">
        <f>IF(D556="M",IF(AG556&lt;78,BMILMS!$D$5*AG556^3+BMILMS!$E$5*AG556^2+BMILMS!$F$5*AG556+BMILMS!$G$5,IF(AG556&lt;150,BMILMS!$D$6*AG556^3+BMILMS!$E$6*AG556^2+BMILMS!$F$6*AG556+BMILMS!$G$6,BMILMS!$D$7*AG556^3+BMILMS!$E$7*AG556^2+BMILMS!$F$7*AG556+BMILMS!$G$7)),IF(AG556&lt;69,BMILMS!$D$9*AG556^3+BMILMS!$E$9*AG556^2+BMILMS!$F$9*AG556+BMILMS!$G$9,IF(AG556&lt;150,BMILMS!$D$10*AG556^3+BMILMS!$E$10*AG556^2+BMILMS!$F$10*AG556+BMILMS!$G$10,BMILMS!$D$11*AG556^3+BMILMS!$E$11*AG556^2+BMILMS!$F$11*AG556+BMILMS!$G$11)))</f>
        <v>0.79584630099999998</v>
      </c>
      <c r="AE556" s="24">
        <f>IF(D556="M",(IF(AG556&lt;2.5,BMILMS!$D$21*AG556^3+BMILMS!$E$21*AG556^2+BMILMS!$F$21*AG556+BMILMS!$G$21,IF(AG556&lt;9.5,BMILMS!$D$22*AG556^3+BMILMS!$E$22*AG556^2+BMILMS!$F$22*AG556+BMILMS!$G$22,IF(AG556&lt;26.75,BMILMS!$D$23*AG556^3+BMILMS!$E$23*AG556^2+BMILMS!$F$23*AG556+BMILMS!$G$23,IF(AG556&lt;90,BMILMS!$D$24*AG556^3+BMILMS!$E$24*AG556^2+BMILMS!$F$24*AG556+BMILMS!$G$24,BMILMS!$D$25*AG556^3+BMILMS!$E$25*AG556^2+BMILMS!$F$25*AG556+BMILMS!$G$25))))),(IF(AG556&lt;2.5,BMILMS!$D$27*AG556^3+BMILMS!$E$27*AG556^2+BMILMS!$F$27*AG556+BMILMS!$G$27,IF(AG556&lt;9.5,BMILMS!$D$28*AG556^3+BMILMS!$E$28*AG556^2+BMILMS!$F$28*AG556+BMILMS!$G$28,IF(AG556&lt;26.75,BMILMS!$D$29*AG556^3+BMILMS!$E$29*AG556^2+BMILMS!$F$29*AG556+BMILMS!$G$29,IF(AG556&lt;90,BMILMS!$D$30*AG556^3+BMILMS!$E$30*AG556^2+BMILMS!$F$30*AG556+BMILMS!$G$30,IF(AG556&lt;150,BMILMS!$D$31*AG556^3+BMILMS!$E$31*AG556^2+BMILMS!$F$31*AG556+BMILMS!$G$31,BMILMS!$D$32*AG556^3+BMILMS!$E$32*AG556^2+BMILMS!$F$32*AG556+BMILMS!$G$32)))))))</f>
        <v>12.568967990000001</v>
      </c>
      <c r="AF556" s="24">
        <f>IF(D556="M",(IF(AG556&lt;90,BMILMS!$D$14*AG556^3+BMILMS!$E$14*AG556^2+BMILMS!$F$14*AG556+BMILMS!$G$14,BMILMS!$D$15*AG556^3+BMILMS!$E$15*AG556^2+BMILMS!$F$15*AG556+BMILMS!$G$15)),(IF(AG556&lt;90,BMILMS!$D$17*AG556^3+BMILMS!$E$17*AG556^2+BMILMS!$F$17*AG556+BMILMS!$G$17,BMILMS!$D$18*AG556^3+BMILMS!$E$18*AG556^2+BMILMS!$F$18*AG556+BMILMS!$G$18)))</f>
        <v>8.8969350000000003E-2</v>
      </c>
      <c r="AG556" s="24">
        <f t="shared" si="144"/>
        <v>0</v>
      </c>
      <c r="AI556" s="38">
        <f>IF(D556="M",WeightSDS!P$5*$AG556^7+WeightSDS!Q$5*$AG556^6+WeightSDS!R$5*$AG556^5+WeightSDS!S$5*$AG556^4+WeightSDS!T$5*$AG556^3+WeightSDS!U$5*$AG556^2+WeightSDS!V$5*$AG556+WeightSDS!W$5,IF($AG556&lt;186,WeightSDS!P$8*$AG556^7+WeightSDS!Q$8*$AG556^6+WeightSDS!R$8*$AG556^5+WeightSDS!S$8*$AG556^4+WeightSDS!T$8*$AG556^3+WeightSDS!U$8*$AG556^2+WeightSDS!V$8*$AG556+WeightSDS!W$8,WeightSDS!$U$9-WeightSDS!$V$9*($AG556-WeightSDS!$W$9)))</f>
        <v>0.75407122999999998</v>
      </c>
      <c r="AJ556" s="24">
        <f>IF(D556="M",IF($AG556&lt;45,WeightSDS!M$23*$AG556^10+WeightSDS!N$23*$AG556^9+WeightSDS!O$23*$AG556^8+WeightSDS!P$23*$AG556^7+WeightSDS!Q$23*$AG556^6+WeightSDS!R$23*$AG556^5+WeightSDS!S$23*$AG556^4+WeightSDS!T$23*$AG556^3+WeightSDS!U$23*$AG556^2+WeightSDS!V$23*$AG556+WeightSDS!W$23,IF($AG556&lt;153,WeightSDS!M$25*$AG556^10+WeightSDS!N$25*$AG556^9+WeightSDS!O$25*$AG556^8+WeightSDS!P$25*$AG556^7+WeightSDS!Q$25*$AG556^6+WeightSDS!R$25*$AG556^5+WeightSDS!S$25*$AG556^4+WeightSDS!T$25*$AG556^3+WeightSDS!U$25*$AG556^2+WeightSDS!V$25*$AG556+WeightSDS!W$25,WeightSDS!M$27+WeightSDS!N$27/(1+EXP(WeightSDS!O$27+WeightSDS!P$27*$AG556)))),IF($AG556&lt;43.8,WeightSDS!M$29*$AG556^10+WeightSDS!N$29*$AG556^9+WeightSDS!O$29*$AG556^8+WeightSDS!P$29*$AG556^7+WeightSDS!Q$29*$AG556^6+WeightSDS!R$29*$AG556^5+WeightSDS!S$29*$AG556^4+WeightSDS!T$29*$AG556^3+WeightSDS!U$29*$AG556^2+WeightSDS!V$29*$AG556+WeightSDS!W$29-0.010431*(1-$AG556/210),IF($AG556&lt;123,WeightSDS!M$30*$AG556^10+WeightSDS!N$30*$AG556^9+WeightSDS!O$30*$AG556^8+WeightSDS!P$30*$AG556^7+WeightSDS!Q$30*$AG556^6+WeightSDS!R$30*$AG556^5+WeightSDS!S$30*$AG556^4+WeightSDS!T$30*$AG556^3+WeightSDS!U$30*$AG556^2+WeightSDS!V$30*$AG556+WeightSDS!W$30-0.010431*(1-1/$AG556),WeightSDS!M$32+WeightSDS!N$32/(1+EXP(WeightSDS!O$32+WeightSDS!P$32*$AG556))-0.010431*(1-$AG556/210))))</f>
        <v>2.9500001032655536</v>
      </c>
      <c r="AK556" s="24">
        <f>IF(D556="M",IF($AG556&lt;162,WeightSDS!P$12*$AG556^7+WeightSDS!Q$12*$AG556^6+WeightSDS!R$12*$AG556^5+WeightSDS!S$12*$AG556^4+WeightSDS!T$12*$AG556^3+WeightSDS!U$12*$AG556^2+WeightSDS!V$12*$AG556+WeightSDS!W$12,WeightSDS!P$14*$AG556^7+WeightSDS!Q$14*$AG556^6+WeightSDS!R$14*$AG556^5+WeightSDS!S$14*$AG556^4+WeightSDS!T$14*$AG556^3+WeightSDS!U$14*$AG556^2+WeightSDS!V$14*$AG556+WeightSDS!W$14),IF($AG556&lt;156,WeightSDS!O$17*$AG556^8+WeightSDS!P$17*$AG556^7+WeightSDS!Q$17*$AG556^6+WeightSDS!R$17*$AG556^5+WeightSDS!S$17*$AG556^4+WeightSDS!T$17*$AG556^3+WeightSDS!U$17*$AG556^2+WeightSDS!V$17*$AG556+WeightSDS!W$17,IF($AG556&lt;186,WeightSDS!$U$18+(WeightSDS!$V$18-WeightSDS!$U$18)/24*($AG556-186)+WeightSDS!$W$18*(-$AG556+186)^2-0.005,WeightSDS!$U$18+(WeightSDS!$V$18-WeightSDS!$U$18)/24*($AG556-186)-0.005)))</f>
        <v>0.14604529399999999</v>
      </c>
    </row>
    <row r="557" spans="1:37">
      <c r="A557" s="4"/>
      <c r="B557" s="21"/>
      <c r="C557" s="21"/>
      <c r="D557" s="21"/>
      <c r="E557" s="22"/>
      <c r="F557" s="22"/>
      <c r="G557" s="23"/>
      <c r="H557" s="23"/>
      <c r="I557" s="8" t="str">
        <f t="shared" si="130"/>
        <v/>
      </c>
      <c r="J557" s="2" t="str">
        <f t="shared" si="137"/>
        <v/>
      </c>
      <c r="K557" s="2" t="str">
        <f t="shared" si="131"/>
        <v/>
      </c>
      <c r="L557" s="2" t="str">
        <f t="shared" si="138"/>
        <v/>
      </c>
      <c r="M557" s="2" t="str">
        <f t="shared" si="143"/>
        <v/>
      </c>
      <c r="N557" s="2" t="str">
        <f t="shared" si="139"/>
        <v/>
      </c>
      <c r="O557" s="8" t="str">
        <f t="shared" si="140"/>
        <v/>
      </c>
      <c r="P557" s="8" t="str">
        <f t="shared" si="141"/>
        <v/>
      </c>
      <c r="Q557" s="40" t="str">
        <f t="shared" si="132"/>
        <v/>
      </c>
      <c r="R557" s="48" t="str">
        <f t="shared" si="142"/>
        <v/>
      </c>
      <c r="S557" s="8"/>
      <c r="U557" s="35">
        <f t="shared" si="133"/>
        <v>0</v>
      </c>
      <c r="V557" s="24">
        <f t="shared" si="134"/>
        <v>0</v>
      </c>
      <c r="W557" s="41">
        <f t="shared" si="145"/>
        <v>0</v>
      </c>
      <c r="X557" s="31"/>
      <c r="Y557" s="31"/>
      <c r="Z557" s="31"/>
      <c r="AA557" s="25">
        <f t="shared" si="135"/>
        <v>9.0359999999999996</v>
      </c>
      <c r="AB557" s="25">
        <f t="shared" si="136"/>
        <v>-184.49199999999999</v>
      </c>
      <c r="AD557" s="24">
        <f>IF(D557="M",IF(AG557&lt;78,BMILMS!$D$5*AG557^3+BMILMS!$E$5*AG557^2+BMILMS!$F$5*AG557+BMILMS!$G$5,IF(AG557&lt;150,BMILMS!$D$6*AG557^3+BMILMS!$E$6*AG557^2+BMILMS!$F$6*AG557+BMILMS!$G$6,BMILMS!$D$7*AG557^3+BMILMS!$E$7*AG557^2+BMILMS!$F$7*AG557+BMILMS!$G$7)),IF(AG557&lt;69,BMILMS!$D$9*AG557^3+BMILMS!$E$9*AG557^2+BMILMS!$F$9*AG557+BMILMS!$G$9,IF(AG557&lt;150,BMILMS!$D$10*AG557^3+BMILMS!$E$10*AG557^2+BMILMS!$F$10*AG557+BMILMS!$G$10,BMILMS!$D$11*AG557^3+BMILMS!$E$11*AG557^2+BMILMS!$F$11*AG557+BMILMS!$G$11)))</f>
        <v>0.79584630099999998</v>
      </c>
      <c r="AE557" s="24">
        <f>IF(D557="M",(IF(AG557&lt;2.5,BMILMS!$D$21*AG557^3+BMILMS!$E$21*AG557^2+BMILMS!$F$21*AG557+BMILMS!$G$21,IF(AG557&lt;9.5,BMILMS!$D$22*AG557^3+BMILMS!$E$22*AG557^2+BMILMS!$F$22*AG557+BMILMS!$G$22,IF(AG557&lt;26.75,BMILMS!$D$23*AG557^3+BMILMS!$E$23*AG557^2+BMILMS!$F$23*AG557+BMILMS!$G$23,IF(AG557&lt;90,BMILMS!$D$24*AG557^3+BMILMS!$E$24*AG557^2+BMILMS!$F$24*AG557+BMILMS!$G$24,BMILMS!$D$25*AG557^3+BMILMS!$E$25*AG557^2+BMILMS!$F$25*AG557+BMILMS!$G$25))))),(IF(AG557&lt;2.5,BMILMS!$D$27*AG557^3+BMILMS!$E$27*AG557^2+BMILMS!$F$27*AG557+BMILMS!$G$27,IF(AG557&lt;9.5,BMILMS!$D$28*AG557^3+BMILMS!$E$28*AG557^2+BMILMS!$F$28*AG557+BMILMS!$G$28,IF(AG557&lt;26.75,BMILMS!$D$29*AG557^3+BMILMS!$E$29*AG557^2+BMILMS!$F$29*AG557+BMILMS!$G$29,IF(AG557&lt;90,BMILMS!$D$30*AG557^3+BMILMS!$E$30*AG557^2+BMILMS!$F$30*AG557+BMILMS!$G$30,IF(AG557&lt;150,BMILMS!$D$31*AG557^3+BMILMS!$E$31*AG557^2+BMILMS!$F$31*AG557+BMILMS!$G$31,BMILMS!$D$32*AG557^3+BMILMS!$E$32*AG557^2+BMILMS!$F$32*AG557+BMILMS!$G$32)))))))</f>
        <v>12.568967990000001</v>
      </c>
      <c r="AF557" s="24">
        <f>IF(D557="M",(IF(AG557&lt;90,BMILMS!$D$14*AG557^3+BMILMS!$E$14*AG557^2+BMILMS!$F$14*AG557+BMILMS!$G$14,BMILMS!$D$15*AG557^3+BMILMS!$E$15*AG557^2+BMILMS!$F$15*AG557+BMILMS!$G$15)),(IF(AG557&lt;90,BMILMS!$D$17*AG557^3+BMILMS!$E$17*AG557^2+BMILMS!$F$17*AG557+BMILMS!$G$17,BMILMS!$D$18*AG557^3+BMILMS!$E$18*AG557^2+BMILMS!$F$18*AG557+BMILMS!$G$18)))</f>
        <v>8.8969350000000003E-2</v>
      </c>
      <c r="AG557" s="24">
        <f t="shared" si="144"/>
        <v>0</v>
      </c>
      <c r="AI557" s="38">
        <f>IF(D557="M",WeightSDS!P$5*$AG557^7+WeightSDS!Q$5*$AG557^6+WeightSDS!R$5*$AG557^5+WeightSDS!S$5*$AG557^4+WeightSDS!T$5*$AG557^3+WeightSDS!U$5*$AG557^2+WeightSDS!V$5*$AG557+WeightSDS!W$5,IF($AG557&lt;186,WeightSDS!P$8*$AG557^7+WeightSDS!Q$8*$AG557^6+WeightSDS!R$8*$AG557^5+WeightSDS!S$8*$AG557^4+WeightSDS!T$8*$AG557^3+WeightSDS!U$8*$AG557^2+WeightSDS!V$8*$AG557+WeightSDS!W$8,WeightSDS!$U$9-WeightSDS!$V$9*($AG557-WeightSDS!$W$9)))</f>
        <v>0.75407122999999998</v>
      </c>
      <c r="AJ557" s="24">
        <f>IF(D557="M",IF($AG557&lt;45,WeightSDS!M$23*$AG557^10+WeightSDS!N$23*$AG557^9+WeightSDS!O$23*$AG557^8+WeightSDS!P$23*$AG557^7+WeightSDS!Q$23*$AG557^6+WeightSDS!R$23*$AG557^5+WeightSDS!S$23*$AG557^4+WeightSDS!T$23*$AG557^3+WeightSDS!U$23*$AG557^2+WeightSDS!V$23*$AG557+WeightSDS!W$23,IF($AG557&lt;153,WeightSDS!M$25*$AG557^10+WeightSDS!N$25*$AG557^9+WeightSDS!O$25*$AG557^8+WeightSDS!P$25*$AG557^7+WeightSDS!Q$25*$AG557^6+WeightSDS!R$25*$AG557^5+WeightSDS!S$25*$AG557^4+WeightSDS!T$25*$AG557^3+WeightSDS!U$25*$AG557^2+WeightSDS!V$25*$AG557+WeightSDS!W$25,WeightSDS!M$27+WeightSDS!N$27/(1+EXP(WeightSDS!O$27+WeightSDS!P$27*$AG557)))),IF($AG557&lt;43.8,WeightSDS!M$29*$AG557^10+WeightSDS!N$29*$AG557^9+WeightSDS!O$29*$AG557^8+WeightSDS!P$29*$AG557^7+WeightSDS!Q$29*$AG557^6+WeightSDS!R$29*$AG557^5+WeightSDS!S$29*$AG557^4+WeightSDS!T$29*$AG557^3+WeightSDS!U$29*$AG557^2+WeightSDS!V$29*$AG557+WeightSDS!W$29-0.010431*(1-$AG557/210),IF($AG557&lt;123,WeightSDS!M$30*$AG557^10+WeightSDS!N$30*$AG557^9+WeightSDS!O$30*$AG557^8+WeightSDS!P$30*$AG557^7+WeightSDS!Q$30*$AG557^6+WeightSDS!R$30*$AG557^5+WeightSDS!S$30*$AG557^4+WeightSDS!T$30*$AG557^3+WeightSDS!U$30*$AG557^2+WeightSDS!V$30*$AG557+WeightSDS!W$30-0.010431*(1-1/$AG557),WeightSDS!M$32+WeightSDS!N$32/(1+EXP(WeightSDS!O$32+WeightSDS!P$32*$AG557))-0.010431*(1-$AG557/210))))</f>
        <v>2.9500001032655536</v>
      </c>
      <c r="AK557" s="24">
        <f>IF(D557="M",IF($AG557&lt;162,WeightSDS!P$12*$AG557^7+WeightSDS!Q$12*$AG557^6+WeightSDS!R$12*$AG557^5+WeightSDS!S$12*$AG557^4+WeightSDS!T$12*$AG557^3+WeightSDS!U$12*$AG557^2+WeightSDS!V$12*$AG557+WeightSDS!W$12,WeightSDS!P$14*$AG557^7+WeightSDS!Q$14*$AG557^6+WeightSDS!R$14*$AG557^5+WeightSDS!S$14*$AG557^4+WeightSDS!T$14*$AG557^3+WeightSDS!U$14*$AG557^2+WeightSDS!V$14*$AG557+WeightSDS!W$14),IF($AG557&lt;156,WeightSDS!O$17*$AG557^8+WeightSDS!P$17*$AG557^7+WeightSDS!Q$17*$AG557^6+WeightSDS!R$17*$AG557^5+WeightSDS!S$17*$AG557^4+WeightSDS!T$17*$AG557^3+WeightSDS!U$17*$AG557^2+WeightSDS!V$17*$AG557+WeightSDS!W$17,IF($AG557&lt;186,WeightSDS!$U$18+(WeightSDS!$V$18-WeightSDS!$U$18)/24*($AG557-186)+WeightSDS!$W$18*(-$AG557+186)^2-0.005,WeightSDS!$U$18+(WeightSDS!$V$18-WeightSDS!$U$18)/24*($AG557-186)-0.005)))</f>
        <v>0.14604529399999999</v>
      </c>
    </row>
    <row r="558" spans="1:37">
      <c r="A558" s="4"/>
      <c r="B558" s="21"/>
      <c r="C558" s="21"/>
      <c r="D558" s="21"/>
      <c r="E558" s="22"/>
      <c r="F558" s="22"/>
      <c r="G558" s="23"/>
      <c r="H558" s="23"/>
      <c r="I558" s="8" t="str">
        <f t="shared" si="130"/>
        <v/>
      </c>
      <c r="J558" s="2" t="str">
        <f t="shared" si="137"/>
        <v/>
      </c>
      <c r="K558" s="2" t="str">
        <f t="shared" si="131"/>
        <v/>
      </c>
      <c r="L558" s="2" t="str">
        <f t="shared" si="138"/>
        <v/>
      </c>
      <c r="M558" s="2" t="str">
        <f t="shared" si="143"/>
        <v/>
      </c>
      <c r="N558" s="2" t="str">
        <f t="shared" si="139"/>
        <v/>
      </c>
      <c r="O558" s="8" t="str">
        <f t="shared" si="140"/>
        <v/>
      </c>
      <c r="P558" s="8" t="str">
        <f t="shared" si="141"/>
        <v/>
      </c>
      <c r="Q558" s="40" t="str">
        <f t="shared" si="132"/>
        <v/>
      </c>
      <c r="R558" s="48" t="str">
        <f t="shared" si="142"/>
        <v/>
      </c>
      <c r="S558" s="8"/>
      <c r="U558" s="35">
        <f t="shared" si="133"/>
        <v>0</v>
      </c>
      <c r="V558" s="24">
        <f t="shared" si="134"/>
        <v>0</v>
      </c>
      <c r="W558" s="41">
        <f t="shared" si="145"/>
        <v>0</v>
      </c>
      <c r="X558" s="31"/>
      <c r="Y558" s="31"/>
      <c r="Z558" s="31"/>
      <c r="AA558" s="25">
        <f t="shared" si="135"/>
        <v>9.0359999999999996</v>
      </c>
      <c r="AB558" s="25">
        <f t="shared" si="136"/>
        <v>-184.49199999999999</v>
      </c>
      <c r="AD558" s="24">
        <f>IF(D558="M",IF(AG558&lt;78,BMILMS!$D$5*AG558^3+BMILMS!$E$5*AG558^2+BMILMS!$F$5*AG558+BMILMS!$G$5,IF(AG558&lt;150,BMILMS!$D$6*AG558^3+BMILMS!$E$6*AG558^2+BMILMS!$F$6*AG558+BMILMS!$G$6,BMILMS!$D$7*AG558^3+BMILMS!$E$7*AG558^2+BMILMS!$F$7*AG558+BMILMS!$G$7)),IF(AG558&lt;69,BMILMS!$D$9*AG558^3+BMILMS!$E$9*AG558^2+BMILMS!$F$9*AG558+BMILMS!$G$9,IF(AG558&lt;150,BMILMS!$D$10*AG558^3+BMILMS!$E$10*AG558^2+BMILMS!$F$10*AG558+BMILMS!$G$10,BMILMS!$D$11*AG558^3+BMILMS!$E$11*AG558^2+BMILMS!$F$11*AG558+BMILMS!$G$11)))</f>
        <v>0.79584630099999998</v>
      </c>
      <c r="AE558" s="24">
        <f>IF(D558="M",(IF(AG558&lt;2.5,BMILMS!$D$21*AG558^3+BMILMS!$E$21*AG558^2+BMILMS!$F$21*AG558+BMILMS!$G$21,IF(AG558&lt;9.5,BMILMS!$D$22*AG558^3+BMILMS!$E$22*AG558^2+BMILMS!$F$22*AG558+BMILMS!$G$22,IF(AG558&lt;26.75,BMILMS!$D$23*AG558^3+BMILMS!$E$23*AG558^2+BMILMS!$F$23*AG558+BMILMS!$G$23,IF(AG558&lt;90,BMILMS!$D$24*AG558^3+BMILMS!$E$24*AG558^2+BMILMS!$F$24*AG558+BMILMS!$G$24,BMILMS!$D$25*AG558^3+BMILMS!$E$25*AG558^2+BMILMS!$F$25*AG558+BMILMS!$G$25))))),(IF(AG558&lt;2.5,BMILMS!$D$27*AG558^3+BMILMS!$E$27*AG558^2+BMILMS!$F$27*AG558+BMILMS!$G$27,IF(AG558&lt;9.5,BMILMS!$D$28*AG558^3+BMILMS!$E$28*AG558^2+BMILMS!$F$28*AG558+BMILMS!$G$28,IF(AG558&lt;26.75,BMILMS!$D$29*AG558^3+BMILMS!$E$29*AG558^2+BMILMS!$F$29*AG558+BMILMS!$G$29,IF(AG558&lt;90,BMILMS!$D$30*AG558^3+BMILMS!$E$30*AG558^2+BMILMS!$F$30*AG558+BMILMS!$G$30,IF(AG558&lt;150,BMILMS!$D$31*AG558^3+BMILMS!$E$31*AG558^2+BMILMS!$F$31*AG558+BMILMS!$G$31,BMILMS!$D$32*AG558^3+BMILMS!$E$32*AG558^2+BMILMS!$F$32*AG558+BMILMS!$G$32)))))))</f>
        <v>12.568967990000001</v>
      </c>
      <c r="AF558" s="24">
        <f>IF(D558="M",(IF(AG558&lt;90,BMILMS!$D$14*AG558^3+BMILMS!$E$14*AG558^2+BMILMS!$F$14*AG558+BMILMS!$G$14,BMILMS!$D$15*AG558^3+BMILMS!$E$15*AG558^2+BMILMS!$F$15*AG558+BMILMS!$G$15)),(IF(AG558&lt;90,BMILMS!$D$17*AG558^3+BMILMS!$E$17*AG558^2+BMILMS!$F$17*AG558+BMILMS!$G$17,BMILMS!$D$18*AG558^3+BMILMS!$E$18*AG558^2+BMILMS!$F$18*AG558+BMILMS!$G$18)))</f>
        <v>8.8969350000000003E-2</v>
      </c>
      <c r="AG558" s="24">
        <f t="shared" si="144"/>
        <v>0</v>
      </c>
      <c r="AI558" s="38">
        <f>IF(D558="M",WeightSDS!P$5*$AG558^7+WeightSDS!Q$5*$AG558^6+WeightSDS!R$5*$AG558^5+WeightSDS!S$5*$AG558^4+WeightSDS!T$5*$AG558^3+WeightSDS!U$5*$AG558^2+WeightSDS!V$5*$AG558+WeightSDS!W$5,IF($AG558&lt;186,WeightSDS!P$8*$AG558^7+WeightSDS!Q$8*$AG558^6+WeightSDS!R$8*$AG558^5+WeightSDS!S$8*$AG558^4+WeightSDS!T$8*$AG558^3+WeightSDS!U$8*$AG558^2+WeightSDS!V$8*$AG558+WeightSDS!W$8,WeightSDS!$U$9-WeightSDS!$V$9*($AG558-WeightSDS!$W$9)))</f>
        <v>0.75407122999999998</v>
      </c>
      <c r="AJ558" s="24">
        <f>IF(D558="M",IF($AG558&lt;45,WeightSDS!M$23*$AG558^10+WeightSDS!N$23*$AG558^9+WeightSDS!O$23*$AG558^8+WeightSDS!P$23*$AG558^7+WeightSDS!Q$23*$AG558^6+WeightSDS!R$23*$AG558^5+WeightSDS!S$23*$AG558^4+WeightSDS!T$23*$AG558^3+WeightSDS!U$23*$AG558^2+WeightSDS!V$23*$AG558+WeightSDS!W$23,IF($AG558&lt;153,WeightSDS!M$25*$AG558^10+WeightSDS!N$25*$AG558^9+WeightSDS!O$25*$AG558^8+WeightSDS!P$25*$AG558^7+WeightSDS!Q$25*$AG558^6+WeightSDS!R$25*$AG558^5+WeightSDS!S$25*$AG558^4+WeightSDS!T$25*$AG558^3+WeightSDS!U$25*$AG558^2+WeightSDS!V$25*$AG558+WeightSDS!W$25,WeightSDS!M$27+WeightSDS!N$27/(1+EXP(WeightSDS!O$27+WeightSDS!P$27*$AG558)))),IF($AG558&lt;43.8,WeightSDS!M$29*$AG558^10+WeightSDS!N$29*$AG558^9+WeightSDS!O$29*$AG558^8+WeightSDS!P$29*$AG558^7+WeightSDS!Q$29*$AG558^6+WeightSDS!R$29*$AG558^5+WeightSDS!S$29*$AG558^4+WeightSDS!T$29*$AG558^3+WeightSDS!U$29*$AG558^2+WeightSDS!V$29*$AG558+WeightSDS!W$29-0.010431*(1-$AG558/210),IF($AG558&lt;123,WeightSDS!M$30*$AG558^10+WeightSDS!N$30*$AG558^9+WeightSDS!O$30*$AG558^8+WeightSDS!P$30*$AG558^7+WeightSDS!Q$30*$AG558^6+WeightSDS!R$30*$AG558^5+WeightSDS!S$30*$AG558^4+WeightSDS!T$30*$AG558^3+WeightSDS!U$30*$AG558^2+WeightSDS!V$30*$AG558+WeightSDS!W$30-0.010431*(1-1/$AG558),WeightSDS!M$32+WeightSDS!N$32/(1+EXP(WeightSDS!O$32+WeightSDS!P$32*$AG558))-0.010431*(1-$AG558/210))))</f>
        <v>2.9500001032655536</v>
      </c>
      <c r="AK558" s="24">
        <f>IF(D558="M",IF($AG558&lt;162,WeightSDS!P$12*$AG558^7+WeightSDS!Q$12*$AG558^6+WeightSDS!R$12*$AG558^5+WeightSDS!S$12*$AG558^4+WeightSDS!T$12*$AG558^3+WeightSDS!U$12*$AG558^2+WeightSDS!V$12*$AG558+WeightSDS!W$12,WeightSDS!P$14*$AG558^7+WeightSDS!Q$14*$AG558^6+WeightSDS!R$14*$AG558^5+WeightSDS!S$14*$AG558^4+WeightSDS!T$14*$AG558^3+WeightSDS!U$14*$AG558^2+WeightSDS!V$14*$AG558+WeightSDS!W$14),IF($AG558&lt;156,WeightSDS!O$17*$AG558^8+WeightSDS!P$17*$AG558^7+WeightSDS!Q$17*$AG558^6+WeightSDS!R$17*$AG558^5+WeightSDS!S$17*$AG558^4+WeightSDS!T$17*$AG558^3+WeightSDS!U$17*$AG558^2+WeightSDS!V$17*$AG558+WeightSDS!W$17,IF($AG558&lt;186,WeightSDS!$U$18+(WeightSDS!$V$18-WeightSDS!$U$18)/24*($AG558-186)+WeightSDS!$W$18*(-$AG558+186)^2-0.005,WeightSDS!$U$18+(WeightSDS!$V$18-WeightSDS!$U$18)/24*($AG558-186)-0.005)))</f>
        <v>0.14604529399999999</v>
      </c>
    </row>
    <row r="559" spans="1:37">
      <c r="A559" s="4"/>
      <c r="B559" s="21"/>
      <c r="C559" s="21"/>
      <c r="D559" s="21"/>
      <c r="E559" s="22"/>
      <c r="F559" s="22"/>
      <c r="G559" s="23"/>
      <c r="H559" s="23"/>
      <c r="I559" s="8" t="str">
        <f t="shared" si="130"/>
        <v/>
      </c>
      <c r="J559" s="2" t="str">
        <f t="shared" si="137"/>
        <v/>
      </c>
      <c r="K559" s="2" t="str">
        <f t="shared" si="131"/>
        <v/>
      </c>
      <c r="L559" s="2" t="str">
        <f t="shared" si="138"/>
        <v/>
      </c>
      <c r="M559" s="2" t="str">
        <f t="shared" si="143"/>
        <v/>
      </c>
      <c r="N559" s="2" t="str">
        <f t="shared" si="139"/>
        <v/>
      </c>
      <c r="O559" s="8" t="str">
        <f t="shared" si="140"/>
        <v/>
      </c>
      <c r="P559" s="8" t="str">
        <f t="shared" si="141"/>
        <v/>
      </c>
      <c r="Q559" s="40" t="str">
        <f t="shared" si="132"/>
        <v/>
      </c>
      <c r="R559" s="48" t="str">
        <f t="shared" si="142"/>
        <v/>
      </c>
      <c r="S559" s="8"/>
      <c r="U559" s="35">
        <f t="shared" si="133"/>
        <v>0</v>
      </c>
      <c r="V559" s="24">
        <f t="shared" si="134"/>
        <v>0</v>
      </c>
      <c r="W559" s="41">
        <f t="shared" si="145"/>
        <v>0</v>
      </c>
      <c r="X559" s="31"/>
      <c r="Y559" s="31"/>
      <c r="Z559" s="31"/>
      <c r="AA559" s="25">
        <f t="shared" si="135"/>
        <v>9.0359999999999996</v>
      </c>
      <c r="AB559" s="25">
        <f t="shared" si="136"/>
        <v>-184.49199999999999</v>
      </c>
      <c r="AD559" s="24">
        <f>IF(D559="M",IF(AG559&lt;78,BMILMS!$D$5*AG559^3+BMILMS!$E$5*AG559^2+BMILMS!$F$5*AG559+BMILMS!$G$5,IF(AG559&lt;150,BMILMS!$D$6*AG559^3+BMILMS!$E$6*AG559^2+BMILMS!$F$6*AG559+BMILMS!$G$6,BMILMS!$D$7*AG559^3+BMILMS!$E$7*AG559^2+BMILMS!$F$7*AG559+BMILMS!$G$7)),IF(AG559&lt;69,BMILMS!$D$9*AG559^3+BMILMS!$E$9*AG559^2+BMILMS!$F$9*AG559+BMILMS!$G$9,IF(AG559&lt;150,BMILMS!$D$10*AG559^3+BMILMS!$E$10*AG559^2+BMILMS!$F$10*AG559+BMILMS!$G$10,BMILMS!$D$11*AG559^3+BMILMS!$E$11*AG559^2+BMILMS!$F$11*AG559+BMILMS!$G$11)))</f>
        <v>0.79584630099999998</v>
      </c>
      <c r="AE559" s="24">
        <f>IF(D559="M",(IF(AG559&lt;2.5,BMILMS!$D$21*AG559^3+BMILMS!$E$21*AG559^2+BMILMS!$F$21*AG559+BMILMS!$G$21,IF(AG559&lt;9.5,BMILMS!$D$22*AG559^3+BMILMS!$E$22*AG559^2+BMILMS!$F$22*AG559+BMILMS!$G$22,IF(AG559&lt;26.75,BMILMS!$D$23*AG559^3+BMILMS!$E$23*AG559^2+BMILMS!$F$23*AG559+BMILMS!$G$23,IF(AG559&lt;90,BMILMS!$D$24*AG559^3+BMILMS!$E$24*AG559^2+BMILMS!$F$24*AG559+BMILMS!$G$24,BMILMS!$D$25*AG559^3+BMILMS!$E$25*AG559^2+BMILMS!$F$25*AG559+BMILMS!$G$25))))),(IF(AG559&lt;2.5,BMILMS!$D$27*AG559^3+BMILMS!$E$27*AG559^2+BMILMS!$F$27*AG559+BMILMS!$G$27,IF(AG559&lt;9.5,BMILMS!$D$28*AG559^3+BMILMS!$E$28*AG559^2+BMILMS!$F$28*AG559+BMILMS!$G$28,IF(AG559&lt;26.75,BMILMS!$D$29*AG559^3+BMILMS!$E$29*AG559^2+BMILMS!$F$29*AG559+BMILMS!$G$29,IF(AG559&lt;90,BMILMS!$D$30*AG559^3+BMILMS!$E$30*AG559^2+BMILMS!$F$30*AG559+BMILMS!$G$30,IF(AG559&lt;150,BMILMS!$D$31*AG559^3+BMILMS!$E$31*AG559^2+BMILMS!$F$31*AG559+BMILMS!$G$31,BMILMS!$D$32*AG559^3+BMILMS!$E$32*AG559^2+BMILMS!$F$32*AG559+BMILMS!$G$32)))))))</f>
        <v>12.568967990000001</v>
      </c>
      <c r="AF559" s="24">
        <f>IF(D559="M",(IF(AG559&lt;90,BMILMS!$D$14*AG559^3+BMILMS!$E$14*AG559^2+BMILMS!$F$14*AG559+BMILMS!$G$14,BMILMS!$D$15*AG559^3+BMILMS!$E$15*AG559^2+BMILMS!$F$15*AG559+BMILMS!$G$15)),(IF(AG559&lt;90,BMILMS!$D$17*AG559^3+BMILMS!$E$17*AG559^2+BMILMS!$F$17*AG559+BMILMS!$G$17,BMILMS!$D$18*AG559^3+BMILMS!$E$18*AG559^2+BMILMS!$F$18*AG559+BMILMS!$G$18)))</f>
        <v>8.8969350000000003E-2</v>
      </c>
      <c r="AG559" s="24">
        <f t="shared" si="144"/>
        <v>0</v>
      </c>
      <c r="AI559" s="38">
        <f>IF(D559="M",WeightSDS!P$5*$AG559^7+WeightSDS!Q$5*$AG559^6+WeightSDS!R$5*$AG559^5+WeightSDS!S$5*$AG559^4+WeightSDS!T$5*$AG559^3+WeightSDS!U$5*$AG559^2+WeightSDS!V$5*$AG559+WeightSDS!W$5,IF($AG559&lt;186,WeightSDS!P$8*$AG559^7+WeightSDS!Q$8*$AG559^6+WeightSDS!R$8*$AG559^5+WeightSDS!S$8*$AG559^4+WeightSDS!T$8*$AG559^3+WeightSDS!U$8*$AG559^2+WeightSDS!V$8*$AG559+WeightSDS!W$8,WeightSDS!$U$9-WeightSDS!$V$9*($AG559-WeightSDS!$W$9)))</f>
        <v>0.75407122999999998</v>
      </c>
      <c r="AJ559" s="24">
        <f>IF(D559="M",IF($AG559&lt;45,WeightSDS!M$23*$AG559^10+WeightSDS!N$23*$AG559^9+WeightSDS!O$23*$AG559^8+WeightSDS!P$23*$AG559^7+WeightSDS!Q$23*$AG559^6+WeightSDS!R$23*$AG559^5+WeightSDS!S$23*$AG559^4+WeightSDS!T$23*$AG559^3+WeightSDS!U$23*$AG559^2+WeightSDS!V$23*$AG559+WeightSDS!W$23,IF($AG559&lt;153,WeightSDS!M$25*$AG559^10+WeightSDS!N$25*$AG559^9+WeightSDS!O$25*$AG559^8+WeightSDS!P$25*$AG559^7+WeightSDS!Q$25*$AG559^6+WeightSDS!R$25*$AG559^5+WeightSDS!S$25*$AG559^4+WeightSDS!T$25*$AG559^3+WeightSDS!U$25*$AG559^2+WeightSDS!V$25*$AG559+WeightSDS!W$25,WeightSDS!M$27+WeightSDS!N$27/(1+EXP(WeightSDS!O$27+WeightSDS!P$27*$AG559)))),IF($AG559&lt;43.8,WeightSDS!M$29*$AG559^10+WeightSDS!N$29*$AG559^9+WeightSDS!O$29*$AG559^8+WeightSDS!P$29*$AG559^7+WeightSDS!Q$29*$AG559^6+WeightSDS!R$29*$AG559^5+WeightSDS!S$29*$AG559^4+WeightSDS!T$29*$AG559^3+WeightSDS!U$29*$AG559^2+WeightSDS!V$29*$AG559+WeightSDS!W$29-0.010431*(1-$AG559/210),IF($AG559&lt;123,WeightSDS!M$30*$AG559^10+WeightSDS!N$30*$AG559^9+WeightSDS!O$30*$AG559^8+WeightSDS!P$30*$AG559^7+WeightSDS!Q$30*$AG559^6+WeightSDS!R$30*$AG559^5+WeightSDS!S$30*$AG559^4+WeightSDS!T$30*$AG559^3+WeightSDS!U$30*$AG559^2+WeightSDS!V$30*$AG559+WeightSDS!W$30-0.010431*(1-1/$AG559),WeightSDS!M$32+WeightSDS!N$32/(1+EXP(WeightSDS!O$32+WeightSDS!P$32*$AG559))-0.010431*(1-$AG559/210))))</f>
        <v>2.9500001032655536</v>
      </c>
      <c r="AK559" s="24">
        <f>IF(D559="M",IF($AG559&lt;162,WeightSDS!P$12*$AG559^7+WeightSDS!Q$12*$AG559^6+WeightSDS!R$12*$AG559^5+WeightSDS!S$12*$AG559^4+WeightSDS!T$12*$AG559^3+WeightSDS!U$12*$AG559^2+WeightSDS!V$12*$AG559+WeightSDS!W$12,WeightSDS!P$14*$AG559^7+WeightSDS!Q$14*$AG559^6+WeightSDS!R$14*$AG559^5+WeightSDS!S$14*$AG559^4+WeightSDS!T$14*$AG559^3+WeightSDS!U$14*$AG559^2+WeightSDS!V$14*$AG559+WeightSDS!W$14),IF($AG559&lt;156,WeightSDS!O$17*$AG559^8+WeightSDS!P$17*$AG559^7+WeightSDS!Q$17*$AG559^6+WeightSDS!R$17*$AG559^5+WeightSDS!S$17*$AG559^4+WeightSDS!T$17*$AG559^3+WeightSDS!U$17*$AG559^2+WeightSDS!V$17*$AG559+WeightSDS!W$17,IF($AG559&lt;186,WeightSDS!$U$18+(WeightSDS!$V$18-WeightSDS!$U$18)/24*($AG559-186)+WeightSDS!$W$18*(-$AG559+186)^2-0.005,WeightSDS!$U$18+(WeightSDS!$V$18-WeightSDS!$U$18)/24*($AG559-186)-0.005)))</f>
        <v>0.14604529399999999</v>
      </c>
    </row>
    <row r="560" spans="1:37">
      <c r="A560" s="4"/>
      <c r="B560" s="21"/>
      <c r="C560" s="21"/>
      <c r="D560" s="21"/>
      <c r="E560" s="22"/>
      <c r="F560" s="22"/>
      <c r="G560" s="23"/>
      <c r="H560" s="23"/>
      <c r="I560" s="8" t="str">
        <f t="shared" si="130"/>
        <v/>
      </c>
      <c r="J560" s="2" t="str">
        <f t="shared" si="137"/>
        <v/>
      </c>
      <c r="K560" s="2" t="str">
        <f t="shared" si="131"/>
        <v/>
      </c>
      <c r="L560" s="2" t="str">
        <f t="shared" si="138"/>
        <v/>
      </c>
      <c r="M560" s="2" t="str">
        <f t="shared" si="143"/>
        <v/>
      </c>
      <c r="N560" s="2" t="str">
        <f t="shared" si="139"/>
        <v/>
      </c>
      <c r="O560" s="8" t="str">
        <f t="shared" si="140"/>
        <v/>
      </c>
      <c r="P560" s="8" t="str">
        <f t="shared" si="141"/>
        <v/>
      </c>
      <c r="Q560" s="40" t="str">
        <f t="shared" si="132"/>
        <v/>
      </c>
      <c r="R560" s="48" t="str">
        <f t="shared" si="142"/>
        <v/>
      </c>
      <c r="S560" s="8"/>
      <c r="U560" s="35">
        <f t="shared" si="133"/>
        <v>0</v>
      </c>
      <c r="V560" s="24">
        <f t="shared" si="134"/>
        <v>0</v>
      </c>
      <c r="W560" s="41">
        <f t="shared" si="145"/>
        <v>0</v>
      </c>
      <c r="X560" s="31"/>
      <c r="Y560" s="31"/>
      <c r="Z560" s="31"/>
      <c r="AA560" s="25">
        <f t="shared" si="135"/>
        <v>9.0359999999999996</v>
      </c>
      <c r="AB560" s="25">
        <f t="shared" si="136"/>
        <v>-184.49199999999999</v>
      </c>
      <c r="AD560" s="24">
        <f>IF(D560="M",IF(AG560&lt;78,BMILMS!$D$5*AG560^3+BMILMS!$E$5*AG560^2+BMILMS!$F$5*AG560+BMILMS!$G$5,IF(AG560&lt;150,BMILMS!$D$6*AG560^3+BMILMS!$E$6*AG560^2+BMILMS!$F$6*AG560+BMILMS!$G$6,BMILMS!$D$7*AG560^3+BMILMS!$E$7*AG560^2+BMILMS!$F$7*AG560+BMILMS!$G$7)),IF(AG560&lt;69,BMILMS!$D$9*AG560^3+BMILMS!$E$9*AG560^2+BMILMS!$F$9*AG560+BMILMS!$G$9,IF(AG560&lt;150,BMILMS!$D$10*AG560^3+BMILMS!$E$10*AG560^2+BMILMS!$F$10*AG560+BMILMS!$G$10,BMILMS!$D$11*AG560^3+BMILMS!$E$11*AG560^2+BMILMS!$F$11*AG560+BMILMS!$G$11)))</f>
        <v>0.79584630099999998</v>
      </c>
      <c r="AE560" s="24">
        <f>IF(D560="M",(IF(AG560&lt;2.5,BMILMS!$D$21*AG560^3+BMILMS!$E$21*AG560^2+BMILMS!$F$21*AG560+BMILMS!$G$21,IF(AG560&lt;9.5,BMILMS!$D$22*AG560^3+BMILMS!$E$22*AG560^2+BMILMS!$F$22*AG560+BMILMS!$G$22,IF(AG560&lt;26.75,BMILMS!$D$23*AG560^3+BMILMS!$E$23*AG560^2+BMILMS!$F$23*AG560+BMILMS!$G$23,IF(AG560&lt;90,BMILMS!$D$24*AG560^3+BMILMS!$E$24*AG560^2+BMILMS!$F$24*AG560+BMILMS!$G$24,BMILMS!$D$25*AG560^3+BMILMS!$E$25*AG560^2+BMILMS!$F$25*AG560+BMILMS!$G$25))))),(IF(AG560&lt;2.5,BMILMS!$D$27*AG560^3+BMILMS!$E$27*AG560^2+BMILMS!$F$27*AG560+BMILMS!$G$27,IF(AG560&lt;9.5,BMILMS!$D$28*AG560^3+BMILMS!$E$28*AG560^2+BMILMS!$F$28*AG560+BMILMS!$G$28,IF(AG560&lt;26.75,BMILMS!$D$29*AG560^3+BMILMS!$E$29*AG560^2+BMILMS!$F$29*AG560+BMILMS!$G$29,IF(AG560&lt;90,BMILMS!$D$30*AG560^3+BMILMS!$E$30*AG560^2+BMILMS!$F$30*AG560+BMILMS!$G$30,IF(AG560&lt;150,BMILMS!$D$31*AG560^3+BMILMS!$E$31*AG560^2+BMILMS!$F$31*AG560+BMILMS!$G$31,BMILMS!$D$32*AG560^3+BMILMS!$E$32*AG560^2+BMILMS!$F$32*AG560+BMILMS!$G$32)))))))</f>
        <v>12.568967990000001</v>
      </c>
      <c r="AF560" s="24">
        <f>IF(D560="M",(IF(AG560&lt;90,BMILMS!$D$14*AG560^3+BMILMS!$E$14*AG560^2+BMILMS!$F$14*AG560+BMILMS!$G$14,BMILMS!$D$15*AG560^3+BMILMS!$E$15*AG560^2+BMILMS!$F$15*AG560+BMILMS!$G$15)),(IF(AG560&lt;90,BMILMS!$D$17*AG560^3+BMILMS!$E$17*AG560^2+BMILMS!$F$17*AG560+BMILMS!$G$17,BMILMS!$D$18*AG560^3+BMILMS!$E$18*AG560^2+BMILMS!$F$18*AG560+BMILMS!$G$18)))</f>
        <v>8.8969350000000003E-2</v>
      </c>
      <c r="AG560" s="24">
        <f t="shared" si="144"/>
        <v>0</v>
      </c>
      <c r="AI560" s="38">
        <f>IF(D560="M",WeightSDS!P$5*$AG560^7+WeightSDS!Q$5*$AG560^6+WeightSDS!R$5*$AG560^5+WeightSDS!S$5*$AG560^4+WeightSDS!T$5*$AG560^3+WeightSDS!U$5*$AG560^2+WeightSDS!V$5*$AG560+WeightSDS!W$5,IF($AG560&lt;186,WeightSDS!P$8*$AG560^7+WeightSDS!Q$8*$AG560^6+WeightSDS!R$8*$AG560^5+WeightSDS!S$8*$AG560^4+WeightSDS!T$8*$AG560^3+WeightSDS!U$8*$AG560^2+WeightSDS!V$8*$AG560+WeightSDS!W$8,WeightSDS!$U$9-WeightSDS!$V$9*($AG560-WeightSDS!$W$9)))</f>
        <v>0.75407122999999998</v>
      </c>
      <c r="AJ560" s="24">
        <f>IF(D560="M",IF($AG560&lt;45,WeightSDS!M$23*$AG560^10+WeightSDS!N$23*$AG560^9+WeightSDS!O$23*$AG560^8+WeightSDS!P$23*$AG560^7+WeightSDS!Q$23*$AG560^6+WeightSDS!R$23*$AG560^5+WeightSDS!S$23*$AG560^4+WeightSDS!T$23*$AG560^3+WeightSDS!U$23*$AG560^2+WeightSDS!V$23*$AG560+WeightSDS!W$23,IF($AG560&lt;153,WeightSDS!M$25*$AG560^10+WeightSDS!N$25*$AG560^9+WeightSDS!O$25*$AG560^8+WeightSDS!P$25*$AG560^7+WeightSDS!Q$25*$AG560^6+WeightSDS!R$25*$AG560^5+WeightSDS!S$25*$AG560^4+WeightSDS!T$25*$AG560^3+WeightSDS!U$25*$AG560^2+WeightSDS!V$25*$AG560+WeightSDS!W$25,WeightSDS!M$27+WeightSDS!N$27/(1+EXP(WeightSDS!O$27+WeightSDS!P$27*$AG560)))),IF($AG560&lt;43.8,WeightSDS!M$29*$AG560^10+WeightSDS!N$29*$AG560^9+WeightSDS!O$29*$AG560^8+WeightSDS!P$29*$AG560^7+WeightSDS!Q$29*$AG560^6+WeightSDS!R$29*$AG560^5+WeightSDS!S$29*$AG560^4+WeightSDS!T$29*$AG560^3+WeightSDS!U$29*$AG560^2+WeightSDS!V$29*$AG560+WeightSDS!W$29-0.010431*(1-$AG560/210),IF($AG560&lt;123,WeightSDS!M$30*$AG560^10+WeightSDS!N$30*$AG560^9+WeightSDS!O$30*$AG560^8+WeightSDS!P$30*$AG560^7+WeightSDS!Q$30*$AG560^6+WeightSDS!R$30*$AG560^5+WeightSDS!S$30*$AG560^4+WeightSDS!T$30*$AG560^3+WeightSDS!U$30*$AG560^2+WeightSDS!V$30*$AG560+WeightSDS!W$30-0.010431*(1-1/$AG560),WeightSDS!M$32+WeightSDS!N$32/(1+EXP(WeightSDS!O$32+WeightSDS!P$32*$AG560))-0.010431*(1-$AG560/210))))</f>
        <v>2.9500001032655536</v>
      </c>
      <c r="AK560" s="24">
        <f>IF(D560="M",IF($AG560&lt;162,WeightSDS!P$12*$AG560^7+WeightSDS!Q$12*$AG560^6+WeightSDS!R$12*$AG560^5+WeightSDS!S$12*$AG560^4+WeightSDS!T$12*$AG560^3+WeightSDS!U$12*$AG560^2+WeightSDS!V$12*$AG560+WeightSDS!W$12,WeightSDS!P$14*$AG560^7+WeightSDS!Q$14*$AG560^6+WeightSDS!R$14*$AG560^5+WeightSDS!S$14*$AG560^4+WeightSDS!T$14*$AG560^3+WeightSDS!U$14*$AG560^2+WeightSDS!V$14*$AG560+WeightSDS!W$14),IF($AG560&lt;156,WeightSDS!O$17*$AG560^8+WeightSDS!P$17*$AG560^7+WeightSDS!Q$17*$AG560^6+WeightSDS!R$17*$AG560^5+WeightSDS!S$17*$AG560^4+WeightSDS!T$17*$AG560^3+WeightSDS!U$17*$AG560^2+WeightSDS!V$17*$AG560+WeightSDS!W$17,IF($AG560&lt;186,WeightSDS!$U$18+(WeightSDS!$V$18-WeightSDS!$U$18)/24*($AG560-186)+WeightSDS!$W$18*(-$AG560+186)^2-0.005,WeightSDS!$U$18+(WeightSDS!$V$18-WeightSDS!$U$18)/24*($AG560-186)-0.005)))</f>
        <v>0.14604529399999999</v>
      </c>
    </row>
    <row r="561" spans="1:37">
      <c r="A561" s="4"/>
      <c r="B561" s="21"/>
      <c r="C561" s="21"/>
      <c r="D561" s="21"/>
      <c r="E561" s="22"/>
      <c r="F561" s="22"/>
      <c r="G561" s="23"/>
      <c r="H561" s="23"/>
      <c r="I561" s="8" t="str">
        <f t="shared" si="130"/>
        <v/>
      </c>
      <c r="J561" s="2" t="str">
        <f t="shared" si="137"/>
        <v/>
      </c>
      <c r="K561" s="2" t="str">
        <f t="shared" si="131"/>
        <v/>
      </c>
      <c r="L561" s="2" t="str">
        <f t="shared" si="138"/>
        <v/>
      </c>
      <c r="M561" s="2" t="str">
        <f t="shared" si="143"/>
        <v/>
      </c>
      <c r="N561" s="2" t="str">
        <f t="shared" si="139"/>
        <v/>
      </c>
      <c r="O561" s="8" t="str">
        <f t="shared" si="140"/>
        <v/>
      </c>
      <c r="P561" s="8" t="str">
        <f t="shared" si="141"/>
        <v/>
      </c>
      <c r="Q561" s="40" t="str">
        <f t="shared" si="132"/>
        <v/>
      </c>
      <c r="R561" s="48" t="str">
        <f t="shared" si="142"/>
        <v/>
      </c>
      <c r="S561" s="8"/>
      <c r="U561" s="35">
        <f t="shared" si="133"/>
        <v>0</v>
      </c>
      <c r="V561" s="24">
        <f t="shared" si="134"/>
        <v>0</v>
      </c>
      <c r="W561" s="41">
        <f t="shared" si="145"/>
        <v>0</v>
      </c>
      <c r="X561" s="31"/>
      <c r="Y561" s="31"/>
      <c r="Z561" s="31"/>
      <c r="AA561" s="25">
        <f t="shared" si="135"/>
        <v>9.0359999999999996</v>
      </c>
      <c r="AB561" s="25">
        <f t="shared" si="136"/>
        <v>-184.49199999999999</v>
      </c>
      <c r="AD561" s="24">
        <f>IF(D561="M",IF(AG561&lt;78,BMILMS!$D$5*AG561^3+BMILMS!$E$5*AG561^2+BMILMS!$F$5*AG561+BMILMS!$G$5,IF(AG561&lt;150,BMILMS!$D$6*AG561^3+BMILMS!$E$6*AG561^2+BMILMS!$F$6*AG561+BMILMS!$G$6,BMILMS!$D$7*AG561^3+BMILMS!$E$7*AG561^2+BMILMS!$F$7*AG561+BMILMS!$G$7)),IF(AG561&lt;69,BMILMS!$D$9*AG561^3+BMILMS!$E$9*AG561^2+BMILMS!$F$9*AG561+BMILMS!$G$9,IF(AG561&lt;150,BMILMS!$D$10*AG561^3+BMILMS!$E$10*AG561^2+BMILMS!$F$10*AG561+BMILMS!$G$10,BMILMS!$D$11*AG561^3+BMILMS!$E$11*AG561^2+BMILMS!$F$11*AG561+BMILMS!$G$11)))</f>
        <v>0.79584630099999998</v>
      </c>
      <c r="AE561" s="24">
        <f>IF(D561="M",(IF(AG561&lt;2.5,BMILMS!$D$21*AG561^3+BMILMS!$E$21*AG561^2+BMILMS!$F$21*AG561+BMILMS!$G$21,IF(AG561&lt;9.5,BMILMS!$D$22*AG561^3+BMILMS!$E$22*AG561^2+BMILMS!$F$22*AG561+BMILMS!$G$22,IF(AG561&lt;26.75,BMILMS!$D$23*AG561^3+BMILMS!$E$23*AG561^2+BMILMS!$F$23*AG561+BMILMS!$G$23,IF(AG561&lt;90,BMILMS!$D$24*AG561^3+BMILMS!$E$24*AG561^2+BMILMS!$F$24*AG561+BMILMS!$G$24,BMILMS!$D$25*AG561^3+BMILMS!$E$25*AG561^2+BMILMS!$F$25*AG561+BMILMS!$G$25))))),(IF(AG561&lt;2.5,BMILMS!$D$27*AG561^3+BMILMS!$E$27*AG561^2+BMILMS!$F$27*AG561+BMILMS!$G$27,IF(AG561&lt;9.5,BMILMS!$D$28*AG561^3+BMILMS!$E$28*AG561^2+BMILMS!$F$28*AG561+BMILMS!$G$28,IF(AG561&lt;26.75,BMILMS!$D$29*AG561^3+BMILMS!$E$29*AG561^2+BMILMS!$F$29*AG561+BMILMS!$G$29,IF(AG561&lt;90,BMILMS!$D$30*AG561^3+BMILMS!$E$30*AG561^2+BMILMS!$F$30*AG561+BMILMS!$G$30,IF(AG561&lt;150,BMILMS!$D$31*AG561^3+BMILMS!$E$31*AG561^2+BMILMS!$F$31*AG561+BMILMS!$G$31,BMILMS!$D$32*AG561^3+BMILMS!$E$32*AG561^2+BMILMS!$F$32*AG561+BMILMS!$G$32)))))))</f>
        <v>12.568967990000001</v>
      </c>
      <c r="AF561" s="24">
        <f>IF(D561="M",(IF(AG561&lt;90,BMILMS!$D$14*AG561^3+BMILMS!$E$14*AG561^2+BMILMS!$F$14*AG561+BMILMS!$G$14,BMILMS!$D$15*AG561^3+BMILMS!$E$15*AG561^2+BMILMS!$F$15*AG561+BMILMS!$G$15)),(IF(AG561&lt;90,BMILMS!$D$17*AG561^3+BMILMS!$E$17*AG561^2+BMILMS!$F$17*AG561+BMILMS!$G$17,BMILMS!$D$18*AG561^3+BMILMS!$E$18*AG561^2+BMILMS!$F$18*AG561+BMILMS!$G$18)))</f>
        <v>8.8969350000000003E-2</v>
      </c>
      <c r="AG561" s="24">
        <f t="shared" si="144"/>
        <v>0</v>
      </c>
      <c r="AI561" s="38">
        <f>IF(D561="M",WeightSDS!P$5*$AG561^7+WeightSDS!Q$5*$AG561^6+WeightSDS!R$5*$AG561^5+WeightSDS!S$5*$AG561^4+WeightSDS!T$5*$AG561^3+WeightSDS!U$5*$AG561^2+WeightSDS!V$5*$AG561+WeightSDS!W$5,IF($AG561&lt;186,WeightSDS!P$8*$AG561^7+WeightSDS!Q$8*$AG561^6+WeightSDS!R$8*$AG561^5+WeightSDS!S$8*$AG561^4+WeightSDS!T$8*$AG561^3+WeightSDS!U$8*$AG561^2+WeightSDS!V$8*$AG561+WeightSDS!W$8,WeightSDS!$U$9-WeightSDS!$V$9*($AG561-WeightSDS!$W$9)))</f>
        <v>0.75407122999999998</v>
      </c>
      <c r="AJ561" s="24">
        <f>IF(D561="M",IF($AG561&lt;45,WeightSDS!M$23*$AG561^10+WeightSDS!N$23*$AG561^9+WeightSDS!O$23*$AG561^8+WeightSDS!P$23*$AG561^7+WeightSDS!Q$23*$AG561^6+WeightSDS!R$23*$AG561^5+WeightSDS!S$23*$AG561^4+WeightSDS!T$23*$AG561^3+WeightSDS!U$23*$AG561^2+WeightSDS!V$23*$AG561+WeightSDS!W$23,IF($AG561&lt;153,WeightSDS!M$25*$AG561^10+WeightSDS!N$25*$AG561^9+WeightSDS!O$25*$AG561^8+WeightSDS!P$25*$AG561^7+WeightSDS!Q$25*$AG561^6+WeightSDS!R$25*$AG561^5+WeightSDS!S$25*$AG561^4+WeightSDS!T$25*$AG561^3+WeightSDS!U$25*$AG561^2+WeightSDS!V$25*$AG561+WeightSDS!W$25,WeightSDS!M$27+WeightSDS!N$27/(1+EXP(WeightSDS!O$27+WeightSDS!P$27*$AG561)))),IF($AG561&lt;43.8,WeightSDS!M$29*$AG561^10+WeightSDS!N$29*$AG561^9+WeightSDS!O$29*$AG561^8+WeightSDS!P$29*$AG561^7+WeightSDS!Q$29*$AG561^6+WeightSDS!R$29*$AG561^5+WeightSDS!S$29*$AG561^4+WeightSDS!T$29*$AG561^3+WeightSDS!U$29*$AG561^2+WeightSDS!V$29*$AG561+WeightSDS!W$29-0.010431*(1-$AG561/210),IF($AG561&lt;123,WeightSDS!M$30*$AG561^10+WeightSDS!N$30*$AG561^9+WeightSDS!O$30*$AG561^8+WeightSDS!P$30*$AG561^7+WeightSDS!Q$30*$AG561^6+WeightSDS!R$30*$AG561^5+WeightSDS!S$30*$AG561^4+WeightSDS!T$30*$AG561^3+WeightSDS!U$30*$AG561^2+WeightSDS!V$30*$AG561+WeightSDS!W$30-0.010431*(1-1/$AG561),WeightSDS!M$32+WeightSDS!N$32/(1+EXP(WeightSDS!O$32+WeightSDS!P$32*$AG561))-0.010431*(1-$AG561/210))))</f>
        <v>2.9500001032655536</v>
      </c>
      <c r="AK561" s="24">
        <f>IF(D561="M",IF($AG561&lt;162,WeightSDS!P$12*$AG561^7+WeightSDS!Q$12*$AG561^6+WeightSDS!R$12*$AG561^5+WeightSDS!S$12*$AG561^4+WeightSDS!T$12*$AG561^3+WeightSDS!U$12*$AG561^2+WeightSDS!V$12*$AG561+WeightSDS!W$12,WeightSDS!P$14*$AG561^7+WeightSDS!Q$14*$AG561^6+WeightSDS!R$14*$AG561^5+WeightSDS!S$14*$AG561^4+WeightSDS!T$14*$AG561^3+WeightSDS!U$14*$AG561^2+WeightSDS!V$14*$AG561+WeightSDS!W$14),IF($AG561&lt;156,WeightSDS!O$17*$AG561^8+WeightSDS!P$17*$AG561^7+WeightSDS!Q$17*$AG561^6+WeightSDS!R$17*$AG561^5+WeightSDS!S$17*$AG561^4+WeightSDS!T$17*$AG561^3+WeightSDS!U$17*$AG561^2+WeightSDS!V$17*$AG561+WeightSDS!W$17,IF($AG561&lt;186,WeightSDS!$U$18+(WeightSDS!$V$18-WeightSDS!$U$18)/24*($AG561-186)+WeightSDS!$W$18*(-$AG561+186)^2-0.005,WeightSDS!$U$18+(WeightSDS!$V$18-WeightSDS!$U$18)/24*($AG561-186)-0.005)))</f>
        <v>0.14604529399999999</v>
      </c>
    </row>
    <row r="562" spans="1:37">
      <c r="A562" s="4"/>
      <c r="B562" s="21"/>
      <c r="C562" s="21"/>
      <c r="D562" s="21"/>
      <c r="E562" s="22"/>
      <c r="F562" s="22"/>
      <c r="G562" s="23"/>
      <c r="H562" s="23"/>
      <c r="I562" s="8" t="str">
        <f t="shared" si="130"/>
        <v/>
      </c>
      <c r="J562" s="2" t="str">
        <f t="shared" si="137"/>
        <v/>
      </c>
      <c r="K562" s="2" t="str">
        <f t="shared" si="131"/>
        <v/>
      </c>
      <c r="L562" s="2" t="str">
        <f t="shared" si="138"/>
        <v/>
      </c>
      <c r="M562" s="2" t="str">
        <f t="shared" si="143"/>
        <v/>
      </c>
      <c r="N562" s="2" t="str">
        <f t="shared" si="139"/>
        <v/>
      </c>
      <c r="O562" s="8" t="str">
        <f t="shared" si="140"/>
        <v/>
      </c>
      <c r="P562" s="8" t="str">
        <f t="shared" si="141"/>
        <v/>
      </c>
      <c r="Q562" s="40" t="str">
        <f t="shared" si="132"/>
        <v/>
      </c>
      <c r="R562" s="48" t="str">
        <f t="shared" si="142"/>
        <v/>
      </c>
      <c r="S562" s="8"/>
      <c r="U562" s="35">
        <f t="shared" si="133"/>
        <v>0</v>
      </c>
      <c r="V562" s="24">
        <f t="shared" si="134"/>
        <v>0</v>
      </c>
      <c r="W562" s="41">
        <f t="shared" si="145"/>
        <v>0</v>
      </c>
      <c r="X562" s="31"/>
      <c r="Y562" s="31"/>
      <c r="Z562" s="31"/>
      <c r="AA562" s="25">
        <f t="shared" si="135"/>
        <v>9.0359999999999996</v>
      </c>
      <c r="AB562" s="25">
        <f t="shared" si="136"/>
        <v>-184.49199999999999</v>
      </c>
      <c r="AD562" s="24">
        <f>IF(D562="M",IF(AG562&lt;78,BMILMS!$D$5*AG562^3+BMILMS!$E$5*AG562^2+BMILMS!$F$5*AG562+BMILMS!$G$5,IF(AG562&lt;150,BMILMS!$D$6*AG562^3+BMILMS!$E$6*AG562^2+BMILMS!$F$6*AG562+BMILMS!$G$6,BMILMS!$D$7*AG562^3+BMILMS!$E$7*AG562^2+BMILMS!$F$7*AG562+BMILMS!$G$7)),IF(AG562&lt;69,BMILMS!$D$9*AG562^3+BMILMS!$E$9*AG562^2+BMILMS!$F$9*AG562+BMILMS!$G$9,IF(AG562&lt;150,BMILMS!$D$10*AG562^3+BMILMS!$E$10*AG562^2+BMILMS!$F$10*AG562+BMILMS!$G$10,BMILMS!$D$11*AG562^3+BMILMS!$E$11*AG562^2+BMILMS!$F$11*AG562+BMILMS!$G$11)))</f>
        <v>0.79584630099999998</v>
      </c>
      <c r="AE562" s="24">
        <f>IF(D562="M",(IF(AG562&lt;2.5,BMILMS!$D$21*AG562^3+BMILMS!$E$21*AG562^2+BMILMS!$F$21*AG562+BMILMS!$G$21,IF(AG562&lt;9.5,BMILMS!$D$22*AG562^3+BMILMS!$E$22*AG562^2+BMILMS!$F$22*AG562+BMILMS!$G$22,IF(AG562&lt;26.75,BMILMS!$D$23*AG562^3+BMILMS!$E$23*AG562^2+BMILMS!$F$23*AG562+BMILMS!$G$23,IF(AG562&lt;90,BMILMS!$D$24*AG562^3+BMILMS!$E$24*AG562^2+BMILMS!$F$24*AG562+BMILMS!$G$24,BMILMS!$D$25*AG562^3+BMILMS!$E$25*AG562^2+BMILMS!$F$25*AG562+BMILMS!$G$25))))),(IF(AG562&lt;2.5,BMILMS!$D$27*AG562^3+BMILMS!$E$27*AG562^2+BMILMS!$F$27*AG562+BMILMS!$G$27,IF(AG562&lt;9.5,BMILMS!$D$28*AG562^3+BMILMS!$E$28*AG562^2+BMILMS!$F$28*AG562+BMILMS!$G$28,IF(AG562&lt;26.75,BMILMS!$D$29*AG562^3+BMILMS!$E$29*AG562^2+BMILMS!$F$29*AG562+BMILMS!$G$29,IF(AG562&lt;90,BMILMS!$D$30*AG562^3+BMILMS!$E$30*AG562^2+BMILMS!$F$30*AG562+BMILMS!$G$30,IF(AG562&lt;150,BMILMS!$D$31*AG562^3+BMILMS!$E$31*AG562^2+BMILMS!$F$31*AG562+BMILMS!$G$31,BMILMS!$D$32*AG562^3+BMILMS!$E$32*AG562^2+BMILMS!$F$32*AG562+BMILMS!$G$32)))))))</f>
        <v>12.568967990000001</v>
      </c>
      <c r="AF562" s="24">
        <f>IF(D562="M",(IF(AG562&lt;90,BMILMS!$D$14*AG562^3+BMILMS!$E$14*AG562^2+BMILMS!$F$14*AG562+BMILMS!$G$14,BMILMS!$D$15*AG562^3+BMILMS!$E$15*AG562^2+BMILMS!$F$15*AG562+BMILMS!$G$15)),(IF(AG562&lt;90,BMILMS!$D$17*AG562^3+BMILMS!$E$17*AG562^2+BMILMS!$F$17*AG562+BMILMS!$G$17,BMILMS!$D$18*AG562^3+BMILMS!$E$18*AG562^2+BMILMS!$F$18*AG562+BMILMS!$G$18)))</f>
        <v>8.8969350000000003E-2</v>
      </c>
      <c r="AG562" s="24">
        <f t="shared" si="144"/>
        <v>0</v>
      </c>
      <c r="AI562" s="38">
        <f>IF(D562="M",WeightSDS!P$5*$AG562^7+WeightSDS!Q$5*$AG562^6+WeightSDS!R$5*$AG562^5+WeightSDS!S$5*$AG562^4+WeightSDS!T$5*$AG562^3+WeightSDS!U$5*$AG562^2+WeightSDS!V$5*$AG562+WeightSDS!W$5,IF($AG562&lt;186,WeightSDS!P$8*$AG562^7+WeightSDS!Q$8*$AG562^6+WeightSDS!R$8*$AG562^5+WeightSDS!S$8*$AG562^4+WeightSDS!T$8*$AG562^3+WeightSDS!U$8*$AG562^2+WeightSDS!V$8*$AG562+WeightSDS!W$8,WeightSDS!$U$9-WeightSDS!$V$9*($AG562-WeightSDS!$W$9)))</f>
        <v>0.75407122999999998</v>
      </c>
      <c r="AJ562" s="24">
        <f>IF(D562="M",IF($AG562&lt;45,WeightSDS!M$23*$AG562^10+WeightSDS!N$23*$AG562^9+WeightSDS!O$23*$AG562^8+WeightSDS!P$23*$AG562^7+WeightSDS!Q$23*$AG562^6+WeightSDS!R$23*$AG562^5+WeightSDS!S$23*$AG562^4+WeightSDS!T$23*$AG562^3+WeightSDS!U$23*$AG562^2+WeightSDS!V$23*$AG562+WeightSDS!W$23,IF($AG562&lt;153,WeightSDS!M$25*$AG562^10+WeightSDS!N$25*$AG562^9+WeightSDS!O$25*$AG562^8+WeightSDS!P$25*$AG562^7+WeightSDS!Q$25*$AG562^6+WeightSDS!R$25*$AG562^5+WeightSDS!S$25*$AG562^4+WeightSDS!T$25*$AG562^3+WeightSDS!U$25*$AG562^2+WeightSDS!V$25*$AG562+WeightSDS!W$25,WeightSDS!M$27+WeightSDS!N$27/(1+EXP(WeightSDS!O$27+WeightSDS!P$27*$AG562)))),IF($AG562&lt;43.8,WeightSDS!M$29*$AG562^10+WeightSDS!N$29*$AG562^9+WeightSDS!O$29*$AG562^8+WeightSDS!P$29*$AG562^7+WeightSDS!Q$29*$AG562^6+WeightSDS!R$29*$AG562^5+WeightSDS!S$29*$AG562^4+WeightSDS!T$29*$AG562^3+WeightSDS!U$29*$AG562^2+WeightSDS!V$29*$AG562+WeightSDS!W$29-0.010431*(1-$AG562/210),IF($AG562&lt;123,WeightSDS!M$30*$AG562^10+WeightSDS!N$30*$AG562^9+WeightSDS!O$30*$AG562^8+WeightSDS!P$30*$AG562^7+WeightSDS!Q$30*$AG562^6+WeightSDS!R$30*$AG562^5+WeightSDS!S$30*$AG562^4+WeightSDS!T$30*$AG562^3+WeightSDS!U$30*$AG562^2+WeightSDS!V$30*$AG562+WeightSDS!W$30-0.010431*(1-1/$AG562),WeightSDS!M$32+WeightSDS!N$32/(1+EXP(WeightSDS!O$32+WeightSDS!P$32*$AG562))-0.010431*(1-$AG562/210))))</f>
        <v>2.9500001032655536</v>
      </c>
      <c r="AK562" s="24">
        <f>IF(D562="M",IF($AG562&lt;162,WeightSDS!P$12*$AG562^7+WeightSDS!Q$12*$AG562^6+WeightSDS!R$12*$AG562^5+WeightSDS!S$12*$AG562^4+WeightSDS!T$12*$AG562^3+WeightSDS!U$12*$AG562^2+WeightSDS!V$12*$AG562+WeightSDS!W$12,WeightSDS!P$14*$AG562^7+WeightSDS!Q$14*$AG562^6+WeightSDS!R$14*$AG562^5+WeightSDS!S$14*$AG562^4+WeightSDS!T$14*$AG562^3+WeightSDS!U$14*$AG562^2+WeightSDS!V$14*$AG562+WeightSDS!W$14),IF($AG562&lt;156,WeightSDS!O$17*$AG562^8+WeightSDS!P$17*$AG562^7+WeightSDS!Q$17*$AG562^6+WeightSDS!R$17*$AG562^5+WeightSDS!S$17*$AG562^4+WeightSDS!T$17*$AG562^3+WeightSDS!U$17*$AG562^2+WeightSDS!V$17*$AG562+WeightSDS!W$17,IF($AG562&lt;186,WeightSDS!$U$18+(WeightSDS!$V$18-WeightSDS!$U$18)/24*($AG562-186)+WeightSDS!$W$18*(-$AG562+186)^2-0.005,WeightSDS!$U$18+(WeightSDS!$V$18-WeightSDS!$U$18)/24*($AG562-186)-0.005)))</f>
        <v>0.14604529399999999</v>
      </c>
    </row>
    <row r="563" spans="1:37">
      <c r="A563" s="4"/>
      <c r="B563" s="21"/>
      <c r="C563" s="21"/>
      <c r="D563" s="21"/>
      <c r="E563" s="22"/>
      <c r="F563" s="22"/>
      <c r="G563" s="23"/>
      <c r="H563" s="23"/>
      <c r="I563" s="8" t="str">
        <f t="shared" si="130"/>
        <v/>
      </c>
      <c r="J563" s="2" t="str">
        <f t="shared" si="137"/>
        <v/>
      </c>
      <c r="K563" s="2" t="str">
        <f t="shared" si="131"/>
        <v/>
      </c>
      <c r="L563" s="2" t="str">
        <f t="shared" si="138"/>
        <v/>
      </c>
      <c r="M563" s="2" t="str">
        <f t="shared" si="143"/>
        <v/>
      </c>
      <c r="N563" s="2" t="str">
        <f t="shared" si="139"/>
        <v/>
      </c>
      <c r="O563" s="8" t="str">
        <f t="shared" si="140"/>
        <v/>
      </c>
      <c r="P563" s="8" t="str">
        <f t="shared" si="141"/>
        <v/>
      </c>
      <c r="Q563" s="40" t="str">
        <f t="shared" si="132"/>
        <v/>
      </c>
      <c r="R563" s="48" t="str">
        <f t="shared" si="142"/>
        <v/>
      </c>
      <c r="S563" s="8"/>
      <c r="U563" s="35">
        <f t="shared" si="133"/>
        <v>0</v>
      </c>
      <c r="V563" s="24">
        <f t="shared" si="134"/>
        <v>0</v>
      </c>
      <c r="W563" s="41">
        <f t="shared" si="145"/>
        <v>0</v>
      </c>
      <c r="X563" s="31"/>
      <c r="Y563" s="31"/>
      <c r="Z563" s="31"/>
      <c r="AA563" s="25">
        <f t="shared" si="135"/>
        <v>9.0359999999999996</v>
      </c>
      <c r="AB563" s="25">
        <f t="shared" si="136"/>
        <v>-184.49199999999999</v>
      </c>
      <c r="AD563" s="24">
        <f>IF(D563="M",IF(AG563&lt;78,BMILMS!$D$5*AG563^3+BMILMS!$E$5*AG563^2+BMILMS!$F$5*AG563+BMILMS!$G$5,IF(AG563&lt;150,BMILMS!$D$6*AG563^3+BMILMS!$E$6*AG563^2+BMILMS!$F$6*AG563+BMILMS!$G$6,BMILMS!$D$7*AG563^3+BMILMS!$E$7*AG563^2+BMILMS!$F$7*AG563+BMILMS!$G$7)),IF(AG563&lt;69,BMILMS!$D$9*AG563^3+BMILMS!$E$9*AG563^2+BMILMS!$F$9*AG563+BMILMS!$G$9,IF(AG563&lt;150,BMILMS!$D$10*AG563^3+BMILMS!$E$10*AG563^2+BMILMS!$F$10*AG563+BMILMS!$G$10,BMILMS!$D$11*AG563^3+BMILMS!$E$11*AG563^2+BMILMS!$F$11*AG563+BMILMS!$G$11)))</f>
        <v>0.79584630099999998</v>
      </c>
      <c r="AE563" s="24">
        <f>IF(D563="M",(IF(AG563&lt;2.5,BMILMS!$D$21*AG563^3+BMILMS!$E$21*AG563^2+BMILMS!$F$21*AG563+BMILMS!$G$21,IF(AG563&lt;9.5,BMILMS!$D$22*AG563^3+BMILMS!$E$22*AG563^2+BMILMS!$F$22*AG563+BMILMS!$G$22,IF(AG563&lt;26.75,BMILMS!$D$23*AG563^3+BMILMS!$E$23*AG563^2+BMILMS!$F$23*AG563+BMILMS!$G$23,IF(AG563&lt;90,BMILMS!$D$24*AG563^3+BMILMS!$E$24*AG563^2+BMILMS!$F$24*AG563+BMILMS!$G$24,BMILMS!$D$25*AG563^3+BMILMS!$E$25*AG563^2+BMILMS!$F$25*AG563+BMILMS!$G$25))))),(IF(AG563&lt;2.5,BMILMS!$D$27*AG563^3+BMILMS!$E$27*AG563^2+BMILMS!$F$27*AG563+BMILMS!$G$27,IF(AG563&lt;9.5,BMILMS!$D$28*AG563^3+BMILMS!$E$28*AG563^2+BMILMS!$F$28*AG563+BMILMS!$G$28,IF(AG563&lt;26.75,BMILMS!$D$29*AG563^3+BMILMS!$E$29*AG563^2+BMILMS!$F$29*AG563+BMILMS!$G$29,IF(AG563&lt;90,BMILMS!$D$30*AG563^3+BMILMS!$E$30*AG563^2+BMILMS!$F$30*AG563+BMILMS!$G$30,IF(AG563&lt;150,BMILMS!$D$31*AG563^3+BMILMS!$E$31*AG563^2+BMILMS!$F$31*AG563+BMILMS!$G$31,BMILMS!$D$32*AG563^3+BMILMS!$E$32*AG563^2+BMILMS!$F$32*AG563+BMILMS!$G$32)))))))</f>
        <v>12.568967990000001</v>
      </c>
      <c r="AF563" s="24">
        <f>IF(D563="M",(IF(AG563&lt;90,BMILMS!$D$14*AG563^3+BMILMS!$E$14*AG563^2+BMILMS!$F$14*AG563+BMILMS!$G$14,BMILMS!$D$15*AG563^3+BMILMS!$E$15*AG563^2+BMILMS!$F$15*AG563+BMILMS!$G$15)),(IF(AG563&lt;90,BMILMS!$D$17*AG563^3+BMILMS!$E$17*AG563^2+BMILMS!$F$17*AG563+BMILMS!$G$17,BMILMS!$D$18*AG563^3+BMILMS!$E$18*AG563^2+BMILMS!$F$18*AG563+BMILMS!$G$18)))</f>
        <v>8.8969350000000003E-2</v>
      </c>
      <c r="AG563" s="24">
        <f t="shared" si="144"/>
        <v>0</v>
      </c>
      <c r="AI563" s="38">
        <f>IF(D563="M",WeightSDS!P$5*$AG563^7+WeightSDS!Q$5*$AG563^6+WeightSDS!R$5*$AG563^5+WeightSDS!S$5*$AG563^4+WeightSDS!T$5*$AG563^3+WeightSDS!U$5*$AG563^2+WeightSDS!V$5*$AG563+WeightSDS!W$5,IF($AG563&lt;186,WeightSDS!P$8*$AG563^7+WeightSDS!Q$8*$AG563^6+WeightSDS!R$8*$AG563^5+WeightSDS!S$8*$AG563^4+WeightSDS!T$8*$AG563^3+WeightSDS!U$8*$AG563^2+WeightSDS!V$8*$AG563+WeightSDS!W$8,WeightSDS!$U$9-WeightSDS!$V$9*($AG563-WeightSDS!$W$9)))</f>
        <v>0.75407122999999998</v>
      </c>
      <c r="AJ563" s="24">
        <f>IF(D563="M",IF($AG563&lt;45,WeightSDS!M$23*$AG563^10+WeightSDS!N$23*$AG563^9+WeightSDS!O$23*$AG563^8+WeightSDS!P$23*$AG563^7+WeightSDS!Q$23*$AG563^6+WeightSDS!R$23*$AG563^5+WeightSDS!S$23*$AG563^4+WeightSDS!T$23*$AG563^3+WeightSDS!U$23*$AG563^2+WeightSDS!V$23*$AG563+WeightSDS!W$23,IF($AG563&lt;153,WeightSDS!M$25*$AG563^10+WeightSDS!N$25*$AG563^9+WeightSDS!O$25*$AG563^8+WeightSDS!P$25*$AG563^7+WeightSDS!Q$25*$AG563^6+WeightSDS!R$25*$AG563^5+WeightSDS!S$25*$AG563^4+WeightSDS!T$25*$AG563^3+WeightSDS!U$25*$AG563^2+WeightSDS!V$25*$AG563+WeightSDS!W$25,WeightSDS!M$27+WeightSDS!N$27/(1+EXP(WeightSDS!O$27+WeightSDS!P$27*$AG563)))),IF($AG563&lt;43.8,WeightSDS!M$29*$AG563^10+WeightSDS!N$29*$AG563^9+WeightSDS!O$29*$AG563^8+WeightSDS!P$29*$AG563^7+WeightSDS!Q$29*$AG563^6+WeightSDS!R$29*$AG563^5+WeightSDS!S$29*$AG563^4+WeightSDS!T$29*$AG563^3+WeightSDS!U$29*$AG563^2+WeightSDS!V$29*$AG563+WeightSDS!W$29-0.010431*(1-$AG563/210),IF($AG563&lt;123,WeightSDS!M$30*$AG563^10+WeightSDS!N$30*$AG563^9+WeightSDS!O$30*$AG563^8+WeightSDS!P$30*$AG563^7+WeightSDS!Q$30*$AG563^6+WeightSDS!R$30*$AG563^5+WeightSDS!S$30*$AG563^4+WeightSDS!T$30*$AG563^3+WeightSDS!U$30*$AG563^2+WeightSDS!V$30*$AG563+WeightSDS!W$30-0.010431*(1-1/$AG563),WeightSDS!M$32+WeightSDS!N$32/(1+EXP(WeightSDS!O$32+WeightSDS!P$32*$AG563))-0.010431*(1-$AG563/210))))</f>
        <v>2.9500001032655536</v>
      </c>
      <c r="AK563" s="24">
        <f>IF(D563="M",IF($AG563&lt;162,WeightSDS!P$12*$AG563^7+WeightSDS!Q$12*$AG563^6+WeightSDS!R$12*$AG563^5+WeightSDS!S$12*$AG563^4+WeightSDS!T$12*$AG563^3+WeightSDS!U$12*$AG563^2+WeightSDS!V$12*$AG563+WeightSDS!W$12,WeightSDS!P$14*$AG563^7+WeightSDS!Q$14*$AG563^6+WeightSDS!R$14*$AG563^5+WeightSDS!S$14*$AG563^4+WeightSDS!T$14*$AG563^3+WeightSDS!U$14*$AG563^2+WeightSDS!V$14*$AG563+WeightSDS!W$14),IF($AG563&lt;156,WeightSDS!O$17*$AG563^8+WeightSDS!P$17*$AG563^7+WeightSDS!Q$17*$AG563^6+WeightSDS!R$17*$AG563^5+WeightSDS!S$17*$AG563^4+WeightSDS!T$17*$AG563^3+WeightSDS!U$17*$AG563^2+WeightSDS!V$17*$AG563+WeightSDS!W$17,IF($AG563&lt;186,WeightSDS!$U$18+(WeightSDS!$V$18-WeightSDS!$U$18)/24*($AG563-186)+WeightSDS!$W$18*(-$AG563+186)^2-0.005,WeightSDS!$U$18+(WeightSDS!$V$18-WeightSDS!$U$18)/24*($AG563-186)-0.005)))</f>
        <v>0.14604529399999999</v>
      </c>
    </row>
    <row r="564" spans="1:37">
      <c r="A564" s="4"/>
      <c r="B564" s="21"/>
      <c r="C564" s="21"/>
      <c r="D564" s="21"/>
      <c r="E564" s="22"/>
      <c r="F564" s="22"/>
      <c r="G564" s="23"/>
      <c r="H564" s="23"/>
      <c r="I564" s="8" t="str">
        <f t="shared" si="130"/>
        <v/>
      </c>
      <c r="J564" s="2" t="str">
        <f t="shared" si="137"/>
        <v/>
      </c>
      <c r="K564" s="2" t="str">
        <f t="shared" si="131"/>
        <v/>
      </c>
      <c r="L564" s="2" t="str">
        <f t="shared" si="138"/>
        <v/>
      </c>
      <c r="M564" s="2" t="str">
        <f t="shared" si="143"/>
        <v/>
      </c>
      <c r="N564" s="2" t="str">
        <f t="shared" si="139"/>
        <v/>
      </c>
      <c r="O564" s="8" t="str">
        <f t="shared" si="140"/>
        <v/>
      </c>
      <c r="P564" s="8" t="str">
        <f t="shared" si="141"/>
        <v/>
      </c>
      <c r="Q564" s="40" t="str">
        <f t="shared" si="132"/>
        <v/>
      </c>
      <c r="R564" s="48" t="str">
        <f t="shared" si="142"/>
        <v/>
      </c>
      <c r="S564" s="8"/>
      <c r="U564" s="35">
        <f t="shared" si="133"/>
        <v>0</v>
      </c>
      <c r="V564" s="24">
        <f t="shared" si="134"/>
        <v>0</v>
      </c>
      <c r="W564" s="41">
        <f t="shared" si="145"/>
        <v>0</v>
      </c>
      <c r="X564" s="31"/>
      <c r="Y564" s="31"/>
      <c r="Z564" s="31"/>
      <c r="AA564" s="25">
        <f t="shared" si="135"/>
        <v>9.0359999999999996</v>
      </c>
      <c r="AB564" s="25">
        <f t="shared" si="136"/>
        <v>-184.49199999999999</v>
      </c>
      <c r="AD564" s="24">
        <f>IF(D564="M",IF(AG564&lt;78,BMILMS!$D$5*AG564^3+BMILMS!$E$5*AG564^2+BMILMS!$F$5*AG564+BMILMS!$G$5,IF(AG564&lt;150,BMILMS!$D$6*AG564^3+BMILMS!$E$6*AG564^2+BMILMS!$F$6*AG564+BMILMS!$G$6,BMILMS!$D$7*AG564^3+BMILMS!$E$7*AG564^2+BMILMS!$F$7*AG564+BMILMS!$G$7)),IF(AG564&lt;69,BMILMS!$D$9*AG564^3+BMILMS!$E$9*AG564^2+BMILMS!$F$9*AG564+BMILMS!$G$9,IF(AG564&lt;150,BMILMS!$D$10*AG564^3+BMILMS!$E$10*AG564^2+BMILMS!$F$10*AG564+BMILMS!$G$10,BMILMS!$D$11*AG564^3+BMILMS!$E$11*AG564^2+BMILMS!$F$11*AG564+BMILMS!$G$11)))</f>
        <v>0.79584630099999998</v>
      </c>
      <c r="AE564" s="24">
        <f>IF(D564="M",(IF(AG564&lt;2.5,BMILMS!$D$21*AG564^3+BMILMS!$E$21*AG564^2+BMILMS!$F$21*AG564+BMILMS!$G$21,IF(AG564&lt;9.5,BMILMS!$D$22*AG564^3+BMILMS!$E$22*AG564^2+BMILMS!$F$22*AG564+BMILMS!$G$22,IF(AG564&lt;26.75,BMILMS!$D$23*AG564^3+BMILMS!$E$23*AG564^2+BMILMS!$F$23*AG564+BMILMS!$G$23,IF(AG564&lt;90,BMILMS!$D$24*AG564^3+BMILMS!$E$24*AG564^2+BMILMS!$F$24*AG564+BMILMS!$G$24,BMILMS!$D$25*AG564^3+BMILMS!$E$25*AG564^2+BMILMS!$F$25*AG564+BMILMS!$G$25))))),(IF(AG564&lt;2.5,BMILMS!$D$27*AG564^3+BMILMS!$E$27*AG564^2+BMILMS!$F$27*AG564+BMILMS!$G$27,IF(AG564&lt;9.5,BMILMS!$D$28*AG564^3+BMILMS!$E$28*AG564^2+BMILMS!$F$28*AG564+BMILMS!$G$28,IF(AG564&lt;26.75,BMILMS!$D$29*AG564^3+BMILMS!$E$29*AG564^2+BMILMS!$F$29*AG564+BMILMS!$G$29,IF(AG564&lt;90,BMILMS!$D$30*AG564^3+BMILMS!$E$30*AG564^2+BMILMS!$F$30*AG564+BMILMS!$G$30,IF(AG564&lt;150,BMILMS!$D$31*AG564^3+BMILMS!$E$31*AG564^2+BMILMS!$F$31*AG564+BMILMS!$G$31,BMILMS!$D$32*AG564^3+BMILMS!$E$32*AG564^2+BMILMS!$F$32*AG564+BMILMS!$G$32)))))))</f>
        <v>12.568967990000001</v>
      </c>
      <c r="AF564" s="24">
        <f>IF(D564="M",(IF(AG564&lt;90,BMILMS!$D$14*AG564^3+BMILMS!$E$14*AG564^2+BMILMS!$F$14*AG564+BMILMS!$G$14,BMILMS!$D$15*AG564^3+BMILMS!$E$15*AG564^2+BMILMS!$F$15*AG564+BMILMS!$G$15)),(IF(AG564&lt;90,BMILMS!$D$17*AG564^3+BMILMS!$E$17*AG564^2+BMILMS!$F$17*AG564+BMILMS!$G$17,BMILMS!$D$18*AG564^3+BMILMS!$E$18*AG564^2+BMILMS!$F$18*AG564+BMILMS!$G$18)))</f>
        <v>8.8969350000000003E-2</v>
      </c>
      <c r="AG564" s="24">
        <f t="shared" si="144"/>
        <v>0</v>
      </c>
      <c r="AI564" s="38">
        <f>IF(D564="M",WeightSDS!P$5*$AG564^7+WeightSDS!Q$5*$AG564^6+WeightSDS!R$5*$AG564^5+WeightSDS!S$5*$AG564^4+WeightSDS!T$5*$AG564^3+WeightSDS!U$5*$AG564^2+WeightSDS!V$5*$AG564+WeightSDS!W$5,IF($AG564&lt;186,WeightSDS!P$8*$AG564^7+WeightSDS!Q$8*$AG564^6+WeightSDS!R$8*$AG564^5+WeightSDS!S$8*$AG564^4+WeightSDS!T$8*$AG564^3+WeightSDS!U$8*$AG564^2+WeightSDS!V$8*$AG564+WeightSDS!W$8,WeightSDS!$U$9-WeightSDS!$V$9*($AG564-WeightSDS!$W$9)))</f>
        <v>0.75407122999999998</v>
      </c>
      <c r="AJ564" s="24">
        <f>IF(D564="M",IF($AG564&lt;45,WeightSDS!M$23*$AG564^10+WeightSDS!N$23*$AG564^9+WeightSDS!O$23*$AG564^8+WeightSDS!P$23*$AG564^7+WeightSDS!Q$23*$AG564^6+WeightSDS!R$23*$AG564^5+WeightSDS!S$23*$AG564^4+WeightSDS!T$23*$AG564^3+WeightSDS!U$23*$AG564^2+WeightSDS!V$23*$AG564+WeightSDS!W$23,IF($AG564&lt;153,WeightSDS!M$25*$AG564^10+WeightSDS!N$25*$AG564^9+WeightSDS!O$25*$AG564^8+WeightSDS!P$25*$AG564^7+WeightSDS!Q$25*$AG564^6+WeightSDS!R$25*$AG564^5+WeightSDS!S$25*$AG564^4+WeightSDS!T$25*$AG564^3+WeightSDS!U$25*$AG564^2+WeightSDS!V$25*$AG564+WeightSDS!W$25,WeightSDS!M$27+WeightSDS!N$27/(1+EXP(WeightSDS!O$27+WeightSDS!P$27*$AG564)))),IF($AG564&lt;43.8,WeightSDS!M$29*$AG564^10+WeightSDS!N$29*$AG564^9+WeightSDS!O$29*$AG564^8+WeightSDS!P$29*$AG564^7+WeightSDS!Q$29*$AG564^6+WeightSDS!R$29*$AG564^5+WeightSDS!S$29*$AG564^4+WeightSDS!T$29*$AG564^3+WeightSDS!U$29*$AG564^2+WeightSDS!V$29*$AG564+WeightSDS!W$29-0.010431*(1-$AG564/210),IF($AG564&lt;123,WeightSDS!M$30*$AG564^10+WeightSDS!N$30*$AG564^9+WeightSDS!O$30*$AG564^8+WeightSDS!P$30*$AG564^7+WeightSDS!Q$30*$AG564^6+WeightSDS!R$30*$AG564^5+WeightSDS!S$30*$AG564^4+WeightSDS!T$30*$AG564^3+WeightSDS!U$30*$AG564^2+WeightSDS!V$30*$AG564+WeightSDS!W$30-0.010431*(1-1/$AG564),WeightSDS!M$32+WeightSDS!N$32/(1+EXP(WeightSDS!O$32+WeightSDS!P$32*$AG564))-0.010431*(1-$AG564/210))))</f>
        <v>2.9500001032655536</v>
      </c>
      <c r="AK564" s="24">
        <f>IF(D564="M",IF($AG564&lt;162,WeightSDS!P$12*$AG564^7+WeightSDS!Q$12*$AG564^6+WeightSDS!R$12*$AG564^5+WeightSDS!S$12*$AG564^4+WeightSDS!T$12*$AG564^3+WeightSDS!U$12*$AG564^2+WeightSDS!V$12*$AG564+WeightSDS!W$12,WeightSDS!P$14*$AG564^7+WeightSDS!Q$14*$AG564^6+WeightSDS!R$14*$AG564^5+WeightSDS!S$14*$AG564^4+WeightSDS!T$14*$AG564^3+WeightSDS!U$14*$AG564^2+WeightSDS!V$14*$AG564+WeightSDS!W$14),IF($AG564&lt;156,WeightSDS!O$17*$AG564^8+WeightSDS!P$17*$AG564^7+WeightSDS!Q$17*$AG564^6+WeightSDS!R$17*$AG564^5+WeightSDS!S$17*$AG564^4+WeightSDS!T$17*$AG564^3+WeightSDS!U$17*$AG564^2+WeightSDS!V$17*$AG564+WeightSDS!W$17,IF($AG564&lt;186,WeightSDS!$U$18+(WeightSDS!$V$18-WeightSDS!$U$18)/24*($AG564-186)+WeightSDS!$W$18*(-$AG564+186)^2-0.005,WeightSDS!$U$18+(WeightSDS!$V$18-WeightSDS!$U$18)/24*($AG564-186)-0.005)))</f>
        <v>0.14604529399999999</v>
      </c>
    </row>
    <row r="565" spans="1:37">
      <c r="A565" s="4"/>
      <c r="B565" s="21"/>
      <c r="C565" s="21"/>
      <c r="D565" s="21"/>
      <c r="E565" s="22"/>
      <c r="F565" s="22"/>
      <c r="G565" s="23"/>
      <c r="H565" s="23"/>
      <c r="I565" s="8" t="str">
        <f t="shared" si="130"/>
        <v/>
      </c>
      <c r="J565" s="2" t="str">
        <f t="shared" si="137"/>
        <v/>
      </c>
      <c r="K565" s="2" t="str">
        <f t="shared" si="131"/>
        <v/>
      </c>
      <c r="L565" s="2" t="str">
        <f t="shared" si="138"/>
        <v/>
      </c>
      <c r="M565" s="2" t="str">
        <f t="shared" si="143"/>
        <v/>
      </c>
      <c r="N565" s="2" t="str">
        <f t="shared" si="139"/>
        <v/>
      </c>
      <c r="O565" s="8" t="str">
        <f t="shared" si="140"/>
        <v/>
      </c>
      <c r="P565" s="8" t="str">
        <f t="shared" si="141"/>
        <v/>
      </c>
      <c r="Q565" s="40" t="str">
        <f t="shared" si="132"/>
        <v/>
      </c>
      <c r="R565" s="48" t="str">
        <f t="shared" si="142"/>
        <v/>
      </c>
      <c r="S565" s="8"/>
      <c r="U565" s="35">
        <f t="shared" si="133"/>
        <v>0</v>
      </c>
      <c r="V565" s="24">
        <f t="shared" si="134"/>
        <v>0</v>
      </c>
      <c r="W565" s="41">
        <f t="shared" si="145"/>
        <v>0</v>
      </c>
      <c r="X565" s="31"/>
      <c r="Y565" s="31"/>
      <c r="Z565" s="31"/>
      <c r="AA565" s="25">
        <f t="shared" si="135"/>
        <v>9.0359999999999996</v>
      </c>
      <c r="AB565" s="25">
        <f t="shared" si="136"/>
        <v>-184.49199999999999</v>
      </c>
      <c r="AD565" s="24">
        <f>IF(D565="M",IF(AG565&lt;78,BMILMS!$D$5*AG565^3+BMILMS!$E$5*AG565^2+BMILMS!$F$5*AG565+BMILMS!$G$5,IF(AG565&lt;150,BMILMS!$D$6*AG565^3+BMILMS!$E$6*AG565^2+BMILMS!$F$6*AG565+BMILMS!$G$6,BMILMS!$D$7*AG565^3+BMILMS!$E$7*AG565^2+BMILMS!$F$7*AG565+BMILMS!$G$7)),IF(AG565&lt;69,BMILMS!$D$9*AG565^3+BMILMS!$E$9*AG565^2+BMILMS!$F$9*AG565+BMILMS!$G$9,IF(AG565&lt;150,BMILMS!$D$10*AG565^3+BMILMS!$E$10*AG565^2+BMILMS!$F$10*AG565+BMILMS!$G$10,BMILMS!$D$11*AG565^3+BMILMS!$E$11*AG565^2+BMILMS!$F$11*AG565+BMILMS!$G$11)))</f>
        <v>0.79584630099999998</v>
      </c>
      <c r="AE565" s="24">
        <f>IF(D565="M",(IF(AG565&lt;2.5,BMILMS!$D$21*AG565^3+BMILMS!$E$21*AG565^2+BMILMS!$F$21*AG565+BMILMS!$G$21,IF(AG565&lt;9.5,BMILMS!$D$22*AG565^3+BMILMS!$E$22*AG565^2+BMILMS!$F$22*AG565+BMILMS!$G$22,IF(AG565&lt;26.75,BMILMS!$D$23*AG565^3+BMILMS!$E$23*AG565^2+BMILMS!$F$23*AG565+BMILMS!$G$23,IF(AG565&lt;90,BMILMS!$D$24*AG565^3+BMILMS!$E$24*AG565^2+BMILMS!$F$24*AG565+BMILMS!$G$24,BMILMS!$D$25*AG565^3+BMILMS!$E$25*AG565^2+BMILMS!$F$25*AG565+BMILMS!$G$25))))),(IF(AG565&lt;2.5,BMILMS!$D$27*AG565^3+BMILMS!$E$27*AG565^2+BMILMS!$F$27*AG565+BMILMS!$G$27,IF(AG565&lt;9.5,BMILMS!$D$28*AG565^3+BMILMS!$E$28*AG565^2+BMILMS!$F$28*AG565+BMILMS!$G$28,IF(AG565&lt;26.75,BMILMS!$D$29*AG565^3+BMILMS!$E$29*AG565^2+BMILMS!$F$29*AG565+BMILMS!$G$29,IF(AG565&lt;90,BMILMS!$D$30*AG565^3+BMILMS!$E$30*AG565^2+BMILMS!$F$30*AG565+BMILMS!$G$30,IF(AG565&lt;150,BMILMS!$D$31*AG565^3+BMILMS!$E$31*AG565^2+BMILMS!$F$31*AG565+BMILMS!$G$31,BMILMS!$D$32*AG565^3+BMILMS!$E$32*AG565^2+BMILMS!$F$32*AG565+BMILMS!$G$32)))))))</f>
        <v>12.568967990000001</v>
      </c>
      <c r="AF565" s="24">
        <f>IF(D565="M",(IF(AG565&lt;90,BMILMS!$D$14*AG565^3+BMILMS!$E$14*AG565^2+BMILMS!$F$14*AG565+BMILMS!$G$14,BMILMS!$D$15*AG565^3+BMILMS!$E$15*AG565^2+BMILMS!$F$15*AG565+BMILMS!$G$15)),(IF(AG565&lt;90,BMILMS!$D$17*AG565^3+BMILMS!$E$17*AG565^2+BMILMS!$F$17*AG565+BMILMS!$G$17,BMILMS!$D$18*AG565^3+BMILMS!$E$18*AG565^2+BMILMS!$F$18*AG565+BMILMS!$G$18)))</f>
        <v>8.8969350000000003E-2</v>
      </c>
      <c r="AG565" s="24">
        <f t="shared" si="144"/>
        <v>0</v>
      </c>
      <c r="AI565" s="38">
        <f>IF(D565="M",WeightSDS!P$5*$AG565^7+WeightSDS!Q$5*$AG565^6+WeightSDS!R$5*$AG565^5+WeightSDS!S$5*$AG565^4+WeightSDS!T$5*$AG565^3+WeightSDS!U$5*$AG565^2+WeightSDS!V$5*$AG565+WeightSDS!W$5,IF($AG565&lt;186,WeightSDS!P$8*$AG565^7+WeightSDS!Q$8*$AG565^6+WeightSDS!R$8*$AG565^5+WeightSDS!S$8*$AG565^4+WeightSDS!T$8*$AG565^3+WeightSDS!U$8*$AG565^2+WeightSDS!V$8*$AG565+WeightSDS!W$8,WeightSDS!$U$9-WeightSDS!$V$9*($AG565-WeightSDS!$W$9)))</f>
        <v>0.75407122999999998</v>
      </c>
      <c r="AJ565" s="24">
        <f>IF(D565="M",IF($AG565&lt;45,WeightSDS!M$23*$AG565^10+WeightSDS!N$23*$AG565^9+WeightSDS!O$23*$AG565^8+WeightSDS!P$23*$AG565^7+WeightSDS!Q$23*$AG565^6+WeightSDS!R$23*$AG565^5+WeightSDS!S$23*$AG565^4+WeightSDS!T$23*$AG565^3+WeightSDS!U$23*$AG565^2+WeightSDS!V$23*$AG565+WeightSDS!W$23,IF($AG565&lt;153,WeightSDS!M$25*$AG565^10+WeightSDS!N$25*$AG565^9+WeightSDS!O$25*$AG565^8+WeightSDS!P$25*$AG565^7+WeightSDS!Q$25*$AG565^6+WeightSDS!R$25*$AG565^5+WeightSDS!S$25*$AG565^4+WeightSDS!T$25*$AG565^3+WeightSDS!U$25*$AG565^2+WeightSDS!V$25*$AG565+WeightSDS!W$25,WeightSDS!M$27+WeightSDS!N$27/(1+EXP(WeightSDS!O$27+WeightSDS!P$27*$AG565)))),IF($AG565&lt;43.8,WeightSDS!M$29*$AG565^10+WeightSDS!N$29*$AG565^9+WeightSDS!O$29*$AG565^8+WeightSDS!P$29*$AG565^7+WeightSDS!Q$29*$AG565^6+WeightSDS!R$29*$AG565^5+WeightSDS!S$29*$AG565^4+WeightSDS!T$29*$AG565^3+WeightSDS!U$29*$AG565^2+WeightSDS!V$29*$AG565+WeightSDS!W$29-0.010431*(1-$AG565/210),IF($AG565&lt;123,WeightSDS!M$30*$AG565^10+WeightSDS!N$30*$AG565^9+WeightSDS!O$30*$AG565^8+WeightSDS!P$30*$AG565^7+WeightSDS!Q$30*$AG565^6+WeightSDS!R$30*$AG565^5+WeightSDS!S$30*$AG565^4+WeightSDS!T$30*$AG565^3+WeightSDS!U$30*$AG565^2+WeightSDS!V$30*$AG565+WeightSDS!W$30-0.010431*(1-1/$AG565),WeightSDS!M$32+WeightSDS!N$32/(1+EXP(WeightSDS!O$32+WeightSDS!P$32*$AG565))-0.010431*(1-$AG565/210))))</f>
        <v>2.9500001032655536</v>
      </c>
      <c r="AK565" s="24">
        <f>IF(D565="M",IF($AG565&lt;162,WeightSDS!P$12*$AG565^7+WeightSDS!Q$12*$AG565^6+WeightSDS!R$12*$AG565^5+WeightSDS!S$12*$AG565^4+WeightSDS!T$12*$AG565^3+WeightSDS!U$12*$AG565^2+WeightSDS!V$12*$AG565+WeightSDS!W$12,WeightSDS!P$14*$AG565^7+WeightSDS!Q$14*$AG565^6+WeightSDS!R$14*$AG565^5+WeightSDS!S$14*$AG565^4+WeightSDS!T$14*$AG565^3+WeightSDS!U$14*$AG565^2+WeightSDS!V$14*$AG565+WeightSDS!W$14),IF($AG565&lt;156,WeightSDS!O$17*$AG565^8+WeightSDS!P$17*$AG565^7+WeightSDS!Q$17*$AG565^6+WeightSDS!R$17*$AG565^5+WeightSDS!S$17*$AG565^4+WeightSDS!T$17*$AG565^3+WeightSDS!U$17*$AG565^2+WeightSDS!V$17*$AG565+WeightSDS!W$17,IF($AG565&lt;186,WeightSDS!$U$18+(WeightSDS!$V$18-WeightSDS!$U$18)/24*($AG565-186)+WeightSDS!$W$18*(-$AG565+186)^2-0.005,WeightSDS!$U$18+(WeightSDS!$V$18-WeightSDS!$U$18)/24*($AG565-186)-0.005)))</f>
        <v>0.14604529399999999</v>
      </c>
    </row>
    <row r="566" spans="1:37">
      <c r="A566" s="4"/>
      <c r="B566" s="21"/>
      <c r="C566" s="21"/>
      <c r="D566" s="21"/>
      <c r="E566" s="22"/>
      <c r="F566" s="22"/>
      <c r="G566" s="23"/>
      <c r="H566" s="23"/>
      <c r="I566" s="8" t="str">
        <f t="shared" si="130"/>
        <v/>
      </c>
      <c r="J566" s="2" t="str">
        <f t="shared" si="137"/>
        <v/>
      </c>
      <c r="K566" s="2" t="str">
        <f t="shared" si="131"/>
        <v/>
      </c>
      <c r="L566" s="2" t="str">
        <f t="shared" si="138"/>
        <v/>
      </c>
      <c r="M566" s="2" t="str">
        <f t="shared" si="143"/>
        <v/>
      </c>
      <c r="N566" s="2" t="str">
        <f t="shared" si="139"/>
        <v/>
      </c>
      <c r="O566" s="8" t="str">
        <f t="shared" si="140"/>
        <v/>
      </c>
      <c r="P566" s="8" t="str">
        <f t="shared" si="141"/>
        <v/>
      </c>
      <c r="Q566" s="40" t="str">
        <f t="shared" si="132"/>
        <v/>
      </c>
      <c r="R566" s="48" t="str">
        <f t="shared" si="142"/>
        <v/>
      </c>
      <c r="S566" s="8"/>
      <c r="U566" s="35">
        <f t="shared" si="133"/>
        <v>0</v>
      </c>
      <c r="V566" s="24">
        <f t="shared" si="134"/>
        <v>0</v>
      </c>
      <c r="W566" s="41">
        <f t="shared" si="145"/>
        <v>0</v>
      </c>
      <c r="X566" s="31"/>
      <c r="Y566" s="31"/>
      <c r="Z566" s="31"/>
      <c r="AA566" s="25">
        <f t="shared" si="135"/>
        <v>9.0359999999999996</v>
      </c>
      <c r="AB566" s="25">
        <f t="shared" si="136"/>
        <v>-184.49199999999999</v>
      </c>
      <c r="AD566" s="24">
        <f>IF(D566="M",IF(AG566&lt;78,BMILMS!$D$5*AG566^3+BMILMS!$E$5*AG566^2+BMILMS!$F$5*AG566+BMILMS!$G$5,IF(AG566&lt;150,BMILMS!$D$6*AG566^3+BMILMS!$E$6*AG566^2+BMILMS!$F$6*AG566+BMILMS!$G$6,BMILMS!$D$7*AG566^3+BMILMS!$E$7*AG566^2+BMILMS!$F$7*AG566+BMILMS!$G$7)),IF(AG566&lt;69,BMILMS!$D$9*AG566^3+BMILMS!$E$9*AG566^2+BMILMS!$F$9*AG566+BMILMS!$G$9,IF(AG566&lt;150,BMILMS!$D$10*AG566^3+BMILMS!$E$10*AG566^2+BMILMS!$F$10*AG566+BMILMS!$G$10,BMILMS!$D$11*AG566^3+BMILMS!$E$11*AG566^2+BMILMS!$F$11*AG566+BMILMS!$G$11)))</f>
        <v>0.79584630099999998</v>
      </c>
      <c r="AE566" s="24">
        <f>IF(D566="M",(IF(AG566&lt;2.5,BMILMS!$D$21*AG566^3+BMILMS!$E$21*AG566^2+BMILMS!$F$21*AG566+BMILMS!$G$21,IF(AG566&lt;9.5,BMILMS!$D$22*AG566^3+BMILMS!$E$22*AG566^2+BMILMS!$F$22*AG566+BMILMS!$G$22,IF(AG566&lt;26.75,BMILMS!$D$23*AG566^3+BMILMS!$E$23*AG566^2+BMILMS!$F$23*AG566+BMILMS!$G$23,IF(AG566&lt;90,BMILMS!$D$24*AG566^3+BMILMS!$E$24*AG566^2+BMILMS!$F$24*AG566+BMILMS!$G$24,BMILMS!$D$25*AG566^3+BMILMS!$E$25*AG566^2+BMILMS!$F$25*AG566+BMILMS!$G$25))))),(IF(AG566&lt;2.5,BMILMS!$D$27*AG566^3+BMILMS!$E$27*AG566^2+BMILMS!$F$27*AG566+BMILMS!$G$27,IF(AG566&lt;9.5,BMILMS!$D$28*AG566^3+BMILMS!$E$28*AG566^2+BMILMS!$F$28*AG566+BMILMS!$G$28,IF(AG566&lt;26.75,BMILMS!$D$29*AG566^3+BMILMS!$E$29*AG566^2+BMILMS!$F$29*AG566+BMILMS!$G$29,IF(AG566&lt;90,BMILMS!$D$30*AG566^3+BMILMS!$E$30*AG566^2+BMILMS!$F$30*AG566+BMILMS!$G$30,IF(AG566&lt;150,BMILMS!$D$31*AG566^3+BMILMS!$E$31*AG566^2+BMILMS!$F$31*AG566+BMILMS!$G$31,BMILMS!$D$32*AG566^3+BMILMS!$E$32*AG566^2+BMILMS!$F$32*AG566+BMILMS!$G$32)))))))</f>
        <v>12.568967990000001</v>
      </c>
      <c r="AF566" s="24">
        <f>IF(D566="M",(IF(AG566&lt;90,BMILMS!$D$14*AG566^3+BMILMS!$E$14*AG566^2+BMILMS!$F$14*AG566+BMILMS!$G$14,BMILMS!$D$15*AG566^3+BMILMS!$E$15*AG566^2+BMILMS!$F$15*AG566+BMILMS!$G$15)),(IF(AG566&lt;90,BMILMS!$D$17*AG566^3+BMILMS!$E$17*AG566^2+BMILMS!$F$17*AG566+BMILMS!$G$17,BMILMS!$D$18*AG566^3+BMILMS!$E$18*AG566^2+BMILMS!$F$18*AG566+BMILMS!$G$18)))</f>
        <v>8.8969350000000003E-2</v>
      </c>
      <c r="AG566" s="24">
        <f t="shared" si="144"/>
        <v>0</v>
      </c>
      <c r="AI566" s="38">
        <f>IF(D566="M",WeightSDS!P$5*$AG566^7+WeightSDS!Q$5*$AG566^6+WeightSDS!R$5*$AG566^5+WeightSDS!S$5*$AG566^4+WeightSDS!T$5*$AG566^3+WeightSDS!U$5*$AG566^2+WeightSDS!V$5*$AG566+WeightSDS!W$5,IF($AG566&lt;186,WeightSDS!P$8*$AG566^7+WeightSDS!Q$8*$AG566^6+WeightSDS!R$8*$AG566^5+WeightSDS!S$8*$AG566^4+WeightSDS!T$8*$AG566^3+WeightSDS!U$8*$AG566^2+WeightSDS!V$8*$AG566+WeightSDS!W$8,WeightSDS!$U$9-WeightSDS!$V$9*($AG566-WeightSDS!$W$9)))</f>
        <v>0.75407122999999998</v>
      </c>
      <c r="AJ566" s="24">
        <f>IF(D566="M",IF($AG566&lt;45,WeightSDS!M$23*$AG566^10+WeightSDS!N$23*$AG566^9+WeightSDS!O$23*$AG566^8+WeightSDS!P$23*$AG566^7+WeightSDS!Q$23*$AG566^6+WeightSDS!R$23*$AG566^5+WeightSDS!S$23*$AG566^4+WeightSDS!T$23*$AG566^3+WeightSDS!U$23*$AG566^2+WeightSDS!V$23*$AG566+WeightSDS!W$23,IF($AG566&lt;153,WeightSDS!M$25*$AG566^10+WeightSDS!N$25*$AG566^9+WeightSDS!O$25*$AG566^8+WeightSDS!P$25*$AG566^7+WeightSDS!Q$25*$AG566^6+WeightSDS!R$25*$AG566^5+WeightSDS!S$25*$AG566^4+WeightSDS!T$25*$AG566^3+WeightSDS!U$25*$AG566^2+WeightSDS!V$25*$AG566+WeightSDS!W$25,WeightSDS!M$27+WeightSDS!N$27/(1+EXP(WeightSDS!O$27+WeightSDS!P$27*$AG566)))),IF($AG566&lt;43.8,WeightSDS!M$29*$AG566^10+WeightSDS!N$29*$AG566^9+WeightSDS!O$29*$AG566^8+WeightSDS!P$29*$AG566^7+WeightSDS!Q$29*$AG566^6+WeightSDS!R$29*$AG566^5+WeightSDS!S$29*$AG566^4+WeightSDS!T$29*$AG566^3+WeightSDS!U$29*$AG566^2+WeightSDS!V$29*$AG566+WeightSDS!W$29-0.010431*(1-$AG566/210),IF($AG566&lt;123,WeightSDS!M$30*$AG566^10+WeightSDS!N$30*$AG566^9+WeightSDS!O$30*$AG566^8+WeightSDS!P$30*$AG566^7+WeightSDS!Q$30*$AG566^6+WeightSDS!R$30*$AG566^5+WeightSDS!S$30*$AG566^4+WeightSDS!T$30*$AG566^3+WeightSDS!U$30*$AG566^2+WeightSDS!V$30*$AG566+WeightSDS!W$30-0.010431*(1-1/$AG566),WeightSDS!M$32+WeightSDS!N$32/(1+EXP(WeightSDS!O$32+WeightSDS!P$32*$AG566))-0.010431*(1-$AG566/210))))</f>
        <v>2.9500001032655536</v>
      </c>
      <c r="AK566" s="24">
        <f>IF(D566="M",IF($AG566&lt;162,WeightSDS!P$12*$AG566^7+WeightSDS!Q$12*$AG566^6+WeightSDS!R$12*$AG566^5+WeightSDS!S$12*$AG566^4+WeightSDS!T$12*$AG566^3+WeightSDS!U$12*$AG566^2+WeightSDS!V$12*$AG566+WeightSDS!W$12,WeightSDS!P$14*$AG566^7+WeightSDS!Q$14*$AG566^6+WeightSDS!R$14*$AG566^5+WeightSDS!S$14*$AG566^4+WeightSDS!T$14*$AG566^3+WeightSDS!U$14*$AG566^2+WeightSDS!V$14*$AG566+WeightSDS!W$14),IF($AG566&lt;156,WeightSDS!O$17*$AG566^8+WeightSDS!P$17*$AG566^7+WeightSDS!Q$17*$AG566^6+WeightSDS!R$17*$AG566^5+WeightSDS!S$17*$AG566^4+WeightSDS!T$17*$AG566^3+WeightSDS!U$17*$AG566^2+WeightSDS!V$17*$AG566+WeightSDS!W$17,IF($AG566&lt;186,WeightSDS!$U$18+(WeightSDS!$V$18-WeightSDS!$U$18)/24*($AG566-186)+WeightSDS!$W$18*(-$AG566+186)^2-0.005,WeightSDS!$U$18+(WeightSDS!$V$18-WeightSDS!$U$18)/24*($AG566-186)-0.005)))</f>
        <v>0.14604529399999999</v>
      </c>
    </row>
    <row r="567" spans="1:37">
      <c r="A567" s="4"/>
      <c r="B567" s="21"/>
      <c r="C567" s="21"/>
      <c r="D567" s="21"/>
      <c r="E567" s="22"/>
      <c r="F567" s="22"/>
      <c r="G567" s="23"/>
      <c r="H567" s="23"/>
      <c r="I567" s="8" t="str">
        <f t="shared" si="130"/>
        <v/>
      </c>
      <c r="J567" s="2" t="str">
        <f t="shared" si="137"/>
        <v/>
      </c>
      <c r="K567" s="2" t="str">
        <f t="shared" si="131"/>
        <v/>
      </c>
      <c r="L567" s="2" t="str">
        <f t="shared" si="138"/>
        <v/>
      </c>
      <c r="M567" s="2" t="str">
        <f t="shared" si="143"/>
        <v/>
      </c>
      <c r="N567" s="2" t="str">
        <f t="shared" si="139"/>
        <v/>
      </c>
      <c r="O567" s="8" t="str">
        <f t="shared" si="140"/>
        <v/>
      </c>
      <c r="P567" s="8" t="str">
        <f t="shared" si="141"/>
        <v/>
      </c>
      <c r="Q567" s="40" t="str">
        <f t="shared" si="132"/>
        <v/>
      </c>
      <c r="R567" s="48" t="str">
        <f t="shared" si="142"/>
        <v/>
      </c>
      <c r="S567" s="8"/>
      <c r="U567" s="35">
        <f t="shared" si="133"/>
        <v>0</v>
      </c>
      <c r="V567" s="24">
        <f t="shared" si="134"/>
        <v>0</v>
      </c>
      <c r="W567" s="41">
        <f t="shared" si="145"/>
        <v>0</v>
      </c>
      <c r="X567" s="31"/>
      <c r="Y567" s="31"/>
      <c r="Z567" s="31"/>
      <c r="AA567" s="25">
        <f t="shared" si="135"/>
        <v>9.0359999999999996</v>
      </c>
      <c r="AB567" s="25">
        <f t="shared" si="136"/>
        <v>-184.49199999999999</v>
      </c>
      <c r="AD567" s="24">
        <f>IF(D567="M",IF(AG567&lt;78,BMILMS!$D$5*AG567^3+BMILMS!$E$5*AG567^2+BMILMS!$F$5*AG567+BMILMS!$G$5,IF(AG567&lt;150,BMILMS!$D$6*AG567^3+BMILMS!$E$6*AG567^2+BMILMS!$F$6*AG567+BMILMS!$G$6,BMILMS!$D$7*AG567^3+BMILMS!$E$7*AG567^2+BMILMS!$F$7*AG567+BMILMS!$G$7)),IF(AG567&lt;69,BMILMS!$D$9*AG567^3+BMILMS!$E$9*AG567^2+BMILMS!$F$9*AG567+BMILMS!$G$9,IF(AG567&lt;150,BMILMS!$D$10*AG567^3+BMILMS!$E$10*AG567^2+BMILMS!$F$10*AG567+BMILMS!$G$10,BMILMS!$D$11*AG567^3+BMILMS!$E$11*AG567^2+BMILMS!$F$11*AG567+BMILMS!$G$11)))</f>
        <v>0.79584630099999998</v>
      </c>
      <c r="AE567" s="24">
        <f>IF(D567="M",(IF(AG567&lt;2.5,BMILMS!$D$21*AG567^3+BMILMS!$E$21*AG567^2+BMILMS!$F$21*AG567+BMILMS!$G$21,IF(AG567&lt;9.5,BMILMS!$D$22*AG567^3+BMILMS!$E$22*AG567^2+BMILMS!$F$22*AG567+BMILMS!$G$22,IF(AG567&lt;26.75,BMILMS!$D$23*AG567^3+BMILMS!$E$23*AG567^2+BMILMS!$F$23*AG567+BMILMS!$G$23,IF(AG567&lt;90,BMILMS!$D$24*AG567^3+BMILMS!$E$24*AG567^2+BMILMS!$F$24*AG567+BMILMS!$G$24,BMILMS!$D$25*AG567^3+BMILMS!$E$25*AG567^2+BMILMS!$F$25*AG567+BMILMS!$G$25))))),(IF(AG567&lt;2.5,BMILMS!$D$27*AG567^3+BMILMS!$E$27*AG567^2+BMILMS!$F$27*AG567+BMILMS!$G$27,IF(AG567&lt;9.5,BMILMS!$D$28*AG567^3+BMILMS!$E$28*AG567^2+BMILMS!$F$28*AG567+BMILMS!$G$28,IF(AG567&lt;26.75,BMILMS!$D$29*AG567^3+BMILMS!$E$29*AG567^2+BMILMS!$F$29*AG567+BMILMS!$G$29,IF(AG567&lt;90,BMILMS!$D$30*AG567^3+BMILMS!$E$30*AG567^2+BMILMS!$F$30*AG567+BMILMS!$G$30,IF(AG567&lt;150,BMILMS!$D$31*AG567^3+BMILMS!$E$31*AG567^2+BMILMS!$F$31*AG567+BMILMS!$G$31,BMILMS!$D$32*AG567^3+BMILMS!$E$32*AG567^2+BMILMS!$F$32*AG567+BMILMS!$G$32)))))))</f>
        <v>12.568967990000001</v>
      </c>
      <c r="AF567" s="24">
        <f>IF(D567="M",(IF(AG567&lt;90,BMILMS!$D$14*AG567^3+BMILMS!$E$14*AG567^2+BMILMS!$F$14*AG567+BMILMS!$G$14,BMILMS!$D$15*AG567^3+BMILMS!$E$15*AG567^2+BMILMS!$F$15*AG567+BMILMS!$G$15)),(IF(AG567&lt;90,BMILMS!$D$17*AG567^3+BMILMS!$E$17*AG567^2+BMILMS!$F$17*AG567+BMILMS!$G$17,BMILMS!$D$18*AG567^3+BMILMS!$E$18*AG567^2+BMILMS!$F$18*AG567+BMILMS!$G$18)))</f>
        <v>8.8969350000000003E-2</v>
      </c>
      <c r="AG567" s="24">
        <f t="shared" si="144"/>
        <v>0</v>
      </c>
      <c r="AI567" s="38">
        <f>IF(D567="M",WeightSDS!P$5*$AG567^7+WeightSDS!Q$5*$AG567^6+WeightSDS!R$5*$AG567^5+WeightSDS!S$5*$AG567^4+WeightSDS!T$5*$AG567^3+WeightSDS!U$5*$AG567^2+WeightSDS!V$5*$AG567+WeightSDS!W$5,IF($AG567&lt;186,WeightSDS!P$8*$AG567^7+WeightSDS!Q$8*$AG567^6+WeightSDS!R$8*$AG567^5+WeightSDS!S$8*$AG567^4+WeightSDS!T$8*$AG567^3+WeightSDS!U$8*$AG567^2+WeightSDS!V$8*$AG567+WeightSDS!W$8,WeightSDS!$U$9-WeightSDS!$V$9*($AG567-WeightSDS!$W$9)))</f>
        <v>0.75407122999999998</v>
      </c>
      <c r="AJ567" s="24">
        <f>IF(D567="M",IF($AG567&lt;45,WeightSDS!M$23*$AG567^10+WeightSDS!N$23*$AG567^9+WeightSDS!O$23*$AG567^8+WeightSDS!P$23*$AG567^7+WeightSDS!Q$23*$AG567^6+WeightSDS!R$23*$AG567^5+WeightSDS!S$23*$AG567^4+WeightSDS!T$23*$AG567^3+WeightSDS!U$23*$AG567^2+WeightSDS!V$23*$AG567+WeightSDS!W$23,IF($AG567&lt;153,WeightSDS!M$25*$AG567^10+WeightSDS!N$25*$AG567^9+WeightSDS!O$25*$AG567^8+WeightSDS!P$25*$AG567^7+WeightSDS!Q$25*$AG567^6+WeightSDS!R$25*$AG567^5+WeightSDS!S$25*$AG567^4+WeightSDS!T$25*$AG567^3+WeightSDS!U$25*$AG567^2+WeightSDS!V$25*$AG567+WeightSDS!W$25,WeightSDS!M$27+WeightSDS!N$27/(1+EXP(WeightSDS!O$27+WeightSDS!P$27*$AG567)))),IF($AG567&lt;43.8,WeightSDS!M$29*$AG567^10+WeightSDS!N$29*$AG567^9+WeightSDS!O$29*$AG567^8+WeightSDS!P$29*$AG567^7+WeightSDS!Q$29*$AG567^6+WeightSDS!R$29*$AG567^5+WeightSDS!S$29*$AG567^4+WeightSDS!T$29*$AG567^3+WeightSDS!U$29*$AG567^2+WeightSDS!V$29*$AG567+WeightSDS!W$29-0.010431*(1-$AG567/210),IF($AG567&lt;123,WeightSDS!M$30*$AG567^10+WeightSDS!N$30*$AG567^9+WeightSDS!O$30*$AG567^8+WeightSDS!P$30*$AG567^7+WeightSDS!Q$30*$AG567^6+WeightSDS!R$30*$AG567^5+WeightSDS!S$30*$AG567^4+WeightSDS!T$30*$AG567^3+WeightSDS!U$30*$AG567^2+WeightSDS!V$30*$AG567+WeightSDS!W$30-0.010431*(1-1/$AG567),WeightSDS!M$32+WeightSDS!N$32/(1+EXP(WeightSDS!O$32+WeightSDS!P$32*$AG567))-0.010431*(1-$AG567/210))))</f>
        <v>2.9500001032655536</v>
      </c>
      <c r="AK567" s="24">
        <f>IF(D567="M",IF($AG567&lt;162,WeightSDS!P$12*$AG567^7+WeightSDS!Q$12*$AG567^6+WeightSDS!R$12*$AG567^5+WeightSDS!S$12*$AG567^4+WeightSDS!T$12*$AG567^3+WeightSDS!U$12*$AG567^2+WeightSDS!V$12*$AG567+WeightSDS!W$12,WeightSDS!P$14*$AG567^7+WeightSDS!Q$14*$AG567^6+WeightSDS!R$14*$AG567^5+WeightSDS!S$14*$AG567^4+WeightSDS!T$14*$AG567^3+WeightSDS!U$14*$AG567^2+WeightSDS!V$14*$AG567+WeightSDS!W$14),IF($AG567&lt;156,WeightSDS!O$17*$AG567^8+WeightSDS!P$17*$AG567^7+WeightSDS!Q$17*$AG567^6+WeightSDS!R$17*$AG567^5+WeightSDS!S$17*$AG567^4+WeightSDS!T$17*$AG567^3+WeightSDS!U$17*$AG567^2+WeightSDS!V$17*$AG567+WeightSDS!W$17,IF($AG567&lt;186,WeightSDS!$U$18+(WeightSDS!$V$18-WeightSDS!$U$18)/24*($AG567-186)+WeightSDS!$W$18*(-$AG567+186)^2-0.005,WeightSDS!$U$18+(WeightSDS!$V$18-WeightSDS!$U$18)/24*($AG567-186)-0.005)))</f>
        <v>0.14604529399999999</v>
      </c>
    </row>
    <row r="568" spans="1:37">
      <c r="A568" s="4"/>
      <c r="B568" s="21"/>
      <c r="C568" s="21"/>
      <c r="D568" s="21"/>
      <c r="E568" s="22"/>
      <c r="F568" s="22"/>
      <c r="G568" s="23"/>
      <c r="H568" s="23"/>
      <c r="I568" s="8" t="str">
        <f t="shared" si="130"/>
        <v/>
      </c>
      <c r="J568" s="2" t="str">
        <f t="shared" si="137"/>
        <v/>
      </c>
      <c r="K568" s="2" t="str">
        <f t="shared" si="131"/>
        <v/>
      </c>
      <c r="L568" s="2" t="str">
        <f t="shared" si="138"/>
        <v/>
      </c>
      <c r="M568" s="2" t="str">
        <f t="shared" si="143"/>
        <v/>
      </c>
      <c r="N568" s="2" t="str">
        <f t="shared" si="139"/>
        <v/>
      </c>
      <c r="O568" s="8" t="str">
        <f t="shared" si="140"/>
        <v/>
      </c>
      <c r="P568" s="8" t="str">
        <f t="shared" si="141"/>
        <v/>
      </c>
      <c r="Q568" s="40" t="str">
        <f t="shared" si="132"/>
        <v/>
      </c>
      <c r="R568" s="48" t="str">
        <f t="shared" si="142"/>
        <v/>
      </c>
      <c r="S568" s="8"/>
      <c r="U568" s="35">
        <f t="shared" si="133"/>
        <v>0</v>
      </c>
      <c r="V568" s="24">
        <f t="shared" si="134"/>
        <v>0</v>
      </c>
      <c r="W568" s="41">
        <f t="shared" si="145"/>
        <v>0</v>
      </c>
      <c r="X568" s="31"/>
      <c r="Y568" s="31"/>
      <c r="Z568" s="31"/>
      <c r="AA568" s="25">
        <f t="shared" si="135"/>
        <v>9.0359999999999996</v>
      </c>
      <c r="AB568" s="25">
        <f t="shared" si="136"/>
        <v>-184.49199999999999</v>
      </c>
      <c r="AD568" s="24">
        <f>IF(D568="M",IF(AG568&lt;78,BMILMS!$D$5*AG568^3+BMILMS!$E$5*AG568^2+BMILMS!$F$5*AG568+BMILMS!$G$5,IF(AG568&lt;150,BMILMS!$D$6*AG568^3+BMILMS!$E$6*AG568^2+BMILMS!$F$6*AG568+BMILMS!$G$6,BMILMS!$D$7*AG568^3+BMILMS!$E$7*AG568^2+BMILMS!$F$7*AG568+BMILMS!$G$7)),IF(AG568&lt;69,BMILMS!$D$9*AG568^3+BMILMS!$E$9*AG568^2+BMILMS!$F$9*AG568+BMILMS!$G$9,IF(AG568&lt;150,BMILMS!$D$10*AG568^3+BMILMS!$E$10*AG568^2+BMILMS!$F$10*AG568+BMILMS!$G$10,BMILMS!$D$11*AG568^3+BMILMS!$E$11*AG568^2+BMILMS!$F$11*AG568+BMILMS!$G$11)))</f>
        <v>0.79584630099999998</v>
      </c>
      <c r="AE568" s="24">
        <f>IF(D568="M",(IF(AG568&lt;2.5,BMILMS!$D$21*AG568^3+BMILMS!$E$21*AG568^2+BMILMS!$F$21*AG568+BMILMS!$G$21,IF(AG568&lt;9.5,BMILMS!$D$22*AG568^3+BMILMS!$E$22*AG568^2+BMILMS!$F$22*AG568+BMILMS!$G$22,IF(AG568&lt;26.75,BMILMS!$D$23*AG568^3+BMILMS!$E$23*AG568^2+BMILMS!$F$23*AG568+BMILMS!$G$23,IF(AG568&lt;90,BMILMS!$D$24*AG568^3+BMILMS!$E$24*AG568^2+BMILMS!$F$24*AG568+BMILMS!$G$24,BMILMS!$D$25*AG568^3+BMILMS!$E$25*AG568^2+BMILMS!$F$25*AG568+BMILMS!$G$25))))),(IF(AG568&lt;2.5,BMILMS!$D$27*AG568^3+BMILMS!$E$27*AG568^2+BMILMS!$F$27*AG568+BMILMS!$G$27,IF(AG568&lt;9.5,BMILMS!$D$28*AG568^3+BMILMS!$E$28*AG568^2+BMILMS!$F$28*AG568+BMILMS!$G$28,IF(AG568&lt;26.75,BMILMS!$D$29*AG568^3+BMILMS!$E$29*AG568^2+BMILMS!$F$29*AG568+BMILMS!$G$29,IF(AG568&lt;90,BMILMS!$D$30*AG568^3+BMILMS!$E$30*AG568^2+BMILMS!$F$30*AG568+BMILMS!$G$30,IF(AG568&lt;150,BMILMS!$D$31*AG568^3+BMILMS!$E$31*AG568^2+BMILMS!$F$31*AG568+BMILMS!$G$31,BMILMS!$D$32*AG568^3+BMILMS!$E$32*AG568^2+BMILMS!$F$32*AG568+BMILMS!$G$32)))))))</f>
        <v>12.568967990000001</v>
      </c>
      <c r="AF568" s="24">
        <f>IF(D568="M",(IF(AG568&lt;90,BMILMS!$D$14*AG568^3+BMILMS!$E$14*AG568^2+BMILMS!$F$14*AG568+BMILMS!$G$14,BMILMS!$D$15*AG568^3+BMILMS!$E$15*AG568^2+BMILMS!$F$15*AG568+BMILMS!$G$15)),(IF(AG568&lt;90,BMILMS!$D$17*AG568^3+BMILMS!$E$17*AG568^2+BMILMS!$F$17*AG568+BMILMS!$G$17,BMILMS!$D$18*AG568^3+BMILMS!$E$18*AG568^2+BMILMS!$F$18*AG568+BMILMS!$G$18)))</f>
        <v>8.8969350000000003E-2</v>
      </c>
      <c r="AG568" s="24">
        <f t="shared" si="144"/>
        <v>0</v>
      </c>
      <c r="AI568" s="38">
        <f>IF(D568="M",WeightSDS!P$5*$AG568^7+WeightSDS!Q$5*$AG568^6+WeightSDS!R$5*$AG568^5+WeightSDS!S$5*$AG568^4+WeightSDS!T$5*$AG568^3+WeightSDS!U$5*$AG568^2+WeightSDS!V$5*$AG568+WeightSDS!W$5,IF($AG568&lt;186,WeightSDS!P$8*$AG568^7+WeightSDS!Q$8*$AG568^6+WeightSDS!R$8*$AG568^5+WeightSDS!S$8*$AG568^4+WeightSDS!T$8*$AG568^3+WeightSDS!U$8*$AG568^2+WeightSDS!V$8*$AG568+WeightSDS!W$8,WeightSDS!$U$9-WeightSDS!$V$9*($AG568-WeightSDS!$W$9)))</f>
        <v>0.75407122999999998</v>
      </c>
      <c r="AJ568" s="24">
        <f>IF(D568="M",IF($AG568&lt;45,WeightSDS!M$23*$AG568^10+WeightSDS!N$23*$AG568^9+WeightSDS!O$23*$AG568^8+WeightSDS!P$23*$AG568^7+WeightSDS!Q$23*$AG568^6+WeightSDS!R$23*$AG568^5+WeightSDS!S$23*$AG568^4+WeightSDS!T$23*$AG568^3+WeightSDS!U$23*$AG568^2+WeightSDS!V$23*$AG568+WeightSDS!W$23,IF($AG568&lt;153,WeightSDS!M$25*$AG568^10+WeightSDS!N$25*$AG568^9+WeightSDS!O$25*$AG568^8+WeightSDS!P$25*$AG568^7+WeightSDS!Q$25*$AG568^6+WeightSDS!R$25*$AG568^5+WeightSDS!S$25*$AG568^4+WeightSDS!T$25*$AG568^3+WeightSDS!U$25*$AG568^2+WeightSDS!V$25*$AG568+WeightSDS!W$25,WeightSDS!M$27+WeightSDS!N$27/(1+EXP(WeightSDS!O$27+WeightSDS!P$27*$AG568)))),IF($AG568&lt;43.8,WeightSDS!M$29*$AG568^10+WeightSDS!N$29*$AG568^9+WeightSDS!O$29*$AG568^8+WeightSDS!P$29*$AG568^7+WeightSDS!Q$29*$AG568^6+WeightSDS!R$29*$AG568^5+WeightSDS!S$29*$AG568^4+WeightSDS!T$29*$AG568^3+WeightSDS!U$29*$AG568^2+WeightSDS!V$29*$AG568+WeightSDS!W$29-0.010431*(1-$AG568/210),IF($AG568&lt;123,WeightSDS!M$30*$AG568^10+WeightSDS!N$30*$AG568^9+WeightSDS!O$30*$AG568^8+WeightSDS!P$30*$AG568^7+WeightSDS!Q$30*$AG568^6+WeightSDS!R$30*$AG568^5+WeightSDS!S$30*$AG568^4+WeightSDS!T$30*$AG568^3+WeightSDS!U$30*$AG568^2+WeightSDS!V$30*$AG568+WeightSDS!W$30-0.010431*(1-1/$AG568),WeightSDS!M$32+WeightSDS!N$32/(1+EXP(WeightSDS!O$32+WeightSDS!P$32*$AG568))-0.010431*(1-$AG568/210))))</f>
        <v>2.9500001032655536</v>
      </c>
      <c r="AK568" s="24">
        <f>IF(D568="M",IF($AG568&lt;162,WeightSDS!P$12*$AG568^7+WeightSDS!Q$12*$AG568^6+WeightSDS!R$12*$AG568^5+WeightSDS!S$12*$AG568^4+WeightSDS!T$12*$AG568^3+WeightSDS!U$12*$AG568^2+WeightSDS!V$12*$AG568+WeightSDS!W$12,WeightSDS!P$14*$AG568^7+WeightSDS!Q$14*$AG568^6+WeightSDS!R$14*$AG568^5+WeightSDS!S$14*$AG568^4+WeightSDS!T$14*$AG568^3+WeightSDS!U$14*$AG568^2+WeightSDS!V$14*$AG568+WeightSDS!W$14),IF($AG568&lt;156,WeightSDS!O$17*$AG568^8+WeightSDS!P$17*$AG568^7+WeightSDS!Q$17*$AG568^6+WeightSDS!R$17*$AG568^5+WeightSDS!S$17*$AG568^4+WeightSDS!T$17*$AG568^3+WeightSDS!U$17*$AG568^2+WeightSDS!V$17*$AG568+WeightSDS!W$17,IF($AG568&lt;186,WeightSDS!$U$18+(WeightSDS!$V$18-WeightSDS!$U$18)/24*($AG568-186)+WeightSDS!$W$18*(-$AG568+186)^2-0.005,WeightSDS!$U$18+(WeightSDS!$V$18-WeightSDS!$U$18)/24*($AG568-186)-0.005)))</f>
        <v>0.14604529399999999</v>
      </c>
    </row>
    <row r="569" spans="1:37">
      <c r="A569" s="4"/>
      <c r="B569" s="21"/>
      <c r="C569" s="21"/>
      <c r="D569" s="21"/>
      <c r="E569" s="22"/>
      <c r="F569" s="22"/>
      <c r="G569" s="23"/>
      <c r="H569" s="23"/>
      <c r="I569" s="8" t="str">
        <f t="shared" si="130"/>
        <v/>
      </c>
      <c r="J569" s="2" t="str">
        <f t="shared" si="137"/>
        <v/>
      </c>
      <c r="K569" s="2" t="str">
        <f t="shared" si="131"/>
        <v/>
      </c>
      <c r="L569" s="2" t="str">
        <f t="shared" si="138"/>
        <v/>
      </c>
      <c r="M569" s="2" t="str">
        <f t="shared" si="143"/>
        <v/>
      </c>
      <c r="N569" s="2" t="str">
        <f t="shared" si="139"/>
        <v/>
      </c>
      <c r="O569" s="8" t="str">
        <f t="shared" si="140"/>
        <v/>
      </c>
      <c r="P569" s="8" t="str">
        <f t="shared" si="141"/>
        <v/>
      </c>
      <c r="Q569" s="40" t="str">
        <f t="shared" si="132"/>
        <v/>
      </c>
      <c r="R569" s="48" t="str">
        <f t="shared" si="142"/>
        <v/>
      </c>
      <c r="S569" s="8"/>
      <c r="U569" s="35">
        <f t="shared" si="133"/>
        <v>0</v>
      </c>
      <c r="V569" s="24">
        <f t="shared" si="134"/>
        <v>0</v>
      </c>
      <c r="W569" s="41">
        <f t="shared" si="145"/>
        <v>0</v>
      </c>
      <c r="X569" s="31"/>
      <c r="Y569" s="31"/>
      <c r="Z569" s="31"/>
      <c r="AA569" s="25">
        <f t="shared" si="135"/>
        <v>9.0359999999999996</v>
      </c>
      <c r="AB569" s="25">
        <f t="shared" si="136"/>
        <v>-184.49199999999999</v>
      </c>
      <c r="AD569" s="24">
        <f>IF(D569="M",IF(AG569&lt;78,BMILMS!$D$5*AG569^3+BMILMS!$E$5*AG569^2+BMILMS!$F$5*AG569+BMILMS!$G$5,IF(AG569&lt;150,BMILMS!$D$6*AG569^3+BMILMS!$E$6*AG569^2+BMILMS!$F$6*AG569+BMILMS!$G$6,BMILMS!$D$7*AG569^3+BMILMS!$E$7*AG569^2+BMILMS!$F$7*AG569+BMILMS!$G$7)),IF(AG569&lt;69,BMILMS!$D$9*AG569^3+BMILMS!$E$9*AG569^2+BMILMS!$F$9*AG569+BMILMS!$G$9,IF(AG569&lt;150,BMILMS!$D$10*AG569^3+BMILMS!$E$10*AG569^2+BMILMS!$F$10*AG569+BMILMS!$G$10,BMILMS!$D$11*AG569^3+BMILMS!$E$11*AG569^2+BMILMS!$F$11*AG569+BMILMS!$G$11)))</f>
        <v>0.79584630099999998</v>
      </c>
      <c r="AE569" s="24">
        <f>IF(D569="M",(IF(AG569&lt;2.5,BMILMS!$D$21*AG569^3+BMILMS!$E$21*AG569^2+BMILMS!$F$21*AG569+BMILMS!$G$21,IF(AG569&lt;9.5,BMILMS!$D$22*AG569^3+BMILMS!$E$22*AG569^2+BMILMS!$F$22*AG569+BMILMS!$G$22,IF(AG569&lt;26.75,BMILMS!$D$23*AG569^3+BMILMS!$E$23*AG569^2+BMILMS!$F$23*AG569+BMILMS!$G$23,IF(AG569&lt;90,BMILMS!$D$24*AG569^3+BMILMS!$E$24*AG569^2+BMILMS!$F$24*AG569+BMILMS!$G$24,BMILMS!$D$25*AG569^3+BMILMS!$E$25*AG569^2+BMILMS!$F$25*AG569+BMILMS!$G$25))))),(IF(AG569&lt;2.5,BMILMS!$D$27*AG569^3+BMILMS!$E$27*AG569^2+BMILMS!$F$27*AG569+BMILMS!$G$27,IF(AG569&lt;9.5,BMILMS!$D$28*AG569^3+BMILMS!$E$28*AG569^2+BMILMS!$F$28*AG569+BMILMS!$G$28,IF(AG569&lt;26.75,BMILMS!$D$29*AG569^3+BMILMS!$E$29*AG569^2+BMILMS!$F$29*AG569+BMILMS!$G$29,IF(AG569&lt;90,BMILMS!$D$30*AG569^3+BMILMS!$E$30*AG569^2+BMILMS!$F$30*AG569+BMILMS!$G$30,IF(AG569&lt;150,BMILMS!$D$31*AG569^3+BMILMS!$E$31*AG569^2+BMILMS!$F$31*AG569+BMILMS!$G$31,BMILMS!$D$32*AG569^3+BMILMS!$E$32*AG569^2+BMILMS!$F$32*AG569+BMILMS!$G$32)))))))</f>
        <v>12.568967990000001</v>
      </c>
      <c r="AF569" s="24">
        <f>IF(D569="M",(IF(AG569&lt;90,BMILMS!$D$14*AG569^3+BMILMS!$E$14*AG569^2+BMILMS!$F$14*AG569+BMILMS!$G$14,BMILMS!$D$15*AG569^3+BMILMS!$E$15*AG569^2+BMILMS!$F$15*AG569+BMILMS!$G$15)),(IF(AG569&lt;90,BMILMS!$D$17*AG569^3+BMILMS!$E$17*AG569^2+BMILMS!$F$17*AG569+BMILMS!$G$17,BMILMS!$D$18*AG569^3+BMILMS!$E$18*AG569^2+BMILMS!$F$18*AG569+BMILMS!$G$18)))</f>
        <v>8.8969350000000003E-2</v>
      </c>
      <c r="AG569" s="24">
        <f t="shared" si="144"/>
        <v>0</v>
      </c>
      <c r="AI569" s="38">
        <f>IF(D569="M",WeightSDS!P$5*$AG569^7+WeightSDS!Q$5*$AG569^6+WeightSDS!R$5*$AG569^5+WeightSDS!S$5*$AG569^4+WeightSDS!T$5*$AG569^3+WeightSDS!U$5*$AG569^2+WeightSDS!V$5*$AG569+WeightSDS!W$5,IF($AG569&lt;186,WeightSDS!P$8*$AG569^7+WeightSDS!Q$8*$AG569^6+WeightSDS!R$8*$AG569^5+WeightSDS!S$8*$AG569^4+WeightSDS!T$8*$AG569^3+WeightSDS!U$8*$AG569^2+WeightSDS!V$8*$AG569+WeightSDS!W$8,WeightSDS!$U$9-WeightSDS!$V$9*($AG569-WeightSDS!$W$9)))</f>
        <v>0.75407122999999998</v>
      </c>
      <c r="AJ569" s="24">
        <f>IF(D569="M",IF($AG569&lt;45,WeightSDS!M$23*$AG569^10+WeightSDS!N$23*$AG569^9+WeightSDS!O$23*$AG569^8+WeightSDS!P$23*$AG569^7+WeightSDS!Q$23*$AG569^6+WeightSDS!R$23*$AG569^5+WeightSDS!S$23*$AG569^4+WeightSDS!T$23*$AG569^3+WeightSDS!U$23*$AG569^2+WeightSDS!V$23*$AG569+WeightSDS!W$23,IF($AG569&lt;153,WeightSDS!M$25*$AG569^10+WeightSDS!N$25*$AG569^9+WeightSDS!O$25*$AG569^8+WeightSDS!P$25*$AG569^7+WeightSDS!Q$25*$AG569^6+WeightSDS!R$25*$AG569^5+WeightSDS!S$25*$AG569^4+WeightSDS!T$25*$AG569^3+WeightSDS!U$25*$AG569^2+WeightSDS!V$25*$AG569+WeightSDS!W$25,WeightSDS!M$27+WeightSDS!N$27/(1+EXP(WeightSDS!O$27+WeightSDS!P$27*$AG569)))),IF($AG569&lt;43.8,WeightSDS!M$29*$AG569^10+WeightSDS!N$29*$AG569^9+WeightSDS!O$29*$AG569^8+WeightSDS!P$29*$AG569^7+WeightSDS!Q$29*$AG569^6+WeightSDS!R$29*$AG569^5+WeightSDS!S$29*$AG569^4+WeightSDS!T$29*$AG569^3+WeightSDS!U$29*$AG569^2+WeightSDS!V$29*$AG569+WeightSDS!W$29-0.010431*(1-$AG569/210),IF($AG569&lt;123,WeightSDS!M$30*$AG569^10+WeightSDS!N$30*$AG569^9+WeightSDS!O$30*$AG569^8+WeightSDS!P$30*$AG569^7+WeightSDS!Q$30*$AG569^6+WeightSDS!R$30*$AG569^5+WeightSDS!S$30*$AG569^4+WeightSDS!T$30*$AG569^3+WeightSDS!U$30*$AG569^2+WeightSDS!V$30*$AG569+WeightSDS!W$30-0.010431*(1-1/$AG569),WeightSDS!M$32+WeightSDS!N$32/(1+EXP(WeightSDS!O$32+WeightSDS!P$32*$AG569))-0.010431*(1-$AG569/210))))</f>
        <v>2.9500001032655536</v>
      </c>
      <c r="AK569" s="24">
        <f>IF(D569="M",IF($AG569&lt;162,WeightSDS!P$12*$AG569^7+WeightSDS!Q$12*$AG569^6+WeightSDS!R$12*$AG569^5+WeightSDS!S$12*$AG569^4+WeightSDS!T$12*$AG569^3+WeightSDS!U$12*$AG569^2+WeightSDS!V$12*$AG569+WeightSDS!W$12,WeightSDS!P$14*$AG569^7+WeightSDS!Q$14*$AG569^6+WeightSDS!R$14*$AG569^5+WeightSDS!S$14*$AG569^4+WeightSDS!T$14*$AG569^3+WeightSDS!U$14*$AG569^2+WeightSDS!V$14*$AG569+WeightSDS!W$14),IF($AG569&lt;156,WeightSDS!O$17*$AG569^8+WeightSDS!P$17*$AG569^7+WeightSDS!Q$17*$AG569^6+WeightSDS!R$17*$AG569^5+WeightSDS!S$17*$AG569^4+WeightSDS!T$17*$AG569^3+WeightSDS!U$17*$AG569^2+WeightSDS!V$17*$AG569+WeightSDS!W$17,IF($AG569&lt;186,WeightSDS!$U$18+(WeightSDS!$V$18-WeightSDS!$U$18)/24*($AG569-186)+WeightSDS!$W$18*(-$AG569+186)^2-0.005,WeightSDS!$U$18+(WeightSDS!$V$18-WeightSDS!$U$18)/24*($AG569-186)-0.005)))</f>
        <v>0.14604529399999999</v>
      </c>
    </row>
    <row r="570" spans="1:37">
      <c r="A570" s="4"/>
      <c r="B570" s="21"/>
      <c r="C570" s="21"/>
      <c r="D570" s="21"/>
      <c r="E570" s="22"/>
      <c r="F570" s="22"/>
      <c r="G570" s="23"/>
      <c r="H570" s="23"/>
      <c r="I570" s="8" t="str">
        <f t="shared" si="130"/>
        <v/>
      </c>
      <c r="J570" s="2" t="str">
        <f t="shared" si="137"/>
        <v/>
      </c>
      <c r="K570" s="2" t="str">
        <f t="shared" si="131"/>
        <v/>
      </c>
      <c r="L570" s="2" t="str">
        <f t="shared" si="138"/>
        <v/>
      </c>
      <c r="M570" s="2" t="str">
        <f t="shared" si="143"/>
        <v/>
      </c>
      <c r="N570" s="2" t="str">
        <f t="shared" si="139"/>
        <v/>
      </c>
      <c r="O570" s="8" t="str">
        <f t="shared" si="140"/>
        <v/>
      </c>
      <c r="P570" s="8" t="str">
        <f t="shared" si="141"/>
        <v/>
      </c>
      <c r="Q570" s="40" t="str">
        <f t="shared" si="132"/>
        <v/>
      </c>
      <c r="R570" s="48" t="str">
        <f t="shared" si="142"/>
        <v/>
      </c>
      <c r="S570" s="8"/>
      <c r="U570" s="35">
        <f t="shared" si="133"/>
        <v>0</v>
      </c>
      <c r="V570" s="24">
        <f t="shared" si="134"/>
        <v>0</v>
      </c>
      <c r="W570" s="41">
        <f t="shared" si="145"/>
        <v>0</v>
      </c>
      <c r="X570" s="31"/>
      <c r="Y570" s="31"/>
      <c r="Z570" s="31"/>
      <c r="AA570" s="25">
        <f t="shared" si="135"/>
        <v>9.0359999999999996</v>
      </c>
      <c r="AB570" s="25">
        <f t="shared" si="136"/>
        <v>-184.49199999999999</v>
      </c>
      <c r="AD570" s="24">
        <f>IF(D570="M",IF(AG570&lt;78,BMILMS!$D$5*AG570^3+BMILMS!$E$5*AG570^2+BMILMS!$F$5*AG570+BMILMS!$G$5,IF(AG570&lt;150,BMILMS!$D$6*AG570^3+BMILMS!$E$6*AG570^2+BMILMS!$F$6*AG570+BMILMS!$G$6,BMILMS!$D$7*AG570^3+BMILMS!$E$7*AG570^2+BMILMS!$F$7*AG570+BMILMS!$G$7)),IF(AG570&lt;69,BMILMS!$D$9*AG570^3+BMILMS!$E$9*AG570^2+BMILMS!$F$9*AG570+BMILMS!$G$9,IF(AG570&lt;150,BMILMS!$D$10*AG570^3+BMILMS!$E$10*AG570^2+BMILMS!$F$10*AG570+BMILMS!$G$10,BMILMS!$D$11*AG570^3+BMILMS!$E$11*AG570^2+BMILMS!$F$11*AG570+BMILMS!$G$11)))</f>
        <v>0.79584630099999998</v>
      </c>
      <c r="AE570" s="24">
        <f>IF(D570="M",(IF(AG570&lt;2.5,BMILMS!$D$21*AG570^3+BMILMS!$E$21*AG570^2+BMILMS!$F$21*AG570+BMILMS!$G$21,IF(AG570&lt;9.5,BMILMS!$D$22*AG570^3+BMILMS!$E$22*AG570^2+BMILMS!$F$22*AG570+BMILMS!$G$22,IF(AG570&lt;26.75,BMILMS!$D$23*AG570^3+BMILMS!$E$23*AG570^2+BMILMS!$F$23*AG570+BMILMS!$G$23,IF(AG570&lt;90,BMILMS!$D$24*AG570^3+BMILMS!$E$24*AG570^2+BMILMS!$F$24*AG570+BMILMS!$G$24,BMILMS!$D$25*AG570^3+BMILMS!$E$25*AG570^2+BMILMS!$F$25*AG570+BMILMS!$G$25))))),(IF(AG570&lt;2.5,BMILMS!$D$27*AG570^3+BMILMS!$E$27*AG570^2+BMILMS!$F$27*AG570+BMILMS!$G$27,IF(AG570&lt;9.5,BMILMS!$D$28*AG570^3+BMILMS!$E$28*AG570^2+BMILMS!$F$28*AG570+BMILMS!$G$28,IF(AG570&lt;26.75,BMILMS!$D$29*AG570^3+BMILMS!$E$29*AG570^2+BMILMS!$F$29*AG570+BMILMS!$G$29,IF(AG570&lt;90,BMILMS!$D$30*AG570^3+BMILMS!$E$30*AG570^2+BMILMS!$F$30*AG570+BMILMS!$G$30,IF(AG570&lt;150,BMILMS!$D$31*AG570^3+BMILMS!$E$31*AG570^2+BMILMS!$F$31*AG570+BMILMS!$G$31,BMILMS!$D$32*AG570^3+BMILMS!$E$32*AG570^2+BMILMS!$F$32*AG570+BMILMS!$G$32)))))))</f>
        <v>12.568967990000001</v>
      </c>
      <c r="AF570" s="24">
        <f>IF(D570="M",(IF(AG570&lt;90,BMILMS!$D$14*AG570^3+BMILMS!$E$14*AG570^2+BMILMS!$F$14*AG570+BMILMS!$G$14,BMILMS!$D$15*AG570^3+BMILMS!$E$15*AG570^2+BMILMS!$F$15*AG570+BMILMS!$G$15)),(IF(AG570&lt;90,BMILMS!$D$17*AG570^3+BMILMS!$E$17*AG570^2+BMILMS!$F$17*AG570+BMILMS!$G$17,BMILMS!$D$18*AG570^3+BMILMS!$E$18*AG570^2+BMILMS!$F$18*AG570+BMILMS!$G$18)))</f>
        <v>8.8969350000000003E-2</v>
      </c>
      <c r="AG570" s="24">
        <f t="shared" si="144"/>
        <v>0</v>
      </c>
      <c r="AI570" s="38">
        <f>IF(D570="M",WeightSDS!P$5*$AG570^7+WeightSDS!Q$5*$AG570^6+WeightSDS!R$5*$AG570^5+WeightSDS!S$5*$AG570^4+WeightSDS!T$5*$AG570^3+WeightSDS!U$5*$AG570^2+WeightSDS!V$5*$AG570+WeightSDS!W$5,IF($AG570&lt;186,WeightSDS!P$8*$AG570^7+WeightSDS!Q$8*$AG570^6+WeightSDS!R$8*$AG570^5+WeightSDS!S$8*$AG570^4+WeightSDS!T$8*$AG570^3+WeightSDS!U$8*$AG570^2+WeightSDS!V$8*$AG570+WeightSDS!W$8,WeightSDS!$U$9-WeightSDS!$V$9*($AG570-WeightSDS!$W$9)))</f>
        <v>0.75407122999999998</v>
      </c>
      <c r="AJ570" s="24">
        <f>IF(D570="M",IF($AG570&lt;45,WeightSDS!M$23*$AG570^10+WeightSDS!N$23*$AG570^9+WeightSDS!O$23*$AG570^8+WeightSDS!P$23*$AG570^7+WeightSDS!Q$23*$AG570^6+WeightSDS!R$23*$AG570^5+WeightSDS!S$23*$AG570^4+WeightSDS!T$23*$AG570^3+WeightSDS!U$23*$AG570^2+WeightSDS!V$23*$AG570+WeightSDS!W$23,IF($AG570&lt;153,WeightSDS!M$25*$AG570^10+WeightSDS!N$25*$AG570^9+WeightSDS!O$25*$AG570^8+WeightSDS!P$25*$AG570^7+WeightSDS!Q$25*$AG570^6+WeightSDS!R$25*$AG570^5+WeightSDS!S$25*$AG570^4+WeightSDS!T$25*$AG570^3+WeightSDS!U$25*$AG570^2+WeightSDS!V$25*$AG570+WeightSDS!W$25,WeightSDS!M$27+WeightSDS!N$27/(1+EXP(WeightSDS!O$27+WeightSDS!P$27*$AG570)))),IF($AG570&lt;43.8,WeightSDS!M$29*$AG570^10+WeightSDS!N$29*$AG570^9+WeightSDS!O$29*$AG570^8+WeightSDS!P$29*$AG570^7+WeightSDS!Q$29*$AG570^6+WeightSDS!R$29*$AG570^5+WeightSDS!S$29*$AG570^4+WeightSDS!T$29*$AG570^3+WeightSDS!U$29*$AG570^2+WeightSDS!V$29*$AG570+WeightSDS!W$29-0.010431*(1-$AG570/210),IF($AG570&lt;123,WeightSDS!M$30*$AG570^10+WeightSDS!N$30*$AG570^9+WeightSDS!O$30*$AG570^8+WeightSDS!P$30*$AG570^7+WeightSDS!Q$30*$AG570^6+WeightSDS!R$30*$AG570^5+WeightSDS!S$30*$AG570^4+WeightSDS!T$30*$AG570^3+WeightSDS!U$30*$AG570^2+WeightSDS!V$30*$AG570+WeightSDS!W$30-0.010431*(1-1/$AG570),WeightSDS!M$32+WeightSDS!N$32/(1+EXP(WeightSDS!O$32+WeightSDS!P$32*$AG570))-0.010431*(1-$AG570/210))))</f>
        <v>2.9500001032655536</v>
      </c>
      <c r="AK570" s="24">
        <f>IF(D570="M",IF($AG570&lt;162,WeightSDS!P$12*$AG570^7+WeightSDS!Q$12*$AG570^6+WeightSDS!R$12*$AG570^5+WeightSDS!S$12*$AG570^4+WeightSDS!T$12*$AG570^3+WeightSDS!U$12*$AG570^2+WeightSDS!V$12*$AG570+WeightSDS!W$12,WeightSDS!P$14*$AG570^7+WeightSDS!Q$14*$AG570^6+WeightSDS!R$14*$AG570^5+WeightSDS!S$14*$AG570^4+WeightSDS!T$14*$AG570^3+WeightSDS!U$14*$AG570^2+WeightSDS!V$14*$AG570+WeightSDS!W$14),IF($AG570&lt;156,WeightSDS!O$17*$AG570^8+WeightSDS!P$17*$AG570^7+WeightSDS!Q$17*$AG570^6+WeightSDS!R$17*$AG570^5+WeightSDS!S$17*$AG570^4+WeightSDS!T$17*$AG570^3+WeightSDS!U$17*$AG570^2+WeightSDS!V$17*$AG570+WeightSDS!W$17,IF($AG570&lt;186,WeightSDS!$U$18+(WeightSDS!$V$18-WeightSDS!$U$18)/24*($AG570-186)+WeightSDS!$W$18*(-$AG570+186)^2-0.005,WeightSDS!$U$18+(WeightSDS!$V$18-WeightSDS!$U$18)/24*($AG570-186)-0.005)))</f>
        <v>0.14604529399999999</v>
      </c>
    </row>
    <row r="571" spans="1:37">
      <c r="A571" s="4"/>
      <c r="B571" s="21"/>
      <c r="C571" s="21"/>
      <c r="D571" s="21"/>
      <c r="E571" s="22"/>
      <c r="F571" s="22"/>
      <c r="G571" s="23"/>
      <c r="H571" s="23"/>
      <c r="I571" s="8" t="str">
        <f t="shared" si="130"/>
        <v/>
      </c>
      <c r="J571" s="2" t="str">
        <f t="shared" si="137"/>
        <v/>
      </c>
      <c r="K571" s="2" t="str">
        <f t="shared" si="131"/>
        <v/>
      </c>
      <c r="L571" s="2" t="str">
        <f t="shared" si="138"/>
        <v/>
      </c>
      <c r="M571" s="2" t="str">
        <f t="shared" si="143"/>
        <v/>
      </c>
      <c r="N571" s="2" t="str">
        <f t="shared" si="139"/>
        <v/>
      </c>
      <c r="O571" s="8" t="str">
        <f t="shared" si="140"/>
        <v/>
      </c>
      <c r="P571" s="8" t="str">
        <f t="shared" si="141"/>
        <v/>
      </c>
      <c r="Q571" s="40" t="str">
        <f t="shared" si="132"/>
        <v/>
      </c>
      <c r="R571" s="48" t="str">
        <f t="shared" si="142"/>
        <v/>
      </c>
      <c r="S571" s="8"/>
      <c r="U571" s="35">
        <f t="shared" si="133"/>
        <v>0</v>
      </c>
      <c r="V571" s="24">
        <f t="shared" si="134"/>
        <v>0</v>
      </c>
      <c r="W571" s="41">
        <f t="shared" si="145"/>
        <v>0</v>
      </c>
      <c r="X571" s="31"/>
      <c r="Y571" s="31"/>
      <c r="Z571" s="31"/>
      <c r="AA571" s="25">
        <f t="shared" si="135"/>
        <v>9.0359999999999996</v>
      </c>
      <c r="AB571" s="25">
        <f t="shared" si="136"/>
        <v>-184.49199999999999</v>
      </c>
      <c r="AD571" s="24">
        <f>IF(D571="M",IF(AG571&lt;78,BMILMS!$D$5*AG571^3+BMILMS!$E$5*AG571^2+BMILMS!$F$5*AG571+BMILMS!$G$5,IF(AG571&lt;150,BMILMS!$D$6*AG571^3+BMILMS!$E$6*AG571^2+BMILMS!$F$6*AG571+BMILMS!$G$6,BMILMS!$D$7*AG571^3+BMILMS!$E$7*AG571^2+BMILMS!$F$7*AG571+BMILMS!$G$7)),IF(AG571&lt;69,BMILMS!$D$9*AG571^3+BMILMS!$E$9*AG571^2+BMILMS!$F$9*AG571+BMILMS!$G$9,IF(AG571&lt;150,BMILMS!$D$10*AG571^3+BMILMS!$E$10*AG571^2+BMILMS!$F$10*AG571+BMILMS!$G$10,BMILMS!$D$11*AG571^3+BMILMS!$E$11*AG571^2+BMILMS!$F$11*AG571+BMILMS!$G$11)))</f>
        <v>0.79584630099999998</v>
      </c>
      <c r="AE571" s="24">
        <f>IF(D571="M",(IF(AG571&lt;2.5,BMILMS!$D$21*AG571^3+BMILMS!$E$21*AG571^2+BMILMS!$F$21*AG571+BMILMS!$G$21,IF(AG571&lt;9.5,BMILMS!$D$22*AG571^3+BMILMS!$E$22*AG571^2+BMILMS!$F$22*AG571+BMILMS!$G$22,IF(AG571&lt;26.75,BMILMS!$D$23*AG571^3+BMILMS!$E$23*AG571^2+BMILMS!$F$23*AG571+BMILMS!$G$23,IF(AG571&lt;90,BMILMS!$D$24*AG571^3+BMILMS!$E$24*AG571^2+BMILMS!$F$24*AG571+BMILMS!$G$24,BMILMS!$D$25*AG571^3+BMILMS!$E$25*AG571^2+BMILMS!$F$25*AG571+BMILMS!$G$25))))),(IF(AG571&lt;2.5,BMILMS!$D$27*AG571^3+BMILMS!$E$27*AG571^2+BMILMS!$F$27*AG571+BMILMS!$G$27,IF(AG571&lt;9.5,BMILMS!$D$28*AG571^3+BMILMS!$E$28*AG571^2+BMILMS!$F$28*AG571+BMILMS!$G$28,IF(AG571&lt;26.75,BMILMS!$D$29*AG571^3+BMILMS!$E$29*AG571^2+BMILMS!$F$29*AG571+BMILMS!$G$29,IF(AG571&lt;90,BMILMS!$D$30*AG571^3+BMILMS!$E$30*AG571^2+BMILMS!$F$30*AG571+BMILMS!$G$30,IF(AG571&lt;150,BMILMS!$D$31*AG571^3+BMILMS!$E$31*AG571^2+BMILMS!$F$31*AG571+BMILMS!$G$31,BMILMS!$D$32*AG571^3+BMILMS!$E$32*AG571^2+BMILMS!$F$32*AG571+BMILMS!$G$32)))))))</f>
        <v>12.568967990000001</v>
      </c>
      <c r="AF571" s="24">
        <f>IF(D571="M",(IF(AG571&lt;90,BMILMS!$D$14*AG571^3+BMILMS!$E$14*AG571^2+BMILMS!$F$14*AG571+BMILMS!$G$14,BMILMS!$D$15*AG571^3+BMILMS!$E$15*AG571^2+BMILMS!$F$15*AG571+BMILMS!$G$15)),(IF(AG571&lt;90,BMILMS!$D$17*AG571^3+BMILMS!$E$17*AG571^2+BMILMS!$F$17*AG571+BMILMS!$G$17,BMILMS!$D$18*AG571^3+BMILMS!$E$18*AG571^2+BMILMS!$F$18*AG571+BMILMS!$G$18)))</f>
        <v>8.8969350000000003E-2</v>
      </c>
      <c r="AG571" s="24">
        <f t="shared" si="144"/>
        <v>0</v>
      </c>
      <c r="AI571" s="38">
        <f>IF(D571="M",WeightSDS!P$5*$AG571^7+WeightSDS!Q$5*$AG571^6+WeightSDS!R$5*$AG571^5+WeightSDS!S$5*$AG571^4+WeightSDS!T$5*$AG571^3+WeightSDS!U$5*$AG571^2+WeightSDS!V$5*$AG571+WeightSDS!W$5,IF($AG571&lt;186,WeightSDS!P$8*$AG571^7+WeightSDS!Q$8*$AG571^6+WeightSDS!R$8*$AG571^5+WeightSDS!S$8*$AG571^4+WeightSDS!T$8*$AG571^3+WeightSDS!U$8*$AG571^2+WeightSDS!V$8*$AG571+WeightSDS!W$8,WeightSDS!$U$9-WeightSDS!$V$9*($AG571-WeightSDS!$W$9)))</f>
        <v>0.75407122999999998</v>
      </c>
      <c r="AJ571" s="24">
        <f>IF(D571="M",IF($AG571&lt;45,WeightSDS!M$23*$AG571^10+WeightSDS!N$23*$AG571^9+WeightSDS!O$23*$AG571^8+WeightSDS!P$23*$AG571^7+WeightSDS!Q$23*$AG571^6+WeightSDS!R$23*$AG571^5+WeightSDS!S$23*$AG571^4+WeightSDS!T$23*$AG571^3+WeightSDS!U$23*$AG571^2+WeightSDS!V$23*$AG571+WeightSDS!W$23,IF($AG571&lt;153,WeightSDS!M$25*$AG571^10+WeightSDS!N$25*$AG571^9+WeightSDS!O$25*$AG571^8+WeightSDS!P$25*$AG571^7+WeightSDS!Q$25*$AG571^6+WeightSDS!R$25*$AG571^5+WeightSDS!S$25*$AG571^4+WeightSDS!T$25*$AG571^3+WeightSDS!U$25*$AG571^2+WeightSDS!V$25*$AG571+WeightSDS!W$25,WeightSDS!M$27+WeightSDS!N$27/(1+EXP(WeightSDS!O$27+WeightSDS!P$27*$AG571)))),IF($AG571&lt;43.8,WeightSDS!M$29*$AG571^10+WeightSDS!N$29*$AG571^9+WeightSDS!O$29*$AG571^8+WeightSDS!P$29*$AG571^7+WeightSDS!Q$29*$AG571^6+WeightSDS!R$29*$AG571^5+WeightSDS!S$29*$AG571^4+WeightSDS!T$29*$AG571^3+WeightSDS!U$29*$AG571^2+WeightSDS!V$29*$AG571+WeightSDS!W$29-0.010431*(1-$AG571/210),IF($AG571&lt;123,WeightSDS!M$30*$AG571^10+WeightSDS!N$30*$AG571^9+WeightSDS!O$30*$AG571^8+WeightSDS!P$30*$AG571^7+WeightSDS!Q$30*$AG571^6+WeightSDS!R$30*$AG571^5+WeightSDS!S$30*$AG571^4+WeightSDS!T$30*$AG571^3+WeightSDS!U$30*$AG571^2+WeightSDS!V$30*$AG571+WeightSDS!W$30-0.010431*(1-1/$AG571),WeightSDS!M$32+WeightSDS!N$32/(1+EXP(WeightSDS!O$32+WeightSDS!P$32*$AG571))-0.010431*(1-$AG571/210))))</f>
        <v>2.9500001032655536</v>
      </c>
      <c r="AK571" s="24">
        <f>IF(D571="M",IF($AG571&lt;162,WeightSDS!P$12*$AG571^7+WeightSDS!Q$12*$AG571^6+WeightSDS!R$12*$AG571^5+WeightSDS!S$12*$AG571^4+WeightSDS!T$12*$AG571^3+WeightSDS!U$12*$AG571^2+WeightSDS!V$12*$AG571+WeightSDS!W$12,WeightSDS!P$14*$AG571^7+WeightSDS!Q$14*$AG571^6+WeightSDS!R$14*$AG571^5+WeightSDS!S$14*$AG571^4+WeightSDS!T$14*$AG571^3+WeightSDS!U$14*$AG571^2+WeightSDS!V$14*$AG571+WeightSDS!W$14),IF($AG571&lt;156,WeightSDS!O$17*$AG571^8+WeightSDS!P$17*$AG571^7+WeightSDS!Q$17*$AG571^6+WeightSDS!R$17*$AG571^5+WeightSDS!S$17*$AG571^4+WeightSDS!T$17*$AG571^3+WeightSDS!U$17*$AG571^2+WeightSDS!V$17*$AG571+WeightSDS!W$17,IF($AG571&lt;186,WeightSDS!$U$18+(WeightSDS!$V$18-WeightSDS!$U$18)/24*($AG571-186)+WeightSDS!$W$18*(-$AG571+186)^2-0.005,WeightSDS!$U$18+(WeightSDS!$V$18-WeightSDS!$U$18)/24*($AG571-186)-0.005)))</f>
        <v>0.14604529399999999</v>
      </c>
    </row>
    <row r="572" spans="1:37">
      <c r="A572" s="4"/>
      <c r="B572" s="21"/>
      <c r="C572" s="21"/>
      <c r="D572" s="21"/>
      <c r="E572" s="22"/>
      <c r="F572" s="22"/>
      <c r="G572" s="23"/>
      <c r="H572" s="23"/>
      <c r="I572" s="8" t="str">
        <f t="shared" si="130"/>
        <v/>
      </c>
      <c r="J572" s="2" t="str">
        <f t="shared" si="137"/>
        <v/>
      </c>
      <c r="K572" s="2" t="str">
        <f t="shared" si="131"/>
        <v/>
      </c>
      <c r="L572" s="2" t="str">
        <f t="shared" si="138"/>
        <v/>
      </c>
      <c r="M572" s="2" t="str">
        <f t="shared" si="143"/>
        <v/>
      </c>
      <c r="N572" s="2" t="str">
        <f t="shared" si="139"/>
        <v/>
      </c>
      <c r="O572" s="8" t="str">
        <f t="shared" si="140"/>
        <v/>
      </c>
      <c r="P572" s="8" t="str">
        <f t="shared" si="141"/>
        <v/>
      </c>
      <c r="Q572" s="40" t="str">
        <f t="shared" si="132"/>
        <v/>
      </c>
      <c r="R572" s="48" t="str">
        <f t="shared" si="142"/>
        <v/>
      </c>
      <c r="S572" s="8"/>
      <c r="U572" s="35">
        <f t="shared" si="133"/>
        <v>0</v>
      </c>
      <c r="V572" s="24">
        <f t="shared" si="134"/>
        <v>0</v>
      </c>
      <c r="W572" s="41">
        <f t="shared" si="145"/>
        <v>0</v>
      </c>
      <c r="X572" s="31"/>
      <c r="Y572" s="31"/>
      <c r="Z572" s="31"/>
      <c r="AA572" s="25">
        <f t="shared" si="135"/>
        <v>9.0359999999999996</v>
      </c>
      <c r="AB572" s="25">
        <f t="shared" si="136"/>
        <v>-184.49199999999999</v>
      </c>
      <c r="AD572" s="24">
        <f>IF(D572="M",IF(AG572&lt;78,BMILMS!$D$5*AG572^3+BMILMS!$E$5*AG572^2+BMILMS!$F$5*AG572+BMILMS!$G$5,IF(AG572&lt;150,BMILMS!$D$6*AG572^3+BMILMS!$E$6*AG572^2+BMILMS!$F$6*AG572+BMILMS!$G$6,BMILMS!$D$7*AG572^3+BMILMS!$E$7*AG572^2+BMILMS!$F$7*AG572+BMILMS!$G$7)),IF(AG572&lt;69,BMILMS!$D$9*AG572^3+BMILMS!$E$9*AG572^2+BMILMS!$F$9*AG572+BMILMS!$G$9,IF(AG572&lt;150,BMILMS!$D$10*AG572^3+BMILMS!$E$10*AG572^2+BMILMS!$F$10*AG572+BMILMS!$G$10,BMILMS!$D$11*AG572^3+BMILMS!$E$11*AG572^2+BMILMS!$F$11*AG572+BMILMS!$G$11)))</f>
        <v>0.79584630099999998</v>
      </c>
      <c r="AE572" s="24">
        <f>IF(D572="M",(IF(AG572&lt;2.5,BMILMS!$D$21*AG572^3+BMILMS!$E$21*AG572^2+BMILMS!$F$21*AG572+BMILMS!$G$21,IF(AG572&lt;9.5,BMILMS!$D$22*AG572^3+BMILMS!$E$22*AG572^2+BMILMS!$F$22*AG572+BMILMS!$G$22,IF(AG572&lt;26.75,BMILMS!$D$23*AG572^3+BMILMS!$E$23*AG572^2+BMILMS!$F$23*AG572+BMILMS!$G$23,IF(AG572&lt;90,BMILMS!$D$24*AG572^3+BMILMS!$E$24*AG572^2+BMILMS!$F$24*AG572+BMILMS!$G$24,BMILMS!$D$25*AG572^3+BMILMS!$E$25*AG572^2+BMILMS!$F$25*AG572+BMILMS!$G$25))))),(IF(AG572&lt;2.5,BMILMS!$D$27*AG572^3+BMILMS!$E$27*AG572^2+BMILMS!$F$27*AG572+BMILMS!$G$27,IF(AG572&lt;9.5,BMILMS!$D$28*AG572^3+BMILMS!$E$28*AG572^2+BMILMS!$F$28*AG572+BMILMS!$G$28,IF(AG572&lt;26.75,BMILMS!$D$29*AG572^3+BMILMS!$E$29*AG572^2+BMILMS!$F$29*AG572+BMILMS!$G$29,IF(AG572&lt;90,BMILMS!$D$30*AG572^3+BMILMS!$E$30*AG572^2+BMILMS!$F$30*AG572+BMILMS!$G$30,IF(AG572&lt;150,BMILMS!$D$31*AG572^3+BMILMS!$E$31*AG572^2+BMILMS!$F$31*AG572+BMILMS!$G$31,BMILMS!$D$32*AG572^3+BMILMS!$E$32*AG572^2+BMILMS!$F$32*AG572+BMILMS!$G$32)))))))</f>
        <v>12.568967990000001</v>
      </c>
      <c r="AF572" s="24">
        <f>IF(D572="M",(IF(AG572&lt;90,BMILMS!$D$14*AG572^3+BMILMS!$E$14*AG572^2+BMILMS!$F$14*AG572+BMILMS!$G$14,BMILMS!$D$15*AG572^3+BMILMS!$E$15*AG572^2+BMILMS!$F$15*AG572+BMILMS!$G$15)),(IF(AG572&lt;90,BMILMS!$D$17*AG572^3+BMILMS!$E$17*AG572^2+BMILMS!$F$17*AG572+BMILMS!$G$17,BMILMS!$D$18*AG572^3+BMILMS!$E$18*AG572^2+BMILMS!$F$18*AG572+BMILMS!$G$18)))</f>
        <v>8.8969350000000003E-2</v>
      </c>
      <c r="AG572" s="24">
        <f t="shared" si="144"/>
        <v>0</v>
      </c>
      <c r="AI572" s="38">
        <f>IF(D572="M",WeightSDS!P$5*$AG572^7+WeightSDS!Q$5*$AG572^6+WeightSDS!R$5*$AG572^5+WeightSDS!S$5*$AG572^4+WeightSDS!T$5*$AG572^3+WeightSDS!U$5*$AG572^2+WeightSDS!V$5*$AG572+WeightSDS!W$5,IF($AG572&lt;186,WeightSDS!P$8*$AG572^7+WeightSDS!Q$8*$AG572^6+WeightSDS!R$8*$AG572^5+WeightSDS!S$8*$AG572^4+WeightSDS!T$8*$AG572^3+WeightSDS!U$8*$AG572^2+WeightSDS!V$8*$AG572+WeightSDS!W$8,WeightSDS!$U$9-WeightSDS!$V$9*($AG572-WeightSDS!$W$9)))</f>
        <v>0.75407122999999998</v>
      </c>
      <c r="AJ572" s="24">
        <f>IF(D572="M",IF($AG572&lt;45,WeightSDS!M$23*$AG572^10+WeightSDS!N$23*$AG572^9+WeightSDS!O$23*$AG572^8+WeightSDS!P$23*$AG572^7+WeightSDS!Q$23*$AG572^6+WeightSDS!R$23*$AG572^5+WeightSDS!S$23*$AG572^4+WeightSDS!T$23*$AG572^3+WeightSDS!U$23*$AG572^2+WeightSDS!V$23*$AG572+WeightSDS!W$23,IF($AG572&lt;153,WeightSDS!M$25*$AG572^10+WeightSDS!N$25*$AG572^9+WeightSDS!O$25*$AG572^8+WeightSDS!P$25*$AG572^7+WeightSDS!Q$25*$AG572^6+WeightSDS!R$25*$AG572^5+WeightSDS!S$25*$AG572^4+WeightSDS!T$25*$AG572^3+WeightSDS!U$25*$AG572^2+WeightSDS!V$25*$AG572+WeightSDS!W$25,WeightSDS!M$27+WeightSDS!N$27/(1+EXP(WeightSDS!O$27+WeightSDS!P$27*$AG572)))),IF($AG572&lt;43.8,WeightSDS!M$29*$AG572^10+WeightSDS!N$29*$AG572^9+WeightSDS!O$29*$AG572^8+WeightSDS!P$29*$AG572^7+WeightSDS!Q$29*$AG572^6+WeightSDS!R$29*$AG572^5+WeightSDS!S$29*$AG572^4+WeightSDS!T$29*$AG572^3+WeightSDS!U$29*$AG572^2+WeightSDS!V$29*$AG572+WeightSDS!W$29-0.010431*(1-$AG572/210),IF($AG572&lt;123,WeightSDS!M$30*$AG572^10+WeightSDS!N$30*$AG572^9+WeightSDS!O$30*$AG572^8+WeightSDS!P$30*$AG572^7+WeightSDS!Q$30*$AG572^6+WeightSDS!R$30*$AG572^5+WeightSDS!S$30*$AG572^4+WeightSDS!T$30*$AG572^3+WeightSDS!U$30*$AG572^2+WeightSDS!V$30*$AG572+WeightSDS!W$30-0.010431*(1-1/$AG572),WeightSDS!M$32+WeightSDS!N$32/(1+EXP(WeightSDS!O$32+WeightSDS!P$32*$AG572))-0.010431*(1-$AG572/210))))</f>
        <v>2.9500001032655536</v>
      </c>
      <c r="AK572" s="24">
        <f>IF(D572="M",IF($AG572&lt;162,WeightSDS!P$12*$AG572^7+WeightSDS!Q$12*$AG572^6+WeightSDS!R$12*$AG572^5+WeightSDS!S$12*$AG572^4+WeightSDS!T$12*$AG572^3+WeightSDS!U$12*$AG572^2+WeightSDS!V$12*$AG572+WeightSDS!W$12,WeightSDS!P$14*$AG572^7+WeightSDS!Q$14*$AG572^6+WeightSDS!R$14*$AG572^5+WeightSDS!S$14*$AG572^4+WeightSDS!T$14*$AG572^3+WeightSDS!U$14*$AG572^2+WeightSDS!V$14*$AG572+WeightSDS!W$14),IF($AG572&lt;156,WeightSDS!O$17*$AG572^8+WeightSDS!P$17*$AG572^7+WeightSDS!Q$17*$AG572^6+WeightSDS!R$17*$AG572^5+WeightSDS!S$17*$AG572^4+WeightSDS!T$17*$AG572^3+WeightSDS!U$17*$AG572^2+WeightSDS!V$17*$AG572+WeightSDS!W$17,IF($AG572&lt;186,WeightSDS!$U$18+(WeightSDS!$V$18-WeightSDS!$U$18)/24*($AG572-186)+WeightSDS!$W$18*(-$AG572+186)^2-0.005,WeightSDS!$U$18+(WeightSDS!$V$18-WeightSDS!$U$18)/24*($AG572-186)-0.005)))</f>
        <v>0.14604529399999999</v>
      </c>
    </row>
    <row r="573" spans="1:37">
      <c r="A573" s="4"/>
      <c r="B573" s="21"/>
      <c r="C573" s="21"/>
      <c r="D573" s="21"/>
      <c r="E573" s="22"/>
      <c r="F573" s="22"/>
      <c r="G573" s="23"/>
      <c r="H573" s="23"/>
      <c r="I573" s="8" t="str">
        <f t="shared" si="130"/>
        <v/>
      </c>
      <c r="J573" s="2" t="str">
        <f t="shared" si="137"/>
        <v/>
      </c>
      <c r="K573" s="2" t="str">
        <f t="shared" si="131"/>
        <v/>
      </c>
      <c r="L573" s="2" t="str">
        <f t="shared" si="138"/>
        <v/>
      </c>
      <c r="M573" s="2" t="str">
        <f t="shared" si="143"/>
        <v/>
      </c>
      <c r="N573" s="2" t="str">
        <f t="shared" si="139"/>
        <v/>
      </c>
      <c r="O573" s="8" t="str">
        <f t="shared" si="140"/>
        <v/>
      </c>
      <c r="P573" s="8" t="str">
        <f t="shared" si="141"/>
        <v/>
      </c>
      <c r="Q573" s="40" t="str">
        <f t="shared" si="132"/>
        <v/>
      </c>
      <c r="R573" s="48" t="str">
        <f t="shared" si="142"/>
        <v/>
      </c>
      <c r="S573" s="8"/>
      <c r="U573" s="35">
        <f t="shared" si="133"/>
        <v>0</v>
      </c>
      <c r="V573" s="24">
        <f t="shared" si="134"/>
        <v>0</v>
      </c>
      <c r="W573" s="41">
        <f t="shared" si="145"/>
        <v>0</v>
      </c>
      <c r="X573" s="31"/>
      <c r="Y573" s="31"/>
      <c r="Z573" s="31"/>
      <c r="AA573" s="25">
        <f t="shared" si="135"/>
        <v>9.0359999999999996</v>
      </c>
      <c r="AB573" s="25">
        <f t="shared" si="136"/>
        <v>-184.49199999999999</v>
      </c>
      <c r="AD573" s="24">
        <f>IF(D573="M",IF(AG573&lt;78,BMILMS!$D$5*AG573^3+BMILMS!$E$5*AG573^2+BMILMS!$F$5*AG573+BMILMS!$G$5,IF(AG573&lt;150,BMILMS!$D$6*AG573^3+BMILMS!$E$6*AG573^2+BMILMS!$F$6*AG573+BMILMS!$G$6,BMILMS!$D$7*AG573^3+BMILMS!$E$7*AG573^2+BMILMS!$F$7*AG573+BMILMS!$G$7)),IF(AG573&lt;69,BMILMS!$D$9*AG573^3+BMILMS!$E$9*AG573^2+BMILMS!$F$9*AG573+BMILMS!$G$9,IF(AG573&lt;150,BMILMS!$D$10*AG573^3+BMILMS!$E$10*AG573^2+BMILMS!$F$10*AG573+BMILMS!$G$10,BMILMS!$D$11*AG573^3+BMILMS!$E$11*AG573^2+BMILMS!$F$11*AG573+BMILMS!$G$11)))</f>
        <v>0.79584630099999998</v>
      </c>
      <c r="AE573" s="24">
        <f>IF(D573="M",(IF(AG573&lt;2.5,BMILMS!$D$21*AG573^3+BMILMS!$E$21*AG573^2+BMILMS!$F$21*AG573+BMILMS!$G$21,IF(AG573&lt;9.5,BMILMS!$D$22*AG573^3+BMILMS!$E$22*AG573^2+BMILMS!$F$22*AG573+BMILMS!$G$22,IF(AG573&lt;26.75,BMILMS!$D$23*AG573^3+BMILMS!$E$23*AG573^2+BMILMS!$F$23*AG573+BMILMS!$G$23,IF(AG573&lt;90,BMILMS!$D$24*AG573^3+BMILMS!$E$24*AG573^2+BMILMS!$F$24*AG573+BMILMS!$G$24,BMILMS!$D$25*AG573^3+BMILMS!$E$25*AG573^2+BMILMS!$F$25*AG573+BMILMS!$G$25))))),(IF(AG573&lt;2.5,BMILMS!$D$27*AG573^3+BMILMS!$E$27*AG573^2+BMILMS!$F$27*AG573+BMILMS!$G$27,IF(AG573&lt;9.5,BMILMS!$D$28*AG573^3+BMILMS!$E$28*AG573^2+BMILMS!$F$28*AG573+BMILMS!$G$28,IF(AG573&lt;26.75,BMILMS!$D$29*AG573^3+BMILMS!$E$29*AG573^2+BMILMS!$F$29*AG573+BMILMS!$G$29,IF(AG573&lt;90,BMILMS!$D$30*AG573^3+BMILMS!$E$30*AG573^2+BMILMS!$F$30*AG573+BMILMS!$G$30,IF(AG573&lt;150,BMILMS!$D$31*AG573^3+BMILMS!$E$31*AG573^2+BMILMS!$F$31*AG573+BMILMS!$G$31,BMILMS!$D$32*AG573^3+BMILMS!$E$32*AG573^2+BMILMS!$F$32*AG573+BMILMS!$G$32)))))))</f>
        <v>12.568967990000001</v>
      </c>
      <c r="AF573" s="24">
        <f>IF(D573="M",(IF(AG573&lt;90,BMILMS!$D$14*AG573^3+BMILMS!$E$14*AG573^2+BMILMS!$F$14*AG573+BMILMS!$G$14,BMILMS!$D$15*AG573^3+BMILMS!$E$15*AG573^2+BMILMS!$F$15*AG573+BMILMS!$G$15)),(IF(AG573&lt;90,BMILMS!$D$17*AG573^3+BMILMS!$E$17*AG573^2+BMILMS!$F$17*AG573+BMILMS!$G$17,BMILMS!$D$18*AG573^3+BMILMS!$E$18*AG573^2+BMILMS!$F$18*AG573+BMILMS!$G$18)))</f>
        <v>8.8969350000000003E-2</v>
      </c>
      <c r="AG573" s="24">
        <f t="shared" si="144"/>
        <v>0</v>
      </c>
      <c r="AI573" s="38">
        <f>IF(D573="M",WeightSDS!P$5*$AG573^7+WeightSDS!Q$5*$AG573^6+WeightSDS!R$5*$AG573^5+WeightSDS!S$5*$AG573^4+WeightSDS!T$5*$AG573^3+WeightSDS!U$5*$AG573^2+WeightSDS!V$5*$AG573+WeightSDS!W$5,IF($AG573&lt;186,WeightSDS!P$8*$AG573^7+WeightSDS!Q$8*$AG573^6+WeightSDS!R$8*$AG573^5+WeightSDS!S$8*$AG573^4+WeightSDS!T$8*$AG573^3+WeightSDS!U$8*$AG573^2+WeightSDS!V$8*$AG573+WeightSDS!W$8,WeightSDS!$U$9-WeightSDS!$V$9*($AG573-WeightSDS!$W$9)))</f>
        <v>0.75407122999999998</v>
      </c>
      <c r="AJ573" s="24">
        <f>IF(D573="M",IF($AG573&lt;45,WeightSDS!M$23*$AG573^10+WeightSDS!N$23*$AG573^9+WeightSDS!O$23*$AG573^8+WeightSDS!P$23*$AG573^7+WeightSDS!Q$23*$AG573^6+WeightSDS!R$23*$AG573^5+WeightSDS!S$23*$AG573^4+WeightSDS!T$23*$AG573^3+WeightSDS!U$23*$AG573^2+WeightSDS!V$23*$AG573+WeightSDS!W$23,IF($AG573&lt;153,WeightSDS!M$25*$AG573^10+WeightSDS!N$25*$AG573^9+WeightSDS!O$25*$AG573^8+WeightSDS!P$25*$AG573^7+WeightSDS!Q$25*$AG573^6+WeightSDS!R$25*$AG573^5+WeightSDS!S$25*$AG573^4+WeightSDS!T$25*$AG573^3+WeightSDS!U$25*$AG573^2+WeightSDS!V$25*$AG573+WeightSDS!W$25,WeightSDS!M$27+WeightSDS!N$27/(1+EXP(WeightSDS!O$27+WeightSDS!P$27*$AG573)))),IF($AG573&lt;43.8,WeightSDS!M$29*$AG573^10+WeightSDS!N$29*$AG573^9+WeightSDS!O$29*$AG573^8+WeightSDS!P$29*$AG573^7+WeightSDS!Q$29*$AG573^6+WeightSDS!R$29*$AG573^5+WeightSDS!S$29*$AG573^4+WeightSDS!T$29*$AG573^3+WeightSDS!U$29*$AG573^2+WeightSDS!V$29*$AG573+WeightSDS!W$29-0.010431*(1-$AG573/210),IF($AG573&lt;123,WeightSDS!M$30*$AG573^10+WeightSDS!N$30*$AG573^9+WeightSDS!O$30*$AG573^8+WeightSDS!P$30*$AG573^7+WeightSDS!Q$30*$AG573^6+WeightSDS!R$30*$AG573^5+WeightSDS!S$30*$AG573^4+WeightSDS!T$30*$AG573^3+WeightSDS!U$30*$AG573^2+WeightSDS!V$30*$AG573+WeightSDS!W$30-0.010431*(1-1/$AG573),WeightSDS!M$32+WeightSDS!N$32/(1+EXP(WeightSDS!O$32+WeightSDS!P$32*$AG573))-0.010431*(1-$AG573/210))))</f>
        <v>2.9500001032655536</v>
      </c>
      <c r="AK573" s="24">
        <f>IF(D573="M",IF($AG573&lt;162,WeightSDS!P$12*$AG573^7+WeightSDS!Q$12*$AG573^6+WeightSDS!R$12*$AG573^5+WeightSDS!S$12*$AG573^4+WeightSDS!T$12*$AG573^3+WeightSDS!U$12*$AG573^2+WeightSDS!V$12*$AG573+WeightSDS!W$12,WeightSDS!P$14*$AG573^7+WeightSDS!Q$14*$AG573^6+WeightSDS!R$14*$AG573^5+WeightSDS!S$14*$AG573^4+WeightSDS!T$14*$AG573^3+WeightSDS!U$14*$AG573^2+WeightSDS!V$14*$AG573+WeightSDS!W$14),IF($AG573&lt;156,WeightSDS!O$17*$AG573^8+WeightSDS!P$17*$AG573^7+WeightSDS!Q$17*$AG573^6+WeightSDS!R$17*$AG573^5+WeightSDS!S$17*$AG573^4+WeightSDS!T$17*$AG573^3+WeightSDS!U$17*$AG573^2+WeightSDS!V$17*$AG573+WeightSDS!W$17,IF($AG573&lt;186,WeightSDS!$U$18+(WeightSDS!$V$18-WeightSDS!$U$18)/24*($AG573-186)+WeightSDS!$W$18*(-$AG573+186)^2-0.005,WeightSDS!$U$18+(WeightSDS!$V$18-WeightSDS!$U$18)/24*($AG573-186)-0.005)))</f>
        <v>0.14604529399999999</v>
      </c>
    </row>
    <row r="574" spans="1:37">
      <c r="A574" s="4"/>
      <c r="B574" s="21"/>
      <c r="C574" s="21"/>
      <c r="D574" s="21"/>
      <c r="E574" s="22"/>
      <c r="F574" s="22"/>
      <c r="G574" s="23"/>
      <c r="H574" s="23"/>
      <c r="I574" s="8" t="str">
        <f t="shared" si="130"/>
        <v/>
      </c>
      <c r="J574" s="2" t="str">
        <f t="shared" si="137"/>
        <v/>
      </c>
      <c r="K574" s="2" t="str">
        <f t="shared" si="131"/>
        <v/>
      </c>
      <c r="L574" s="2" t="str">
        <f t="shared" si="138"/>
        <v/>
      </c>
      <c r="M574" s="2" t="str">
        <f t="shared" si="143"/>
        <v/>
      </c>
      <c r="N574" s="2" t="str">
        <f t="shared" si="139"/>
        <v/>
      </c>
      <c r="O574" s="8" t="str">
        <f t="shared" si="140"/>
        <v/>
      </c>
      <c r="P574" s="8" t="str">
        <f t="shared" si="141"/>
        <v/>
      </c>
      <c r="Q574" s="40" t="str">
        <f t="shared" si="132"/>
        <v/>
      </c>
      <c r="R574" s="48" t="str">
        <f t="shared" si="142"/>
        <v/>
      </c>
      <c r="S574" s="8"/>
      <c r="U574" s="35">
        <f t="shared" si="133"/>
        <v>0</v>
      </c>
      <c r="V574" s="24">
        <f t="shared" si="134"/>
        <v>0</v>
      </c>
      <c r="W574" s="41">
        <f t="shared" si="145"/>
        <v>0</v>
      </c>
      <c r="X574" s="31"/>
      <c r="Y574" s="31"/>
      <c r="Z574" s="31"/>
      <c r="AA574" s="25">
        <f t="shared" si="135"/>
        <v>9.0359999999999996</v>
      </c>
      <c r="AB574" s="25">
        <f t="shared" si="136"/>
        <v>-184.49199999999999</v>
      </c>
      <c r="AD574" s="24">
        <f>IF(D574="M",IF(AG574&lt;78,BMILMS!$D$5*AG574^3+BMILMS!$E$5*AG574^2+BMILMS!$F$5*AG574+BMILMS!$G$5,IF(AG574&lt;150,BMILMS!$D$6*AG574^3+BMILMS!$E$6*AG574^2+BMILMS!$F$6*AG574+BMILMS!$G$6,BMILMS!$D$7*AG574^3+BMILMS!$E$7*AG574^2+BMILMS!$F$7*AG574+BMILMS!$G$7)),IF(AG574&lt;69,BMILMS!$D$9*AG574^3+BMILMS!$E$9*AG574^2+BMILMS!$F$9*AG574+BMILMS!$G$9,IF(AG574&lt;150,BMILMS!$D$10*AG574^3+BMILMS!$E$10*AG574^2+BMILMS!$F$10*AG574+BMILMS!$G$10,BMILMS!$D$11*AG574^3+BMILMS!$E$11*AG574^2+BMILMS!$F$11*AG574+BMILMS!$G$11)))</f>
        <v>0.79584630099999998</v>
      </c>
      <c r="AE574" s="24">
        <f>IF(D574="M",(IF(AG574&lt;2.5,BMILMS!$D$21*AG574^3+BMILMS!$E$21*AG574^2+BMILMS!$F$21*AG574+BMILMS!$G$21,IF(AG574&lt;9.5,BMILMS!$D$22*AG574^3+BMILMS!$E$22*AG574^2+BMILMS!$F$22*AG574+BMILMS!$G$22,IF(AG574&lt;26.75,BMILMS!$D$23*AG574^3+BMILMS!$E$23*AG574^2+BMILMS!$F$23*AG574+BMILMS!$G$23,IF(AG574&lt;90,BMILMS!$D$24*AG574^3+BMILMS!$E$24*AG574^2+BMILMS!$F$24*AG574+BMILMS!$G$24,BMILMS!$D$25*AG574^3+BMILMS!$E$25*AG574^2+BMILMS!$F$25*AG574+BMILMS!$G$25))))),(IF(AG574&lt;2.5,BMILMS!$D$27*AG574^3+BMILMS!$E$27*AG574^2+BMILMS!$F$27*AG574+BMILMS!$G$27,IF(AG574&lt;9.5,BMILMS!$D$28*AG574^3+BMILMS!$E$28*AG574^2+BMILMS!$F$28*AG574+BMILMS!$G$28,IF(AG574&lt;26.75,BMILMS!$D$29*AG574^3+BMILMS!$E$29*AG574^2+BMILMS!$F$29*AG574+BMILMS!$G$29,IF(AG574&lt;90,BMILMS!$D$30*AG574^3+BMILMS!$E$30*AG574^2+BMILMS!$F$30*AG574+BMILMS!$G$30,IF(AG574&lt;150,BMILMS!$D$31*AG574^3+BMILMS!$E$31*AG574^2+BMILMS!$F$31*AG574+BMILMS!$G$31,BMILMS!$D$32*AG574^3+BMILMS!$E$32*AG574^2+BMILMS!$F$32*AG574+BMILMS!$G$32)))))))</f>
        <v>12.568967990000001</v>
      </c>
      <c r="AF574" s="24">
        <f>IF(D574="M",(IF(AG574&lt;90,BMILMS!$D$14*AG574^3+BMILMS!$E$14*AG574^2+BMILMS!$F$14*AG574+BMILMS!$G$14,BMILMS!$D$15*AG574^3+BMILMS!$E$15*AG574^2+BMILMS!$F$15*AG574+BMILMS!$G$15)),(IF(AG574&lt;90,BMILMS!$D$17*AG574^3+BMILMS!$E$17*AG574^2+BMILMS!$F$17*AG574+BMILMS!$G$17,BMILMS!$D$18*AG574^3+BMILMS!$E$18*AG574^2+BMILMS!$F$18*AG574+BMILMS!$G$18)))</f>
        <v>8.8969350000000003E-2</v>
      </c>
      <c r="AG574" s="24">
        <f t="shared" si="144"/>
        <v>0</v>
      </c>
      <c r="AI574" s="38">
        <f>IF(D574="M",WeightSDS!P$5*$AG574^7+WeightSDS!Q$5*$AG574^6+WeightSDS!R$5*$AG574^5+WeightSDS!S$5*$AG574^4+WeightSDS!T$5*$AG574^3+WeightSDS!U$5*$AG574^2+WeightSDS!V$5*$AG574+WeightSDS!W$5,IF($AG574&lt;186,WeightSDS!P$8*$AG574^7+WeightSDS!Q$8*$AG574^6+WeightSDS!R$8*$AG574^5+WeightSDS!S$8*$AG574^4+WeightSDS!T$8*$AG574^3+WeightSDS!U$8*$AG574^2+WeightSDS!V$8*$AG574+WeightSDS!W$8,WeightSDS!$U$9-WeightSDS!$V$9*($AG574-WeightSDS!$W$9)))</f>
        <v>0.75407122999999998</v>
      </c>
      <c r="AJ574" s="24">
        <f>IF(D574="M",IF($AG574&lt;45,WeightSDS!M$23*$AG574^10+WeightSDS!N$23*$AG574^9+WeightSDS!O$23*$AG574^8+WeightSDS!P$23*$AG574^7+WeightSDS!Q$23*$AG574^6+WeightSDS!R$23*$AG574^5+WeightSDS!S$23*$AG574^4+WeightSDS!T$23*$AG574^3+WeightSDS!U$23*$AG574^2+WeightSDS!V$23*$AG574+WeightSDS!W$23,IF($AG574&lt;153,WeightSDS!M$25*$AG574^10+WeightSDS!N$25*$AG574^9+WeightSDS!O$25*$AG574^8+WeightSDS!P$25*$AG574^7+WeightSDS!Q$25*$AG574^6+WeightSDS!R$25*$AG574^5+WeightSDS!S$25*$AG574^4+WeightSDS!T$25*$AG574^3+WeightSDS!U$25*$AG574^2+WeightSDS!V$25*$AG574+WeightSDS!W$25,WeightSDS!M$27+WeightSDS!N$27/(1+EXP(WeightSDS!O$27+WeightSDS!P$27*$AG574)))),IF($AG574&lt;43.8,WeightSDS!M$29*$AG574^10+WeightSDS!N$29*$AG574^9+WeightSDS!O$29*$AG574^8+WeightSDS!P$29*$AG574^7+WeightSDS!Q$29*$AG574^6+WeightSDS!R$29*$AG574^5+WeightSDS!S$29*$AG574^4+WeightSDS!T$29*$AG574^3+WeightSDS!U$29*$AG574^2+WeightSDS!V$29*$AG574+WeightSDS!W$29-0.010431*(1-$AG574/210),IF($AG574&lt;123,WeightSDS!M$30*$AG574^10+WeightSDS!N$30*$AG574^9+WeightSDS!O$30*$AG574^8+WeightSDS!P$30*$AG574^7+WeightSDS!Q$30*$AG574^6+WeightSDS!R$30*$AG574^5+WeightSDS!S$30*$AG574^4+WeightSDS!T$30*$AG574^3+WeightSDS!U$30*$AG574^2+WeightSDS!V$30*$AG574+WeightSDS!W$30-0.010431*(1-1/$AG574),WeightSDS!M$32+WeightSDS!N$32/(1+EXP(WeightSDS!O$32+WeightSDS!P$32*$AG574))-0.010431*(1-$AG574/210))))</f>
        <v>2.9500001032655536</v>
      </c>
      <c r="AK574" s="24">
        <f>IF(D574="M",IF($AG574&lt;162,WeightSDS!P$12*$AG574^7+WeightSDS!Q$12*$AG574^6+WeightSDS!R$12*$AG574^5+WeightSDS!S$12*$AG574^4+WeightSDS!T$12*$AG574^3+WeightSDS!U$12*$AG574^2+WeightSDS!V$12*$AG574+WeightSDS!W$12,WeightSDS!P$14*$AG574^7+WeightSDS!Q$14*$AG574^6+WeightSDS!R$14*$AG574^5+WeightSDS!S$14*$AG574^4+WeightSDS!T$14*$AG574^3+WeightSDS!U$14*$AG574^2+WeightSDS!V$14*$AG574+WeightSDS!W$14),IF($AG574&lt;156,WeightSDS!O$17*$AG574^8+WeightSDS!P$17*$AG574^7+WeightSDS!Q$17*$AG574^6+WeightSDS!R$17*$AG574^5+WeightSDS!S$17*$AG574^4+WeightSDS!T$17*$AG574^3+WeightSDS!U$17*$AG574^2+WeightSDS!V$17*$AG574+WeightSDS!W$17,IF($AG574&lt;186,WeightSDS!$U$18+(WeightSDS!$V$18-WeightSDS!$U$18)/24*($AG574-186)+WeightSDS!$W$18*(-$AG574+186)^2-0.005,WeightSDS!$U$18+(WeightSDS!$V$18-WeightSDS!$U$18)/24*($AG574-186)-0.005)))</f>
        <v>0.14604529399999999</v>
      </c>
    </row>
    <row r="575" spans="1:37">
      <c r="A575" s="4"/>
      <c r="B575" s="21"/>
      <c r="C575" s="21"/>
      <c r="D575" s="21"/>
      <c r="E575" s="22"/>
      <c r="F575" s="22"/>
      <c r="G575" s="23"/>
      <c r="H575" s="23"/>
      <c r="I575" s="8" t="str">
        <f t="shared" si="130"/>
        <v/>
      </c>
      <c r="J575" s="2" t="str">
        <f t="shared" si="137"/>
        <v/>
      </c>
      <c r="K575" s="2" t="str">
        <f t="shared" si="131"/>
        <v/>
      </c>
      <c r="L575" s="2" t="str">
        <f t="shared" si="138"/>
        <v/>
      </c>
      <c r="M575" s="2" t="str">
        <f t="shared" si="143"/>
        <v/>
      </c>
      <c r="N575" s="2" t="str">
        <f t="shared" si="139"/>
        <v/>
      </c>
      <c r="O575" s="8" t="str">
        <f t="shared" si="140"/>
        <v/>
      </c>
      <c r="P575" s="8" t="str">
        <f t="shared" si="141"/>
        <v/>
      </c>
      <c r="Q575" s="40" t="str">
        <f t="shared" si="132"/>
        <v/>
      </c>
      <c r="R575" s="48" t="str">
        <f t="shared" si="142"/>
        <v/>
      </c>
      <c r="S575" s="8"/>
      <c r="U575" s="35">
        <f t="shared" si="133"/>
        <v>0</v>
      </c>
      <c r="V575" s="24">
        <f t="shared" si="134"/>
        <v>0</v>
      </c>
      <c r="W575" s="41">
        <f t="shared" si="145"/>
        <v>0</v>
      </c>
      <c r="X575" s="31"/>
      <c r="Y575" s="31"/>
      <c r="Z575" s="31"/>
      <c r="AA575" s="25">
        <f t="shared" si="135"/>
        <v>9.0359999999999996</v>
      </c>
      <c r="AB575" s="25">
        <f t="shared" si="136"/>
        <v>-184.49199999999999</v>
      </c>
      <c r="AD575" s="24">
        <f>IF(D575="M",IF(AG575&lt;78,BMILMS!$D$5*AG575^3+BMILMS!$E$5*AG575^2+BMILMS!$F$5*AG575+BMILMS!$G$5,IF(AG575&lt;150,BMILMS!$D$6*AG575^3+BMILMS!$E$6*AG575^2+BMILMS!$F$6*AG575+BMILMS!$G$6,BMILMS!$D$7*AG575^3+BMILMS!$E$7*AG575^2+BMILMS!$F$7*AG575+BMILMS!$G$7)),IF(AG575&lt;69,BMILMS!$D$9*AG575^3+BMILMS!$E$9*AG575^2+BMILMS!$F$9*AG575+BMILMS!$G$9,IF(AG575&lt;150,BMILMS!$D$10*AG575^3+BMILMS!$E$10*AG575^2+BMILMS!$F$10*AG575+BMILMS!$G$10,BMILMS!$D$11*AG575^3+BMILMS!$E$11*AG575^2+BMILMS!$F$11*AG575+BMILMS!$G$11)))</f>
        <v>0.79584630099999998</v>
      </c>
      <c r="AE575" s="24">
        <f>IF(D575="M",(IF(AG575&lt;2.5,BMILMS!$D$21*AG575^3+BMILMS!$E$21*AG575^2+BMILMS!$F$21*AG575+BMILMS!$G$21,IF(AG575&lt;9.5,BMILMS!$D$22*AG575^3+BMILMS!$E$22*AG575^2+BMILMS!$F$22*AG575+BMILMS!$G$22,IF(AG575&lt;26.75,BMILMS!$D$23*AG575^3+BMILMS!$E$23*AG575^2+BMILMS!$F$23*AG575+BMILMS!$G$23,IF(AG575&lt;90,BMILMS!$D$24*AG575^3+BMILMS!$E$24*AG575^2+BMILMS!$F$24*AG575+BMILMS!$G$24,BMILMS!$D$25*AG575^3+BMILMS!$E$25*AG575^2+BMILMS!$F$25*AG575+BMILMS!$G$25))))),(IF(AG575&lt;2.5,BMILMS!$D$27*AG575^3+BMILMS!$E$27*AG575^2+BMILMS!$F$27*AG575+BMILMS!$G$27,IF(AG575&lt;9.5,BMILMS!$D$28*AG575^3+BMILMS!$E$28*AG575^2+BMILMS!$F$28*AG575+BMILMS!$G$28,IF(AG575&lt;26.75,BMILMS!$D$29*AG575^3+BMILMS!$E$29*AG575^2+BMILMS!$F$29*AG575+BMILMS!$G$29,IF(AG575&lt;90,BMILMS!$D$30*AG575^3+BMILMS!$E$30*AG575^2+BMILMS!$F$30*AG575+BMILMS!$G$30,IF(AG575&lt;150,BMILMS!$D$31*AG575^3+BMILMS!$E$31*AG575^2+BMILMS!$F$31*AG575+BMILMS!$G$31,BMILMS!$D$32*AG575^3+BMILMS!$E$32*AG575^2+BMILMS!$F$32*AG575+BMILMS!$G$32)))))))</f>
        <v>12.568967990000001</v>
      </c>
      <c r="AF575" s="24">
        <f>IF(D575="M",(IF(AG575&lt;90,BMILMS!$D$14*AG575^3+BMILMS!$E$14*AG575^2+BMILMS!$F$14*AG575+BMILMS!$G$14,BMILMS!$D$15*AG575^3+BMILMS!$E$15*AG575^2+BMILMS!$F$15*AG575+BMILMS!$G$15)),(IF(AG575&lt;90,BMILMS!$D$17*AG575^3+BMILMS!$E$17*AG575^2+BMILMS!$F$17*AG575+BMILMS!$G$17,BMILMS!$D$18*AG575^3+BMILMS!$E$18*AG575^2+BMILMS!$F$18*AG575+BMILMS!$G$18)))</f>
        <v>8.8969350000000003E-2</v>
      </c>
      <c r="AG575" s="24">
        <f t="shared" si="144"/>
        <v>0</v>
      </c>
      <c r="AI575" s="38">
        <f>IF(D575="M",WeightSDS!P$5*$AG575^7+WeightSDS!Q$5*$AG575^6+WeightSDS!R$5*$AG575^5+WeightSDS!S$5*$AG575^4+WeightSDS!T$5*$AG575^3+WeightSDS!U$5*$AG575^2+WeightSDS!V$5*$AG575+WeightSDS!W$5,IF($AG575&lt;186,WeightSDS!P$8*$AG575^7+WeightSDS!Q$8*$AG575^6+WeightSDS!R$8*$AG575^5+WeightSDS!S$8*$AG575^4+WeightSDS!T$8*$AG575^3+WeightSDS!U$8*$AG575^2+WeightSDS!V$8*$AG575+WeightSDS!W$8,WeightSDS!$U$9-WeightSDS!$V$9*($AG575-WeightSDS!$W$9)))</f>
        <v>0.75407122999999998</v>
      </c>
      <c r="AJ575" s="24">
        <f>IF(D575="M",IF($AG575&lt;45,WeightSDS!M$23*$AG575^10+WeightSDS!N$23*$AG575^9+WeightSDS!O$23*$AG575^8+WeightSDS!P$23*$AG575^7+WeightSDS!Q$23*$AG575^6+WeightSDS!R$23*$AG575^5+WeightSDS!S$23*$AG575^4+WeightSDS!T$23*$AG575^3+WeightSDS!U$23*$AG575^2+WeightSDS!V$23*$AG575+WeightSDS!W$23,IF($AG575&lt;153,WeightSDS!M$25*$AG575^10+WeightSDS!N$25*$AG575^9+WeightSDS!O$25*$AG575^8+WeightSDS!P$25*$AG575^7+WeightSDS!Q$25*$AG575^6+WeightSDS!R$25*$AG575^5+WeightSDS!S$25*$AG575^4+WeightSDS!T$25*$AG575^3+WeightSDS!U$25*$AG575^2+WeightSDS!V$25*$AG575+WeightSDS!W$25,WeightSDS!M$27+WeightSDS!N$27/(1+EXP(WeightSDS!O$27+WeightSDS!P$27*$AG575)))),IF($AG575&lt;43.8,WeightSDS!M$29*$AG575^10+WeightSDS!N$29*$AG575^9+WeightSDS!O$29*$AG575^8+WeightSDS!P$29*$AG575^7+WeightSDS!Q$29*$AG575^6+WeightSDS!R$29*$AG575^5+WeightSDS!S$29*$AG575^4+WeightSDS!T$29*$AG575^3+WeightSDS!U$29*$AG575^2+WeightSDS!V$29*$AG575+WeightSDS!W$29-0.010431*(1-$AG575/210),IF($AG575&lt;123,WeightSDS!M$30*$AG575^10+WeightSDS!N$30*$AG575^9+WeightSDS!O$30*$AG575^8+WeightSDS!P$30*$AG575^7+WeightSDS!Q$30*$AG575^6+WeightSDS!R$30*$AG575^5+WeightSDS!S$30*$AG575^4+WeightSDS!T$30*$AG575^3+WeightSDS!U$30*$AG575^2+WeightSDS!V$30*$AG575+WeightSDS!W$30-0.010431*(1-1/$AG575),WeightSDS!M$32+WeightSDS!N$32/(1+EXP(WeightSDS!O$32+WeightSDS!P$32*$AG575))-0.010431*(1-$AG575/210))))</f>
        <v>2.9500001032655536</v>
      </c>
      <c r="AK575" s="24">
        <f>IF(D575="M",IF($AG575&lt;162,WeightSDS!P$12*$AG575^7+WeightSDS!Q$12*$AG575^6+WeightSDS!R$12*$AG575^5+WeightSDS!S$12*$AG575^4+WeightSDS!T$12*$AG575^3+WeightSDS!U$12*$AG575^2+WeightSDS!V$12*$AG575+WeightSDS!W$12,WeightSDS!P$14*$AG575^7+WeightSDS!Q$14*$AG575^6+WeightSDS!R$14*$AG575^5+WeightSDS!S$14*$AG575^4+WeightSDS!T$14*$AG575^3+WeightSDS!U$14*$AG575^2+WeightSDS!V$14*$AG575+WeightSDS!W$14),IF($AG575&lt;156,WeightSDS!O$17*$AG575^8+WeightSDS!P$17*$AG575^7+WeightSDS!Q$17*$AG575^6+WeightSDS!R$17*$AG575^5+WeightSDS!S$17*$AG575^4+WeightSDS!T$17*$AG575^3+WeightSDS!U$17*$AG575^2+WeightSDS!V$17*$AG575+WeightSDS!W$17,IF($AG575&lt;186,WeightSDS!$U$18+(WeightSDS!$V$18-WeightSDS!$U$18)/24*($AG575-186)+WeightSDS!$W$18*(-$AG575+186)^2-0.005,WeightSDS!$U$18+(WeightSDS!$V$18-WeightSDS!$U$18)/24*($AG575-186)-0.005)))</f>
        <v>0.14604529399999999</v>
      </c>
    </row>
    <row r="576" spans="1:37">
      <c r="A576" s="4"/>
      <c r="B576" s="21"/>
      <c r="C576" s="21"/>
      <c r="D576" s="21"/>
      <c r="E576" s="22"/>
      <c r="F576" s="22"/>
      <c r="G576" s="23"/>
      <c r="H576" s="23"/>
      <c r="I576" s="8" t="str">
        <f t="shared" si="130"/>
        <v/>
      </c>
      <c r="J576" s="2" t="str">
        <f t="shared" si="137"/>
        <v/>
      </c>
      <c r="K576" s="2" t="str">
        <f t="shared" si="131"/>
        <v/>
      </c>
      <c r="L576" s="2" t="str">
        <f t="shared" si="138"/>
        <v/>
      </c>
      <c r="M576" s="2" t="str">
        <f t="shared" si="143"/>
        <v/>
      </c>
      <c r="N576" s="2" t="str">
        <f t="shared" si="139"/>
        <v/>
      </c>
      <c r="O576" s="8" t="str">
        <f t="shared" si="140"/>
        <v/>
      </c>
      <c r="P576" s="8" t="str">
        <f t="shared" si="141"/>
        <v/>
      </c>
      <c r="Q576" s="40" t="str">
        <f t="shared" si="132"/>
        <v/>
      </c>
      <c r="R576" s="48" t="str">
        <f t="shared" si="142"/>
        <v/>
      </c>
      <c r="S576" s="8"/>
      <c r="U576" s="35">
        <f t="shared" si="133"/>
        <v>0</v>
      </c>
      <c r="V576" s="24">
        <f t="shared" si="134"/>
        <v>0</v>
      </c>
      <c r="W576" s="41">
        <f t="shared" si="145"/>
        <v>0</v>
      </c>
      <c r="X576" s="31"/>
      <c r="Y576" s="31"/>
      <c r="Z576" s="31"/>
      <c r="AA576" s="25">
        <f t="shared" si="135"/>
        <v>9.0359999999999996</v>
      </c>
      <c r="AB576" s="25">
        <f t="shared" si="136"/>
        <v>-184.49199999999999</v>
      </c>
      <c r="AD576" s="24">
        <f>IF(D576="M",IF(AG576&lt;78,BMILMS!$D$5*AG576^3+BMILMS!$E$5*AG576^2+BMILMS!$F$5*AG576+BMILMS!$G$5,IF(AG576&lt;150,BMILMS!$D$6*AG576^3+BMILMS!$E$6*AG576^2+BMILMS!$F$6*AG576+BMILMS!$G$6,BMILMS!$D$7*AG576^3+BMILMS!$E$7*AG576^2+BMILMS!$F$7*AG576+BMILMS!$G$7)),IF(AG576&lt;69,BMILMS!$D$9*AG576^3+BMILMS!$E$9*AG576^2+BMILMS!$F$9*AG576+BMILMS!$G$9,IF(AG576&lt;150,BMILMS!$D$10*AG576^3+BMILMS!$E$10*AG576^2+BMILMS!$F$10*AG576+BMILMS!$G$10,BMILMS!$D$11*AG576^3+BMILMS!$E$11*AG576^2+BMILMS!$F$11*AG576+BMILMS!$G$11)))</f>
        <v>0.79584630099999998</v>
      </c>
      <c r="AE576" s="24">
        <f>IF(D576="M",(IF(AG576&lt;2.5,BMILMS!$D$21*AG576^3+BMILMS!$E$21*AG576^2+BMILMS!$F$21*AG576+BMILMS!$G$21,IF(AG576&lt;9.5,BMILMS!$D$22*AG576^3+BMILMS!$E$22*AG576^2+BMILMS!$F$22*AG576+BMILMS!$G$22,IF(AG576&lt;26.75,BMILMS!$D$23*AG576^3+BMILMS!$E$23*AG576^2+BMILMS!$F$23*AG576+BMILMS!$G$23,IF(AG576&lt;90,BMILMS!$D$24*AG576^3+BMILMS!$E$24*AG576^2+BMILMS!$F$24*AG576+BMILMS!$G$24,BMILMS!$D$25*AG576^3+BMILMS!$E$25*AG576^2+BMILMS!$F$25*AG576+BMILMS!$G$25))))),(IF(AG576&lt;2.5,BMILMS!$D$27*AG576^3+BMILMS!$E$27*AG576^2+BMILMS!$F$27*AG576+BMILMS!$G$27,IF(AG576&lt;9.5,BMILMS!$D$28*AG576^3+BMILMS!$E$28*AG576^2+BMILMS!$F$28*AG576+BMILMS!$G$28,IF(AG576&lt;26.75,BMILMS!$D$29*AG576^3+BMILMS!$E$29*AG576^2+BMILMS!$F$29*AG576+BMILMS!$G$29,IF(AG576&lt;90,BMILMS!$D$30*AG576^3+BMILMS!$E$30*AG576^2+BMILMS!$F$30*AG576+BMILMS!$G$30,IF(AG576&lt;150,BMILMS!$D$31*AG576^3+BMILMS!$E$31*AG576^2+BMILMS!$F$31*AG576+BMILMS!$G$31,BMILMS!$D$32*AG576^3+BMILMS!$E$32*AG576^2+BMILMS!$F$32*AG576+BMILMS!$G$32)))))))</f>
        <v>12.568967990000001</v>
      </c>
      <c r="AF576" s="24">
        <f>IF(D576="M",(IF(AG576&lt;90,BMILMS!$D$14*AG576^3+BMILMS!$E$14*AG576^2+BMILMS!$F$14*AG576+BMILMS!$G$14,BMILMS!$D$15*AG576^3+BMILMS!$E$15*AG576^2+BMILMS!$F$15*AG576+BMILMS!$G$15)),(IF(AG576&lt;90,BMILMS!$D$17*AG576^3+BMILMS!$E$17*AG576^2+BMILMS!$F$17*AG576+BMILMS!$G$17,BMILMS!$D$18*AG576^3+BMILMS!$E$18*AG576^2+BMILMS!$F$18*AG576+BMILMS!$G$18)))</f>
        <v>8.8969350000000003E-2</v>
      </c>
      <c r="AG576" s="24">
        <f t="shared" si="144"/>
        <v>0</v>
      </c>
      <c r="AI576" s="38">
        <f>IF(D576="M",WeightSDS!P$5*$AG576^7+WeightSDS!Q$5*$AG576^6+WeightSDS!R$5*$AG576^5+WeightSDS!S$5*$AG576^4+WeightSDS!T$5*$AG576^3+WeightSDS!U$5*$AG576^2+WeightSDS!V$5*$AG576+WeightSDS!W$5,IF($AG576&lt;186,WeightSDS!P$8*$AG576^7+WeightSDS!Q$8*$AG576^6+WeightSDS!R$8*$AG576^5+WeightSDS!S$8*$AG576^4+WeightSDS!T$8*$AG576^3+WeightSDS!U$8*$AG576^2+WeightSDS!V$8*$AG576+WeightSDS!W$8,WeightSDS!$U$9-WeightSDS!$V$9*($AG576-WeightSDS!$W$9)))</f>
        <v>0.75407122999999998</v>
      </c>
      <c r="AJ576" s="24">
        <f>IF(D576="M",IF($AG576&lt;45,WeightSDS!M$23*$AG576^10+WeightSDS!N$23*$AG576^9+WeightSDS!O$23*$AG576^8+WeightSDS!P$23*$AG576^7+WeightSDS!Q$23*$AG576^6+WeightSDS!R$23*$AG576^5+WeightSDS!S$23*$AG576^4+WeightSDS!T$23*$AG576^3+WeightSDS!U$23*$AG576^2+WeightSDS!V$23*$AG576+WeightSDS!W$23,IF($AG576&lt;153,WeightSDS!M$25*$AG576^10+WeightSDS!N$25*$AG576^9+WeightSDS!O$25*$AG576^8+WeightSDS!P$25*$AG576^7+WeightSDS!Q$25*$AG576^6+WeightSDS!R$25*$AG576^5+WeightSDS!S$25*$AG576^4+WeightSDS!T$25*$AG576^3+WeightSDS!U$25*$AG576^2+WeightSDS!V$25*$AG576+WeightSDS!W$25,WeightSDS!M$27+WeightSDS!N$27/(1+EXP(WeightSDS!O$27+WeightSDS!P$27*$AG576)))),IF($AG576&lt;43.8,WeightSDS!M$29*$AG576^10+WeightSDS!N$29*$AG576^9+WeightSDS!O$29*$AG576^8+WeightSDS!P$29*$AG576^7+WeightSDS!Q$29*$AG576^6+WeightSDS!R$29*$AG576^5+WeightSDS!S$29*$AG576^4+WeightSDS!T$29*$AG576^3+WeightSDS!U$29*$AG576^2+WeightSDS!V$29*$AG576+WeightSDS!W$29-0.010431*(1-$AG576/210),IF($AG576&lt;123,WeightSDS!M$30*$AG576^10+WeightSDS!N$30*$AG576^9+WeightSDS!O$30*$AG576^8+WeightSDS!P$30*$AG576^7+WeightSDS!Q$30*$AG576^6+WeightSDS!R$30*$AG576^5+WeightSDS!S$30*$AG576^4+WeightSDS!T$30*$AG576^3+WeightSDS!U$30*$AG576^2+WeightSDS!V$30*$AG576+WeightSDS!W$30-0.010431*(1-1/$AG576),WeightSDS!M$32+WeightSDS!N$32/(1+EXP(WeightSDS!O$32+WeightSDS!P$32*$AG576))-0.010431*(1-$AG576/210))))</f>
        <v>2.9500001032655536</v>
      </c>
      <c r="AK576" s="24">
        <f>IF(D576="M",IF($AG576&lt;162,WeightSDS!P$12*$AG576^7+WeightSDS!Q$12*$AG576^6+WeightSDS!R$12*$AG576^5+WeightSDS!S$12*$AG576^4+WeightSDS!T$12*$AG576^3+WeightSDS!U$12*$AG576^2+WeightSDS!V$12*$AG576+WeightSDS!W$12,WeightSDS!P$14*$AG576^7+WeightSDS!Q$14*$AG576^6+WeightSDS!R$14*$AG576^5+WeightSDS!S$14*$AG576^4+WeightSDS!T$14*$AG576^3+WeightSDS!U$14*$AG576^2+WeightSDS!V$14*$AG576+WeightSDS!W$14),IF($AG576&lt;156,WeightSDS!O$17*$AG576^8+WeightSDS!P$17*$AG576^7+WeightSDS!Q$17*$AG576^6+WeightSDS!R$17*$AG576^5+WeightSDS!S$17*$AG576^4+WeightSDS!T$17*$AG576^3+WeightSDS!U$17*$AG576^2+WeightSDS!V$17*$AG576+WeightSDS!W$17,IF($AG576&lt;186,WeightSDS!$U$18+(WeightSDS!$V$18-WeightSDS!$U$18)/24*($AG576-186)+WeightSDS!$W$18*(-$AG576+186)^2-0.005,WeightSDS!$U$18+(WeightSDS!$V$18-WeightSDS!$U$18)/24*($AG576-186)-0.005)))</f>
        <v>0.14604529399999999</v>
      </c>
    </row>
    <row r="577" spans="1:37">
      <c r="A577" s="4"/>
      <c r="B577" s="21"/>
      <c r="C577" s="21"/>
      <c r="D577" s="21"/>
      <c r="E577" s="22"/>
      <c r="F577" s="22"/>
      <c r="G577" s="23"/>
      <c r="H577" s="23"/>
      <c r="I577" s="8" t="str">
        <f t="shared" si="130"/>
        <v/>
      </c>
      <c r="J577" s="2" t="str">
        <f t="shared" si="137"/>
        <v/>
      </c>
      <c r="K577" s="2" t="str">
        <f t="shared" si="131"/>
        <v/>
      </c>
      <c r="L577" s="2" t="str">
        <f t="shared" si="138"/>
        <v/>
      </c>
      <c r="M577" s="2" t="str">
        <f t="shared" si="143"/>
        <v/>
      </c>
      <c r="N577" s="2" t="str">
        <f t="shared" si="139"/>
        <v/>
      </c>
      <c r="O577" s="8" t="str">
        <f t="shared" si="140"/>
        <v/>
      </c>
      <c r="P577" s="8" t="str">
        <f t="shared" si="141"/>
        <v/>
      </c>
      <c r="Q577" s="40" t="str">
        <f t="shared" si="132"/>
        <v/>
      </c>
      <c r="R577" s="48" t="str">
        <f t="shared" si="142"/>
        <v/>
      </c>
      <c r="S577" s="8"/>
      <c r="U577" s="35">
        <f t="shared" si="133"/>
        <v>0</v>
      </c>
      <c r="V577" s="24">
        <f t="shared" si="134"/>
        <v>0</v>
      </c>
      <c r="W577" s="41">
        <f t="shared" si="145"/>
        <v>0</v>
      </c>
      <c r="X577" s="31"/>
      <c r="Y577" s="31"/>
      <c r="Z577" s="31"/>
      <c r="AA577" s="25">
        <f t="shared" si="135"/>
        <v>9.0359999999999996</v>
      </c>
      <c r="AB577" s="25">
        <f t="shared" si="136"/>
        <v>-184.49199999999999</v>
      </c>
      <c r="AD577" s="24">
        <f>IF(D577="M",IF(AG577&lt;78,BMILMS!$D$5*AG577^3+BMILMS!$E$5*AG577^2+BMILMS!$F$5*AG577+BMILMS!$G$5,IF(AG577&lt;150,BMILMS!$D$6*AG577^3+BMILMS!$E$6*AG577^2+BMILMS!$F$6*AG577+BMILMS!$G$6,BMILMS!$D$7*AG577^3+BMILMS!$E$7*AG577^2+BMILMS!$F$7*AG577+BMILMS!$G$7)),IF(AG577&lt;69,BMILMS!$D$9*AG577^3+BMILMS!$E$9*AG577^2+BMILMS!$F$9*AG577+BMILMS!$G$9,IF(AG577&lt;150,BMILMS!$D$10*AG577^3+BMILMS!$E$10*AG577^2+BMILMS!$F$10*AG577+BMILMS!$G$10,BMILMS!$D$11*AG577^3+BMILMS!$E$11*AG577^2+BMILMS!$F$11*AG577+BMILMS!$G$11)))</f>
        <v>0.79584630099999998</v>
      </c>
      <c r="AE577" s="24">
        <f>IF(D577="M",(IF(AG577&lt;2.5,BMILMS!$D$21*AG577^3+BMILMS!$E$21*AG577^2+BMILMS!$F$21*AG577+BMILMS!$G$21,IF(AG577&lt;9.5,BMILMS!$D$22*AG577^3+BMILMS!$E$22*AG577^2+BMILMS!$F$22*AG577+BMILMS!$G$22,IF(AG577&lt;26.75,BMILMS!$D$23*AG577^3+BMILMS!$E$23*AG577^2+BMILMS!$F$23*AG577+BMILMS!$G$23,IF(AG577&lt;90,BMILMS!$D$24*AG577^3+BMILMS!$E$24*AG577^2+BMILMS!$F$24*AG577+BMILMS!$G$24,BMILMS!$D$25*AG577^3+BMILMS!$E$25*AG577^2+BMILMS!$F$25*AG577+BMILMS!$G$25))))),(IF(AG577&lt;2.5,BMILMS!$D$27*AG577^3+BMILMS!$E$27*AG577^2+BMILMS!$F$27*AG577+BMILMS!$G$27,IF(AG577&lt;9.5,BMILMS!$D$28*AG577^3+BMILMS!$E$28*AG577^2+BMILMS!$F$28*AG577+BMILMS!$G$28,IF(AG577&lt;26.75,BMILMS!$D$29*AG577^3+BMILMS!$E$29*AG577^2+BMILMS!$F$29*AG577+BMILMS!$G$29,IF(AG577&lt;90,BMILMS!$D$30*AG577^3+BMILMS!$E$30*AG577^2+BMILMS!$F$30*AG577+BMILMS!$G$30,IF(AG577&lt;150,BMILMS!$D$31*AG577^3+BMILMS!$E$31*AG577^2+BMILMS!$F$31*AG577+BMILMS!$G$31,BMILMS!$D$32*AG577^3+BMILMS!$E$32*AG577^2+BMILMS!$F$32*AG577+BMILMS!$G$32)))))))</f>
        <v>12.568967990000001</v>
      </c>
      <c r="AF577" s="24">
        <f>IF(D577="M",(IF(AG577&lt;90,BMILMS!$D$14*AG577^3+BMILMS!$E$14*AG577^2+BMILMS!$F$14*AG577+BMILMS!$G$14,BMILMS!$D$15*AG577^3+BMILMS!$E$15*AG577^2+BMILMS!$F$15*AG577+BMILMS!$G$15)),(IF(AG577&lt;90,BMILMS!$D$17*AG577^3+BMILMS!$E$17*AG577^2+BMILMS!$F$17*AG577+BMILMS!$G$17,BMILMS!$D$18*AG577^3+BMILMS!$E$18*AG577^2+BMILMS!$F$18*AG577+BMILMS!$G$18)))</f>
        <v>8.8969350000000003E-2</v>
      </c>
      <c r="AG577" s="24">
        <f t="shared" si="144"/>
        <v>0</v>
      </c>
      <c r="AI577" s="38">
        <f>IF(D577="M",WeightSDS!P$5*$AG577^7+WeightSDS!Q$5*$AG577^6+WeightSDS!R$5*$AG577^5+WeightSDS!S$5*$AG577^4+WeightSDS!T$5*$AG577^3+WeightSDS!U$5*$AG577^2+WeightSDS!V$5*$AG577+WeightSDS!W$5,IF($AG577&lt;186,WeightSDS!P$8*$AG577^7+WeightSDS!Q$8*$AG577^6+WeightSDS!R$8*$AG577^5+WeightSDS!S$8*$AG577^4+WeightSDS!T$8*$AG577^3+WeightSDS!U$8*$AG577^2+WeightSDS!V$8*$AG577+WeightSDS!W$8,WeightSDS!$U$9-WeightSDS!$V$9*($AG577-WeightSDS!$W$9)))</f>
        <v>0.75407122999999998</v>
      </c>
      <c r="AJ577" s="24">
        <f>IF(D577="M",IF($AG577&lt;45,WeightSDS!M$23*$AG577^10+WeightSDS!N$23*$AG577^9+WeightSDS!O$23*$AG577^8+WeightSDS!P$23*$AG577^7+WeightSDS!Q$23*$AG577^6+WeightSDS!R$23*$AG577^5+WeightSDS!S$23*$AG577^4+WeightSDS!T$23*$AG577^3+WeightSDS!U$23*$AG577^2+WeightSDS!V$23*$AG577+WeightSDS!W$23,IF($AG577&lt;153,WeightSDS!M$25*$AG577^10+WeightSDS!N$25*$AG577^9+WeightSDS!O$25*$AG577^8+WeightSDS!P$25*$AG577^7+WeightSDS!Q$25*$AG577^6+WeightSDS!R$25*$AG577^5+WeightSDS!S$25*$AG577^4+WeightSDS!T$25*$AG577^3+WeightSDS!U$25*$AG577^2+WeightSDS!V$25*$AG577+WeightSDS!W$25,WeightSDS!M$27+WeightSDS!N$27/(1+EXP(WeightSDS!O$27+WeightSDS!P$27*$AG577)))),IF($AG577&lt;43.8,WeightSDS!M$29*$AG577^10+WeightSDS!N$29*$AG577^9+WeightSDS!O$29*$AG577^8+WeightSDS!P$29*$AG577^7+WeightSDS!Q$29*$AG577^6+WeightSDS!R$29*$AG577^5+WeightSDS!S$29*$AG577^4+WeightSDS!T$29*$AG577^3+WeightSDS!U$29*$AG577^2+WeightSDS!V$29*$AG577+WeightSDS!W$29-0.010431*(1-$AG577/210),IF($AG577&lt;123,WeightSDS!M$30*$AG577^10+WeightSDS!N$30*$AG577^9+WeightSDS!O$30*$AG577^8+WeightSDS!P$30*$AG577^7+WeightSDS!Q$30*$AG577^6+WeightSDS!R$30*$AG577^5+WeightSDS!S$30*$AG577^4+WeightSDS!T$30*$AG577^3+WeightSDS!U$30*$AG577^2+WeightSDS!V$30*$AG577+WeightSDS!W$30-0.010431*(1-1/$AG577),WeightSDS!M$32+WeightSDS!N$32/(1+EXP(WeightSDS!O$32+WeightSDS!P$32*$AG577))-0.010431*(1-$AG577/210))))</f>
        <v>2.9500001032655536</v>
      </c>
      <c r="AK577" s="24">
        <f>IF(D577="M",IF($AG577&lt;162,WeightSDS!P$12*$AG577^7+WeightSDS!Q$12*$AG577^6+WeightSDS!R$12*$AG577^5+WeightSDS!S$12*$AG577^4+WeightSDS!T$12*$AG577^3+WeightSDS!U$12*$AG577^2+WeightSDS!V$12*$AG577+WeightSDS!W$12,WeightSDS!P$14*$AG577^7+WeightSDS!Q$14*$AG577^6+WeightSDS!R$14*$AG577^5+WeightSDS!S$14*$AG577^4+WeightSDS!T$14*$AG577^3+WeightSDS!U$14*$AG577^2+WeightSDS!V$14*$AG577+WeightSDS!W$14),IF($AG577&lt;156,WeightSDS!O$17*$AG577^8+WeightSDS!P$17*$AG577^7+WeightSDS!Q$17*$AG577^6+WeightSDS!R$17*$AG577^5+WeightSDS!S$17*$AG577^4+WeightSDS!T$17*$AG577^3+WeightSDS!U$17*$AG577^2+WeightSDS!V$17*$AG577+WeightSDS!W$17,IF($AG577&lt;186,WeightSDS!$U$18+(WeightSDS!$V$18-WeightSDS!$U$18)/24*($AG577-186)+WeightSDS!$W$18*(-$AG577+186)^2-0.005,WeightSDS!$U$18+(WeightSDS!$V$18-WeightSDS!$U$18)/24*($AG577-186)-0.005)))</f>
        <v>0.14604529399999999</v>
      </c>
    </row>
    <row r="578" spans="1:37">
      <c r="A578" s="4"/>
      <c r="B578" s="21"/>
      <c r="C578" s="21"/>
      <c r="D578" s="21"/>
      <c r="E578" s="22"/>
      <c r="F578" s="22"/>
      <c r="G578" s="23"/>
      <c r="H578" s="23"/>
      <c r="I578" s="8" t="str">
        <f t="shared" si="130"/>
        <v/>
      </c>
      <c r="J578" s="2" t="str">
        <f t="shared" si="137"/>
        <v/>
      </c>
      <c r="K578" s="2" t="str">
        <f t="shared" si="131"/>
        <v/>
      </c>
      <c r="L578" s="2" t="str">
        <f t="shared" si="138"/>
        <v/>
      </c>
      <c r="M578" s="2" t="str">
        <f t="shared" si="143"/>
        <v/>
      </c>
      <c r="N578" s="2" t="str">
        <f t="shared" si="139"/>
        <v/>
      </c>
      <c r="O578" s="8" t="str">
        <f t="shared" si="140"/>
        <v/>
      </c>
      <c r="P578" s="8" t="str">
        <f t="shared" si="141"/>
        <v/>
      </c>
      <c r="Q578" s="40" t="str">
        <f t="shared" si="132"/>
        <v/>
      </c>
      <c r="R578" s="48" t="str">
        <f t="shared" si="142"/>
        <v/>
      </c>
      <c r="S578" s="8"/>
      <c r="U578" s="35">
        <f t="shared" si="133"/>
        <v>0</v>
      </c>
      <c r="V578" s="24">
        <f t="shared" si="134"/>
        <v>0</v>
      </c>
      <c r="W578" s="41">
        <f t="shared" si="145"/>
        <v>0</v>
      </c>
      <c r="X578" s="31"/>
      <c r="Y578" s="31"/>
      <c r="Z578" s="31"/>
      <c r="AA578" s="25">
        <f t="shared" si="135"/>
        <v>9.0359999999999996</v>
      </c>
      <c r="AB578" s="25">
        <f t="shared" si="136"/>
        <v>-184.49199999999999</v>
      </c>
      <c r="AD578" s="24">
        <f>IF(D578="M",IF(AG578&lt;78,BMILMS!$D$5*AG578^3+BMILMS!$E$5*AG578^2+BMILMS!$F$5*AG578+BMILMS!$G$5,IF(AG578&lt;150,BMILMS!$D$6*AG578^3+BMILMS!$E$6*AG578^2+BMILMS!$F$6*AG578+BMILMS!$G$6,BMILMS!$D$7*AG578^3+BMILMS!$E$7*AG578^2+BMILMS!$F$7*AG578+BMILMS!$G$7)),IF(AG578&lt;69,BMILMS!$D$9*AG578^3+BMILMS!$E$9*AG578^2+BMILMS!$F$9*AG578+BMILMS!$G$9,IF(AG578&lt;150,BMILMS!$D$10*AG578^3+BMILMS!$E$10*AG578^2+BMILMS!$F$10*AG578+BMILMS!$G$10,BMILMS!$D$11*AG578^3+BMILMS!$E$11*AG578^2+BMILMS!$F$11*AG578+BMILMS!$G$11)))</f>
        <v>0.79584630099999998</v>
      </c>
      <c r="AE578" s="24">
        <f>IF(D578="M",(IF(AG578&lt;2.5,BMILMS!$D$21*AG578^3+BMILMS!$E$21*AG578^2+BMILMS!$F$21*AG578+BMILMS!$G$21,IF(AG578&lt;9.5,BMILMS!$D$22*AG578^3+BMILMS!$E$22*AG578^2+BMILMS!$F$22*AG578+BMILMS!$G$22,IF(AG578&lt;26.75,BMILMS!$D$23*AG578^3+BMILMS!$E$23*AG578^2+BMILMS!$F$23*AG578+BMILMS!$G$23,IF(AG578&lt;90,BMILMS!$D$24*AG578^3+BMILMS!$E$24*AG578^2+BMILMS!$F$24*AG578+BMILMS!$G$24,BMILMS!$D$25*AG578^3+BMILMS!$E$25*AG578^2+BMILMS!$F$25*AG578+BMILMS!$G$25))))),(IF(AG578&lt;2.5,BMILMS!$D$27*AG578^3+BMILMS!$E$27*AG578^2+BMILMS!$F$27*AG578+BMILMS!$G$27,IF(AG578&lt;9.5,BMILMS!$D$28*AG578^3+BMILMS!$E$28*AG578^2+BMILMS!$F$28*AG578+BMILMS!$G$28,IF(AG578&lt;26.75,BMILMS!$D$29*AG578^3+BMILMS!$E$29*AG578^2+BMILMS!$F$29*AG578+BMILMS!$G$29,IF(AG578&lt;90,BMILMS!$D$30*AG578^3+BMILMS!$E$30*AG578^2+BMILMS!$F$30*AG578+BMILMS!$G$30,IF(AG578&lt;150,BMILMS!$D$31*AG578^3+BMILMS!$E$31*AG578^2+BMILMS!$F$31*AG578+BMILMS!$G$31,BMILMS!$D$32*AG578^3+BMILMS!$E$32*AG578^2+BMILMS!$F$32*AG578+BMILMS!$G$32)))))))</f>
        <v>12.568967990000001</v>
      </c>
      <c r="AF578" s="24">
        <f>IF(D578="M",(IF(AG578&lt;90,BMILMS!$D$14*AG578^3+BMILMS!$E$14*AG578^2+BMILMS!$F$14*AG578+BMILMS!$G$14,BMILMS!$D$15*AG578^3+BMILMS!$E$15*AG578^2+BMILMS!$F$15*AG578+BMILMS!$G$15)),(IF(AG578&lt;90,BMILMS!$D$17*AG578^3+BMILMS!$E$17*AG578^2+BMILMS!$F$17*AG578+BMILMS!$G$17,BMILMS!$D$18*AG578^3+BMILMS!$E$18*AG578^2+BMILMS!$F$18*AG578+BMILMS!$G$18)))</f>
        <v>8.8969350000000003E-2</v>
      </c>
      <c r="AG578" s="24">
        <f t="shared" si="144"/>
        <v>0</v>
      </c>
      <c r="AI578" s="38">
        <f>IF(D578="M",WeightSDS!P$5*$AG578^7+WeightSDS!Q$5*$AG578^6+WeightSDS!R$5*$AG578^5+WeightSDS!S$5*$AG578^4+WeightSDS!T$5*$AG578^3+WeightSDS!U$5*$AG578^2+WeightSDS!V$5*$AG578+WeightSDS!W$5,IF($AG578&lt;186,WeightSDS!P$8*$AG578^7+WeightSDS!Q$8*$AG578^6+WeightSDS!R$8*$AG578^5+WeightSDS!S$8*$AG578^4+WeightSDS!T$8*$AG578^3+WeightSDS!U$8*$AG578^2+WeightSDS!V$8*$AG578+WeightSDS!W$8,WeightSDS!$U$9-WeightSDS!$V$9*($AG578-WeightSDS!$W$9)))</f>
        <v>0.75407122999999998</v>
      </c>
      <c r="AJ578" s="24">
        <f>IF(D578="M",IF($AG578&lt;45,WeightSDS!M$23*$AG578^10+WeightSDS!N$23*$AG578^9+WeightSDS!O$23*$AG578^8+WeightSDS!P$23*$AG578^7+WeightSDS!Q$23*$AG578^6+WeightSDS!R$23*$AG578^5+WeightSDS!S$23*$AG578^4+WeightSDS!T$23*$AG578^3+WeightSDS!U$23*$AG578^2+WeightSDS!V$23*$AG578+WeightSDS!W$23,IF($AG578&lt;153,WeightSDS!M$25*$AG578^10+WeightSDS!N$25*$AG578^9+WeightSDS!O$25*$AG578^8+WeightSDS!P$25*$AG578^7+WeightSDS!Q$25*$AG578^6+WeightSDS!R$25*$AG578^5+WeightSDS!S$25*$AG578^4+WeightSDS!T$25*$AG578^3+WeightSDS!U$25*$AG578^2+WeightSDS!V$25*$AG578+WeightSDS!W$25,WeightSDS!M$27+WeightSDS!N$27/(1+EXP(WeightSDS!O$27+WeightSDS!P$27*$AG578)))),IF($AG578&lt;43.8,WeightSDS!M$29*$AG578^10+WeightSDS!N$29*$AG578^9+WeightSDS!O$29*$AG578^8+WeightSDS!P$29*$AG578^7+WeightSDS!Q$29*$AG578^6+WeightSDS!R$29*$AG578^5+WeightSDS!S$29*$AG578^4+WeightSDS!T$29*$AG578^3+WeightSDS!U$29*$AG578^2+WeightSDS!V$29*$AG578+WeightSDS!W$29-0.010431*(1-$AG578/210),IF($AG578&lt;123,WeightSDS!M$30*$AG578^10+WeightSDS!N$30*$AG578^9+WeightSDS!O$30*$AG578^8+WeightSDS!P$30*$AG578^7+WeightSDS!Q$30*$AG578^6+WeightSDS!R$30*$AG578^5+WeightSDS!S$30*$AG578^4+WeightSDS!T$30*$AG578^3+WeightSDS!U$30*$AG578^2+WeightSDS!V$30*$AG578+WeightSDS!W$30-0.010431*(1-1/$AG578),WeightSDS!M$32+WeightSDS!N$32/(1+EXP(WeightSDS!O$32+WeightSDS!P$32*$AG578))-0.010431*(1-$AG578/210))))</f>
        <v>2.9500001032655536</v>
      </c>
      <c r="AK578" s="24">
        <f>IF(D578="M",IF($AG578&lt;162,WeightSDS!P$12*$AG578^7+WeightSDS!Q$12*$AG578^6+WeightSDS!R$12*$AG578^5+WeightSDS!S$12*$AG578^4+WeightSDS!T$12*$AG578^3+WeightSDS!U$12*$AG578^2+WeightSDS!V$12*$AG578+WeightSDS!W$12,WeightSDS!P$14*$AG578^7+WeightSDS!Q$14*$AG578^6+WeightSDS!R$14*$AG578^5+WeightSDS!S$14*$AG578^4+WeightSDS!T$14*$AG578^3+WeightSDS!U$14*$AG578^2+WeightSDS!V$14*$AG578+WeightSDS!W$14),IF($AG578&lt;156,WeightSDS!O$17*$AG578^8+WeightSDS!P$17*$AG578^7+WeightSDS!Q$17*$AG578^6+WeightSDS!R$17*$AG578^5+WeightSDS!S$17*$AG578^4+WeightSDS!T$17*$AG578^3+WeightSDS!U$17*$AG578^2+WeightSDS!V$17*$AG578+WeightSDS!W$17,IF($AG578&lt;186,WeightSDS!$U$18+(WeightSDS!$V$18-WeightSDS!$U$18)/24*($AG578-186)+WeightSDS!$W$18*(-$AG578+186)^2-0.005,WeightSDS!$U$18+(WeightSDS!$V$18-WeightSDS!$U$18)/24*($AG578-186)-0.005)))</f>
        <v>0.14604529399999999</v>
      </c>
    </row>
    <row r="579" spans="1:37">
      <c r="A579" s="4"/>
      <c r="B579" s="21"/>
      <c r="C579" s="21"/>
      <c r="D579" s="21"/>
      <c r="E579" s="22"/>
      <c r="F579" s="22"/>
      <c r="G579" s="23"/>
      <c r="H579" s="23"/>
      <c r="I579" s="8" t="str">
        <f t="shared" ref="I579:I642" si="146">IF(COUNTA(D579,E579,F579,G579,H579)=5,IF(Q579&gt;17.583,"       *",(G579-(INDEX(IF(D579="F",Hfemalemean,Hmalemean),V579+1,U579+1)))/(INDEX(IF(D579="F",Hfemalesd,Hmalesd),V579+1,U579+1))),"")</f>
        <v/>
      </c>
      <c r="J579" s="2" t="str">
        <f t="shared" si="137"/>
        <v/>
      </c>
      <c r="K579" s="2" t="str">
        <f t="shared" ref="K579:K642" si="147">IF(COUNTA(D579,E579,F579,G579,H579)&lt;5,"",IF(Q579&lt;6,"       *",IF(Q579&gt;=17.583,"       *",(H579-G579*INDEX(IF(D579="F",muratafemale,muratamale),U579-4,1)-INDEX(IF(D579="F",muratafemale,muratamale),U579-4,2))/(G579*INDEX(IF(D579="F",muratafemale,muratamale),U579-4,1)+INDEX(IF(D579="F",muratafemale,muratamale),U579-4,2))*100)))</f>
        <v/>
      </c>
      <c r="L579" s="2" t="str">
        <f t="shared" si="138"/>
        <v/>
      </c>
      <c r="M579" s="2" t="str">
        <f t="shared" si="143"/>
        <v/>
      </c>
      <c r="N579" s="2" t="str">
        <f t="shared" si="139"/>
        <v/>
      </c>
      <c r="O579" s="8" t="str">
        <f t="shared" si="140"/>
        <v/>
      </c>
      <c r="P579" s="8" t="str">
        <f t="shared" si="141"/>
        <v/>
      </c>
      <c r="Q579" s="40" t="str">
        <f t="shared" ref="Q579:Q642" si="148">IF(COUNTA(D579,E579,F579,G579,H579)=5,W579,"")</f>
        <v/>
      </c>
      <c r="R579" s="48" t="str">
        <f t="shared" si="142"/>
        <v/>
      </c>
      <c r="S579" s="8"/>
      <c r="U579" s="35">
        <f t="shared" ref="U579:U642" si="149">DATEDIF(E579,F579,"Y")</f>
        <v>0</v>
      </c>
      <c r="V579" s="24">
        <f t="shared" ref="V579:V642" si="150">DATEDIF(E579,F579,"YM")</f>
        <v>0</v>
      </c>
      <c r="W579" s="41">
        <f t="shared" si="145"/>
        <v>0</v>
      </c>
      <c r="X579" s="31"/>
      <c r="Y579" s="31"/>
      <c r="Z579" s="31"/>
      <c r="AA579" s="25">
        <f t="shared" ref="AA579:AA642" si="151">IF(D579="M",2.06*10^-3*G579^2-0.1166*G579+6.5273,2.49*10^-3*G579^2-0.1858*G579+9.036)</f>
        <v>9.0359999999999996</v>
      </c>
      <c r="AB579" s="25">
        <f t="shared" ref="AB579:AB642" si="152">((G579/100)^3*INDEX(itoOI,IF(D579="M",0,3)+IF(G579&lt;140,1,IF(G579&lt;=149,2,3)),1)+(G579/100)^2*INDEX(itoOI,IF(D579="M",0,3)+IF(G579&lt;140,1,IF(G579&lt;=149,2,3)),2)+(G579/100)*INDEX(itoOI,IF(D579="M",0,3)+IF(G579&lt;140,1,IF(G579&lt;=149,2,3)),3)+INDEX(itoOI,IF(D579="M",0,3)+IF(G579&lt;140,1,IF(G579&lt;=149,2,3)),4))</f>
        <v>-184.49199999999999</v>
      </c>
      <c r="AD579" s="24">
        <f>IF(D579="M",IF(AG579&lt;78,BMILMS!$D$5*AG579^3+BMILMS!$E$5*AG579^2+BMILMS!$F$5*AG579+BMILMS!$G$5,IF(AG579&lt;150,BMILMS!$D$6*AG579^3+BMILMS!$E$6*AG579^2+BMILMS!$F$6*AG579+BMILMS!$G$6,BMILMS!$D$7*AG579^3+BMILMS!$E$7*AG579^2+BMILMS!$F$7*AG579+BMILMS!$G$7)),IF(AG579&lt;69,BMILMS!$D$9*AG579^3+BMILMS!$E$9*AG579^2+BMILMS!$F$9*AG579+BMILMS!$G$9,IF(AG579&lt;150,BMILMS!$D$10*AG579^3+BMILMS!$E$10*AG579^2+BMILMS!$F$10*AG579+BMILMS!$G$10,BMILMS!$D$11*AG579^3+BMILMS!$E$11*AG579^2+BMILMS!$F$11*AG579+BMILMS!$G$11)))</f>
        <v>0.79584630099999998</v>
      </c>
      <c r="AE579" s="24">
        <f>IF(D579="M",(IF(AG579&lt;2.5,BMILMS!$D$21*AG579^3+BMILMS!$E$21*AG579^2+BMILMS!$F$21*AG579+BMILMS!$G$21,IF(AG579&lt;9.5,BMILMS!$D$22*AG579^3+BMILMS!$E$22*AG579^2+BMILMS!$F$22*AG579+BMILMS!$G$22,IF(AG579&lt;26.75,BMILMS!$D$23*AG579^3+BMILMS!$E$23*AG579^2+BMILMS!$F$23*AG579+BMILMS!$G$23,IF(AG579&lt;90,BMILMS!$D$24*AG579^3+BMILMS!$E$24*AG579^2+BMILMS!$F$24*AG579+BMILMS!$G$24,BMILMS!$D$25*AG579^3+BMILMS!$E$25*AG579^2+BMILMS!$F$25*AG579+BMILMS!$G$25))))),(IF(AG579&lt;2.5,BMILMS!$D$27*AG579^3+BMILMS!$E$27*AG579^2+BMILMS!$F$27*AG579+BMILMS!$G$27,IF(AG579&lt;9.5,BMILMS!$D$28*AG579^3+BMILMS!$E$28*AG579^2+BMILMS!$F$28*AG579+BMILMS!$G$28,IF(AG579&lt;26.75,BMILMS!$D$29*AG579^3+BMILMS!$E$29*AG579^2+BMILMS!$F$29*AG579+BMILMS!$G$29,IF(AG579&lt;90,BMILMS!$D$30*AG579^3+BMILMS!$E$30*AG579^2+BMILMS!$F$30*AG579+BMILMS!$G$30,IF(AG579&lt;150,BMILMS!$D$31*AG579^3+BMILMS!$E$31*AG579^2+BMILMS!$F$31*AG579+BMILMS!$G$31,BMILMS!$D$32*AG579^3+BMILMS!$E$32*AG579^2+BMILMS!$F$32*AG579+BMILMS!$G$32)))))))</f>
        <v>12.568967990000001</v>
      </c>
      <c r="AF579" s="24">
        <f>IF(D579="M",(IF(AG579&lt;90,BMILMS!$D$14*AG579^3+BMILMS!$E$14*AG579^2+BMILMS!$F$14*AG579+BMILMS!$G$14,BMILMS!$D$15*AG579^3+BMILMS!$E$15*AG579^2+BMILMS!$F$15*AG579+BMILMS!$G$15)),(IF(AG579&lt;90,BMILMS!$D$17*AG579^3+BMILMS!$E$17*AG579^2+BMILMS!$F$17*AG579+BMILMS!$G$17,BMILMS!$D$18*AG579^3+BMILMS!$E$18*AG579^2+BMILMS!$F$18*AG579+BMILMS!$G$18)))</f>
        <v>8.8969350000000003E-2</v>
      </c>
      <c r="AG579" s="24">
        <f t="shared" si="144"/>
        <v>0</v>
      </c>
      <c r="AI579" s="38">
        <f>IF(D579="M",WeightSDS!P$5*$AG579^7+WeightSDS!Q$5*$AG579^6+WeightSDS!R$5*$AG579^5+WeightSDS!S$5*$AG579^4+WeightSDS!T$5*$AG579^3+WeightSDS!U$5*$AG579^2+WeightSDS!V$5*$AG579+WeightSDS!W$5,IF($AG579&lt;186,WeightSDS!P$8*$AG579^7+WeightSDS!Q$8*$AG579^6+WeightSDS!R$8*$AG579^5+WeightSDS!S$8*$AG579^4+WeightSDS!T$8*$AG579^3+WeightSDS!U$8*$AG579^2+WeightSDS!V$8*$AG579+WeightSDS!W$8,WeightSDS!$U$9-WeightSDS!$V$9*($AG579-WeightSDS!$W$9)))</f>
        <v>0.75407122999999998</v>
      </c>
      <c r="AJ579" s="24">
        <f>IF(D579="M",IF($AG579&lt;45,WeightSDS!M$23*$AG579^10+WeightSDS!N$23*$AG579^9+WeightSDS!O$23*$AG579^8+WeightSDS!P$23*$AG579^7+WeightSDS!Q$23*$AG579^6+WeightSDS!R$23*$AG579^5+WeightSDS!S$23*$AG579^4+WeightSDS!T$23*$AG579^3+WeightSDS!U$23*$AG579^2+WeightSDS!V$23*$AG579+WeightSDS!W$23,IF($AG579&lt;153,WeightSDS!M$25*$AG579^10+WeightSDS!N$25*$AG579^9+WeightSDS!O$25*$AG579^8+WeightSDS!P$25*$AG579^7+WeightSDS!Q$25*$AG579^6+WeightSDS!R$25*$AG579^5+WeightSDS!S$25*$AG579^4+WeightSDS!T$25*$AG579^3+WeightSDS!U$25*$AG579^2+WeightSDS!V$25*$AG579+WeightSDS!W$25,WeightSDS!M$27+WeightSDS!N$27/(1+EXP(WeightSDS!O$27+WeightSDS!P$27*$AG579)))),IF($AG579&lt;43.8,WeightSDS!M$29*$AG579^10+WeightSDS!N$29*$AG579^9+WeightSDS!O$29*$AG579^8+WeightSDS!P$29*$AG579^7+WeightSDS!Q$29*$AG579^6+WeightSDS!R$29*$AG579^5+WeightSDS!S$29*$AG579^4+WeightSDS!T$29*$AG579^3+WeightSDS!U$29*$AG579^2+WeightSDS!V$29*$AG579+WeightSDS!W$29-0.010431*(1-$AG579/210),IF($AG579&lt;123,WeightSDS!M$30*$AG579^10+WeightSDS!N$30*$AG579^9+WeightSDS!O$30*$AG579^8+WeightSDS!P$30*$AG579^7+WeightSDS!Q$30*$AG579^6+WeightSDS!R$30*$AG579^5+WeightSDS!S$30*$AG579^4+WeightSDS!T$30*$AG579^3+WeightSDS!U$30*$AG579^2+WeightSDS!V$30*$AG579+WeightSDS!W$30-0.010431*(1-1/$AG579),WeightSDS!M$32+WeightSDS!N$32/(1+EXP(WeightSDS!O$32+WeightSDS!P$32*$AG579))-0.010431*(1-$AG579/210))))</f>
        <v>2.9500001032655536</v>
      </c>
      <c r="AK579" s="24">
        <f>IF(D579="M",IF($AG579&lt;162,WeightSDS!P$12*$AG579^7+WeightSDS!Q$12*$AG579^6+WeightSDS!R$12*$AG579^5+WeightSDS!S$12*$AG579^4+WeightSDS!T$12*$AG579^3+WeightSDS!U$12*$AG579^2+WeightSDS!V$12*$AG579+WeightSDS!W$12,WeightSDS!P$14*$AG579^7+WeightSDS!Q$14*$AG579^6+WeightSDS!R$14*$AG579^5+WeightSDS!S$14*$AG579^4+WeightSDS!T$14*$AG579^3+WeightSDS!U$14*$AG579^2+WeightSDS!V$14*$AG579+WeightSDS!W$14),IF($AG579&lt;156,WeightSDS!O$17*$AG579^8+WeightSDS!P$17*$AG579^7+WeightSDS!Q$17*$AG579^6+WeightSDS!R$17*$AG579^5+WeightSDS!S$17*$AG579^4+WeightSDS!T$17*$AG579^3+WeightSDS!U$17*$AG579^2+WeightSDS!V$17*$AG579+WeightSDS!W$17,IF($AG579&lt;186,WeightSDS!$U$18+(WeightSDS!$V$18-WeightSDS!$U$18)/24*($AG579-186)+WeightSDS!$W$18*(-$AG579+186)^2-0.005,WeightSDS!$U$18+(WeightSDS!$V$18-WeightSDS!$U$18)/24*($AG579-186)-0.005)))</f>
        <v>0.14604529399999999</v>
      </c>
    </row>
    <row r="580" spans="1:37">
      <c r="A580" s="4"/>
      <c r="B580" s="21"/>
      <c r="C580" s="21"/>
      <c r="D580" s="21"/>
      <c r="E580" s="22"/>
      <c r="F580" s="22"/>
      <c r="G580" s="23"/>
      <c r="H580" s="23"/>
      <c r="I580" s="8" t="str">
        <f t="shared" si="146"/>
        <v/>
      </c>
      <c r="J580" s="2" t="str">
        <f t="shared" ref="J580:J643" si="153">IF(COUNTA(D580,E580,F580,G580,H580)=5,IF(Q580&lt;1,"       *",IF(Q580&gt;=6,"       *",IF(G580&gt;=120,"       *",IF(G580&lt;70,"       *",(H580-AA580)/AA580*100)))),"")</f>
        <v/>
      </c>
      <c r="K580" s="2" t="str">
        <f t="shared" si="147"/>
        <v/>
      </c>
      <c r="L580" s="2" t="str">
        <f t="shared" ref="L580:L643" si="154">IF(COUNTA(D580,E580,F580,G580,H580)=5,IF(G580&gt;=IF(D580="M",181,174),"*",IF(G580&lt;101,"       *",IF(Q580&lt;6,"       *",IF(Q580&gt;=17.583,"*",(H580-AB580)/AB580*100)))),"")</f>
        <v/>
      </c>
      <c r="M580" s="2" t="str">
        <f t="shared" si="143"/>
        <v/>
      </c>
      <c r="N580" s="2" t="str">
        <f t="shared" ref="N580:N643" si="155">IF(COUNTA(D580,E580,F580,G580,H580)=5,IF(Q580&gt;17.583,"   *",NORMSDIST(((M580/AE580)^(AD580)-1)/AD580/AF580)*100),"")</f>
        <v/>
      </c>
      <c r="O580" s="8" t="str">
        <f t="shared" ref="O580:O643" si="156">IF(COUNTA(D580,E580,F580,G580,H580)=5,IF(Q580&gt;17.583,"   *",((M580/AE580)^(AD580)-1)/AD580/AF580),"")</f>
        <v/>
      </c>
      <c r="P580" s="8" t="str">
        <f t="shared" ref="P580:P643" si="157">IF(COUNTA(D580,E580,F580,G580,H580)=5,IF(Q580&gt;17.583,"   *",((H580/AJ580)^(AI580)-1)/AI580/AK580),"")</f>
        <v/>
      </c>
      <c r="Q580" s="40" t="str">
        <f t="shared" si="148"/>
        <v/>
      </c>
      <c r="R580" s="48" t="str">
        <f t="shared" ref="R580:R643" si="158">IF(COUNTA(D580,E580,F580,G580,H580)=5,U580&amp;"歳"&amp;V580&amp;"か月","")</f>
        <v/>
      </c>
      <c r="S580" s="8"/>
      <c r="U580" s="35">
        <f t="shared" si="149"/>
        <v>0</v>
      </c>
      <c r="V580" s="24">
        <f t="shared" si="150"/>
        <v>0</v>
      </c>
      <c r="W580" s="41">
        <f t="shared" si="145"/>
        <v>0</v>
      </c>
      <c r="X580" s="31"/>
      <c r="Y580" s="31"/>
      <c r="Z580" s="31"/>
      <c r="AA580" s="25">
        <f t="shared" si="151"/>
        <v>9.0359999999999996</v>
      </c>
      <c r="AB580" s="25">
        <f t="shared" si="152"/>
        <v>-184.49199999999999</v>
      </c>
      <c r="AD580" s="24">
        <f>IF(D580="M",IF(AG580&lt;78,BMILMS!$D$5*AG580^3+BMILMS!$E$5*AG580^2+BMILMS!$F$5*AG580+BMILMS!$G$5,IF(AG580&lt;150,BMILMS!$D$6*AG580^3+BMILMS!$E$6*AG580^2+BMILMS!$F$6*AG580+BMILMS!$G$6,BMILMS!$D$7*AG580^3+BMILMS!$E$7*AG580^2+BMILMS!$F$7*AG580+BMILMS!$G$7)),IF(AG580&lt;69,BMILMS!$D$9*AG580^3+BMILMS!$E$9*AG580^2+BMILMS!$F$9*AG580+BMILMS!$G$9,IF(AG580&lt;150,BMILMS!$D$10*AG580^3+BMILMS!$E$10*AG580^2+BMILMS!$F$10*AG580+BMILMS!$G$10,BMILMS!$D$11*AG580^3+BMILMS!$E$11*AG580^2+BMILMS!$F$11*AG580+BMILMS!$G$11)))</f>
        <v>0.79584630099999998</v>
      </c>
      <c r="AE580" s="24">
        <f>IF(D580="M",(IF(AG580&lt;2.5,BMILMS!$D$21*AG580^3+BMILMS!$E$21*AG580^2+BMILMS!$F$21*AG580+BMILMS!$G$21,IF(AG580&lt;9.5,BMILMS!$D$22*AG580^3+BMILMS!$E$22*AG580^2+BMILMS!$F$22*AG580+BMILMS!$G$22,IF(AG580&lt;26.75,BMILMS!$D$23*AG580^3+BMILMS!$E$23*AG580^2+BMILMS!$F$23*AG580+BMILMS!$G$23,IF(AG580&lt;90,BMILMS!$D$24*AG580^3+BMILMS!$E$24*AG580^2+BMILMS!$F$24*AG580+BMILMS!$G$24,BMILMS!$D$25*AG580^3+BMILMS!$E$25*AG580^2+BMILMS!$F$25*AG580+BMILMS!$G$25))))),(IF(AG580&lt;2.5,BMILMS!$D$27*AG580^3+BMILMS!$E$27*AG580^2+BMILMS!$F$27*AG580+BMILMS!$G$27,IF(AG580&lt;9.5,BMILMS!$D$28*AG580^3+BMILMS!$E$28*AG580^2+BMILMS!$F$28*AG580+BMILMS!$G$28,IF(AG580&lt;26.75,BMILMS!$D$29*AG580^3+BMILMS!$E$29*AG580^2+BMILMS!$F$29*AG580+BMILMS!$G$29,IF(AG580&lt;90,BMILMS!$D$30*AG580^3+BMILMS!$E$30*AG580^2+BMILMS!$F$30*AG580+BMILMS!$G$30,IF(AG580&lt;150,BMILMS!$D$31*AG580^3+BMILMS!$E$31*AG580^2+BMILMS!$F$31*AG580+BMILMS!$G$31,BMILMS!$D$32*AG580^3+BMILMS!$E$32*AG580^2+BMILMS!$F$32*AG580+BMILMS!$G$32)))))))</f>
        <v>12.568967990000001</v>
      </c>
      <c r="AF580" s="24">
        <f>IF(D580="M",(IF(AG580&lt;90,BMILMS!$D$14*AG580^3+BMILMS!$E$14*AG580^2+BMILMS!$F$14*AG580+BMILMS!$G$14,BMILMS!$D$15*AG580^3+BMILMS!$E$15*AG580^2+BMILMS!$F$15*AG580+BMILMS!$G$15)),(IF(AG580&lt;90,BMILMS!$D$17*AG580^3+BMILMS!$E$17*AG580^2+BMILMS!$F$17*AG580+BMILMS!$G$17,BMILMS!$D$18*AG580^3+BMILMS!$E$18*AG580^2+BMILMS!$F$18*AG580+BMILMS!$G$18)))</f>
        <v>8.8969350000000003E-2</v>
      </c>
      <c r="AG580" s="24">
        <f t="shared" si="144"/>
        <v>0</v>
      </c>
      <c r="AI580" s="38">
        <f>IF(D580="M",WeightSDS!P$5*$AG580^7+WeightSDS!Q$5*$AG580^6+WeightSDS!R$5*$AG580^5+WeightSDS!S$5*$AG580^4+WeightSDS!T$5*$AG580^3+WeightSDS!U$5*$AG580^2+WeightSDS!V$5*$AG580+WeightSDS!W$5,IF($AG580&lt;186,WeightSDS!P$8*$AG580^7+WeightSDS!Q$8*$AG580^6+WeightSDS!R$8*$AG580^5+WeightSDS!S$8*$AG580^4+WeightSDS!T$8*$AG580^3+WeightSDS!U$8*$AG580^2+WeightSDS!V$8*$AG580+WeightSDS!W$8,WeightSDS!$U$9-WeightSDS!$V$9*($AG580-WeightSDS!$W$9)))</f>
        <v>0.75407122999999998</v>
      </c>
      <c r="AJ580" s="24">
        <f>IF(D580="M",IF($AG580&lt;45,WeightSDS!M$23*$AG580^10+WeightSDS!N$23*$AG580^9+WeightSDS!O$23*$AG580^8+WeightSDS!P$23*$AG580^7+WeightSDS!Q$23*$AG580^6+WeightSDS!R$23*$AG580^5+WeightSDS!S$23*$AG580^4+WeightSDS!T$23*$AG580^3+WeightSDS!U$23*$AG580^2+WeightSDS!V$23*$AG580+WeightSDS!W$23,IF($AG580&lt;153,WeightSDS!M$25*$AG580^10+WeightSDS!N$25*$AG580^9+WeightSDS!O$25*$AG580^8+WeightSDS!P$25*$AG580^7+WeightSDS!Q$25*$AG580^6+WeightSDS!R$25*$AG580^5+WeightSDS!S$25*$AG580^4+WeightSDS!T$25*$AG580^3+WeightSDS!U$25*$AG580^2+WeightSDS!V$25*$AG580+WeightSDS!W$25,WeightSDS!M$27+WeightSDS!N$27/(1+EXP(WeightSDS!O$27+WeightSDS!P$27*$AG580)))),IF($AG580&lt;43.8,WeightSDS!M$29*$AG580^10+WeightSDS!N$29*$AG580^9+WeightSDS!O$29*$AG580^8+WeightSDS!P$29*$AG580^7+WeightSDS!Q$29*$AG580^6+WeightSDS!R$29*$AG580^5+WeightSDS!S$29*$AG580^4+WeightSDS!T$29*$AG580^3+WeightSDS!U$29*$AG580^2+WeightSDS!V$29*$AG580+WeightSDS!W$29-0.010431*(1-$AG580/210),IF($AG580&lt;123,WeightSDS!M$30*$AG580^10+WeightSDS!N$30*$AG580^9+WeightSDS!O$30*$AG580^8+WeightSDS!P$30*$AG580^7+WeightSDS!Q$30*$AG580^6+WeightSDS!R$30*$AG580^5+WeightSDS!S$30*$AG580^4+WeightSDS!T$30*$AG580^3+WeightSDS!U$30*$AG580^2+WeightSDS!V$30*$AG580+WeightSDS!W$30-0.010431*(1-1/$AG580),WeightSDS!M$32+WeightSDS!N$32/(1+EXP(WeightSDS!O$32+WeightSDS!P$32*$AG580))-0.010431*(1-$AG580/210))))</f>
        <v>2.9500001032655536</v>
      </c>
      <c r="AK580" s="24">
        <f>IF(D580="M",IF($AG580&lt;162,WeightSDS!P$12*$AG580^7+WeightSDS!Q$12*$AG580^6+WeightSDS!R$12*$AG580^5+WeightSDS!S$12*$AG580^4+WeightSDS!T$12*$AG580^3+WeightSDS!U$12*$AG580^2+WeightSDS!V$12*$AG580+WeightSDS!W$12,WeightSDS!P$14*$AG580^7+WeightSDS!Q$14*$AG580^6+WeightSDS!R$14*$AG580^5+WeightSDS!S$14*$AG580^4+WeightSDS!T$14*$AG580^3+WeightSDS!U$14*$AG580^2+WeightSDS!V$14*$AG580+WeightSDS!W$14),IF($AG580&lt;156,WeightSDS!O$17*$AG580^8+WeightSDS!P$17*$AG580^7+WeightSDS!Q$17*$AG580^6+WeightSDS!R$17*$AG580^5+WeightSDS!S$17*$AG580^4+WeightSDS!T$17*$AG580^3+WeightSDS!U$17*$AG580^2+WeightSDS!V$17*$AG580+WeightSDS!W$17,IF($AG580&lt;186,WeightSDS!$U$18+(WeightSDS!$V$18-WeightSDS!$U$18)/24*($AG580-186)+WeightSDS!$W$18*(-$AG580+186)^2-0.005,WeightSDS!$U$18+(WeightSDS!$V$18-WeightSDS!$U$18)/24*($AG580-186)-0.005)))</f>
        <v>0.14604529399999999</v>
      </c>
    </row>
    <row r="581" spans="1:37">
      <c r="A581" s="4"/>
      <c r="B581" s="21"/>
      <c r="C581" s="21"/>
      <c r="D581" s="21"/>
      <c r="E581" s="22"/>
      <c r="F581" s="22"/>
      <c r="G581" s="23"/>
      <c r="H581" s="23"/>
      <c r="I581" s="8" t="str">
        <f t="shared" si="146"/>
        <v/>
      </c>
      <c r="J581" s="2" t="str">
        <f t="shared" si="153"/>
        <v/>
      </c>
      <c r="K581" s="2" t="str">
        <f t="shared" si="147"/>
        <v/>
      </c>
      <c r="L581" s="2" t="str">
        <f t="shared" si="154"/>
        <v/>
      </c>
      <c r="M581" s="2" t="str">
        <f t="shared" si="143"/>
        <v/>
      </c>
      <c r="N581" s="2" t="str">
        <f t="shared" si="155"/>
        <v/>
      </c>
      <c r="O581" s="8" t="str">
        <f t="shared" si="156"/>
        <v/>
      </c>
      <c r="P581" s="8" t="str">
        <f t="shared" si="157"/>
        <v/>
      </c>
      <c r="Q581" s="40" t="str">
        <f t="shared" si="148"/>
        <v/>
      </c>
      <c r="R581" s="48" t="str">
        <f t="shared" si="158"/>
        <v/>
      </c>
      <c r="S581" s="8"/>
      <c r="U581" s="35">
        <f t="shared" si="149"/>
        <v>0</v>
      </c>
      <c r="V581" s="24">
        <f t="shared" si="150"/>
        <v>0</v>
      </c>
      <c r="W581" s="41">
        <f t="shared" si="145"/>
        <v>0</v>
      </c>
      <c r="X581" s="31"/>
      <c r="Y581" s="31"/>
      <c r="Z581" s="31"/>
      <c r="AA581" s="25">
        <f t="shared" si="151"/>
        <v>9.0359999999999996</v>
      </c>
      <c r="AB581" s="25">
        <f t="shared" si="152"/>
        <v>-184.49199999999999</v>
      </c>
      <c r="AD581" s="24">
        <f>IF(D581="M",IF(AG581&lt;78,BMILMS!$D$5*AG581^3+BMILMS!$E$5*AG581^2+BMILMS!$F$5*AG581+BMILMS!$G$5,IF(AG581&lt;150,BMILMS!$D$6*AG581^3+BMILMS!$E$6*AG581^2+BMILMS!$F$6*AG581+BMILMS!$G$6,BMILMS!$D$7*AG581^3+BMILMS!$E$7*AG581^2+BMILMS!$F$7*AG581+BMILMS!$G$7)),IF(AG581&lt;69,BMILMS!$D$9*AG581^3+BMILMS!$E$9*AG581^2+BMILMS!$F$9*AG581+BMILMS!$G$9,IF(AG581&lt;150,BMILMS!$D$10*AG581^3+BMILMS!$E$10*AG581^2+BMILMS!$F$10*AG581+BMILMS!$G$10,BMILMS!$D$11*AG581^3+BMILMS!$E$11*AG581^2+BMILMS!$F$11*AG581+BMILMS!$G$11)))</f>
        <v>0.79584630099999998</v>
      </c>
      <c r="AE581" s="24">
        <f>IF(D581="M",(IF(AG581&lt;2.5,BMILMS!$D$21*AG581^3+BMILMS!$E$21*AG581^2+BMILMS!$F$21*AG581+BMILMS!$G$21,IF(AG581&lt;9.5,BMILMS!$D$22*AG581^3+BMILMS!$E$22*AG581^2+BMILMS!$F$22*AG581+BMILMS!$G$22,IF(AG581&lt;26.75,BMILMS!$D$23*AG581^3+BMILMS!$E$23*AG581^2+BMILMS!$F$23*AG581+BMILMS!$G$23,IF(AG581&lt;90,BMILMS!$D$24*AG581^3+BMILMS!$E$24*AG581^2+BMILMS!$F$24*AG581+BMILMS!$G$24,BMILMS!$D$25*AG581^3+BMILMS!$E$25*AG581^2+BMILMS!$F$25*AG581+BMILMS!$G$25))))),(IF(AG581&lt;2.5,BMILMS!$D$27*AG581^3+BMILMS!$E$27*AG581^2+BMILMS!$F$27*AG581+BMILMS!$G$27,IF(AG581&lt;9.5,BMILMS!$D$28*AG581^3+BMILMS!$E$28*AG581^2+BMILMS!$F$28*AG581+BMILMS!$G$28,IF(AG581&lt;26.75,BMILMS!$D$29*AG581^3+BMILMS!$E$29*AG581^2+BMILMS!$F$29*AG581+BMILMS!$G$29,IF(AG581&lt;90,BMILMS!$D$30*AG581^3+BMILMS!$E$30*AG581^2+BMILMS!$F$30*AG581+BMILMS!$G$30,IF(AG581&lt;150,BMILMS!$D$31*AG581^3+BMILMS!$E$31*AG581^2+BMILMS!$F$31*AG581+BMILMS!$G$31,BMILMS!$D$32*AG581^3+BMILMS!$E$32*AG581^2+BMILMS!$F$32*AG581+BMILMS!$G$32)))))))</f>
        <v>12.568967990000001</v>
      </c>
      <c r="AF581" s="24">
        <f>IF(D581="M",(IF(AG581&lt;90,BMILMS!$D$14*AG581^3+BMILMS!$E$14*AG581^2+BMILMS!$F$14*AG581+BMILMS!$G$14,BMILMS!$D$15*AG581^3+BMILMS!$E$15*AG581^2+BMILMS!$F$15*AG581+BMILMS!$G$15)),(IF(AG581&lt;90,BMILMS!$D$17*AG581^3+BMILMS!$E$17*AG581^2+BMILMS!$F$17*AG581+BMILMS!$G$17,BMILMS!$D$18*AG581^3+BMILMS!$E$18*AG581^2+BMILMS!$F$18*AG581+BMILMS!$G$18)))</f>
        <v>8.8969350000000003E-2</v>
      </c>
      <c r="AG581" s="24">
        <f t="shared" si="144"/>
        <v>0</v>
      </c>
      <c r="AI581" s="38">
        <f>IF(D581="M",WeightSDS!P$5*$AG581^7+WeightSDS!Q$5*$AG581^6+WeightSDS!R$5*$AG581^5+WeightSDS!S$5*$AG581^4+WeightSDS!T$5*$AG581^3+WeightSDS!U$5*$AG581^2+WeightSDS!V$5*$AG581+WeightSDS!W$5,IF($AG581&lt;186,WeightSDS!P$8*$AG581^7+WeightSDS!Q$8*$AG581^6+WeightSDS!R$8*$AG581^5+WeightSDS!S$8*$AG581^4+WeightSDS!T$8*$AG581^3+WeightSDS!U$8*$AG581^2+WeightSDS!V$8*$AG581+WeightSDS!W$8,WeightSDS!$U$9-WeightSDS!$V$9*($AG581-WeightSDS!$W$9)))</f>
        <v>0.75407122999999998</v>
      </c>
      <c r="AJ581" s="24">
        <f>IF(D581="M",IF($AG581&lt;45,WeightSDS!M$23*$AG581^10+WeightSDS!N$23*$AG581^9+WeightSDS!O$23*$AG581^8+WeightSDS!P$23*$AG581^7+WeightSDS!Q$23*$AG581^6+WeightSDS!R$23*$AG581^5+WeightSDS!S$23*$AG581^4+WeightSDS!T$23*$AG581^3+WeightSDS!U$23*$AG581^2+WeightSDS!V$23*$AG581+WeightSDS!W$23,IF($AG581&lt;153,WeightSDS!M$25*$AG581^10+WeightSDS!N$25*$AG581^9+WeightSDS!O$25*$AG581^8+WeightSDS!P$25*$AG581^7+WeightSDS!Q$25*$AG581^6+WeightSDS!R$25*$AG581^5+WeightSDS!S$25*$AG581^4+WeightSDS!T$25*$AG581^3+WeightSDS!U$25*$AG581^2+WeightSDS!V$25*$AG581+WeightSDS!W$25,WeightSDS!M$27+WeightSDS!N$27/(1+EXP(WeightSDS!O$27+WeightSDS!P$27*$AG581)))),IF($AG581&lt;43.8,WeightSDS!M$29*$AG581^10+WeightSDS!N$29*$AG581^9+WeightSDS!O$29*$AG581^8+WeightSDS!P$29*$AG581^7+WeightSDS!Q$29*$AG581^6+WeightSDS!R$29*$AG581^5+WeightSDS!S$29*$AG581^4+WeightSDS!T$29*$AG581^3+WeightSDS!U$29*$AG581^2+WeightSDS!V$29*$AG581+WeightSDS!W$29-0.010431*(1-$AG581/210),IF($AG581&lt;123,WeightSDS!M$30*$AG581^10+WeightSDS!N$30*$AG581^9+WeightSDS!O$30*$AG581^8+WeightSDS!P$30*$AG581^7+WeightSDS!Q$30*$AG581^6+WeightSDS!R$30*$AG581^5+WeightSDS!S$30*$AG581^4+WeightSDS!T$30*$AG581^3+WeightSDS!U$30*$AG581^2+WeightSDS!V$30*$AG581+WeightSDS!W$30-0.010431*(1-1/$AG581),WeightSDS!M$32+WeightSDS!N$32/(1+EXP(WeightSDS!O$32+WeightSDS!P$32*$AG581))-0.010431*(1-$AG581/210))))</f>
        <v>2.9500001032655536</v>
      </c>
      <c r="AK581" s="24">
        <f>IF(D581="M",IF($AG581&lt;162,WeightSDS!P$12*$AG581^7+WeightSDS!Q$12*$AG581^6+WeightSDS!R$12*$AG581^5+WeightSDS!S$12*$AG581^4+WeightSDS!T$12*$AG581^3+WeightSDS!U$12*$AG581^2+WeightSDS!V$12*$AG581+WeightSDS!W$12,WeightSDS!P$14*$AG581^7+WeightSDS!Q$14*$AG581^6+WeightSDS!R$14*$AG581^5+WeightSDS!S$14*$AG581^4+WeightSDS!T$14*$AG581^3+WeightSDS!U$14*$AG581^2+WeightSDS!V$14*$AG581+WeightSDS!W$14),IF($AG581&lt;156,WeightSDS!O$17*$AG581^8+WeightSDS!P$17*$AG581^7+WeightSDS!Q$17*$AG581^6+WeightSDS!R$17*$AG581^5+WeightSDS!S$17*$AG581^4+WeightSDS!T$17*$AG581^3+WeightSDS!U$17*$AG581^2+WeightSDS!V$17*$AG581+WeightSDS!W$17,IF($AG581&lt;186,WeightSDS!$U$18+(WeightSDS!$V$18-WeightSDS!$U$18)/24*($AG581-186)+WeightSDS!$W$18*(-$AG581+186)^2-0.005,WeightSDS!$U$18+(WeightSDS!$V$18-WeightSDS!$U$18)/24*($AG581-186)-0.005)))</f>
        <v>0.14604529399999999</v>
      </c>
    </row>
    <row r="582" spans="1:37">
      <c r="A582" s="4"/>
      <c r="B582" s="21"/>
      <c r="C582" s="21"/>
      <c r="D582" s="21"/>
      <c r="E582" s="22"/>
      <c r="F582" s="22"/>
      <c r="G582" s="23"/>
      <c r="H582" s="23"/>
      <c r="I582" s="8" t="str">
        <f t="shared" si="146"/>
        <v/>
      </c>
      <c r="J582" s="2" t="str">
        <f t="shared" si="153"/>
        <v/>
      </c>
      <c r="K582" s="2" t="str">
        <f t="shared" si="147"/>
        <v/>
      </c>
      <c r="L582" s="2" t="str">
        <f t="shared" si="154"/>
        <v/>
      </c>
      <c r="M582" s="2" t="str">
        <f t="shared" si="143"/>
        <v/>
      </c>
      <c r="N582" s="2" t="str">
        <f t="shared" si="155"/>
        <v/>
      </c>
      <c r="O582" s="8" t="str">
        <f t="shared" si="156"/>
        <v/>
      </c>
      <c r="P582" s="8" t="str">
        <f t="shared" si="157"/>
        <v/>
      </c>
      <c r="Q582" s="40" t="str">
        <f t="shared" si="148"/>
        <v/>
      </c>
      <c r="R582" s="48" t="str">
        <f t="shared" si="158"/>
        <v/>
      </c>
      <c r="S582" s="8"/>
      <c r="U582" s="35">
        <f t="shared" si="149"/>
        <v>0</v>
      </c>
      <c r="V582" s="24">
        <f t="shared" si="150"/>
        <v>0</v>
      </c>
      <c r="W582" s="41">
        <f t="shared" si="145"/>
        <v>0</v>
      </c>
      <c r="X582" s="31"/>
      <c r="Y582" s="31"/>
      <c r="Z582" s="31"/>
      <c r="AA582" s="25">
        <f t="shared" si="151"/>
        <v>9.0359999999999996</v>
      </c>
      <c r="AB582" s="25">
        <f t="shared" si="152"/>
        <v>-184.49199999999999</v>
      </c>
      <c r="AD582" s="24">
        <f>IF(D582="M",IF(AG582&lt;78,BMILMS!$D$5*AG582^3+BMILMS!$E$5*AG582^2+BMILMS!$F$5*AG582+BMILMS!$G$5,IF(AG582&lt;150,BMILMS!$D$6*AG582^3+BMILMS!$E$6*AG582^2+BMILMS!$F$6*AG582+BMILMS!$G$6,BMILMS!$D$7*AG582^3+BMILMS!$E$7*AG582^2+BMILMS!$F$7*AG582+BMILMS!$G$7)),IF(AG582&lt;69,BMILMS!$D$9*AG582^3+BMILMS!$E$9*AG582^2+BMILMS!$F$9*AG582+BMILMS!$G$9,IF(AG582&lt;150,BMILMS!$D$10*AG582^3+BMILMS!$E$10*AG582^2+BMILMS!$F$10*AG582+BMILMS!$G$10,BMILMS!$D$11*AG582^3+BMILMS!$E$11*AG582^2+BMILMS!$F$11*AG582+BMILMS!$G$11)))</f>
        <v>0.79584630099999998</v>
      </c>
      <c r="AE582" s="24">
        <f>IF(D582="M",(IF(AG582&lt;2.5,BMILMS!$D$21*AG582^3+BMILMS!$E$21*AG582^2+BMILMS!$F$21*AG582+BMILMS!$G$21,IF(AG582&lt;9.5,BMILMS!$D$22*AG582^3+BMILMS!$E$22*AG582^2+BMILMS!$F$22*AG582+BMILMS!$G$22,IF(AG582&lt;26.75,BMILMS!$D$23*AG582^3+BMILMS!$E$23*AG582^2+BMILMS!$F$23*AG582+BMILMS!$G$23,IF(AG582&lt;90,BMILMS!$D$24*AG582^3+BMILMS!$E$24*AG582^2+BMILMS!$F$24*AG582+BMILMS!$G$24,BMILMS!$D$25*AG582^3+BMILMS!$E$25*AG582^2+BMILMS!$F$25*AG582+BMILMS!$G$25))))),(IF(AG582&lt;2.5,BMILMS!$D$27*AG582^3+BMILMS!$E$27*AG582^2+BMILMS!$F$27*AG582+BMILMS!$G$27,IF(AG582&lt;9.5,BMILMS!$D$28*AG582^3+BMILMS!$E$28*AG582^2+BMILMS!$F$28*AG582+BMILMS!$G$28,IF(AG582&lt;26.75,BMILMS!$D$29*AG582^3+BMILMS!$E$29*AG582^2+BMILMS!$F$29*AG582+BMILMS!$G$29,IF(AG582&lt;90,BMILMS!$D$30*AG582^3+BMILMS!$E$30*AG582^2+BMILMS!$F$30*AG582+BMILMS!$G$30,IF(AG582&lt;150,BMILMS!$D$31*AG582^3+BMILMS!$E$31*AG582^2+BMILMS!$F$31*AG582+BMILMS!$G$31,BMILMS!$D$32*AG582^3+BMILMS!$E$32*AG582^2+BMILMS!$F$32*AG582+BMILMS!$G$32)))))))</f>
        <v>12.568967990000001</v>
      </c>
      <c r="AF582" s="24">
        <f>IF(D582="M",(IF(AG582&lt;90,BMILMS!$D$14*AG582^3+BMILMS!$E$14*AG582^2+BMILMS!$F$14*AG582+BMILMS!$G$14,BMILMS!$D$15*AG582^3+BMILMS!$E$15*AG582^2+BMILMS!$F$15*AG582+BMILMS!$G$15)),(IF(AG582&lt;90,BMILMS!$D$17*AG582^3+BMILMS!$E$17*AG582^2+BMILMS!$F$17*AG582+BMILMS!$G$17,BMILMS!$D$18*AG582^3+BMILMS!$E$18*AG582^2+BMILMS!$F$18*AG582+BMILMS!$G$18)))</f>
        <v>8.8969350000000003E-2</v>
      </c>
      <c r="AG582" s="24">
        <f t="shared" si="144"/>
        <v>0</v>
      </c>
      <c r="AI582" s="38">
        <f>IF(D582="M",WeightSDS!P$5*$AG582^7+WeightSDS!Q$5*$AG582^6+WeightSDS!R$5*$AG582^5+WeightSDS!S$5*$AG582^4+WeightSDS!T$5*$AG582^3+WeightSDS!U$5*$AG582^2+WeightSDS!V$5*$AG582+WeightSDS!W$5,IF($AG582&lt;186,WeightSDS!P$8*$AG582^7+WeightSDS!Q$8*$AG582^6+WeightSDS!R$8*$AG582^5+WeightSDS!S$8*$AG582^4+WeightSDS!T$8*$AG582^3+WeightSDS!U$8*$AG582^2+WeightSDS!V$8*$AG582+WeightSDS!W$8,WeightSDS!$U$9-WeightSDS!$V$9*($AG582-WeightSDS!$W$9)))</f>
        <v>0.75407122999999998</v>
      </c>
      <c r="AJ582" s="24">
        <f>IF(D582="M",IF($AG582&lt;45,WeightSDS!M$23*$AG582^10+WeightSDS!N$23*$AG582^9+WeightSDS!O$23*$AG582^8+WeightSDS!P$23*$AG582^7+WeightSDS!Q$23*$AG582^6+WeightSDS!R$23*$AG582^5+WeightSDS!S$23*$AG582^4+WeightSDS!T$23*$AG582^3+WeightSDS!U$23*$AG582^2+WeightSDS!V$23*$AG582+WeightSDS!W$23,IF($AG582&lt;153,WeightSDS!M$25*$AG582^10+WeightSDS!N$25*$AG582^9+WeightSDS!O$25*$AG582^8+WeightSDS!P$25*$AG582^7+WeightSDS!Q$25*$AG582^6+WeightSDS!R$25*$AG582^5+WeightSDS!S$25*$AG582^4+WeightSDS!T$25*$AG582^3+WeightSDS!U$25*$AG582^2+WeightSDS!V$25*$AG582+WeightSDS!W$25,WeightSDS!M$27+WeightSDS!N$27/(1+EXP(WeightSDS!O$27+WeightSDS!P$27*$AG582)))),IF($AG582&lt;43.8,WeightSDS!M$29*$AG582^10+WeightSDS!N$29*$AG582^9+WeightSDS!O$29*$AG582^8+WeightSDS!P$29*$AG582^7+WeightSDS!Q$29*$AG582^6+WeightSDS!R$29*$AG582^5+WeightSDS!S$29*$AG582^4+WeightSDS!T$29*$AG582^3+WeightSDS!U$29*$AG582^2+WeightSDS!V$29*$AG582+WeightSDS!W$29-0.010431*(1-$AG582/210),IF($AG582&lt;123,WeightSDS!M$30*$AG582^10+WeightSDS!N$30*$AG582^9+WeightSDS!O$30*$AG582^8+WeightSDS!P$30*$AG582^7+WeightSDS!Q$30*$AG582^6+WeightSDS!R$30*$AG582^5+WeightSDS!S$30*$AG582^4+WeightSDS!T$30*$AG582^3+WeightSDS!U$30*$AG582^2+WeightSDS!V$30*$AG582+WeightSDS!W$30-0.010431*(1-1/$AG582),WeightSDS!M$32+WeightSDS!N$32/(1+EXP(WeightSDS!O$32+WeightSDS!P$32*$AG582))-0.010431*(1-$AG582/210))))</f>
        <v>2.9500001032655536</v>
      </c>
      <c r="AK582" s="24">
        <f>IF(D582="M",IF($AG582&lt;162,WeightSDS!P$12*$AG582^7+WeightSDS!Q$12*$AG582^6+WeightSDS!R$12*$AG582^5+WeightSDS!S$12*$AG582^4+WeightSDS!T$12*$AG582^3+WeightSDS!U$12*$AG582^2+WeightSDS!V$12*$AG582+WeightSDS!W$12,WeightSDS!P$14*$AG582^7+WeightSDS!Q$14*$AG582^6+WeightSDS!R$14*$AG582^5+WeightSDS!S$14*$AG582^4+WeightSDS!T$14*$AG582^3+WeightSDS!U$14*$AG582^2+WeightSDS!V$14*$AG582+WeightSDS!W$14),IF($AG582&lt;156,WeightSDS!O$17*$AG582^8+WeightSDS!P$17*$AG582^7+WeightSDS!Q$17*$AG582^6+WeightSDS!R$17*$AG582^5+WeightSDS!S$17*$AG582^4+WeightSDS!T$17*$AG582^3+WeightSDS!U$17*$AG582^2+WeightSDS!V$17*$AG582+WeightSDS!W$17,IF($AG582&lt;186,WeightSDS!$U$18+(WeightSDS!$V$18-WeightSDS!$U$18)/24*($AG582-186)+WeightSDS!$W$18*(-$AG582+186)^2-0.005,WeightSDS!$U$18+(WeightSDS!$V$18-WeightSDS!$U$18)/24*($AG582-186)-0.005)))</f>
        <v>0.14604529399999999</v>
      </c>
    </row>
    <row r="583" spans="1:37">
      <c r="A583" s="4"/>
      <c r="B583" s="21"/>
      <c r="C583" s="21"/>
      <c r="D583" s="21"/>
      <c r="E583" s="22"/>
      <c r="F583" s="22"/>
      <c r="G583" s="23"/>
      <c r="H583" s="23"/>
      <c r="I583" s="8" t="str">
        <f t="shared" si="146"/>
        <v/>
      </c>
      <c r="J583" s="2" t="str">
        <f t="shared" si="153"/>
        <v/>
      </c>
      <c r="K583" s="2" t="str">
        <f t="shared" si="147"/>
        <v/>
      </c>
      <c r="L583" s="2" t="str">
        <f t="shared" si="154"/>
        <v/>
      </c>
      <c r="M583" s="2" t="str">
        <f t="shared" si="143"/>
        <v/>
      </c>
      <c r="N583" s="2" t="str">
        <f t="shared" si="155"/>
        <v/>
      </c>
      <c r="O583" s="8" t="str">
        <f t="shared" si="156"/>
        <v/>
      </c>
      <c r="P583" s="8" t="str">
        <f t="shared" si="157"/>
        <v/>
      </c>
      <c r="Q583" s="40" t="str">
        <f t="shared" si="148"/>
        <v/>
      </c>
      <c r="R583" s="48" t="str">
        <f t="shared" si="158"/>
        <v/>
      </c>
      <c r="S583" s="8"/>
      <c r="U583" s="35">
        <f t="shared" si="149"/>
        <v>0</v>
      </c>
      <c r="V583" s="24">
        <f t="shared" si="150"/>
        <v>0</v>
      </c>
      <c r="W583" s="41">
        <f t="shared" si="145"/>
        <v>0</v>
      </c>
      <c r="X583" s="31"/>
      <c r="Y583" s="31"/>
      <c r="Z583" s="31"/>
      <c r="AA583" s="25">
        <f t="shared" si="151"/>
        <v>9.0359999999999996</v>
      </c>
      <c r="AB583" s="25">
        <f t="shared" si="152"/>
        <v>-184.49199999999999</v>
      </c>
      <c r="AD583" s="24">
        <f>IF(D583="M",IF(AG583&lt;78,BMILMS!$D$5*AG583^3+BMILMS!$E$5*AG583^2+BMILMS!$F$5*AG583+BMILMS!$G$5,IF(AG583&lt;150,BMILMS!$D$6*AG583^3+BMILMS!$E$6*AG583^2+BMILMS!$F$6*AG583+BMILMS!$G$6,BMILMS!$D$7*AG583^3+BMILMS!$E$7*AG583^2+BMILMS!$F$7*AG583+BMILMS!$G$7)),IF(AG583&lt;69,BMILMS!$D$9*AG583^3+BMILMS!$E$9*AG583^2+BMILMS!$F$9*AG583+BMILMS!$G$9,IF(AG583&lt;150,BMILMS!$D$10*AG583^3+BMILMS!$E$10*AG583^2+BMILMS!$F$10*AG583+BMILMS!$G$10,BMILMS!$D$11*AG583^3+BMILMS!$E$11*AG583^2+BMILMS!$F$11*AG583+BMILMS!$G$11)))</f>
        <v>0.79584630099999998</v>
      </c>
      <c r="AE583" s="24">
        <f>IF(D583="M",(IF(AG583&lt;2.5,BMILMS!$D$21*AG583^3+BMILMS!$E$21*AG583^2+BMILMS!$F$21*AG583+BMILMS!$G$21,IF(AG583&lt;9.5,BMILMS!$D$22*AG583^3+BMILMS!$E$22*AG583^2+BMILMS!$F$22*AG583+BMILMS!$G$22,IF(AG583&lt;26.75,BMILMS!$D$23*AG583^3+BMILMS!$E$23*AG583^2+BMILMS!$F$23*AG583+BMILMS!$G$23,IF(AG583&lt;90,BMILMS!$D$24*AG583^3+BMILMS!$E$24*AG583^2+BMILMS!$F$24*AG583+BMILMS!$G$24,BMILMS!$D$25*AG583^3+BMILMS!$E$25*AG583^2+BMILMS!$F$25*AG583+BMILMS!$G$25))))),(IF(AG583&lt;2.5,BMILMS!$D$27*AG583^3+BMILMS!$E$27*AG583^2+BMILMS!$F$27*AG583+BMILMS!$G$27,IF(AG583&lt;9.5,BMILMS!$D$28*AG583^3+BMILMS!$E$28*AG583^2+BMILMS!$F$28*AG583+BMILMS!$G$28,IF(AG583&lt;26.75,BMILMS!$D$29*AG583^3+BMILMS!$E$29*AG583^2+BMILMS!$F$29*AG583+BMILMS!$G$29,IF(AG583&lt;90,BMILMS!$D$30*AG583^3+BMILMS!$E$30*AG583^2+BMILMS!$F$30*AG583+BMILMS!$G$30,IF(AG583&lt;150,BMILMS!$D$31*AG583^3+BMILMS!$E$31*AG583^2+BMILMS!$F$31*AG583+BMILMS!$G$31,BMILMS!$D$32*AG583^3+BMILMS!$E$32*AG583^2+BMILMS!$F$32*AG583+BMILMS!$G$32)))))))</f>
        <v>12.568967990000001</v>
      </c>
      <c r="AF583" s="24">
        <f>IF(D583="M",(IF(AG583&lt;90,BMILMS!$D$14*AG583^3+BMILMS!$E$14*AG583^2+BMILMS!$F$14*AG583+BMILMS!$G$14,BMILMS!$D$15*AG583^3+BMILMS!$E$15*AG583^2+BMILMS!$F$15*AG583+BMILMS!$G$15)),(IF(AG583&lt;90,BMILMS!$D$17*AG583^3+BMILMS!$E$17*AG583^2+BMILMS!$F$17*AG583+BMILMS!$G$17,BMILMS!$D$18*AG583^3+BMILMS!$E$18*AG583^2+BMILMS!$F$18*AG583+BMILMS!$G$18)))</f>
        <v>8.8969350000000003E-2</v>
      </c>
      <c r="AG583" s="24">
        <f t="shared" si="144"/>
        <v>0</v>
      </c>
      <c r="AI583" s="38">
        <f>IF(D583="M",WeightSDS!P$5*$AG583^7+WeightSDS!Q$5*$AG583^6+WeightSDS!R$5*$AG583^5+WeightSDS!S$5*$AG583^4+WeightSDS!T$5*$AG583^3+WeightSDS!U$5*$AG583^2+WeightSDS!V$5*$AG583+WeightSDS!W$5,IF($AG583&lt;186,WeightSDS!P$8*$AG583^7+WeightSDS!Q$8*$AG583^6+WeightSDS!R$8*$AG583^5+WeightSDS!S$8*$AG583^4+WeightSDS!T$8*$AG583^3+WeightSDS!U$8*$AG583^2+WeightSDS!V$8*$AG583+WeightSDS!W$8,WeightSDS!$U$9-WeightSDS!$V$9*($AG583-WeightSDS!$W$9)))</f>
        <v>0.75407122999999998</v>
      </c>
      <c r="AJ583" s="24">
        <f>IF(D583="M",IF($AG583&lt;45,WeightSDS!M$23*$AG583^10+WeightSDS!N$23*$AG583^9+WeightSDS!O$23*$AG583^8+WeightSDS!P$23*$AG583^7+WeightSDS!Q$23*$AG583^6+WeightSDS!R$23*$AG583^5+WeightSDS!S$23*$AG583^4+WeightSDS!T$23*$AG583^3+WeightSDS!U$23*$AG583^2+WeightSDS!V$23*$AG583+WeightSDS!W$23,IF($AG583&lt;153,WeightSDS!M$25*$AG583^10+WeightSDS!N$25*$AG583^9+WeightSDS!O$25*$AG583^8+WeightSDS!P$25*$AG583^7+WeightSDS!Q$25*$AG583^6+WeightSDS!R$25*$AG583^5+WeightSDS!S$25*$AG583^4+WeightSDS!T$25*$AG583^3+WeightSDS!U$25*$AG583^2+WeightSDS!V$25*$AG583+WeightSDS!W$25,WeightSDS!M$27+WeightSDS!N$27/(1+EXP(WeightSDS!O$27+WeightSDS!P$27*$AG583)))),IF($AG583&lt;43.8,WeightSDS!M$29*$AG583^10+WeightSDS!N$29*$AG583^9+WeightSDS!O$29*$AG583^8+WeightSDS!P$29*$AG583^7+WeightSDS!Q$29*$AG583^6+WeightSDS!R$29*$AG583^5+WeightSDS!S$29*$AG583^4+WeightSDS!T$29*$AG583^3+WeightSDS!U$29*$AG583^2+WeightSDS!V$29*$AG583+WeightSDS!W$29-0.010431*(1-$AG583/210),IF($AG583&lt;123,WeightSDS!M$30*$AG583^10+WeightSDS!N$30*$AG583^9+WeightSDS!O$30*$AG583^8+WeightSDS!P$30*$AG583^7+WeightSDS!Q$30*$AG583^6+WeightSDS!R$30*$AG583^5+WeightSDS!S$30*$AG583^4+WeightSDS!T$30*$AG583^3+WeightSDS!U$30*$AG583^2+WeightSDS!V$30*$AG583+WeightSDS!W$30-0.010431*(1-1/$AG583),WeightSDS!M$32+WeightSDS!N$32/(1+EXP(WeightSDS!O$32+WeightSDS!P$32*$AG583))-0.010431*(1-$AG583/210))))</f>
        <v>2.9500001032655536</v>
      </c>
      <c r="AK583" s="24">
        <f>IF(D583="M",IF($AG583&lt;162,WeightSDS!P$12*$AG583^7+WeightSDS!Q$12*$AG583^6+WeightSDS!R$12*$AG583^5+WeightSDS!S$12*$AG583^4+WeightSDS!T$12*$AG583^3+WeightSDS!U$12*$AG583^2+WeightSDS!V$12*$AG583+WeightSDS!W$12,WeightSDS!P$14*$AG583^7+WeightSDS!Q$14*$AG583^6+WeightSDS!R$14*$AG583^5+WeightSDS!S$14*$AG583^4+WeightSDS!T$14*$AG583^3+WeightSDS!U$14*$AG583^2+WeightSDS!V$14*$AG583+WeightSDS!W$14),IF($AG583&lt;156,WeightSDS!O$17*$AG583^8+WeightSDS!P$17*$AG583^7+WeightSDS!Q$17*$AG583^6+WeightSDS!R$17*$AG583^5+WeightSDS!S$17*$AG583^4+WeightSDS!T$17*$AG583^3+WeightSDS!U$17*$AG583^2+WeightSDS!V$17*$AG583+WeightSDS!W$17,IF($AG583&lt;186,WeightSDS!$U$18+(WeightSDS!$V$18-WeightSDS!$U$18)/24*($AG583-186)+WeightSDS!$W$18*(-$AG583+186)^2-0.005,WeightSDS!$U$18+(WeightSDS!$V$18-WeightSDS!$U$18)/24*($AG583-186)-0.005)))</f>
        <v>0.14604529399999999</v>
      </c>
    </row>
    <row r="584" spans="1:37">
      <c r="A584" s="4"/>
      <c r="B584" s="21"/>
      <c r="C584" s="21"/>
      <c r="D584" s="21"/>
      <c r="E584" s="22"/>
      <c r="F584" s="22"/>
      <c r="G584" s="23"/>
      <c r="H584" s="23"/>
      <c r="I584" s="8" t="str">
        <f t="shared" si="146"/>
        <v/>
      </c>
      <c r="J584" s="2" t="str">
        <f t="shared" si="153"/>
        <v/>
      </c>
      <c r="K584" s="2" t="str">
        <f t="shared" si="147"/>
        <v/>
      </c>
      <c r="L584" s="2" t="str">
        <f t="shared" si="154"/>
        <v/>
      </c>
      <c r="M584" s="2" t="str">
        <f t="shared" ref="M584:M647" si="159">IF(COUNTA(D584,E584,F584,G584,H584)=5,H584/G584^2*10000,"")</f>
        <v/>
      </c>
      <c r="N584" s="2" t="str">
        <f t="shared" si="155"/>
        <v/>
      </c>
      <c r="O584" s="8" t="str">
        <f t="shared" si="156"/>
        <v/>
      </c>
      <c r="P584" s="8" t="str">
        <f t="shared" si="157"/>
        <v/>
      </c>
      <c r="Q584" s="40" t="str">
        <f t="shared" si="148"/>
        <v/>
      </c>
      <c r="R584" s="48" t="str">
        <f t="shared" si="158"/>
        <v/>
      </c>
      <c r="S584" s="8"/>
      <c r="U584" s="35">
        <f t="shared" si="149"/>
        <v>0</v>
      </c>
      <c r="V584" s="24">
        <f t="shared" si="150"/>
        <v>0</v>
      </c>
      <c r="W584" s="41">
        <f t="shared" si="145"/>
        <v>0</v>
      </c>
      <c r="X584" s="31"/>
      <c r="Y584" s="31"/>
      <c r="Z584" s="31"/>
      <c r="AA584" s="25">
        <f t="shared" si="151"/>
        <v>9.0359999999999996</v>
      </c>
      <c r="AB584" s="25">
        <f t="shared" si="152"/>
        <v>-184.49199999999999</v>
      </c>
      <c r="AD584" s="24">
        <f>IF(D584="M",IF(AG584&lt;78,BMILMS!$D$5*AG584^3+BMILMS!$E$5*AG584^2+BMILMS!$F$5*AG584+BMILMS!$G$5,IF(AG584&lt;150,BMILMS!$D$6*AG584^3+BMILMS!$E$6*AG584^2+BMILMS!$F$6*AG584+BMILMS!$G$6,BMILMS!$D$7*AG584^3+BMILMS!$E$7*AG584^2+BMILMS!$F$7*AG584+BMILMS!$G$7)),IF(AG584&lt;69,BMILMS!$D$9*AG584^3+BMILMS!$E$9*AG584^2+BMILMS!$F$9*AG584+BMILMS!$G$9,IF(AG584&lt;150,BMILMS!$D$10*AG584^3+BMILMS!$E$10*AG584^2+BMILMS!$F$10*AG584+BMILMS!$G$10,BMILMS!$D$11*AG584^3+BMILMS!$E$11*AG584^2+BMILMS!$F$11*AG584+BMILMS!$G$11)))</f>
        <v>0.79584630099999998</v>
      </c>
      <c r="AE584" s="24">
        <f>IF(D584="M",(IF(AG584&lt;2.5,BMILMS!$D$21*AG584^3+BMILMS!$E$21*AG584^2+BMILMS!$F$21*AG584+BMILMS!$G$21,IF(AG584&lt;9.5,BMILMS!$D$22*AG584^3+BMILMS!$E$22*AG584^2+BMILMS!$F$22*AG584+BMILMS!$G$22,IF(AG584&lt;26.75,BMILMS!$D$23*AG584^3+BMILMS!$E$23*AG584^2+BMILMS!$F$23*AG584+BMILMS!$G$23,IF(AG584&lt;90,BMILMS!$D$24*AG584^3+BMILMS!$E$24*AG584^2+BMILMS!$F$24*AG584+BMILMS!$G$24,BMILMS!$D$25*AG584^3+BMILMS!$E$25*AG584^2+BMILMS!$F$25*AG584+BMILMS!$G$25))))),(IF(AG584&lt;2.5,BMILMS!$D$27*AG584^3+BMILMS!$E$27*AG584^2+BMILMS!$F$27*AG584+BMILMS!$G$27,IF(AG584&lt;9.5,BMILMS!$D$28*AG584^3+BMILMS!$E$28*AG584^2+BMILMS!$F$28*AG584+BMILMS!$G$28,IF(AG584&lt;26.75,BMILMS!$D$29*AG584^3+BMILMS!$E$29*AG584^2+BMILMS!$F$29*AG584+BMILMS!$G$29,IF(AG584&lt;90,BMILMS!$D$30*AG584^3+BMILMS!$E$30*AG584^2+BMILMS!$F$30*AG584+BMILMS!$G$30,IF(AG584&lt;150,BMILMS!$D$31*AG584^3+BMILMS!$E$31*AG584^2+BMILMS!$F$31*AG584+BMILMS!$G$31,BMILMS!$D$32*AG584^3+BMILMS!$E$32*AG584^2+BMILMS!$F$32*AG584+BMILMS!$G$32)))))))</f>
        <v>12.568967990000001</v>
      </c>
      <c r="AF584" s="24">
        <f>IF(D584="M",(IF(AG584&lt;90,BMILMS!$D$14*AG584^3+BMILMS!$E$14*AG584^2+BMILMS!$F$14*AG584+BMILMS!$G$14,BMILMS!$D$15*AG584^3+BMILMS!$E$15*AG584^2+BMILMS!$F$15*AG584+BMILMS!$G$15)),(IF(AG584&lt;90,BMILMS!$D$17*AG584^3+BMILMS!$E$17*AG584^2+BMILMS!$F$17*AG584+BMILMS!$G$17,BMILMS!$D$18*AG584^3+BMILMS!$E$18*AG584^2+BMILMS!$F$18*AG584+BMILMS!$G$18)))</f>
        <v>8.8969350000000003E-2</v>
      </c>
      <c r="AG584" s="24">
        <f t="shared" ref="AG584:AG647" si="160">U584*12+V584</f>
        <v>0</v>
      </c>
      <c r="AI584" s="38">
        <f>IF(D584="M",WeightSDS!P$5*$AG584^7+WeightSDS!Q$5*$AG584^6+WeightSDS!R$5*$AG584^5+WeightSDS!S$5*$AG584^4+WeightSDS!T$5*$AG584^3+WeightSDS!U$5*$AG584^2+WeightSDS!V$5*$AG584+WeightSDS!W$5,IF($AG584&lt;186,WeightSDS!P$8*$AG584^7+WeightSDS!Q$8*$AG584^6+WeightSDS!R$8*$AG584^5+WeightSDS!S$8*$AG584^4+WeightSDS!T$8*$AG584^3+WeightSDS!U$8*$AG584^2+WeightSDS!V$8*$AG584+WeightSDS!W$8,WeightSDS!$U$9-WeightSDS!$V$9*($AG584-WeightSDS!$W$9)))</f>
        <v>0.75407122999999998</v>
      </c>
      <c r="AJ584" s="24">
        <f>IF(D584="M",IF($AG584&lt;45,WeightSDS!M$23*$AG584^10+WeightSDS!N$23*$AG584^9+WeightSDS!O$23*$AG584^8+WeightSDS!P$23*$AG584^7+WeightSDS!Q$23*$AG584^6+WeightSDS!R$23*$AG584^5+WeightSDS!S$23*$AG584^4+WeightSDS!T$23*$AG584^3+WeightSDS!U$23*$AG584^2+WeightSDS!V$23*$AG584+WeightSDS!W$23,IF($AG584&lt;153,WeightSDS!M$25*$AG584^10+WeightSDS!N$25*$AG584^9+WeightSDS!O$25*$AG584^8+WeightSDS!P$25*$AG584^7+WeightSDS!Q$25*$AG584^6+WeightSDS!R$25*$AG584^5+WeightSDS!S$25*$AG584^4+WeightSDS!T$25*$AG584^3+WeightSDS!U$25*$AG584^2+WeightSDS!V$25*$AG584+WeightSDS!W$25,WeightSDS!M$27+WeightSDS!N$27/(1+EXP(WeightSDS!O$27+WeightSDS!P$27*$AG584)))),IF($AG584&lt;43.8,WeightSDS!M$29*$AG584^10+WeightSDS!N$29*$AG584^9+WeightSDS!O$29*$AG584^8+WeightSDS!P$29*$AG584^7+WeightSDS!Q$29*$AG584^6+WeightSDS!R$29*$AG584^5+WeightSDS!S$29*$AG584^4+WeightSDS!T$29*$AG584^3+WeightSDS!U$29*$AG584^2+WeightSDS!V$29*$AG584+WeightSDS!W$29-0.010431*(1-$AG584/210),IF($AG584&lt;123,WeightSDS!M$30*$AG584^10+WeightSDS!N$30*$AG584^9+WeightSDS!O$30*$AG584^8+WeightSDS!P$30*$AG584^7+WeightSDS!Q$30*$AG584^6+WeightSDS!R$30*$AG584^5+WeightSDS!S$30*$AG584^4+WeightSDS!T$30*$AG584^3+WeightSDS!U$30*$AG584^2+WeightSDS!V$30*$AG584+WeightSDS!W$30-0.010431*(1-1/$AG584),WeightSDS!M$32+WeightSDS!N$32/(1+EXP(WeightSDS!O$32+WeightSDS!P$32*$AG584))-0.010431*(1-$AG584/210))))</f>
        <v>2.9500001032655536</v>
      </c>
      <c r="AK584" s="24">
        <f>IF(D584="M",IF($AG584&lt;162,WeightSDS!P$12*$AG584^7+WeightSDS!Q$12*$AG584^6+WeightSDS!R$12*$AG584^5+WeightSDS!S$12*$AG584^4+WeightSDS!T$12*$AG584^3+WeightSDS!U$12*$AG584^2+WeightSDS!V$12*$AG584+WeightSDS!W$12,WeightSDS!P$14*$AG584^7+WeightSDS!Q$14*$AG584^6+WeightSDS!R$14*$AG584^5+WeightSDS!S$14*$AG584^4+WeightSDS!T$14*$AG584^3+WeightSDS!U$14*$AG584^2+WeightSDS!V$14*$AG584+WeightSDS!W$14),IF($AG584&lt;156,WeightSDS!O$17*$AG584^8+WeightSDS!P$17*$AG584^7+WeightSDS!Q$17*$AG584^6+WeightSDS!R$17*$AG584^5+WeightSDS!S$17*$AG584^4+WeightSDS!T$17*$AG584^3+WeightSDS!U$17*$AG584^2+WeightSDS!V$17*$AG584+WeightSDS!W$17,IF($AG584&lt;186,WeightSDS!$U$18+(WeightSDS!$V$18-WeightSDS!$U$18)/24*($AG584-186)+WeightSDS!$W$18*(-$AG584+186)^2-0.005,WeightSDS!$U$18+(WeightSDS!$V$18-WeightSDS!$U$18)/24*($AG584-186)-0.005)))</f>
        <v>0.14604529399999999</v>
      </c>
    </row>
    <row r="585" spans="1:37">
      <c r="A585" s="4"/>
      <c r="B585" s="21"/>
      <c r="C585" s="21"/>
      <c r="D585" s="21"/>
      <c r="E585" s="22"/>
      <c r="F585" s="22"/>
      <c r="G585" s="23"/>
      <c r="H585" s="23"/>
      <c r="I585" s="8" t="str">
        <f t="shared" si="146"/>
        <v/>
      </c>
      <c r="J585" s="2" t="str">
        <f t="shared" si="153"/>
        <v/>
      </c>
      <c r="K585" s="2" t="str">
        <f t="shared" si="147"/>
        <v/>
      </c>
      <c r="L585" s="2" t="str">
        <f t="shared" si="154"/>
        <v/>
      </c>
      <c r="M585" s="2" t="str">
        <f t="shared" si="159"/>
        <v/>
      </c>
      <c r="N585" s="2" t="str">
        <f t="shared" si="155"/>
        <v/>
      </c>
      <c r="O585" s="8" t="str">
        <f t="shared" si="156"/>
        <v/>
      </c>
      <c r="P585" s="8" t="str">
        <f t="shared" si="157"/>
        <v/>
      </c>
      <c r="Q585" s="40" t="str">
        <f t="shared" si="148"/>
        <v/>
      </c>
      <c r="R585" s="48" t="str">
        <f t="shared" si="158"/>
        <v/>
      </c>
      <c r="S585" s="8"/>
      <c r="U585" s="35">
        <f t="shared" si="149"/>
        <v>0</v>
      </c>
      <c r="V585" s="24">
        <f t="shared" si="150"/>
        <v>0</v>
      </c>
      <c r="W585" s="41">
        <f t="shared" si="145"/>
        <v>0</v>
      </c>
      <c r="X585" s="31"/>
      <c r="Y585" s="31"/>
      <c r="Z585" s="31"/>
      <c r="AA585" s="25">
        <f t="shared" si="151"/>
        <v>9.0359999999999996</v>
      </c>
      <c r="AB585" s="25">
        <f t="shared" si="152"/>
        <v>-184.49199999999999</v>
      </c>
      <c r="AD585" s="24">
        <f>IF(D585="M",IF(AG585&lt;78,BMILMS!$D$5*AG585^3+BMILMS!$E$5*AG585^2+BMILMS!$F$5*AG585+BMILMS!$G$5,IF(AG585&lt;150,BMILMS!$D$6*AG585^3+BMILMS!$E$6*AG585^2+BMILMS!$F$6*AG585+BMILMS!$G$6,BMILMS!$D$7*AG585^3+BMILMS!$E$7*AG585^2+BMILMS!$F$7*AG585+BMILMS!$G$7)),IF(AG585&lt;69,BMILMS!$D$9*AG585^3+BMILMS!$E$9*AG585^2+BMILMS!$F$9*AG585+BMILMS!$G$9,IF(AG585&lt;150,BMILMS!$D$10*AG585^3+BMILMS!$E$10*AG585^2+BMILMS!$F$10*AG585+BMILMS!$G$10,BMILMS!$D$11*AG585^3+BMILMS!$E$11*AG585^2+BMILMS!$F$11*AG585+BMILMS!$G$11)))</f>
        <v>0.79584630099999998</v>
      </c>
      <c r="AE585" s="24">
        <f>IF(D585="M",(IF(AG585&lt;2.5,BMILMS!$D$21*AG585^3+BMILMS!$E$21*AG585^2+BMILMS!$F$21*AG585+BMILMS!$G$21,IF(AG585&lt;9.5,BMILMS!$D$22*AG585^3+BMILMS!$E$22*AG585^2+BMILMS!$F$22*AG585+BMILMS!$G$22,IF(AG585&lt;26.75,BMILMS!$D$23*AG585^3+BMILMS!$E$23*AG585^2+BMILMS!$F$23*AG585+BMILMS!$G$23,IF(AG585&lt;90,BMILMS!$D$24*AG585^3+BMILMS!$E$24*AG585^2+BMILMS!$F$24*AG585+BMILMS!$G$24,BMILMS!$D$25*AG585^3+BMILMS!$E$25*AG585^2+BMILMS!$F$25*AG585+BMILMS!$G$25))))),(IF(AG585&lt;2.5,BMILMS!$D$27*AG585^3+BMILMS!$E$27*AG585^2+BMILMS!$F$27*AG585+BMILMS!$G$27,IF(AG585&lt;9.5,BMILMS!$D$28*AG585^3+BMILMS!$E$28*AG585^2+BMILMS!$F$28*AG585+BMILMS!$G$28,IF(AG585&lt;26.75,BMILMS!$D$29*AG585^3+BMILMS!$E$29*AG585^2+BMILMS!$F$29*AG585+BMILMS!$G$29,IF(AG585&lt;90,BMILMS!$D$30*AG585^3+BMILMS!$E$30*AG585^2+BMILMS!$F$30*AG585+BMILMS!$G$30,IF(AG585&lt;150,BMILMS!$D$31*AG585^3+BMILMS!$E$31*AG585^2+BMILMS!$F$31*AG585+BMILMS!$G$31,BMILMS!$D$32*AG585^3+BMILMS!$E$32*AG585^2+BMILMS!$F$32*AG585+BMILMS!$G$32)))))))</f>
        <v>12.568967990000001</v>
      </c>
      <c r="AF585" s="24">
        <f>IF(D585="M",(IF(AG585&lt;90,BMILMS!$D$14*AG585^3+BMILMS!$E$14*AG585^2+BMILMS!$F$14*AG585+BMILMS!$G$14,BMILMS!$D$15*AG585^3+BMILMS!$E$15*AG585^2+BMILMS!$F$15*AG585+BMILMS!$G$15)),(IF(AG585&lt;90,BMILMS!$D$17*AG585^3+BMILMS!$E$17*AG585^2+BMILMS!$F$17*AG585+BMILMS!$G$17,BMILMS!$D$18*AG585^3+BMILMS!$E$18*AG585^2+BMILMS!$F$18*AG585+BMILMS!$G$18)))</f>
        <v>8.8969350000000003E-2</v>
      </c>
      <c r="AG585" s="24">
        <f t="shared" si="160"/>
        <v>0</v>
      </c>
      <c r="AI585" s="38">
        <f>IF(D585="M",WeightSDS!P$5*$AG585^7+WeightSDS!Q$5*$AG585^6+WeightSDS!R$5*$AG585^5+WeightSDS!S$5*$AG585^4+WeightSDS!T$5*$AG585^3+WeightSDS!U$5*$AG585^2+WeightSDS!V$5*$AG585+WeightSDS!W$5,IF($AG585&lt;186,WeightSDS!P$8*$AG585^7+WeightSDS!Q$8*$AG585^6+WeightSDS!R$8*$AG585^5+WeightSDS!S$8*$AG585^4+WeightSDS!T$8*$AG585^3+WeightSDS!U$8*$AG585^2+WeightSDS!V$8*$AG585+WeightSDS!W$8,WeightSDS!$U$9-WeightSDS!$V$9*($AG585-WeightSDS!$W$9)))</f>
        <v>0.75407122999999998</v>
      </c>
      <c r="AJ585" s="24">
        <f>IF(D585="M",IF($AG585&lt;45,WeightSDS!M$23*$AG585^10+WeightSDS!N$23*$AG585^9+WeightSDS!O$23*$AG585^8+WeightSDS!P$23*$AG585^7+WeightSDS!Q$23*$AG585^6+WeightSDS!R$23*$AG585^5+WeightSDS!S$23*$AG585^4+WeightSDS!T$23*$AG585^3+WeightSDS!U$23*$AG585^2+WeightSDS!V$23*$AG585+WeightSDS!W$23,IF($AG585&lt;153,WeightSDS!M$25*$AG585^10+WeightSDS!N$25*$AG585^9+WeightSDS!O$25*$AG585^8+WeightSDS!P$25*$AG585^7+WeightSDS!Q$25*$AG585^6+WeightSDS!R$25*$AG585^5+WeightSDS!S$25*$AG585^4+WeightSDS!T$25*$AG585^3+WeightSDS!U$25*$AG585^2+WeightSDS!V$25*$AG585+WeightSDS!W$25,WeightSDS!M$27+WeightSDS!N$27/(1+EXP(WeightSDS!O$27+WeightSDS!P$27*$AG585)))),IF($AG585&lt;43.8,WeightSDS!M$29*$AG585^10+WeightSDS!N$29*$AG585^9+WeightSDS!O$29*$AG585^8+WeightSDS!P$29*$AG585^7+WeightSDS!Q$29*$AG585^6+WeightSDS!R$29*$AG585^5+WeightSDS!S$29*$AG585^4+WeightSDS!T$29*$AG585^3+WeightSDS!U$29*$AG585^2+WeightSDS!V$29*$AG585+WeightSDS!W$29-0.010431*(1-$AG585/210),IF($AG585&lt;123,WeightSDS!M$30*$AG585^10+WeightSDS!N$30*$AG585^9+WeightSDS!O$30*$AG585^8+WeightSDS!P$30*$AG585^7+WeightSDS!Q$30*$AG585^6+WeightSDS!R$30*$AG585^5+WeightSDS!S$30*$AG585^4+WeightSDS!T$30*$AG585^3+WeightSDS!U$30*$AG585^2+WeightSDS!V$30*$AG585+WeightSDS!W$30-0.010431*(1-1/$AG585),WeightSDS!M$32+WeightSDS!N$32/(1+EXP(WeightSDS!O$32+WeightSDS!P$32*$AG585))-0.010431*(1-$AG585/210))))</f>
        <v>2.9500001032655536</v>
      </c>
      <c r="AK585" s="24">
        <f>IF(D585="M",IF($AG585&lt;162,WeightSDS!P$12*$AG585^7+WeightSDS!Q$12*$AG585^6+WeightSDS!R$12*$AG585^5+WeightSDS!S$12*$AG585^4+WeightSDS!T$12*$AG585^3+WeightSDS!U$12*$AG585^2+WeightSDS!V$12*$AG585+WeightSDS!W$12,WeightSDS!P$14*$AG585^7+WeightSDS!Q$14*$AG585^6+WeightSDS!R$14*$AG585^5+WeightSDS!S$14*$AG585^4+WeightSDS!T$14*$AG585^3+WeightSDS!U$14*$AG585^2+WeightSDS!V$14*$AG585+WeightSDS!W$14),IF($AG585&lt;156,WeightSDS!O$17*$AG585^8+WeightSDS!P$17*$AG585^7+WeightSDS!Q$17*$AG585^6+WeightSDS!R$17*$AG585^5+WeightSDS!S$17*$AG585^4+WeightSDS!T$17*$AG585^3+WeightSDS!U$17*$AG585^2+WeightSDS!V$17*$AG585+WeightSDS!W$17,IF($AG585&lt;186,WeightSDS!$U$18+(WeightSDS!$V$18-WeightSDS!$U$18)/24*($AG585-186)+WeightSDS!$W$18*(-$AG585+186)^2-0.005,WeightSDS!$U$18+(WeightSDS!$V$18-WeightSDS!$U$18)/24*($AG585-186)-0.005)))</f>
        <v>0.14604529399999999</v>
      </c>
    </row>
    <row r="586" spans="1:37">
      <c r="A586" s="4"/>
      <c r="B586" s="21"/>
      <c r="C586" s="21"/>
      <c r="D586" s="21"/>
      <c r="E586" s="22"/>
      <c r="F586" s="22"/>
      <c r="G586" s="23"/>
      <c r="H586" s="23"/>
      <c r="I586" s="8" t="str">
        <f t="shared" si="146"/>
        <v/>
      </c>
      <c r="J586" s="2" t="str">
        <f t="shared" si="153"/>
        <v/>
      </c>
      <c r="K586" s="2" t="str">
        <f t="shared" si="147"/>
        <v/>
      </c>
      <c r="L586" s="2" t="str">
        <f t="shared" si="154"/>
        <v/>
      </c>
      <c r="M586" s="2" t="str">
        <f t="shared" si="159"/>
        <v/>
      </c>
      <c r="N586" s="2" t="str">
        <f t="shared" si="155"/>
        <v/>
      </c>
      <c r="O586" s="8" t="str">
        <f t="shared" si="156"/>
        <v/>
      </c>
      <c r="P586" s="8" t="str">
        <f t="shared" si="157"/>
        <v/>
      </c>
      <c r="Q586" s="40" t="str">
        <f t="shared" si="148"/>
        <v/>
      </c>
      <c r="R586" s="48" t="str">
        <f t="shared" si="158"/>
        <v/>
      </c>
      <c r="S586" s="8"/>
      <c r="U586" s="35">
        <f t="shared" si="149"/>
        <v>0</v>
      </c>
      <c r="V586" s="24">
        <f t="shared" si="150"/>
        <v>0</v>
      </c>
      <c r="W586" s="41">
        <f t="shared" si="145"/>
        <v>0</v>
      </c>
      <c r="X586" s="31"/>
      <c r="Y586" s="31"/>
      <c r="Z586" s="31"/>
      <c r="AA586" s="25">
        <f t="shared" si="151"/>
        <v>9.0359999999999996</v>
      </c>
      <c r="AB586" s="25">
        <f t="shared" si="152"/>
        <v>-184.49199999999999</v>
      </c>
      <c r="AD586" s="24">
        <f>IF(D586="M",IF(AG586&lt;78,BMILMS!$D$5*AG586^3+BMILMS!$E$5*AG586^2+BMILMS!$F$5*AG586+BMILMS!$G$5,IF(AG586&lt;150,BMILMS!$D$6*AG586^3+BMILMS!$E$6*AG586^2+BMILMS!$F$6*AG586+BMILMS!$G$6,BMILMS!$D$7*AG586^3+BMILMS!$E$7*AG586^2+BMILMS!$F$7*AG586+BMILMS!$G$7)),IF(AG586&lt;69,BMILMS!$D$9*AG586^3+BMILMS!$E$9*AG586^2+BMILMS!$F$9*AG586+BMILMS!$G$9,IF(AG586&lt;150,BMILMS!$D$10*AG586^3+BMILMS!$E$10*AG586^2+BMILMS!$F$10*AG586+BMILMS!$G$10,BMILMS!$D$11*AG586^3+BMILMS!$E$11*AG586^2+BMILMS!$F$11*AG586+BMILMS!$G$11)))</f>
        <v>0.79584630099999998</v>
      </c>
      <c r="AE586" s="24">
        <f>IF(D586="M",(IF(AG586&lt;2.5,BMILMS!$D$21*AG586^3+BMILMS!$E$21*AG586^2+BMILMS!$F$21*AG586+BMILMS!$G$21,IF(AG586&lt;9.5,BMILMS!$D$22*AG586^3+BMILMS!$E$22*AG586^2+BMILMS!$F$22*AG586+BMILMS!$G$22,IF(AG586&lt;26.75,BMILMS!$D$23*AG586^3+BMILMS!$E$23*AG586^2+BMILMS!$F$23*AG586+BMILMS!$G$23,IF(AG586&lt;90,BMILMS!$D$24*AG586^3+BMILMS!$E$24*AG586^2+BMILMS!$F$24*AG586+BMILMS!$G$24,BMILMS!$D$25*AG586^3+BMILMS!$E$25*AG586^2+BMILMS!$F$25*AG586+BMILMS!$G$25))))),(IF(AG586&lt;2.5,BMILMS!$D$27*AG586^3+BMILMS!$E$27*AG586^2+BMILMS!$F$27*AG586+BMILMS!$G$27,IF(AG586&lt;9.5,BMILMS!$D$28*AG586^3+BMILMS!$E$28*AG586^2+BMILMS!$F$28*AG586+BMILMS!$G$28,IF(AG586&lt;26.75,BMILMS!$D$29*AG586^3+BMILMS!$E$29*AG586^2+BMILMS!$F$29*AG586+BMILMS!$G$29,IF(AG586&lt;90,BMILMS!$D$30*AG586^3+BMILMS!$E$30*AG586^2+BMILMS!$F$30*AG586+BMILMS!$G$30,IF(AG586&lt;150,BMILMS!$D$31*AG586^3+BMILMS!$E$31*AG586^2+BMILMS!$F$31*AG586+BMILMS!$G$31,BMILMS!$D$32*AG586^3+BMILMS!$E$32*AG586^2+BMILMS!$F$32*AG586+BMILMS!$G$32)))))))</f>
        <v>12.568967990000001</v>
      </c>
      <c r="AF586" s="24">
        <f>IF(D586="M",(IF(AG586&lt;90,BMILMS!$D$14*AG586^3+BMILMS!$E$14*AG586^2+BMILMS!$F$14*AG586+BMILMS!$G$14,BMILMS!$D$15*AG586^3+BMILMS!$E$15*AG586^2+BMILMS!$F$15*AG586+BMILMS!$G$15)),(IF(AG586&lt;90,BMILMS!$D$17*AG586^3+BMILMS!$E$17*AG586^2+BMILMS!$F$17*AG586+BMILMS!$G$17,BMILMS!$D$18*AG586^3+BMILMS!$E$18*AG586^2+BMILMS!$F$18*AG586+BMILMS!$G$18)))</f>
        <v>8.8969350000000003E-2</v>
      </c>
      <c r="AG586" s="24">
        <f t="shared" si="160"/>
        <v>0</v>
      </c>
      <c r="AI586" s="38">
        <f>IF(D586="M",WeightSDS!P$5*$AG586^7+WeightSDS!Q$5*$AG586^6+WeightSDS!R$5*$AG586^5+WeightSDS!S$5*$AG586^4+WeightSDS!T$5*$AG586^3+WeightSDS!U$5*$AG586^2+WeightSDS!V$5*$AG586+WeightSDS!W$5,IF($AG586&lt;186,WeightSDS!P$8*$AG586^7+WeightSDS!Q$8*$AG586^6+WeightSDS!R$8*$AG586^5+WeightSDS!S$8*$AG586^4+WeightSDS!T$8*$AG586^3+WeightSDS!U$8*$AG586^2+WeightSDS!V$8*$AG586+WeightSDS!W$8,WeightSDS!$U$9-WeightSDS!$V$9*($AG586-WeightSDS!$W$9)))</f>
        <v>0.75407122999999998</v>
      </c>
      <c r="AJ586" s="24">
        <f>IF(D586="M",IF($AG586&lt;45,WeightSDS!M$23*$AG586^10+WeightSDS!N$23*$AG586^9+WeightSDS!O$23*$AG586^8+WeightSDS!P$23*$AG586^7+WeightSDS!Q$23*$AG586^6+WeightSDS!R$23*$AG586^5+WeightSDS!S$23*$AG586^4+WeightSDS!T$23*$AG586^3+WeightSDS!U$23*$AG586^2+WeightSDS!V$23*$AG586+WeightSDS!W$23,IF($AG586&lt;153,WeightSDS!M$25*$AG586^10+WeightSDS!N$25*$AG586^9+WeightSDS!O$25*$AG586^8+WeightSDS!P$25*$AG586^7+WeightSDS!Q$25*$AG586^6+WeightSDS!R$25*$AG586^5+WeightSDS!S$25*$AG586^4+WeightSDS!T$25*$AG586^3+WeightSDS!U$25*$AG586^2+WeightSDS!V$25*$AG586+WeightSDS!W$25,WeightSDS!M$27+WeightSDS!N$27/(1+EXP(WeightSDS!O$27+WeightSDS!P$27*$AG586)))),IF($AG586&lt;43.8,WeightSDS!M$29*$AG586^10+WeightSDS!N$29*$AG586^9+WeightSDS!O$29*$AG586^8+WeightSDS!P$29*$AG586^7+WeightSDS!Q$29*$AG586^6+WeightSDS!R$29*$AG586^5+WeightSDS!S$29*$AG586^4+WeightSDS!T$29*$AG586^3+WeightSDS!U$29*$AG586^2+WeightSDS!V$29*$AG586+WeightSDS!W$29-0.010431*(1-$AG586/210),IF($AG586&lt;123,WeightSDS!M$30*$AG586^10+WeightSDS!N$30*$AG586^9+WeightSDS!O$30*$AG586^8+WeightSDS!P$30*$AG586^7+WeightSDS!Q$30*$AG586^6+WeightSDS!R$30*$AG586^5+WeightSDS!S$30*$AG586^4+WeightSDS!T$30*$AG586^3+WeightSDS!U$30*$AG586^2+WeightSDS!V$30*$AG586+WeightSDS!W$30-0.010431*(1-1/$AG586),WeightSDS!M$32+WeightSDS!N$32/(1+EXP(WeightSDS!O$32+WeightSDS!P$32*$AG586))-0.010431*(1-$AG586/210))))</f>
        <v>2.9500001032655536</v>
      </c>
      <c r="AK586" s="24">
        <f>IF(D586="M",IF($AG586&lt;162,WeightSDS!P$12*$AG586^7+WeightSDS!Q$12*$AG586^6+WeightSDS!R$12*$AG586^5+WeightSDS!S$12*$AG586^4+WeightSDS!T$12*$AG586^3+WeightSDS!U$12*$AG586^2+WeightSDS!V$12*$AG586+WeightSDS!W$12,WeightSDS!P$14*$AG586^7+WeightSDS!Q$14*$AG586^6+WeightSDS!R$14*$AG586^5+WeightSDS!S$14*$AG586^4+WeightSDS!T$14*$AG586^3+WeightSDS!U$14*$AG586^2+WeightSDS!V$14*$AG586+WeightSDS!W$14),IF($AG586&lt;156,WeightSDS!O$17*$AG586^8+WeightSDS!P$17*$AG586^7+WeightSDS!Q$17*$AG586^6+WeightSDS!R$17*$AG586^5+WeightSDS!S$17*$AG586^4+WeightSDS!T$17*$AG586^3+WeightSDS!U$17*$AG586^2+WeightSDS!V$17*$AG586+WeightSDS!W$17,IF($AG586&lt;186,WeightSDS!$U$18+(WeightSDS!$V$18-WeightSDS!$U$18)/24*($AG586-186)+WeightSDS!$W$18*(-$AG586+186)^2-0.005,WeightSDS!$U$18+(WeightSDS!$V$18-WeightSDS!$U$18)/24*($AG586-186)-0.005)))</f>
        <v>0.14604529399999999</v>
      </c>
    </row>
    <row r="587" spans="1:37">
      <c r="A587" s="4"/>
      <c r="B587" s="21"/>
      <c r="C587" s="21"/>
      <c r="D587" s="21"/>
      <c r="E587" s="22"/>
      <c r="F587" s="22"/>
      <c r="G587" s="23"/>
      <c r="H587" s="23"/>
      <c r="I587" s="8" t="str">
        <f t="shared" si="146"/>
        <v/>
      </c>
      <c r="J587" s="2" t="str">
        <f t="shared" si="153"/>
        <v/>
      </c>
      <c r="K587" s="2" t="str">
        <f t="shared" si="147"/>
        <v/>
      </c>
      <c r="L587" s="2" t="str">
        <f t="shared" si="154"/>
        <v/>
      </c>
      <c r="M587" s="2" t="str">
        <f t="shared" si="159"/>
        <v/>
      </c>
      <c r="N587" s="2" t="str">
        <f t="shared" si="155"/>
        <v/>
      </c>
      <c r="O587" s="8" t="str">
        <f t="shared" si="156"/>
        <v/>
      </c>
      <c r="P587" s="8" t="str">
        <f t="shared" si="157"/>
        <v/>
      </c>
      <c r="Q587" s="40" t="str">
        <f t="shared" si="148"/>
        <v/>
      </c>
      <c r="R587" s="48" t="str">
        <f t="shared" si="158"/>
        <v/>
      </c>
      <c r="S587" s="8"/>
      <c r="U587" s="35">
        <f t="shared" si="149"/>
        <v>0</v>
      </c>
      <c r="V587" s="24">
        <f t="shared" si="150"/>
        <v>0</v>
      </c>
      <c r="W587" s="41">
        <f t="shared" si="145"/>
        <v>0</v>
      </c>
      <c r="X587" s="31"/>
      <c r="Y587" s="31"/>
      <c r="Z587" s="31"/>
      <c r="AA587" s="25">
        <f t="shared" si="151"/>
        <v>9.0359999999999996</v>
      </c>
      <c r="AB587" s="25">
        <f t="shared" si="152"/>
        <v>-184.49199999999999</v>
      </c>
      <c r="AD587" s="24">
        <f>IF(D587="M",IF(AG587&lt;78,BMILMS!$D$5*AG587^3+BMILMS!$E$5*AG587^2+BMILMS!$F$5*AG587+BMILMS!$G$5,IF(AG587&lt;150,BMILMS!$D$6*AG587^3+BMILMS!$E$6*AG587^2+BMILMS!$F$6*AG587+BMILMS!$G$6,BMILMS!$D$7*AG587^3+BMILMS!$E$7*AG587^2+BMILMS!$F$7*AG587+BMILMS!$G$7)),IF(AG587&lt;69,BMILMS!$D$9*AG587^3+BMILMS!$E$9*AG587^2+BMILMS!$F$9*AG587+BMILMS!$G$9,IF(AG587&lt;150,BMILMS!$D$10*AG587^3+BMILMS!$E$10*AG587^2+BMILMS!$F$10*AG587+BMILMS!$G$10,BMILMS!$D$11*AG587^3+BMILMS!$E$11*AG587^2+BMILMS!$F$11*AG587+BMILMS!$G$11)))</f>
        <v>0.79584630099999998</v>
      </c>
      <c r="AE587" s="24">
        <f>IF(D587="M",(IF(AG587&lt;2.5,BMILMS!$D$21*AG587^3+BMILMS!$E$21*AG587^2+BMILMS!$F$21*AG587+BMILMS!$G$21,IF(AG587&lt;9.5,BMILMS!$D$22*AG587^3+BMILMS!$E$22*AG587^2+BMILMS!$F$22*AG587+BMILMS!$G$22,IF(AG587&lt;26.75,BMILMS!$D$23*AG587^3+BMILMS!$E$23*AG587^2+BMILMS!$F$23*AG587+BMILMS!$G$23,IF(AG587&lt;90,BMILMS!$D$24*AG587^3+BMILMS!$E$24*AG587^2+BMILMS!$F$24*AG587+BMILMS!$G$24,BMILMS!$D$25*AG587^3+BMILMS!$E$25*AG587^2+BMILMS!$F$25*AG587+BMILMS!$G$25))))),(IF(AG587&lt;2.5,BMILMS!$D$27*AG587^3+BMILMS!$E$27*AG587^2+BMILMS!$F$27*AG587+BMILMS!$G$27,IF(AG587&lt;9.5,BMILMS!$D$28*AG587^3+BMILMS!$E$28*AG587^2+BMILMS!$F$28*AG587+BMILMS!$G$28,IF(AG587&lt;26.75,BMILMS!$D$29*AG587^3+BMILMS!$E$29*AG587^2+BMILMS!$F$29*AG587+BMILMS!$G$29,IF(AG587&lt;90,BMILMS!$D$30*AG587^3+BMILMS!$E$30*AG587^2+BMILMS!$F$30*AG587+BMILMS!$G$30,IF(AG587&lt;150,BMILMS!$D$31*AG587^3+BMILMS!$E$31*AG587^2+BMILMS!$F$31*AG587+BMILMS!$G$31,BMILMS!$D$32*AG587^3+BMILMS!$E$32*AG587^2+BMILMS!$F$32*AG587+BMILMS!$G$32)))))))</f>
        <v>12.568967990000001</v>
      </c>
      <c r="AF587" s="24">
        <f>IF(D587="M",(IF(AG587&lt;90,BMILMS!$D$14*AG587^3+BMILMS!$E$14*AG587^2+BMILMS!$F$14*AG587+BMILMS!$G$14,BMILMS!$D$15*AG587^3+BMILMS!$E$15*AG587^2+BMILMS!$F$15*AG587+BMILMS!$G$15)),(IF(AG587&lt;90,BMILMS!$D$17*AG587^3+BMILMS!$E$17*AG587^2+BMILMS!$F$17*AG587+BMILMS!$G$17,BMILMS!$D$18*AG587^3+BMILMS!$E$18*AG587^2+BMILMS!$F$18*AG587+BMILMS!$G$18)))</f>
        <v>8.8969350000000003E-2</v>
      </c>
      <c r="AG587" s="24">
        <f t="shared" si="160"/>
        <v>0</v>
      </c>
      <c r="AI587" s="38">
        <f>IF(D587="M",WeightSDS!P$5*$AG587^7+WeightSDS!Q$5*$AG587^6+WeightSDS!R$5*$AG587^5+WeightSDS!S$5*$AG587^4+WeightSDS!T$5*$AG587^3+WeightSDS!U$5*$AG587^2+WeightSDS!V$5*$AG587+WeightSDS!W$5,IF($AG587&lt;186,WeightSDS!P$8*$AG587^7+WeightSDS!Q$8*$AG587^6+WeightSDS!R$8*$AG587^5+WeightSDS!S$8*$AG587^4+WeightSDS!T$8*$AG587^3+WeightSDS!U$8*$AG587^2+WeightSDS!V$8*$AG587+WeightSDS!W$8,WeightSDS!$U$9-WeightSDS!$V$9*($AG587-WeightSDS!$W$9)))</f>
        <v>0.75407122999999998</v>
      </c>
      <c r="AJ587" s="24">
        <f>IF(D587="M",IF($AG587&lt;45,WeightSDS!M$23*$AG587^10+WeightSDS!N$23*$AG587^9+WeightSDS!O$23*$AG587^8+WeightSDS!P$23*$AG587^7+WeightSDS!Q$23*$AG587^6+WeightSDS!R$23*$AG587^5+WeightSDS!S$23*$AG587^4+WeightSDS!T$23*$AG587^3+WeightSDS!U$23*$AG587^2+WeightSDS!V$23*$AG587+WeightSDS!W$23,IF($AG587&lt;153,WeightSDS!M$25*$AG587^10+WeightSDS!N$25*$AG587^9+WeightSDS!O$25*$AG587^8+WeightSDS!P$25*$AG587^7+WeightSDS!Q$25*$AG587^6+WeightSDS!R$25*$AG587^5+WeightSDS!S$25*$AG587^4+WeightSDS!T$25*$AG587^3+WeightSDS!U$25*$AG587^2+WeightSDS!V$25*$AG587+WeightSDS!W$25,WeightSDS!M$27+WeightSDS!N$27/(1+EXP(WeightSDS!O$27+WeightSDS!P$27*$AG587)))),IF($AG587&lt;43.8,WeightSDS!M$29*$AG587^10+WeightSDS!N$29*$AG587^9+WeightSDS!O$29*$AG587^8+WeightSDS!P$29*$AG587^7+WeightSDS!Q$29*$AG587^6+WeightSDS!R$29*$AG587^5+WeightSDS!S$29*$AG587^4+WeightSDS!T$29*$AG587^3+WeightSDS!U$29*$AG587^2+WeightSDS!V$29*$AG587+WeightSDS!W$29-0.010431*(1-$AG587/210),IF($AG587&lt;123,WeightSDS!M$30*$AG587^10+WeightSDS!N$30*$AG587^9+WeightSDS!O$30*$AG587^8+WeightSDS!P$30*$AG587^7+WeightSDS!Q$30*$AG587^6+WeightSDS!R$30*$AG587^5+WeightSDS!S$30*$AG587^4+WeightSDS!T$30*$AG587^3+WeightSDS!U$30*$AG587^2+WeightSDS!V$30*$AG587+WeightSDS!W$30-0.010431*(1-1/$AG587),WeightSDS!M$32+WeightSDS!N$32/(1+EXP(WeightSDS!O$32+WeightSDS!P$32*$AG587))-0.010431*(1-$AG587/210))))</f>
        <v>2.9500001032655536</v>
      </c>
      <c r="AK587" s="24">
        <f>IF(D587="M",IF($AG587&lt;162,WeightSDS!P$12*$AG587^7+WeightSDS!Q$12*$AG587^6+WeightSDS!R$12*$AG587^5+WeightSDS!S$12*$AG587^4+WeightSDS!T$12*$AG587^3+WeightSDS!U$12*$AG587^2+WeightSDS!V$12*$AG587+WeightSDS!W$12,WeightSDS!P$14*$AG587^7+WeightSDS!Q$14*$AG587^6+WeightSDS!R$14*$AG587^5+WeightSDS!S$14*$AG587^4+WeightSDS!T$14*$AG587^3+WeightSDS!U$14*$AG587^2+WeightSDS!V$14*$AG587+WeightSDS!W$14),IF($AG587&lt;156,WeightSDS!O$17*$AG587^8+WeightSDS!P$17*$AG587^7+WeightSDS!Q$17*$AG587^6+WeightSDS!R$17*$AG587^5+WeightSDS!S$17*$AG587^4+WeightSDS!T$17*$AG587^3+WeightSDS!U$17*$AG587^2+WeightSDS!V$17*$AG587+WeightSDS!W$17,IF($AG587&lt;186,WeightSDS!$U$18+(WeightSDS!$V$18-WeightSDS!$U$18)/24*($AG587-186)+WeightSDS!$W$18*(-$AG587+186)^2-0.005,WeightSDS!$U$18+(WeightSDS!$V$18-WeightSDS!$U$18)/24*($AG587-186)-0.005)))</f>
        <v>0.14604529399999999</v>
      </c>
    </row>
    <row r="588" spans="1:37">
      <c r="A588" s="4"/>
      <c r="B588" s="21"/>
      <c r="C588" s="21"/>
      <c r="D588" s="21"/>
      <c r="E588" s="22"/>
      <c r="F588" s="22"/>
      <c r="G588" s="23"/>
      <c r="H588" s="23"/>
      <c r="I588" s="8" t="str">
        <f t="shared" si="146"/>
        <v/>
      </c>
      <c r="J588" s="2" t="str">
        <f t="shared" si="153"/>
        <v/>
      </c>
      <c r="K588" s="2" t="str">
        <f t="shared" si="147"/>
        <v/>
      </c>
      <c r="L588" s="2" t="str">
        <f t="shared" si="154"/>
        <v/>
      </c>
      <c r="M588" s="2" t="str">
        <f t="shared" si="159"/>
        <v/>
      </c>
      <c r="N588" s="2" t="str">
        <f t="shared" si="155"/>
        <v/>
      </c>
      <c r="O588" s="8" t="str">
        <f t="shared" si="156"/>
        <v/>
      </c>
      <c r="P588" s="8" t="str">
        <f t="shared" si="157"/>
        <v/>
      </c>
      <c r="Q588" s="40" t="str">
        <f t="shared" si="148"/>
        <v/>
      </c>
      <c r="R588" s="48" t="str">
        <f t="shared" si="158"/>
        <v/>
      </c>
      <c r="S588" s="8"/>
      <c r="U588" s="35">
        <f t="shared" si="149"/>
        <v>0</v>
      </c>
      <c r="V588" s="24">
        <f t="shared" si="150"/>
        <v>0</v>
      </c>
      <c r="W588" s="41">
        <f t="shared" si="145"/>
        <v>0</v>
      </c>
      <c r="X588" s="31"/>
      <c r="Y588" s="31"/>
      <c r="Z588" s="31"/>
      <c r="AA588" s="25">
        <f t="shared" si="151"/>
        <v>9.0359999999999996</v>
      </c>
      <c r="AB588" s="25">
        <f t="shared" si="152"/>
        <v>-184.49199999999999</v>
      </c>
      <c r="AD588" s="24">
        <f>IF(D588="M",IF(AG588&lt;78,BMILMS!$D$5*AG588^3+BMILMS!$E$5*AG588^2+BMILMS!$F$5*AG588+BMILMS!$G$5,IF(AG588&lt;150,BMILMS!$D$6*AG588^3+BMILMS!$E$6*AG588^2+BMILMS!$F$6*AG588+BMILMS!$G$6,BMILMS!$D$7*AG588^3+BMILMS!$E$7*AG588^2+BMILMS!$F$7*AG588+BMILMS!$G$7)),IF(AG588&lt;69,BMILMS!$D$9*AG588^3+BMILMS!$E$9*AG588^2+BMILMS!$F$9*AG588+BMILMS!$G$9,IF(AG588&lt;150,BMILMS!$D$10*AG588^3+BMILMS!$E$10*AG588^2+BMILMS!$F$10*AG588+BMILMS!$G$10,BMILMS!$D$11*AG588^3+BMILMS!$E$11*AG588^2+BMILMS!$F$11*AG588+BMILMS!$G$11)))</f>
        <v>0.79584630099999998</v>
      </c>
      <c r="AE588" s="24">
        <f>IF(D588="M",(IF(AG588&lt;2.5,BMILMS!$D$21*AG588^3+BMILMS!$E$21*AG588^2+BMILMS!$F$21*AG588+BMILMS!$G$21,IF(AG588&lt;9.5,BMILMS!$D$22*AG588^3+BMILMS!$E$22*AG588^2+BMILMS!$F$22*AG588+BMILMS!$G$22,IF(AG588&lt;26.75,BMILMS!$D$23*AG588^3+BMILMS!$E$23*AG588^2+BMILMS!$F$23*AG588+BMILMS!$G$23,IF(AG588&lt;90,BMILMS!$D$24*AG588^3+BMILMS!$E$24*AG588^2+BMILMS!$F$24*AG588+BMILMS!$G$24,BMILMS!$D$25*AG588^3+BMILMS!$E$25*AG588^2+BMILMS!$F$25*AG588+BMILMS!$G$25))))),(IF(AG588&lt;2.5,BMILMS!$D$27*AG588^3+BMILMS!$E$27*AG588^2+BMILMS!$F$27*AG588+BMILMS!$G$27,IF(AG588&lt;9.5,BMILMS!$D$28*AG588^3+BMILMS!$E$28*AG588^2+BMILMS!$F$28*AG588+BMILMS!$G$28,IF(AG588&lt;26.75,BMILMS!$D$29*AG588^3+BMILMS!$E$29*AG588^2+BMILMS!$F$29*AG588+BMILMS!$G$29,IF(AG588&lt;90,BMILMS!$D$30*AG588^3+BMILMS!$E$30*AG588^2+BMILMS!$F$30*AG588+BMILMS!$G$30,IF(AG588&lt;150,BMILMS!$D$31*AG588^3+BMILMS!$E$31*AG588^2+BMILMS!$F$31*AG588+BMILMS!$G$31,BMILMS!$D$32*AG588^3+BMILMS!$E$32*AG588^2+BMILMS!$F$32*AG588+BMILMS!$G$32)))))))</f>
        <v>12.568967990000001</v>
      </c>
      <c r="AF588" s="24">
        <f>IF(D588="M",(IF(AG588&lt;90,BMILMS!$D$14*AG588^3+BMILMS!$E$14*AG588^2+BMILMS!$F$14*AG588+BMILMS!$G$14,BMILMS!$D$15*AG588^3+BMILMS!$E$15*AG588^2+BMILMS!$F$15*AG588+BMILMS!$G$15)),(IF(AG588&lt;90,BMILMS!$D$17*AG588^3+BMILMS!$E$17*AG588^2+BMILMS!$F$17*AG588+BMILMS!$G$17,BMILMS!$D$18*AG588^3+BMILMS!$E$18*AG588^2+BMILMS!$F$18*AG588+BMILMS!$G$18)))</f>
        <v>8.8969350000000003E-2</v>
      </c>
      <c r="AG588" s="24">
        <f t="shared" si="160"/>
        <v>0</v>
      </c>
      <c r="AI588" s="38">
        <f>IF(D588="M",WeightSDS!P$5*$AG588^7+WeightSDS!Q$5*$AG588^6+WeightSDS!R$5*$AG588^5+WeightSDS!S$5*$AG588^4+WeightSDS!T$5*$AG588^3+WeightSDS!U$5*$AG588^2+WeightSDS!V$5*$AG588+WeightSDS!W$5,IF($AG588&lt;186,WeightSDS!P$8*$AG588^7+WeightSDS!Q$8*$AG588^6+WeightSDS!R$8*$AG588^5+WeightSDS!S$8*$AG588^4+WeightSDS!T$8*$AG588^3+WeightSDS!U$8*$AG588^2+WeightSDS!V$8*$AG588+WeightSDS!W$8,WeightSDS!$U$9-WeightSDS!$V$9*($AG588-WeightSDS!$W$9)))</f>
        <v>0.75407122999999998</v>
      </c>
      <c r="AJ588" s="24">
        <f>IF(D588="M",IF($AG588&lt;45,WeightSDS!M$23*$AG588^10+WeightSDS!N$23*$AG588^9+WeightSDS!O$23*$AG588^8+WeightSDS!P$23*$AG588^7+WeightSDS!Q$23*$AG588^6+WeightSDS!R$23*$AG588^5+WeightSDS!S$23*$AG588^4+WeightSDS!T$23*$AG588^3+WeightSDS!U$23*$AG588^2+WeightSDS!V$23*$AG588+WeightSDS!W$23,IF($AG588&lt;153,WeightSDS!M$25*$AG588^10+WeightSDS!N$25*$AG588^9+WeightSDS!O$25*$AG588^8+WeightSDS!P$25*$AG588^7+WeightSDS!Q$25*$AG588^6+WeightSDS!R$25*$AG588^5+WeightSDS!S$25*$AG588^4+WeightSDS!T$25*$AG588^3+WeightSDS!U$25*$AG588^2+WeightSDS!V$25*$AG588+WeightSDS!W$25,WeightSDS!M$27+WeightSDS!N$27/(1+EXP(WeightSDS!O$27+WeightSDS!P$27*$AG588)))),IF($AG588&lt;43.8,WeightSDS!M$29*$AG588^10+WeightSDS!N$29*$AG588^9+WeightSDS!O$29*$AG588^8+WeightSDS!P$29*$AG588^7+WeightSDS!Q$29*$AG588^6+WeightSDS!R$29*$AG588^5+WeightSDS!S$29*$AG588^4+WeightSDS!T$29*$AG588^3+WeightSDS!U$29*$AG588^2+WeightSDS!V$29*$AG588+WeightSDS!W$29-0.010431*(1-$AG588/210),IF($AG588&lt;123,WeightSDS!M$30*$AG588^10+WeightSDS!N$30*$AG588^9+WeightSDS!O$30*$AG588^8+WeightSDS!P$30*$AG588^7+WeightSDS!Q$30*$AG588^6+WeightSDS!R$30*$AG588^5+WeightSDS!S$30*$AG588^4+WeightSDS!T$30*$AG588^3+WeightSDS!U$30*$AG588^2+WeightSDS!V$30*$AG588+WeightSDS!W$30-0.010431*(1-1/$AG588),WeightSDS!M$32+WeightSDS!N$32/(1+EXP(WeightSDS!O$32+WeightSDS!P$32*$AG588))-0.010431*(1-$AG588/210))))</f>
        <v>2.9500001032655536</v>
      </c>
      <c r="AK588" s="24">
        <f>IF(D588="M",IF($AG588&lt;162,WeightSDS!P$12*$AG588^7+WeightSDS!Q$12*$AG588^6+WeightSDS!R$12*$AG588^5+WeightSDS!S$12*$AG588^4+WeightSDS!T$12*$AG588^3+WeightSDS!U$12*$AG588^2+WeightSDS!V$12*$AG588+WeightSDS!W$12,WeightSDS!P$14*$AG588^7+WeightSDS!Q$14*$AG588^6+WeightSDS!R$14*$AG588^5+WeightSDS!S$14*$AG588^4+WeightSDS!T$14*$AG588^3+WeightSDS!U$14*$AG588^2+WeightSDS!V$14*$AG588+WeightSDS!W$14),IF($AG588&lt;156,WeightSDS!O$17*$AG588^8+WeightSDS!P$17*$AG588^7+WeightSDS!Q$17*$AG588^6+WeightSDS!R$17*$AG588^5+WeightSDS!S$17*$AG588^4+WeightSDS!T$17*$AG588^3+WeightSDS!U$17*$AG588^2+WeightSDS!V$17*$AG588+WeightSDS!W$17,IF($AG588&lt;186,WeightSDS!$U$18+(WeightSDS!$V$18-WeightSDS!$U$18)/24*($AG588-186)+WeightSDS!$W$18*(-$AG588+186)^2-0.005,WeightSDS!$U$18+(WeightSDS!$V$18-WeightSDS!$U$18)/24*($AG588-186)-0.005)))</f>
        <v>0.14604529399999999</v>
      </c>
    </row>
    <row r="589" spans="1:37">
      <c r="A589" s="4"/>
      <c r="B589" s="21"/>
      <c r="C589" s="21"/>
      <c r="D589" s="21"/>
      <c r="E589" s="22"/>
      <c r="F589" s="22"/>
      <c r="G589" s="23"/>
      <c r="H589" s="23"/>
      <c r="I589" s="8" t="str">
        <f t="shared" si="146"/>
        <v/>
      </c>
      <c r="J589" s="2" t="str">
        <f t="shared" si="153"/>
        <v/>
      </c>
      <c r="K589" s="2" t="str">
        <f t="shared" si="147"/>
        <v/>
      </c>
      <c r="L589" s="2" t="str">
        <f t="shared" si="154"/>
        <v/>
      </c>
      <c r="M589" s="2" t="str">
        <f t="shared" si="159"/>
        <v/>
      </c>
      <c r="N589" s="2" t="str">
        <f t="shared" si="155"/>
        <v/>
      </c>
      <c r="O589" s="8" t="str">
        <f t="shared" si="156"/>
        <v/>
      </c>
      <c r="P589" s="8" t="str">
        <f t="shared" si="157"/>
        <v/>
      </c>
      <c r="Q589" s="40" t="str">
        <f t="shared" si="148"/>
        <v/>
      </c>
      <c r="R589" s="48" t="str">
        <f t="shared" si="158"/>
        <v/>
      </c>
      <c r="S589" s="8"/>
      <c r="U589" s="35">
        <f t="shared" si="149"/>
        <v>0</v>
      </c>
      <c r="V589" s="24">
        <f t="shared" si="150"/>
        <v>0</v>
      </c>
      <c r="W589" s="41">
        <f t="shared" si="145"/>
        <v>0</v>
      </c>
      <c r="X589" s="31"/>
      <c r="Y589" s="31"/>
      <c r="Z589" s="31"/>
      <c r="AA589" s="25">
        <f t="shared" si="151"/>
        <v>9.0359999999999996</v>
      </c>
      <c r="AB589" s="25">
        <f t="shared" si="152"/>
        <v>-184.49199999999999</v>
      </c>
      <c r="AD589" s="24">
        <f>IF(D589="M",IF(AG589&lt;78,BMILMS!$D$5*AG589^3+BMILMS!$E$5*AG589^2+BMILMS!$F$5*AG589+BMILMS!$G$5,IF(AG589&lt;150,BMILMS!$D$6*AG589^3+BMILMS!$E$6*AG589^2+BMILMS!$F$6*AG589+BMILMS!$G$6,BMILMS!$D$7*AG589^3+BMILMS!$E$7*AG589^2+BMILMS!$F$7*AG589+BMILMS!$G$7)),IF(AG589&lt;69,BMILMS!$D$9*AG589^3+BMILMS!$E$9*AG589^2+BMILMS!$F$9*AG589+BMILMS!$G$9,IF(AG589&lt;150,BMILMS!$D$10*AG589^3+BMILMS!$E$10*AG589^2+BMILMS!$F$10*AG589+BMILMS!$G$10,BMILMS!$D$11*AG589^3+BMILMS!$E$11*AG589^2+BMILMS!$F$11*AG589+BMILMS!$G$11)))</f>
        <v>0.79584630099999998</v>
      </c>
      <c r="AE589" s="24">
        <f>IF(D589="M",(IF(AG589&lt;2.5,BMILMS!$D$21*AG589^3+BMILMS!$E$21*AG589^2+BMILMS!$F$21*AG589+BMILMS!$G$21,IF(AG589&lt;9.5,BMILMS!$D$22*AG589^3+BMILMS!$E$22*AG589^2+BMILMS!$F$22*AG589+BMILMS!$G$22,IF(AG589&lt;26.75,BMILMS!$D$23*AG589^3+BMILMS!$E$23*AG589^2+BMILMS!$F$23*AG589+BMILMS!$G$23,IF(AG589&lt;90,BMILMS!$D$24*AG589^3+BMILMS!$E$24*AG589^2+BMILMS!$F$24*AG589+BMILMS!$G$24,BMILMS!$D$25*AG589^3+BMILMS!$E$25*AG589^2+BMILMS!$F$25*AG589+BMILMS!$G$25))))),(IF(AG589&lt;2.5,BMILMS!$D$27*AG589^3+BMILMS!$E$27*AG589^2+BMILMS!$F$27*AG589+BMILMS!$G$27,IF(AG589&lt;9.5,BMILMS!$D$28*AG589^3+BMILMS!$E$28*AG589^2+BMILMS!$F$28*AG589+BMILMS!$G$28,IF(AG589&lt;26.75,BMILMS!$D$29*AG589^3+BMILMS!$E$29*AG589^2+BMILMS!$F$29*AG589+BMILMS!$G$29,IF(AG589&lt;90,BMILMS!$D$30*AG589^3+BMILMS!$E$30*AG589^2+BMILMS!$F$30*AG589+BMILMS!$G$30,IF(AG589&lt;150,BMILMS!$D$31*AG589^3+BMILMS!$E$31*AG589^2+BMILMS!$F$31*AG589+BMILMS!$G$31,BMILMS!$D$32*AG589^3+BMILMS!$E$32*AG589^2+BMILMS!$F$32*AG589+BMILMS!$G$32)))))))</f>
        <v>12.568967990000001</v>
      </c>
      <c r="AF589" s="24">
        <f>IF(D589="M",(IF(AG589&lt;90,BMILMS!$D$14*AG589^3+BMILMS!$E$14*AG589^2+BMILMS!$F$14*AG589+BMILMS!$G$14,BMILMS!$D$15*AG589^3+BMILMS!$E$15*AG589^2+BMILMS!$F$15*AG589+BMILMS!$G$15)),(IF(AG589&lt;90,BMILMS!$D$17*AG589^3+BMILMS!$E$17*AG589^2+BMILMS!$F$17*AG589+BMILMS!$G$17,BMILMS!$D$18*AG589^3+BMILMS!$E$18*AG589^2+BMILMS!$F$18*AG589+BMILMS!$G$18)))</f>
        <v>8.8969350000000003E-2</v>
      </c>
      <c r="AG589" s="24">
        <f t="shared" si="160"/>
        <v>0</v>
      </c>
      <c r="AI589" s="38">
        <f>IF(D589="M",WeightSDS!P$5*$AG589^7+WeightSDS!Q$5*$AG589^6+WeightSDS!R$5*$AG589^5+WeightSDS!S$5*$AG589^4+WeightSDS!T$5*$AG589^3+WeightSDS!U$5*$AG589^2+WeightSDS!V$5*$AG589+WeightSDS!W$5,IF($AG589&lt;186,WeightSDS!P$8*$AG589^7+WeightSDS!Q$8*$AG589^6+WeightSDS!R$8*$AG589^5+WeightSDS!S$8*$AG589^4+WeightSDS!T$8*$AG589^3+WeightSDS!U$8*$AG589^2+WeightSDS!V$8*$AG589+WeightSDS!W$8,WeightSDS!$U$9-WeightSDS!$V$9*($AG589-WeightSDS!$W$9)))</f>
        <v>0.75407122999999998</v>
      </c>
      <c r="AJ589" s="24">
        <f>IF(D589="M",IF($AG589&lt;45,WeightSDS!M$23*$AG589^10+WeightSDS!N$23*$AG589^9+WeightSDS!O$23*$AG589^8+WeightSDS!P$23*$AG589^7+WeightSDS!Q$23*$AG589^6+WeightSDS!R$23*$AG589^5+WeightSDS!S$23*$AG589^4+WeightSDS!T$23*$AG589^3+WeightSDS!U$23*$AG589^2+WeightSDS!V$23*$AG589+WeightSDS!W$23,IF($AG589&lt;153,WeightSDS!M$25*$AG589^10+WeightSDS!N$25*$AG589^9+WeightSDS!O$25*$AG589^8+WeightSDS!P$25*$AG589^7+WeightSDS!Q$25*$AG589^6+WeightSDS!R$25*$AG589^5+WeightSDS!S$25*$AG589^4+WeightSDS!T$25*$AG589^3+WeightSDS!U$25*$AG589^2+WeightSDS!V$25*$AG589+WeightSDS!W$25,WeightSDS!M$27+WeightSDS!N$27/(1+EXP(WeightSDS!O$27+WeightSDS!P$27*$AG589)))),IF($AG589&lt;43.8,WeightSDS!M$29*$AG589^10+WeightSDS!N$29*$AG589^9+WeightSDS!O$29*$AG589^8+WeightSDS!P$29*$AG589^7+WeightSDS!Q$29*$AG589^6+WeightSDS!R$29*$AG589^5+WeightSDS!S$29*$AG589^4+WeightSDS!T$29*$AG589^3+WeightSDS!U$29*$AG589^2+WeightSDS!V$29*$AG589+WeightSDS!W$29-0.010431*(1-$AG589/210),IF($AG589&lt;123,WeightSDS!M$30*$AG589^10+WeightSDS!N$30*$AG589^9+WeightSDS!O$30*$AG589^8+WeightSDS!P$30*$AG589^7+WeightSDS!Q$30*$AG589^6+WeightSDS!R$30*$AG589^5+WeightSDS!S$30*$AG589^4+WeightSDS!T$30*$AG589^3+WeightSDS!U$30*$AG589^2+WeightSDS!V$30*$AG589+WeightSDS!W$30-0.010431*(1-1/$AG589),WeightSDS!M$32+WeightSDS!N$32/(1+EXP(WeightSDS!O$32+WeightSDS!P$32*$AG589))-0.010431*(1-$AG589/210))))</f>
        <v>2.9500001032655536</v>
      </c>
      <c r="AK589" s="24">
        <f>IF(D589="M",IF($AG589&lt;162,WeightSDS!P$12*$AG589^7+WeightSDS!Q$12*$AG589^6+WeightSDS!R$12*$AG589^5+WeightSDS!S$12*$AG589^4+WeightSDS!T$12*$AG589^3+WeightSDS!U$12*$AG589^2+WeightSDS!V$12*$AG589+WeightSDS!W$12,WeightSDS!P$14*$AG589^7+WeightSDS!Q$14*$AG589^6+WeightSDS!R$14*$AG589^5+WeightSDS!S$14*$AG589^4+WeightSDS!T$14*$AG589^3+WeightSDS!U$14*$AG589^2+WeightSDS!V$14*$AG589+WeightSDS!W$14),IF($AG589&lt;156,WeightSDS!O$17*$AG589^8+WeightSDS!P$17*$AG589^7+WeightSDS!Q$17*$AG589^6+WeightSDS!R$17*$AG589^5+WeightSDS!S$17*$AG589^4+WeightSDS!T$17*$AG589^3+WeightSDS!U$17*$AG589^2+WeightSDS!V$17*$AG589+WeightSDS!W$17,IF($AG589&lt;186,WeightSDS!$U$18+(WeightSDS!$V$18-WeightSDS!$U$18)/24*($AG589-186)+WeightSDS!$W$18*(-$AG589+186)^2-0.005,WeightSDS!$U$18+(WeightSDS!$V$18-WeightSDS!$U$18)/24*($AG589-186)-0.005)))</f>
        <v>0.14604529399999999</v>
      </c>
    </row>
    <row r="590" spans="1:37">
      <c r="A590" s="4"/>
      <c r="B590" s="21"/>
      <c r="C590" s="21"/>
      <c r="D590" s="21"/>
      <c r="E590" s="22"/>
      <c r="F590" s="22"/>
      <c r="G590" s="23"/>
      <c r="H590" s="23"/>
      <c r="I590" s="8" t="str">
        <f t="shared" si="146"/>
        <v/>
      </c>
      <c r="J590" s="2" t="str">
        <f t="shared" si="153"/>
        <v/>
      </c>
      <c r="K590" s="2" t="str">
        <f t="shared" si="147"/>
        <v/>
      </c>
      <c r="L590" s="2" t="str">
        <f t="shared" si="154"/>
        <v/>
      </c>
      <c r="M590" s="2" t="str">
        <f t="shared" si="159"/>
        <v/>
      </c>
      <c r="N590" s="2" t="str">
        <f t="shared" si="155"/>
        <v/>
      </c>
      <c r="O590" s="8" t="str">
        <f t="shared" si="156"/>
        <v/>
      </c>
      <c r="P590" s="8" t="str">
        <f t="shared" si="157"/>
        <v/>
      </c>
      <c r="Q590" s="40" t="str">
        <f t="shared" si="148"/>
        <v/>
      </c>
      <c r="R590" s="48" t="str">
        <f t="shared" si="158"/>
        <v/>
      </c>
      <c r="S590" s="8"/>
      <c r="U590" s="35">
        <f t="shared" si="149"/>
        <v>0</v>
      </c>
      <c r="V590" s="24">
        <f t="shared" si="150"/>
        <v>0</v>
      </c>
      <c r="W590" s="41">
        <f t="shared" si="145"/>
        <v>0</v>
      </c>
      <c r="X590" s="31"/>
      <c r="Y590" s="31"/>
      <c r="Z590" s="31"/>
      <c r="AA590" s="25">
        <f t="shared" si="151"/>
        <v>9.0359999999999996</v>
      </c>
      <c r="AB590" s="25">
        <f t="shared" si="152"/>
        <v>-184.49199999999999</v>
      </c>
      <c r="AD590" s="24">
        <f>IF(D590="M",IF(AG590&lt;78,BMILMS!$D$5*AG590^3+BMILMS!$E$5*AG590^2+BMILMS!$F$5*AG590+BMILMS!$G$5,IF(AG590&lt;150,BMILMS!$D$6*AG590^3+BMILMS!$E$6*AG590^2+BMILMS!$F$6*AG590+BMILMS!$G$6,BMILMS!$D$7*AG590^3+BMILMS!$E$7*AG590^2+BMILMS!$F$7*AG590+BMILMS!$G$7)),IF(AG590&lt;69,BMILMS!$D$9*AG590^3+BMILMS!$E$9*AG590^2+BMILMS!$F$9*AG590+BMILMS!$G$9,IF(AG590&lt;150,BMILMS!$D$10*AG590^3+BMILMS!$E$10*AG590^2+BMILMS!$F$10*AG590+BMILMS!$G$10,BMILMS!$D$11*AG590^3+BMILMS!$E$11*AG590^2+BMILMS!$F$11*AG590+BMILMS!$G$11)))</f>
        <v>0.79584630099999998</v>
      </c>
      <c r="AE590" s="24">
        <f>IF(D590="M",(IF(AG590&lt;2.5,BMILMS!$D$21*AG590^3+BMILMS!$E$21*AG590^2+BMILMS!$F$21*AG590+BMILMS!$G$21,IF(AG590&lt;9.5,BMILMS!$D$22*AG590^3+BMILMS!$E$22*AG590^2+BMILMS!$F$22*AG590+BMILMS!$G$22,IF(AG590&lt;26.75,BMILMS!$D$23*AG590^3+BMILMS!$E$23*AG590^2+BMILMS!$F$23*AG590+BMILMS!$G$23,IF(AG590&lt;90,BMILMS!$D$24*AG590^3+BMILMS!$E$24*AG590^2+BMILMS!$F$24*AG590+BMILMS!$G$24,BMILMS!$D$25*AG590^3+BMILMS!$E$25*AG590^2+BMILMS!$F$25*AG590+BMILMS!$G$25))))),(IF(AG590&lt;2.5,BMILMS!$D$27*AG590^3+BMILMS!$E$27*AG590^2+BMILMS!$F$27*AG590+BMILMS!$G$27,IF(AG590&lt;9.5,BMILMS!$D$28*AG590^3+BMILMS!$E$28*AG590^2+BMILMS!$F$28*AG590+BMILMS!$G$28,IF(AG590&lt;26.75,BMILMS!$D$29*AG590^3+BMILMS!$E$29*AG590^2+BMILMS!$F$29*AG590+BMILMS!$G$29,IF(AG590&lt;90,BMILMS!$D$30*AG590^3+BMILMS!$E$30*AG590^2+BMILMS!$F$30*AG590+BMILMS!$G$30,IF(AG590&lt;150,BMILMS!$D$31*AG590^3+BMILMS!$E$31*AG590^2+BMILMS!$F$31*AG590+BMILMS!$G$31,BMILMS!$D$32*AG590^3+BMILMS!$E$32*AG590^2+BMILMS!$F$32*AG590+BMILMS!$G$32)))))))</f>
        <v>12.568967990000001</v>
      </c>
      <c r="AF590" s="24">
        <f>IF(D590="M",(IF(AG590&lt;90,BMILMS!$D$14*AG590^3+BMILMS!$E$14*AG590^2+BMILMS!$F$14*AG590+BMILMS!$G$14,BMILMS!$D$15*AG590^3+BMILMS!$E$15*AG590^2+BMILMS!$F$15*AG590+BMILMS!$G$15)),(IF(AG590&lt;90,BMILMS!$D$17*AG590^3+BMILMS!$E$17*AG590^2+BMILMS!$F$17*AG590+BMILMS!$G$17,BMILMS!$D$18*AG590^3+BMILMS!$E$18*AG590^2+BMILMS!$F$18*AG590+BMILMS!$G$18)))</f>
        <v>8.8969350000000003E-2</v>
      </c>
      <c r="AG590" s="24">
        <f t="shared" si="160"/>
        <v>0</v>
      </c>
      <c r="AI590" s="38">
        <f>IF(D590="M",WeightSDS!P$5*$AG590^7+WeightSDS!Q$5*$AG590^6+WeightSDS!R$5*$AG590^5+WeightSDS!S$5*$AG590^4+WeightSDS!T$5*$AG590^3+WeightSDS!U$5*$AG590^2+WeightSDS!V$5*$AG590+WeightSDS!W$5,IF($AG590&lt;186,WeightSDS!P$8*$AG590^7+WeightSDS!Q$8*$AG590^6+WeightSDS!R$8*$AG590^5+WeightSDS!S$8*$AG590^4+WeightSDS!T$8*$AG590^3+WeightSDS!U$8*$AG590^2+WeightSDS!V$8*$AG590+WeightSDS!W$8,WeightSDS!$U$9-WeightSDS!$V$9*($AG590-WeightSDS!$W$9)))</f>
        <v>0.75407122999999998</v>
      </c>
      <c r="AJ590" s="24">
        <f>IF(D590="M",IF($AG590&lt;45,WeightSDS!M$23*$AG590^10+WeightSDS!N$23*$AG590^9+WeightSDS!O$23*$AG590^8+WeightSDS!P$23*$AG590^7+WeightSDS!Q$23*$AG590^6+WeightSDS!R$23*$AG590^5+WeightSDS!S$23*$AG590^4+WeightSDS!T$23*$AG590^3+WeightSDS!U$23*$AG590^2+WeightSDS!V$23*$AG590+WeightSDS!W$23,IF($AG590&lt;153,WeightSDS!M$25*$AG590^10+WeightSDS!N$25*$AG590^9+WeightSDS!O$25*$AG590^8+WeightSDS!P$25*$AG590^7+WeightSDS!Q$25*$AG590^6+WeightSDS!R$25*$AG590^5+WeightSDS!S$25*$AG590^4+WeightSDS!T$25*$AG590^3+WeightSDS!U$25*$AG590^2+WeightSDS!V$25*$AG590+WeightSDS!W$25,WeightSDS!M$27+WeightSDS!N$27/(1+EXP(WeightSDS!O$27+WeightSDS!P$27*$AG590)))),IF($AG590&lt;43.8,WeightSDS!M$29*$AG590^10+WeightSDS!N$29*$AG590^9+WeightSDS!O$29*$AG590^8+WeightSDS!P$29*$AG590^7+WeightSDS!Q$29*$AG590^6+WeightSDS!R$29*$AG590^5+WeightSDS!S$29*$AG590^4+WeightSDS!T$29*$AG590^3+WeightSDS!U$29*$AG590^2+WeightSDS!V$29*$AG590+WeightSDS!W$29-0.010431*(1-$AG590/210),IF($AG590&lt;123,WeightSDS!M$30*$AG590^10+WeightSDS!N$30*$AG590^9+WeightSDS!O$30*$AG590^8+WeightSDS!P$30*$AG590^7+WeightSDS!Q$30*$AG590^6+WeightSDS!R$30*$AG590^5+WeightSDS!S$30*$AG590^4+WeightSDS!T$30*$AG590^3+WeightSDS!U$30*$AG590^2+WeightSDS!V$30*$AG590+WeightSDS!W$30-0.010431*(1-1/$AG590),WeightSDS!M$32+WeightSDS!N$32/(1+EXP(WeightSDS!O$32+WeightSDS!P$32*$AG590))-0.010431*(1-$AG590/210))))</f>
        <v>2.9500001032655536</v>
      </c>
      <c r="AK590" s="24">
        <f>IF(D590="M",IF($AG590&lt;162,WeightSDS!P$12*$AG590^7+WeightSDS!Q$12*$AG590^6+WeightSDS!R$12*$AG590^5+WeightSDS!S$12*$AG590^4+WeightSDS!T$12*$AG590^3+WeightSDS!U$12*$AG590^2+WeightSDS!V$12*$AG590+WeightSDS!W$12,WeightSDS!P$14*$AG590^7+WeightSDS!Q$14*$AG590^6+WeightSDS!R$14*$AG590^5+WeightSDS!S$14*$AG590^4+WeightSDS!T$14*$AG590^3+WeightSDS!U$14*$AG590^2+WeightSDS!V$14*$AG590+WeightSDS!W$14),IF($AG590&lt;156,WeightSDS!O$17*$AG590^8+WeightSDS!P$17*$AG590^7+WeightSDS!Q$17*$AG590^6+WeightSDS!R$17*$AG590^5+WeightSDS!S$17*$AG590^4+WeightSDS!T$17*$AG590^3+WeightSDS!U$17*$AG590^2+WeightSDS!V$17*$AG590+WeightSDS!W$17,IF($AG590&lt;186,WeightSDS!$U$18+(WeightSDS!$V$18-WeightSDS!$U$18)/24*($AG590-186)+WeightSDS!$W$18*(-$AG590+186)^2-0.005,WeightSDS!$U$18+(WeightSDS!$V$18-WeightSDS!$U$18)/24*($AG590-186)-0.005)))</f>
        <v>0.14604529399999999</v>
      </c>
    </row>
    <row r="591" spans="1:37">
      <c r="A591" s="4"/>
      <c r="B591" s="21"/>
      <c r="C591" s="21"/>
      <c r="D591" s="21"/>
      <c r="E591" s="22"/>
      <c r="F591" s="22"/>
      <c r="G591" s="23"/>
      <c r="H591" s="23"/>
      <c r="I591" s="8" t="str">
        <f t="shared" si="146"/>
        <v/>
      </c>
      <c r="J591" s="2" t="str">
        <f t="shared" si="153"/>
        <v/>
      </c>
      <c r="K591" s="2" t="str">
        <f t="shared" si="147"/>
        <v/>
      </c>
      <c r="L591" s="2" t="str">
        <f t="shared" si="154"/>
        <v/>
      </c>
      <c r="M591" s="2" t="str">
        <f t="shared" si="159"/>
        <v/>
      </c>
      <c r="N591" s="2" t="str">
        <f t="shared" si="155"/>
        <v/>
      </c>
      <c r="O591" s="8" t="str">
        <f t="shared" si="156"/>
        <v/>
      </c>
      <c r="P591" s="8" t="str">
        <f t="shared" si="157"/>
        <v/>
      </c>
      <c r="Q591" s="40" t="str">
        <f t="shared" si="148"/>
        <v/>
      </c>
      <c r="R591" s="48" t="str">
        <f t="shared" si="158"/>
        <v/>
      </c>
      <c r="S591" s="8"/>
      <c r="U591" s="35">
        <f t="shared" si="149"/>
        <v>0</v>
      </c>
      <c r="V591" s="24">
        <f t="shared" si="150"/>
        <v>0</v>
      </c>
      <c r="W591" s="41">
        <f t="shared" si="145"/>
        <v>0</v>
      </c>
      <c r="X591" s="31"/>
      <c r="Y591" s="31"/>
      <c r="Z591" s="31"/>
      <c r="AA591" s="25">
        <f t="shared" si="151"/>
        <v>9.0359999999999996</v>
      </c>
      <c r="AB591" s="25">
        <f t="shared" si="152"/>
        <v>-184.49199999999999</v>
      </c>
      <c r="AD591" s="24">
        <f>IF(D591="M",IF(AG591&lt;78,BMILMS!$D$5*AG591^3+BMILMS!$E$5*AG591^2+BMILMS!$F$5*AG591+BMILMS!$G$5,IF(AG591&lt;150,BMILMS!$D$6*AG591^3+BMILMS!$E$6*AG591^2+BMILMS!$F$6*AG591+BMILMS!$G$6,BMILMS!$D$7*AG591^3+BMILMS!$E$7*AG591^2+BMILMS!$F$7*AG591+BMILMS!$G$7)),IF(AG591&lt;69,BMILMS!$D$9*AG591^3+BMILMS!$E$9*AG591^2+BMILMS!$F$9*AG591+BMILMS!$G$9,IF(AG591&lt;150,BMILMS!$D$10*AG591^3+BMILMS!$E$10*AG591^2+BMILMS!$F$10*AG591+BMILMS!$G$10,BMILMS!$D$11*AG591^3+BMILMS!$E$11*AG591^2+BMILMS!$F$11*AG591+BMILMS!$G$11)))</f>
        <v>0.79584630099999998</v>
      </c>
      <c r="AE591" s="24">
        <f>IF(D591="M",(IF(AG591&lt;2.5,BMILMS!$D$21*AG591^3+BMILMS!$E$21*AG591^2+BMILMS!$F$21*AG591+BMILMS!$G$21,IF(AG591&lt;9.5,BMILMS!$D$22*AG591^3+BMILMS!$E$22*AG591^2+BMILMS!$F$22*AG591+BMILMS!$G$22,IF(AG591&lt;26.75,BMILMS!$D$23*AG591^3+BMILMS!$E$23*AG591^2+BMILMS!$F$23*AG591+BMILMS!$G$23,IF(AG591&lt;90,BMILMS!$D$24*AG591^3+BMILMS!$E$24*AG591^2+BMILMS!$F$24*AG591+BMILMS!$G$24,BMILMS!$D$25*AG591^3+BMILMS!$E$25*AG591^2+BMILMS!$F$25*AG591+BMILMS!$G$25))))),(IF(AG591&lt;2.5,BMILMS!$D$27*AG591^3+BMILMS!$E$27*AG591^2+BMILMS!$F$27*AG591+BMILMS!$G$27,IF(AG591&lt;9.5,BMILMS!$D$28*AG591^3+BMILMS!$E$28*AG591^2+BMILMS!$F$28*AG591+BMILMS!$G$28,IF(AG591&lt;26.75,BMILMS!$D$29*AG591^3+BMILMS!$E$29*AG591^2+BMILMS!$F$29*AG591+BMILMS!$G$29,IF(AG591&lt;90,BMILMS!$D$30*AG591^3+BMILMS!$E$30*AG591^2+BMILMS!$F$30*AG591+BMILMS!$G$30,IF(AG591&lt;150,BMILMS!$D$31*AG591^3+BMILMS!$E$31*AG591^2+BMILMS!$F$31*AG591+BMILMS!$G$31,BMILMS!$D$32*AG591^3+BMILMS!$E$32*AG591^2+BMILMS!$F$32*AG591+BMILMS!$G$32)))))))</f>
        <v>12.568967990000001</v>
      </c>
      <c r="AF591" s="24">
        <f>IF(D591="M",(IF(AG591&lt;90,BMILMS!$D$14*AG591^3+BMILMS!$E$14*AG591^2+BMILMS!$F$14*AG591+BMILMS!$G$14,BMILMS!$D$15*AG591^3+BMILMS!$E$15*AG591^2+BMILMS!$F$15*AG591+BMILMS!$G$15)),(IF(AG591&lt;90,BMILMS!$D$17*AG591^3+BMILMS!$E$17*AG591^2+BMILMS!$F$17*AG591+BMILMS!$G$17,BMILMS!$D$18*AG591^3+BMILMS!$E$18*AG591^2+BMILMS!$F$18*AG591+BMILMS!$G$18)))</f>
        <v>8.8969350000000003E-2</v>
      </c>
      <c r="AG591" s="24">
        <f t="shared" si="160"/>
        <v>0</v>
      </c>
      <c r="AI591" s="38">
        <f>IF(D591="M",WeightSDS!P$5*$AG591^7+WeightSDS!Q$5*$AG591^6+WeightSDS!R$5*$AG591^5+WeightSDS!S$5*$AG591^4+WeightSDS!T$5*$AG591^3+WeightSDS!U$5*$AG591^2+WeightSDS!V$5*$AG591+WeightSDS!W$5,IF($AG591&lt;186,WeightSDS!P$8*$AG591^7+WeightSDS!Q$8*$AG591^6+WeightSDS!R$8*$AG591^5+WeightSDS!S$8*$AG591^4+WeightSDS!T$8*$AG591^3+WeightSDS!U$8*$AG591^2+WeightSDS!V$8*$AG591+WeightSDS!W$8,WeightSDS!$U$9-WeightSDS!$V$9*($AG591-WeightSDS!$W$9)))</f>
        <v>0.75407122999999998</v>
      </c>
      <c r="AJ591" s="24">
        <f>IF(D591="M",IF($AG591&lt;45,WeightSDS!M$23*$AG591^10+WeightSDS!N$23*$AG591^9+WeightSDS!O$23*$AG591^8+WeightSDS!P$23*$AG591^7+WeightSDS!Q$23*$AG591^6+WeightSDS!R$23*$AG591^5+WeightSDS!S$23*$AG591^4+WeightSDS!T$23*$AG591^3+WeightSDS!U$23*$AG591^2+WeightSDS!V$23*$AG591+WeightSDS!W$23,IF($AG591&lt;153,WeightSDS!M$25*$AG591^10+WeightSDS!N$25*$AG591^9+WeightSDS!O$25*$AG591^8+WeightSDS!P$25*$AG591^7+WeightSDS!Q$25*$AG591^6+WeightSDS!R$25*$AG591^5+WeightSDS!S$25*$AG591^4+WeightSDS!T$25*$AG591^3+WeightSDS!U$25*$AG591^2+WeightSDS!V$25*$AG591+WeightSDS!W$25,WeightSDS!M$27+WeightSDS!N$27/(1+EXP(WeightSDS!O$27+WeightSDS!P$27*$AG591)))),IF($AG591&lt;43.8,WeightSDS!M$29*$AG591^10+WeightSDS!N$29*$AG591^9+WeightSDS!O$29*$AG591^8+WeightSDS!P$29*$AG591^7+WeightSDS!Q$29*$AG591^6+WeightSDS!R$29*$AG591^5+WeightSDS!S$29*$AG591^4+WeightSDS!T$29*$AG591^3+WeightSDS!U$29*$AG591^2+WeightSDS!V$29*$AG591+WeightSDS!W$29-0.010431*(1-$AG591/210),IF($AG591&lt;123,WeightSDS!M$30*$AG591^10+WeightSDS!N$30*$AG591^9+WeightSDS!O$30*$AG591^8+WeightSDS!P$30*$AG591^7+WeightSDS!Q$30*$AG591^6+WeightSDS!R$30*$AG591^5+WeightSDS!S$30*$AG591^4+WeightSDS!T$30*$AG591^3+WeightSDS!U$30*$AG591^2+WeightSDS!V$30*$AG591+WeightSDS!W$30-0.010431*(1-1/$AG591),WeightSDS!M$32+WeightSDS!N$32/(1+EXP(WeightSDS!O$32+WeightSDS!P$32*$AG591))-0.010431*(1-$AG591/210))))</f>
        <v>2.9500001032655536</v>
      </c>
      <c r="AK591" s="24">
        <f>IF(D591="M",IF($AG591&lt;162,WeightSDS!P$12*$AG591^7+WeightSDS!Q$12*$AG591^6+WeightSDS!R$12*$AG591^5+WeightSDS!S$12*$AG591^4+WeightSDS!T$12*$AG591^3+WeightSDS!U$12*$AG591^2+WeightSDS!V$12*$AG591+WeightSDS!W$12,WeightSDS!P$14*$AG591^7+WeightSDS!Q$14*$AG591^6+WeightSDS!R$14*$AG591^5+WeightSDS!S$14*$AG591^4+WeightSDS!T$14*$AG591^3+WeightSDS!U$14*$AG591^2+WeightSDS!V$14*$AG591+WeightSDS!W$14),IF($AG591&lt;156,WeightSDS!O$17*$AG591^8+WeightSDS!P$17*$AG591^7+WeightSDS!Q$17*$AG591^6+WeightSDS!R$17*$AG591^5+WeightSDS!S$17*$AG591^4+WeightSDS!T$17*$AG591^3+WeightSDS!U$17*$AG591^2+WeightSDS!V$17*$AG591+WeightSDS!W$17,IF($AG591&lt;186,WeightSDS!$U$18+(WeightSDS!$V$18-WeightSDS!$U$18)/24*($AG591-186)+WeightSDS!$W$18*(-$AG591+186)^2-0.005,WeightSDS!$U$18+(WeightSDS!$V$18-WeightSDS!$U$18)/24*($AG591-186)-0.005)))</f>
        <v>0.14604529399999999</v>
      </c>
    </row>
    <row r="592" spans="1:37">
      <c r="A592" s="4"/>
      <c r="B592" s="21"/>
      <c r="C592" s="21"/>
      <c r="D592" s="21"/>
      <c r="E592" s="22"/>
      <c r="F592" s="22"/>
      <c r="G592" s="23"/>
      <c r="H592" s="23"/>
      <c r="I592" s="8" t="str">
        <f t="shared" si="146"/>
        <v/>
      </c>
      <c r="J592" s="2" t="str">
        <f t="shared" si="153"/>
        <v/>
      </c>
      <c r="K592" s="2" t="str">
        <f t="shared" si="147"/>
        <v/>
      </c>
      <c r="L592" s="2" t="str">
        <f t="shared" si="154"/>
        <v/>
      </c>
      <c r="M592" s="2" t="str">
        <f t="shared" si="159"/>
        <v/>
      </c>
      <c r="N592" s="2" t="str">
        <f t="shared" si="155"/>
        <v/>
      </c>
      <c r="O592" s="8" t="str">
        <f t="shared" si="156"/>
        <v/>
      </c>
      <c r="P592" s="8" t="str">
        <f t="shared" si="157"/>
        <v/>
      </c>
      <c r="Q592" s="40" t="str">
        <f t="shared" si="148"/>
        <v/>
      </c>
      <c r="R592" s="48" t="str">
        <f t="shared" si="158"/>
        <v/>
      </c>
      <c r="S592" s="8"/>
      <c r="U592" s="35">
        <f t="shared" si="149"/>
        <v>0</v>
      </c>
      <c r="V592" s="24">
        <f t="shared" si="150"/>
        <v>0</v>
      </c>
      <c r="W592" s="41">
        <f t="shared" si="145"/>
        <v>0</v>
      </c>
      <c r="X592" s="31"/>
      <c r="Y592" s="31"/>
      <c r="Z592" s="31"/>
      <c r="AA592" s="25">
        <f t="shared" si="151"/>
        <v>9.0359999999999996</v>
      </c>
      <c r="AB592" s="25">
        <f t="shared" si="152"/>
        <v>-184.49199999999999</v>
      </c>
      <c r="AD592" s="24">
        <f>IF(D592="M",IF(AG592&lt;78,BMILMS!$D$5*AG592^3+BMILMS!$E$5*AG592^2+BMILMS!$F$5*AG592+BMILMS!$G$5,IF(AG592&lt;150,BMILMS!$D$6*AG592^3+BMILMS!$E$6*AG592^2+BMILMS!$F$6*AG592+BMILMS!$G$6,BMILMS!$D$7*AG592^3+BMILMS!$E$7*AG592^2+BMILMS!$F$7*AG592+BMILMS!$G$7)),IF(AG592&lt;69,BMILMS!$D$9*AG592^3+BMILMS!$E$9*AG592^2+BMILMS!$F$9*AG592+BMILMS!$G$9,IF(AG592&lt;150,BMILMS!$D$10*AG592^3+BMILMS!$E$10*AG592^2+BMILMS!$F$10*AG592+BMILMS!$G$10,BMILMS!$D$11*AG592^3+BMILMS!$E$11*AG592^2+BMILMS!$F$11*AG592+BMILMS!$G$11)))</f>
        <v>0.79584630099999998</v>
      </c>
      <c r="AE592" s="24">
        <f>IF(D592="M",(IF(AG592&lt;2.5,BMILMS!$D$21*AG592^3+BMILMS!$E$21*AG592^2+BMILMS!$F$21*AG592+BMILMS!$G$21,IF(AG592&lt;9.5,BMILMS!$D$22*AG592^3+BMILMS!$E$22*AG592^2+BMILMS!$F$22*AG592+BMILMS!$G$22,IF(AG592&lt;26.75,BMILMS!$D$23*AG592^3+BMILMS!$E$23*AG592^2+BMILMS!$F$23*AG592+BMILMS!$G$23,IF(AG592&lt;90,BMILMS!$D$24*AG592^3+BMILMS!$E$24*AG592^2+BMILMS!$F$24*AG592+BMILMS!$G$24,BMILMS!$D$25*AG592^3+BMILMS!$E$25*AG592^2+BMILMS!$F$25*AG592+BMILMS!$G$25))))),(IF(AG592&lt;2.5,BMILMS!$D$27*AG592^3+BMILMS!$E$27*AG592^2+BMILMS!$F$27*AG592+BMILMS!$G$27,IF(AG592&lt;9.5,BMILMS!$D$28*AG592^3+BMILMS!$E$28*AG592^2+BMILMS!$F$28*AG592+BMILMS!$G$28,IF(AG592&lt;26.75,BMILMS!$D$29*AG592^3+BMILMS!$E$29*AG592^2+BMILMS!$F$29*AG592+BMILMS!$G$29,IF(AG592&lt;90,BMILMS!$D$30*AG592^3+BMILMS!$E$30*AG592^2+BMILMS!$F$30*AG592+BMILMS!$G$30,IF(AG592&lt;150,BMILMS!$D$31*AG592^3+BMILMS!$E$31*AG592^2+BMILMS!$F$31*AG592+BMILMS!$G$31,BMILMS!$D$32*AG592^3+BMILMS!$E$32*AG592^2+BMILMS!$F$32*AG592+BMILMS!$G$32)))))))</f>
        <v>12.568967990000001</v>
      </c>
      <c r="AF592" s="24">
        <f>IF(D592="M",(IF(AG592&lt;90,BMILMS!$D$14*AG592^3+BMILMS!$E$14*AG592^2+BMILMS!$F$14*AG592+BMILMS!$G$14,BMILMS!$D$15*AG592^3+BMILMS!$E$15*AG592^2+BMILMS!$F$15*AG592+BMILMS!$G$15)),(IF(AG592&lt;90,BMILMS!$D$17*AG592^3+BMILMS!$E$17*AG592^2+BMILMS!$F$17*AG592+BMILMS!$G$17,BMILMS!$D$18*AG592^3+BMILMS!$E$18*AG592^2+BMILMS!$F$18*AG592+BMILMS!$G$18)))</f>
        <v>8.8969350000000003E-2</v>
      </c>
      <c r="AG592" s="24">
        <f t="shared" si="160"/>
        <v>0</v>
      </c>
      <c r="AI592" s="38">
        <f>IF(D592="M",WeightSDS!P$5*$AG592^7+WeightSDS!Q$5*$AG592^6+WeightSDS!R$5*$AG592^5+WeightSDS!S$5*$AG592^4+WeightSDS!T$5*$AG592^3+WeightSDS!U$5*$AG592^2+WeightSDS!V$5*$AG592+WeightSDS!W$5,IF($AG592&lt;186,WeightSDS!P$8*$AG592^7+WeightSDS!Q$8*$AG592^6+WeightSDS!R$8*$AG592^5+WeightSDS!S$8*$AG592^4+WeightSDS!T$8*$AG592^3+WeightSDS!U$8*$AG592^2+WeightSDS!V$8*$AG592+WeightSDS!W$8,WeightSDS!$U$9-WeightSDS!$V$9*($AG592-WeightSDS!$W$9)))</f>
        <v>0.75407122999999998</v>
      </c>
      <c r="AJ592" s="24">
        <f>IF(D592="M",IF($AG592&lt;45,WeightSDS!M$23*$AG592^10+WeightSDS!N$23*$AG592^9+WeightSDS!O$23*$AG592^8+WeightSDS!P$23*$AG592^7+WeightSDS!Q$23*$AG592^6+WeightSDS!R$23*$AG592^5+WeightSDS!S$23*$AG592^4+WeightSDS!T$23*$AG592^3+WeightSDS!U$23*$AG592^2+WeightSDS!V$23*$AG592+WeightSDS!W$23,IF($AG592&lt;153,WeightSDS!M$25*$AG592^10+WeightSDS!N$25*$AG592^9+WeightSDS!O$25*$AG592^8+WeightSDS!P$25*$AG592^7+WeightSDS!Q$25*$AG592^6+WeightSDS!R$25*$AG592^5+WeightSDS!S$25*$AG592^4+WeightSDS!T$25*$AG592^3+WeightSDS!U$25*$AG592^2+WeightSDS!V$25*$AG592+WeightSDS!W$25,WeightSDS!M$27+WeightSDS!N$27/(1+EXP(WeightSDS!O$27+WeightSDS!P$27*$AG592)))),IF($AG592&lt;43.8,WeightSDS!M$29*$AG592^10+WeightSDS!N$29*$AG592^9+WeightSDS!O$29*$AG592^8+WeightSDS!P$29*$AG592^7+WeightSDS!Q$29*$AG592^6+WeightSDS!R$29*$AG592^5+WeightSDS!S$29*$AG592^4+WeightSDS!T$29*$AG592^3+WeightSDS!U$29*$AG592^2+WeightSDS!V$29*$AG592+WeightSDS!W$29-0.010431*(1-$AG592/210),IF($AG592&lt;123,WeightSDS!M$30*$AG592^10+WeightSDS!N$30*$AG592^9+WeightSDS!O$30*$AG592^8+WeightSDS!P$30*$AG592^7+WeightSDS!Q$30*$AG592^6+WeightSDS!R$30*$AG592^5+WeightSDS!S$30*$AG592^4+WeightSDS!T$30*$AG592^3+WeightSDS!U$30*$AG592^2+WeightSDS!V$30*$AG592+WeightSDS!W$30-0.010431*(1-1/$AG592),WeightSDS!M$32+WeightSDS!N$32/(1+EXP(WeightSDS!O$32+WeightSDS!P$32*$AG592))-0.010431*(1-$AG592/210))))</f>
        <v>2.9500001032655536</v>
      </c>
      <c r="AK592" s="24">
        <f>IF(D592="M",IF($AG592&lt;162,WeightSDS!P$12*$AG592^7+WeightSDS!Q$12*$AG592^6+WeightSDS!R$12*$AG592^5+WeightSDS!S$12*$AG592^4+WeightSDS!T$12*$AG592^3+WeightSDS!U$12*$AG592^2+WeightSDS!V$12*$AG592+WeightSDS!W$12,WeightSDS!P$14*$AG592^7+WeightSDS!Q$14*$AG592^6+WeightSDS!R$14*$AG592^5+WeightSDS!S$14*$AG592^4+WeightSDS!T$14*$AG592^3+WeightSDS!U$14*$AG592^2+WeightSDS!V$14*$AG592+WeightSDS!W$14),IF($AG592&lt;156,WeightSDS!O$17*$AG592^8+WeightSDS!P$17*$AG592^7+WeightSDS!Q$17*$AG592^6+WeightSDS!R$17*$AG592^5+WeightSDS!S$17*$AG592^4+WeightSDS!T$17*$AG592^3+WeightSDS!U$17*$AG592^2+WeightSDS!V$17*$AG592+WeightSDS!W$17,IF($AG592&lt;186,WeightSDS!$U$18+(WeightSDS!$V$18-WeightSDS!$U$18)/24*($AG592-186)+WeightSDS!$W$18*(-$AG592+186)^2-0.005,WeightSDS!$U$18+(WeightSDS!$V$18-WeightSDS!$U$18)/24*($AG592-186)-0.005)))</f>
        <v>0.14604529399999999</v>
      </c>
    </row>
    <row r="593" spans="1:37">
      <c r="A593" s="4"/>
      <c r="B593" s="21"/>
      <c r="C593" s="21"/>
      <c r="D593" s="21"/>
      <c r="E593" s="22"/>
      <c r="F593" s="22"/>
      <c r="G593" s="23"/>
      <c r="H593" s="23"/>
      <c r="I593" s="8" t="str">
        <f t="shared" si="146"/>
        <v/>
      </c>
      <c r="J593" s="2" t="str">
        <f t="shared" si="153"/>
        <v/>
      </c>
      <c r="K593" s="2" t="str">
        <f t="shared" si="147"/>
        <v/>
      </c>
      <c r="L593" s="2" t="str">
        <f t="shared" si="154"/>
        <v/>
      </c>
      <c r="M593" s="2" t="str">
        <f t="shared" si="159"/>
        <v/>
      </c>
      <c r="N593" s="2" t="str">
        <f t="shared" si="155"/>
        <v/>
      </c>
      <c r="O593" s="8" t="str">
        <f t="shared" si="156"/>
        <v/>
      </c>
      <c r="P593" s="8" t="str">
        <f t="shared" si="157"/>
        <v/>
      </c>
      <c r="Q593" s="40" t="str">
        <f t="shared" si="148"/>
        <v/>
      </c>
      <c r="R593" s="48" t="str">
        <f t="shared" si="158"/>
        <v/>
      </c>
      <c r="S593" s="8"/>
      <c r="U593" s="35">
        <f t="shared" si="149"/>
        <v>0</v>
      </c>
      <c r="V593" s="24">
        <f t="shared" si="150"/>
        <v>0</v>
      </c>
      <c r="W593" s="41">
        <f t="shared" si="145"/>
        <v>0</v>
      </c>
      <c r="X593" s="31"/>
      <c r="Y593" s="31"/>
      <c r="Z593" s="31"/>
      <c r="AA593" s="25">
        <f t="shared" si="151"/>
        <v>9.0359999999999996</v>
      </c>
      <c r="AB593" s="25">
        <f t="shared" si="152"/>
        <v>-184.49199999999999</v>
      </c>
      <c r="AD593" s="24">
        <f>IF(D593="M",IF(AG593&lt;78,BMILMS!$D$5*AG593^3+BMILMS!$E$5*AG593^2+BMILMS!$F$5*AG593+BMILMS!$G$5,IF(AG593&lt;150,BMILMS!$D$6*AG593^3+BMILMS!$E$6*AG593^2+BMILMS!$F$6*AG593+BMILMS!$G$6,BMILMS!$D$7*AG593^3+BMILMS!$E$7*AG593^2+BMILMS!$F$7*AG593+BMILMS!$G$7)),IF(AG593&lt;69,BMILMS!$D$9*AG593^3+BMILMS!$E$9*AG593^2+BMILMS!$F$9*AG593+BMILMS!$G$9,IF(AG593&lt;150,BMILMS!$D$10*AG593^3+BMILMS!$E$10*AG593^2+BMILMS!$F$10*AG593+BMILMS!$G$10,BMILMS!$D$11*AG593^3+BMILMS!$E$11*AG593^2+BMILMS!$F$11*AG593+BMILMS!$G$11)))</f>
        <v>0.79584630099999998</v>
      </c>
      <c r="AE593" s="24">
        <f>IF(D593="M",(IF(AG593&lt;2.5,BMILMS!$D$21*AG593^3+BMILMS!$E$21*AG593^2+BMILMS!$F$21*AG593+BMILMS!$G$21,IF(AG593&lt;9.5,BMILMS!$D$22*AG593^3+BMILMS!$E$22*AG593^2+BMILMS!$F$22*AG593+BMILMS!$G$22,IF(AG593&lt;26.75,BMILMS!$D$23*AG593^3+BMILMS!$E$23*AG593^2+BMILMS!$F$23*AG593+BMILMS!$G$23,IF(AG593&lt;90,BMILMS!$D$24*AG593^3+BMILMS!$E$24*AG593^2+BMILMS!$F$24*AG593+BMILMS!$G$24,BMILMS!$D$25*AG593^3+BMILMS!$E$25*AG593^2+BMILMS!$F$25*AG593+BMILMS!$G$25))))),(IF(AG593&lt;2.5,BMILMS!$D$27*AG593^3+BMILMS!$E$27*AG593^2+BMILMS!$F$27*AG593+BMILMS!$G$27,IF(AG593&lt;9.5,BMILMS!$D$28*AG593^3+BMILMS!$E$28*AG593^2+BMILMS!$F$28*AG593+BMILMS!$G$28,IF(AG593&lt;26.75,BMILMS!$D$29*AG593^3+BMILMS!$E$29*AG593^2+BMILMS!$F$29*AG593+BMILMS!$G$29,IF(AG593&lt;90,BMILMS!$D$30*AG593^3+BMILMS!$E$30*AG593^2+BMILMS!$F$30*AG593+BMILMS!$G$30,IF(AG593&lt;150,BMILMS!$D$31*AG593^3+BMILMS!$E$31*AG593^2+BMILMS!$F$31*AG593+BMILMS!$G$31,BMILMS!$D$32*AG593^3+BMILMS!$E$32*AG593^2+BMILMS!$F$32*AG593+BMILMS!$G$32)))))))</f>
        <v>12.568967990000001</v>
      </c>
      <c r="AF593" s="24">
        <f>IF(D593="M",(IF(AG593&lt;90,BMILMS!$D$14*AG593^3+BMILMS!$E$14*AG593^2+BMILMS!$F$14*AG593+BMILMS!$G$14,BMILMS!$D$15*AG593^3+BMILMS!$E$15*AG593^2+BMILMS!$F$15*AG593+BMILMS!$G$15)),(IF(AG593&lt;90,BMILMS!$D$17*AG593^3+BMILMS!$E$17*AG593^2+BMILMS!$F$17*AG593+BMILMS!$G$17,BMILMS!$D$18*AG593^3+BMILMS!$E$18*AG593^2+BMILMS!$F$18*AG593+BMILMS!$G$18)))</f>
        <v>8.8969350000000003E-2</v>
      </c>
      <c r="AG593" s="24">
        <f t="shared" si="160"/>
        <v>0</v>
      </c>
      <c r="AI593" s="38">
        <f>IF(D593="M",WeightSDS!P$5*$AG593^7+WeightSDS!Q$5*$AG593^6+WeightSDS!R$5*$AG593^5+WeightSDS!S$5*$AG593^4+WeightSDS!T$5*$AG593^3+WeightSDS!U$5*$AG593^2+WeightSDS!V$5*$AG593+WeightSDS!W$5,IF($AG593&lt;186,WeightSDS!P$8*$AG593^7+WeightSDS!Q$8*$AG593^6+WeightSDS!R$8*$AG593^5+WeightSDS!S$8*$AG593^4+WeightSDS!T$8*$AG593^3+WeightSDS!U$8*$AG593^2+WeightSDS!V$8*$AG593+WeightSDS!W$8,WeightSDS!$U$9-WeightSDS!$V$9*($AG593-WeightSDS!$W$9)))</f>
        <v>0.75407122999999998</v>
      </c>
      <c r="AJ593" s="24">
        <f>IF(D593="M",IF($AG593&lt;45,WeightSDS!M$23*$AG593^10+WeightSDS!N$23*$AG593^9+WeightSDS!O$23*$AG593^8+WeightSDS!P$23*$AG593^7+WeightSDS!Q$23*$AG593^6+WeightSDS!R$23*$AG593^5+WeightSDS!S$23*$AG593^4+WeightSDS!T$23*$AG593^3+WeightSDS!U$23*$AG593^2+WeightSDS!V$23*$AG593+WeightSDS!W$23,IF($AG593&lt;153,WeightSDS!M$25*$AG593^10+WeightSDS!N$25*$AG593^9+WeightSDS!O$25*$AG593^8+WeightSDS!P$25*$AG593^7+WeightSDS!Q$25*$AG593^6+WeightSDS!R$25*$AG593^5+WeightSDS!S$25*$AG593^4+WeightSDS!T$25*$AG593^3+WeightSDS!U$25*$AG593^2+WeightSDS!V$25*$AG593+WeightSDS!W$25,WeightSDS!M$27+WeightSDS!N$27/(1+EXP(WeightSDS!O$27+WeightSDS!P$27*$AG593)))),IF($AG593&lt;43.8,WeightSDS!M$29*$AG593^10+WeightSDS!N$29*$AG593^9+WeightSDS!O$29*$AG593^8+WeightSDS!P$29*$AG593^7+WeightSDS!Q$29*$AG593^6+WeightSDS!R$29*$AG593^5+WeightSDS!S$29*$AG593^4+WeightSDS!T$29*$AG593^3+WeightSDS!U$29*$AG593^2+WeightSDS!V$29*$AG593+WeightSDS!W$29-0.010431*(1-$AG593/210),IF($AG593&lt;123,WeightSDS!M$30*$AG593^10+WeightSDS!N$30*$AG593^9+WeightSDS!O$30*$AG593^8+WeightSDS!P$30*$AG593^7+WeightSDS!Q$30*$AG593^6+WeightSDS!R$30*$AG593^5+WeightSDS!S$30*$AG593^4+WeightSDS!T$30*$AG593^3+WeightSDS!U$30*$AG593^2+WeightSDS!V$30*$AG593+WeightSDS!W$30-0.010431*(1-1/$AG593),WeightSDS!M$32+WeightSDS!N$32/(1+EXP(WeightSDS!O$32+WeightSDS!P$32*$AG593))-0.010431*(1-$AG593/210))))</f>
        <v>2.9500001032655536</v>
      </c>
      <c r="AK593" s="24">
        <f>IF(D593="M",IF($AG593&lt;162,WeightSDS!P$12*$AG593^7+WeightSDS!Q$12*$AG593^6+WeightSDS!R$12*$AG593^5+WeightSDS!S$12*$AG593^4+WeightSDS!T$12*$AG593^3+WeightSDS!U$12*$AG593^2+WeightSDS!V$12*$AG593+WeightSDS!W$12,WeightSDS!P$14*$AG593^7+WeightSDS!Q$14*$AG593^6+WeightSDS!R$14*$AG593^5+WeightSDS!S$14*$AG593^4+WeightSDS!T$14*$AG593^3+WeightSDS!U$14*$AG593^2+WeightSDS!V$14*$AG593+WeightSDS!W$14),IF($AG593&lt;156,WeightSDS!O$17*$AG593^8+WeightSDS!P$17*$AG593^7+WeightSDS!Q$17*$AG593^6+WeightSDS!R$17*$AG593^5+WeightSDS!S$17*$AG593^4+WeightSDS!T$17*$AG593^3+WeightSDS!U$17*$AG593^2+WeightSDS!V$17*$AG593+WeightSDS!W$17,IF($AG593&lt;186,WeightSDS!$U$18+(WeightSDS!$V$18-WeightSDS!$U$18)/24*($AG593-186)+WeightSDS!$W$18*(-$AG593+186)^2-0.005,WeightSDS!$U$18+(WeightSDS!$V$18-WeightSDS!$U$18)/24*($AG593-186)-0.005)))</f>
        <v>0.14604529399999999</v>
      </c>
    </row>
    <row r="594" spans="1:37">
      <c r="A594" s="4"/>
      <c r="B594" s="21"/>
      <c r="C594" s="21"/>
      <c r="D594" s="21"/>
      <c r="E594" s="22"/>
      <c r="F594" s="22"/>
      <c r="G594" s="23"/>
      <c r="H594" s="23"/>
      <c r="I594" s="8" t="str">
        <f t="shared" si="146"/>
        <v/>
      </c>
      <c r="J594" s="2" t="str">
        <f t="shared" si="153"/>
        <v/>
      </c>
      <c r="K594" s="2" t="str">
        <f t="shared" si="147"/>
        <v/>
      </c>
      <c r="L594" s="2" t="str">
        <f t="shared" si="154"/>
        <v/>
      </c>
      <c r="M594" s="2" t="str">
        <f t="shared" si="159"/>
        <v/>
      </c>
      <c r="N594" s="2" t="str">
        <f t="shared" si="155"/>
        <v/>
      </c>
      <c r="O594" s="8" t="str">
        <f t="shared" si="156"/>
        <v/>
      </c>
      <c r="P594" s="8" t="str">
        <f t="shared" si="157"/>
        <v/>
      </c>
      <c r="Q594" s="40" t="str">
        <f t="shared" si="148"/>
        <v/>
      </c>
      <c r="R594" s="48" t="str">
        <f t="shared" si="158"/>
        <v/>
      </c>
      <c r="S594" s="8"/>
      <c r="U594" s="35">
        <f t="shared" si="149"/>
        <v>0</v>
      </c>
      <c r="V594" s="24">
        <f t="shared" si="150"/>
        <v>0</v>
      </c>
      <c r="W594" s="41">
        <f t="shared" si="145"/>
        <v>0</v>
      </c>
      <c r="X594" s="31"/>
      <c r="Y594" s="31"/>
      <c r="Z594" s="31"/>
      <c r="AA594" s="25">
        <f t="shared" si="151"/>
        <v>9.0359999999999996</v>
      </c>
      <c r="AB594" s="25">
        <f t="shared" si="152"/>
        <v>-184.49199999999999</v>
      </c>
      <c r="AD594" s="24">
        <f>IF(D594="M",IF(AG594&lt;78,BMILMS!$D$5*AG594^3+BMILMS!$E$5*AG594^2+BMILMS!$F$5*AG594+BMILMS!$G$5,IF(AG594&lt;150,BMILMS!$D$6*AG594^3+BMILMS!$E$6*AG594^2+BMILMS!$F$6*AG594+BMILMS!$G$6,BMILMS!$D$7*AG594^3+BMILMS!$E$7*AG594^2+BMILMS!$F$7*AG594+BMILMS!$G$7)),IF(AG594&lt;69,BMILMS!$D$9*AG594^3+BMILMS!$E$9*AG594^2+BMILMS!$F$9*AG594+BMILMS!$G$9,IF(AG594&lt;150,BMILMS!$D$10*AG594^3+BMILMS!$E$10*AG594^2+BMILMS!$F$10*AG594+BMILMS!$G$10,BMILMS!$D$11*AG594^3+BMILMS!$E$11*AG594^2+BMILMS!$F$11*AG594+BMILMS!$G$11)))</f>
        <v>0.79584630099999998</v>
      </c>
      <c r="AE594" s="24">
        <f>IF(D594="M",(IF(AG594&lt;2.5,BMILMS!$D$21*AG594^3+BMILMS!$E$21*AG594^2+BMILMS!$F$21*AG594+BMILMS!$G$21,IF(AG594&lt;9.5,BMILMS!$D$22*AG594^3+BMILMS!$E$22*AG594^2+BMILMS!$F$22*AG594+BMILMS!$G$22,IF(AG594&lt;26.75,BMILMS!$D$23*AG594^3+BMILMS!$E$23*AG594^2+BMILMS!$F$23*AG594+BMILMS!$G$23,IF(AG594&lt;90,BMILMS!$D$24*AG594^3+BMILMS!$E$24*AG594^2+BMILMS!$F$24*AG594+BMILMS!$G$24,BMILMS!$D$25*AG594^3+BMILMS!$E$25*AG594^2+BMILMS!$F$25*AG594+BMILMS!$G$25))))),(IF(AG594&lt;2.5,BMILMS!$D$27*AG594^3+BMILMS!$E$27*AG594^2+BMILMS!$F$27*AG594+BMILMS!$G$27,IF(AG594&lt;9.5,BMILMS!$D$28*AG594^3+BMILMS!$E$28*AG594^2+BMILMS!$F$28*AG594+BMILMS!$G$28,IF(AG594&lt;26.75,BMILMS!$D$29*AG594^3+BMILMS!$E$29*AG594^2+BMILMS!$F$29*AG594+BMILMS!$G$29,IF(AG594&lt;90,BMILMS!$D$30*AG594^3+BMILMS!$E$30*AG594^2+BMILMS!$F$30*AG594+BMILMS!$G$30,IF(AG594&lt;150,BMILMS!$D$31*AG594^3+BMILMS!$E$31*AG594^2+BMILMS!$F$31*AG594+BMILMS!$G$31,BMILMS!$D$32*AG594^3+BMILMS!$E$32*AG594^2+BMILMS!$F$32*AG594+BMILMS!$G$32)))))))</f>
        <v>12.568967990000001</v>
      </c>
      <c r="AF594" s="24">
        <f>IF(D594="M",(IF(AG594&lt;90,BMILMS!$D$14*AG594^3+BMILMS!$E$14*AG594^2+BMILMS!$F$14*AG594+BMILMS!$G$14,BMILMS!$D$15*AG594^3+BMILMS!$E$15*AG594^2+BMILMS!$F$15*AG594+BMILMS!$G$15)),(IF(AG594&lt;90,BMILMS!$D$17*AG594^3+BMILMS!$E$17*AG594^2+BMILMS!$F$17*AG594+BMILMS!$G$17,BMILMS!$D$18*AG594^3+BMILMS!$E$18*AG594^2+BMILMS!$F$18*AG594+BMILMS!$G$18)))</f>
        <v>8.8969350000000003E-2</v>
      </c>
      <c r="AG594" s="24">
        <f t="shared" si="160"/>
        <v>0</v>
      </c>
      <c r="AI594" s="38">
        <f>IF(D594="M",WeightSDS!P$5*$AG594^7+WeightSDS!Q$5*$AG594^6+WeightSDS!R$5*$AG594^5+WeightSDS!S$5*$AG594^4+WeightSDS!T$5*$AG594^3+WeightSDS!U$5*$AG594^2+WeightSDS!V$5*$AG594+WeightSDS!W$5,IF($AG594&lt;186,WeightSDS!P$8*$AG594^7+WeightSDS!Q$8*$AG594^6+WeightSDS!R$8*$AG594^5+WeightSDS!S$8*$AG594^4+WeightSDS!T$8*$AG594^3+WeightSDS!U$8*$AG594^2+WeightSDS!V$8*$AG594+WeightSDS!W$8,WeightSDS!$U$9-WeightSDS!$V$9*($AG594-WeightSDS!$W$9)))</f>
        <v>0.75407122999999998</v>
      </c>
      <c r="AJ594" s="24">
        <f>IF(D594="M",IF($AG594&lt;45,WeightSDS!M$23*$AG594^10+WeightSDS!N$23*$AG594^9+WeightSDS!O$23*$AG594^8+WeightSDS!P$23*$AG594^7+WeightSDS!Q$23*$AG594^6+WeightSDS!R$23*$AG594^5+WeightSDS!S$23*$AG594^4+WeightSDS!T$23*$AG594^3+WeightSDS!U$23*$AG594^2+WeightSDS!V$23*$AG594+WeightSDS!W$23,IF($AG594&lt;153,WeightSDS!M$25*$AG594^10+WeightSDS!N$25*$AG594^9+WeightSDS!O$25*$AG594^8+WeightSDS!P$25*$AG594^7+WeightSDS!Q$25*$AG594^6+WeightSDS!R$25*$AG594^5+WeightSDS!S$25*$AG594^4+WeightSDS!T$25*$AG594^3+WeightSDS!U$25*$AG594^2+WeightSDS!V$25*$AG594+WeightSDS!W$25,WeightSDS!M$27+WeightSDS!N$27/(1+EXP(WeightSDS!O$27+WeightSDS!P$27*$AG594)))),IF($AG594&lt;43.8,WeightSDS!M$29*$AG594^10+WeightSDS!N$29*$AG594^9+WeightSDS!O$29*$AG594^8+WeightSDS!P$29*$AG594^7+WeightSDS!Q$29*$AG594^6+WeightSDS!R$29*$AG594^5+WeightSDS!S$29*$AG594^4+WeightSDS!T$29*$AG594^3+WeightSDS!U$29*$AG594^2+WeightSDS!V$29*$AG594+WeightSDS!W$29-0.010431*(1-$AG594/210),IF($AG594&lt;123,WeightSDS!M$30*$AG594^10+WeightSDS!N$30*$AG594^9+WeightSDS!O$30*$AG594^8+WeightSDS!P$30*$AG594^7+WeightSDS!Q$30*$AG594^6+WeightSDS!R$30*$AG594^5+WeightSDS!S$30*$AG594^4+WeightSDS!T$30*$AG594^3+WeightSDS!U$30*$AG594^2+WeightSDS!V$30*$AG594+WeightSDS!W$30-0.010431*(1-1/$AG594),WeightSDS!M$32+WeightSDS!N$32/(1+EXP(WeightSDS!O$32+WeightSDS!P$32*$AG594))-0.010431*(1-$AG594/210))))</f>
        <v>2.9500001032655536</v>
      </c>
      <c r="AK594" s="24">
        <f>IF(D594="M",IF($AG594&lt;162,WeightSDS!P$12*$AG594^7+WeightSDS!Q$12*$AG594^6+WeightSDS!R$12*$AG594^5+WeightSDS!S$12*$AG594^4+WeightSDS!T$12*$AG594^3+WeightSDS!U$12*$AG594^2+WeightSDS!V$12*$AG594+WeightSDS!W$12,WeightSDS!P$14*$AG594^7+WeightSDS!Q$14*$AG594^6+WeightSDS!R$14*$AG594^5+WeightSDS!S$14*$AG594^4+WeightSDS!T$14*$AG594^3+WeightSDS!U$14*$AG594^2+WeightSDS!V$14*$AG594+WeightSDS!W$14),IF($AG594&lt;156,WeightSDS!O$17*$AG594^8+WeightSDS!P$17*$AG594^7+WeightSDS!Q$17*$AG594^6+WeightSDS!R$17*$AG594^5+WeightSDS!S$17*$AG594^4+WeightSDS!T$17*$AG594^3+WeightSDS!U$17*$AG594^2+WeightSDS!V$17*$AG594+WeightSDS!W$17,IF($AG594&lt;186,WeightSDS!$U$18+(WeightSDS!$V$18-WeightSDS!$U$18)/24*($AG594-186)+WeightSDS!$W$18*(-$AG594+186)^2-0.005,WeightSDS!$U$18+(WeightSDS!$V$18-WeightSDS!$U$18)/24*($AG594-186)-0.005)))</f>
        <v>0.14604529399999999</v>
      </c>
    </row>
    <row r="595" spans="1:37">
      <c r="A595" s="4"/>
      <c r="B595" s="21"/>
      <c r="C595" s="21"/>
      <c r="D595" s="21"/>
      <c r="E595" s="22"/>
      <c r="F595" s="22"/>
      <c r="G595" s="23"/>
      <c r="H595" s="23"/>
      <c r="I595" s="8" t="str">
        <f t="shared" si="146"/>
        <v/>
      </c>
      <c r="J595" s="2" t="str">
        <f t="shared" si="153"/>
        <v/>
      </c>
      <c r="K595" s="2" t="str">
        <f t="shared" si="147"/>
        <v/>
      </c>
      <c r="L595" s="2" t="str">
        <f t="shared" si="154"/>
        <v/>
      </c>
      <c r="M595" s="2" t="str">
        <f t="shared" si="159"/>
        <v/>
      </c>
      <c r="N595" s="2" t="str">
        <f t="shared" si="155"/>
        <v/>
      </c>
      <c r="O595" s="8" t="str">
        <f t="shared" si="156"/>
        <v/>
      </c>
      <c r="P595" s="8" t="str">
        <f t="shared" si="157"/>
        <v/>
      </c>
      <c r="Q595" s="40" t="str">
        <f t="shared" si="148"/>
        <v/>
      </c>
      <c r="R595" s="48" t="str">
        <f t="shared" si="158"/>
        <v/>
      </c>
      <c r="S595" s="8"/>
      <c r="U595" s="35">
        <f t="shared" si="149"/>
        <v>0</v>
      </c>
      <c r="V595" s="24">
        <f t="shared" si="150"/>
        <v>0</v>
      </c>
      <c r="W595" s="41">
        <f t="shared" si="145"/>
        <v>0</v>
      </c>
      <c r="X595" s="31"/>
      <c r="Y595" s="31"/>
      <c r="Z595" s="31"/>
      <c r="AA595" s="25">
        <f t="shared" si="151"/>
        <v>9.0359999999999996</v>
      </c>
      <c r="AB595" s="25">
        <f t="shared" si="152"/>
        <v>-184.49199999999999</v>
      </c>
      <c r="AD595" s="24">
        <f>IF(D595="M",IF(AG595&lt;78,BMILMS!$D$5*AG595^3+BMILMS!$E$5*AG595^2+BMILMS!$F$5*AG595+BMILMS!$G$5,IF(AG595&lt;150,BMILMS!$D$6*AG595^3+BMILMS!$E$6*AG595^2+BMILMS!$F$6*AG595+BMILMS!$G$6,BMILMS!$D$7*AG595^3+BMILMS!$E$7*AG595^2+BMILMS!$F$7*AG595+BMILMS!$G$7)),IF(AG595&lt;69,BMILMS!$D$9*AG595^3+BMILMS!$E$9*AG595^2+BMILMS!$F$9*AG595+BMILMS!$G$9,IF(AG595&lt;150,BMILMS!$D$10*AG595^3+BMILMS!$E$10*AG595^2+BMILMS!$F$10*AG595+BMILMS!$G$10,BMILMS!$D$11*AG595^3+BMILMS!$E$11*AG595^2+BMILMS!$F$11*AG595+BMILMS!$G$11)))</f>
        <v>0.79584630099999998</v>
      </c>
      <c r="AE595" s="24">
        <f>IF(D595="M",(IF(AG595&lt;2.5,BMILMS!$D$21*AG595^3+BMILMS!$E$21*AG595^2+BMILMS!$F$21*AG595+BMILMS!$G$21,IF(AG595&lt;9.5,BMILMS!$D$22*AG595^3+BMILMS!$E$22*AG595^2+BMILMS!$F$22*AG595+BMILMS!$G$22,IF(AG595&lt;26.75,BMILMS!$D$23*AG595^3+BMILMS!$E$23*AG595^2+BMILMS!$F$23*AG595+BMILMS!$G$23,IF(AG595&lt;90,BMILMS!$D$24*AG595^3+BMILMS!$E$24*AG595^2+BMILMS!$F$24*AG595+BMILMS!$G$24,BMILMS!$D$25*AG595^3+BMILMS!$E$25*AG595^2+BMILMS!$F$25*AG595+BMILMS!$G$25))))),(IF(AG595&lt;2.5,BMILMS!$D$27*AG595^3+BMILMS!$E$27*AG595^2+BMILMS!$F$27*AG595+BMILMS!$G$27,IF(AG595&lt;9.5,BMILMS!$D$28*AG595^3+BMILMS!$E$28*AG595^2+BMILMS!$F$28*AG595+BMILMS!$G$28,IF(AG595&lt;26.75,BMILMS!$D$29*AG595^3+BMILMS!$E$29*AG595^2+BMILMS!$F$29*AG595+BMILMS!$G$29,IF(AG595&lt;90,BMILMS!$D$30*AG595^3+BMILMS!$E$30*AG595^2+BMILMS!$F$30*AG595+BMILMS!$G$30,IF(AG595&lt;150,BMILMS!$D$31*AG595^3+BMILMS!$E$31*AG595^2+BMILMS!$F$31*AG595+BMILMS!$G$31,BMILMS!$D$32*AG595^3+BMILMS!$E$32*AG595^2+BMILMS!$F$32*AG595+BMILMS!$G$32)))))))</f>
        <v>12.568967990000001</v>
      </c>
      <c r="AF595" s="24">
        <f>IF(D595="M",(IF(AG595&lt;90,BMILMS!$D$14*AG595^3+BMILMS!$E$14*AG595^2+BMILMS!$F$14*AG595+BMILMS!$G$14,BMILMS!$D$15*AG595^3+BMILMS!$E$15*AG595^2+BMILMS!$F$15*AG595+BMILMS!$G$15)),(IF(AG595&lt;90,BMILMS!$D$17*AG595^3+BMILMS!$E$17*AG595^2+BMILMS!$F$17*AG595+BMILMS!$G$17,BMILMS!$D$18*AG595^3+BMILMS!$E$18*AG595^2+BMILMS!$F$18*AG595+BMILMS!$G$18)))</f>
        <v>8.8969350000000003E-2</v>
      </c>
      <c r="AG595" s="24">
        <f t="shared" si="160"/>
        <v>0</v>
      </c>
      <c r="AI595" s="38">
        <f>IF(D595="M",WeightSDS!P$5*$AG595^7+WeightSDS!Q$5*$AG595^6+WeightSDS!R$5*$AG595^5+WeightSDS!S$5*$AG595^4+WeightSDS!T$5*$AG595^3+WeightSDS!U$5*$AG595^2+WeightSDS!V$5*$AG595+WeightSDS!W$5,IF($AG595&lt;186,WeightSDS!P$8*$AG595^7+WeightSDS!Q$8*$AG595^6+WeightSDS!R$8*$AG595^5+WeightSDS!S$8*$AG595^4+WeightSDS!T$8*$AG595^3+WeightSDS!U$8*$AG595^2+WeightSDS!V$8*$AG595+WeightSDS!W$8,WeightSDS!$U$9-WeightSDS!$V$9*($AG595-WeightSDS!$W$9)))</f>
        <v>0.75407122999999998</v>
      </c>
      <c r="AJ595" s="24">
        <f>IF(D595="M",IF($AG595&lt;45,WeightSDS!M$23*$AG595^10+WeightSDS!N$23*$AG595^9+WeightSDS!O$23*$AG595^8+WeightSDS!P$23*$AG595^7+WeightSDS!Q$23*$AG595^6+WeightSDS!R$23*$AG595^5+WeightSDS!S$23*$AG595^4+WeightSDS!T$23*$AG595^3+WeightSDS!U$23*$AG595^2+WeightSDS!V$23*$AG595+WeightSDS!W$23,IF($AG595&lt;153,WeightSDS!M$25*$AG595^10+WeightSDS!N$25*$AG595^9+WeightSDS!O$25*$AG595^8+WeightSDS!P$25*$AG595^7+WeightSDS!Q$25*$AG595^6+WeightSDS!R$25*$AG595^5+WeightSDS!S$25*$AG595^4+WeightSDS!T$25*$AG595^3+WeightSDS!U$25*$AG595^2+WeightSDS!V$25*$AG595+WeightSDS!W$25,WeightSDS!M$27+WeightSDS!N$27/(1+EXP(WeightSDS!O$27+WeightSDS!P$27*$AG595)))),IF($AG595&lt;43.8,WeightSDS!M$29*$AG595^10+WeightSDS!N$29*$AG595^9+WeightSDS!O$29*$AG595^8+WeightSDS!P$29*$AG595^7+WeightSDS!Q$29*$AG595^6+WeightSDS!R$29*$AG595^5+WeightSDS!S$29*$AG595^4+WeightSDS!T$29*$AG595^3+WeightSDS!U$29*$AG595^2+WeightSDS!V$29*$AG595+WeightSDS!W$29-0.010431*(1-$AG595/210),IF($AG595&lt;123,WeightSDS!M$30*$AG595^10+WeightSDS!N$30*$AG595^9+WeightSDS!O$30*$AG595^8+WeightSDS!P$30*$AG595^7+WeightSDS!Q$30*$AG595^6+WeightSDS!R$30*$AG595^5+WeightSDS!S$30*$AG595^4+WeightSDS!T$30*$AG595^3+WeightSDS!U$30*$AG595^2+WeightSDS!V$30*$AG595+WeightSDS!W$30-0.010431*(1-1/$AG595),WeightSDS!M$32+WeightSDS!N$32/(1+EXP(WeightSDS!O$32+WeightSDS!P$32*$AG595))-0.010431*(1-$AG595/210))))</f>
        <v>2.9500001032655536</v>
      </c>
      <c r="AK595" s="24">
        <f>IF(D595="M",IF($AG595&lt;162,WeightSDS!P$12*$AG595^7+WeightSDS!Q$12*$AG595^6+WeightSDS!R$12*$AG595^5+WeightSDS!S$12*$AG595^4+WeightSDS!T$12*$AG595^3+WeightSDS!U$12*$AG595^2+WeightSDS!V$12*$AG595+WeightSDS!W$12,WeightSDS!P$14*$AG595^7+WeightSDS!Q$14*$AG595^6+WeightSDS!R$14*$AG595^5+WeightSDS!S$14*$AG595^4+WeightSDS!T$14*$AG595^3+WeightSDS!U$14*$AG595^2+WeightSDS!V$14*$AG595+WeightSDS!W$14),IF($AG595&lt;156,WeightSDS!O$17*$AG595^8+WeightSDS!P$17*$AG595^7+WeightSDS!Q$17*$AG595^6+WeightSDS!R$17*$AG595^5+WeightSDS!S$17*$AG595^4+WeightSDS!T$17*$AG595^3+WeightSDS!U$17*$AG595^2+WeightSDS!V$17*$AG595+WeightSDS!W$17,IF($AG595&lt;186,WeightSDS!$U$18+(WeightSDS!$V$18-WeightSDS!$U$18)/24*($AG595-186)+WeightSDS!$W$18*(-$AG595+186)^2-0.005,WeightSDS!$U$18+(WeightSDS!$V$18-WeightSDS!$U$18)/24*($AG595-186)-0.005)))</f>
        <v>0.14604529399999999</v>
      </c>
    </row>
    <row r="596" spans="1:37">
      <c r="A596" s="4"/>
      <c r="B596" s="21"/>
      <c r="C596" s="21"/>
      <c r="D596" s="21"/>
      <c r="E596" s="22"/>
      <c r="F596" s="22"/>
      <c r="G596" s="23"/>
      <c r="H596" s="23"/>
      <c r="I596" s="8" t="str">
        <f t="shared" si="146"/>
        <v/>
      </c>
      <c r="J596" s="2" t="str">
        <f t="shared" si="153"/>
        <v/>
      </c>
      <c r="K596" s="2" t="str">
        <f t="shared" si="147"/>
        <v/>
      </c>
      <c r="L596" s="2" t="str">
        <f t="shared" si="154"/>
        <v/>
      </c>
      <c r="M596" s="2" t="str">
        <f t="shared" si="159"/>
        <v/>
      </c>
      <c r="N596" s="2" t="str">
        <f t="shared" si="155"/>
        <v/>
      </c>
      <c r="O596" s="8" t="str">
        <f t="shared" si="156"/>
        <v/>
      </c>
      <c r="P596" s="8" t="str">
        <f t="shared" si="157"/>
        <v/>
      </c>
      <c r="Q596" s="40" t="str">
        <f t="shared" si="148"/>
        <v/>
      </c>
      <c r="R596" s="48" t="str">
        <f t="shared" si="158"/>
        <v/>
      </c>
      <c r="S596" s="8"/>
      <c r="U596" s="35">
        <f t="shared" si="149"/>
        <v>0</v>
      </c>
      <c r="V596" s="24">
        <f t="shared" si="150"/>
        <v>0</v>
      </c>
      <c r="W596" s="41">
        <f t="shared" si="145"/>
        <v>0</v>
      </c>
      <c r="X596" s="31"/>
      <c r="Y596" s="31"/>
      <c r="Z596" s="31"/>
      <c r="AA596" s="25">
        <f t="shared" si="151"/>
        <v>9.0359999999999996</v>
      </c>
      <c r="AB596" s="25">
        <f t="shared" si="152"/>
        <v>-184.49199999999999</v>
      </c>
      <c r="AD596" s="24">
        <f>IF(D596="M",IF(AG596&lt;78,BMILMS!$D$5*AG596^3+BMILMS!$E$5*AG596^2+BMILMS!$F$5*AG596+BMILMS!$G$5,IF(AG596&lt;150,BMILMS!$D$6*AG596^3+BMILMS!$E$6*AG596^2+BMILMS!$F$6*AG596+BMILMS!$G$6,BMILMS!$D$7*AG596^3+BMILMS!$E$7*AG596^2+BMILMS!$F$7*AG596+BMILMS!$G$7)),IF(AG596&lt;69,BMILMS!$D$9*AG596^3+BMILMS!$E$9*AG596^2+BMILMS!$F$9*AG596+BMILMS!$G$9,IF(AG596&lt;150,BMILMS!$D$10*AG596^3+BMILMS!$E$10*AG596^2+BMILMS!$F$10*AG596+BMILMS!$G$10,BMILMS!$D$11*AG596^3+BMILMS!$E$11*AG596^2+BMILMS!$F$11*AG596+BMILMS!$G$11)))</f>
        <v>0.79584630099999998</v>
      </c>
      <c r="AE596" s="24">
        <f>IF(D596="M",(IF(AG596&lt;2.5,BMILMS!$D$21*AG596^3+BMILMS!$E$21*AG596^2+BMILMS!$F$21*AG596+BMILMS!$G$21,IF(AG596&lt;9.5,BMILMS!$D$22*AG596^3+BMILMS!$E$22*AG596^2+BMILMS!$F$22*AG596+BMILMS!$G$22,IF(AG596&lt;26.75,BMILMS!$D$23*AG596^3+BMILMS!$E$23*AG596^2+BMILMS!$F$23*AG596+BMILMS!$G$23,IF(AG596&lt;90,BMILMS!$D$24*AG596^3+BMILMS!$E$24*AG596^2+BMILMS!$F$24*AG596+BMILMS!$G$24,BMILMS!$D$25*AG596^3+BMILMS!$E$25*AG596^2+BMILMS!$F$25*AG596+BMILMS!$G$25))))),(IF(AG596&lt;2.5,BMILMS!$D$27*AG596^3+BMILMS!$E$27*AG596^2+BMILMS!$F$27*AG596+BMILMS!$G$27,IF(AG596&lt;9.5,BMILMS!$D$28*AG596^3+BMILMS!$E$28*AG596^2+BMILMS!$F$28*AG596+BMILMS!$G$28,IF(AG596&lt;26.75,BMILMS!$D$29*AG596^3+BMILMS!$E$29*AG596^2+BMILMS!$F$29*AG596+BMILMS!$G$29,IF(AG596&lt;90,BMILMS!$D$30*AG596^3+BMILMS!$E$30*AG596^2+BMILMS!$F$30*AG596+BMILMS!$G$30,IF(AG596&lt;150,BMILMS!$D$31*AG596^3+BMILMS!$E$31*AG596^2+BMILMS!$F$31*AG596+BMILMS!$G$31,BMILMS!$D$32*AG596^3+BMILMS!$E$32*AG596^2+BMILMS!$F$32*AG596+BMILMS!$G$32)))))))</f>
        <v>12.568967990000001</v>
      </c>
      <c r="AF596" s="24">
        <f>IF(D596="M",(IF(AG596&lt;90,BMILMS!$D$14*AG596^3+BMILMS!$E$14*AG596^2+BMILMS!$F$14*AG596+BMILMS!$G$14,BMILMS!$D$15*AG596^3+BMILMS!$E$15*AG596^2+BMILMS!$F$15*AG596+BMILMS!$G$15)),(IF(AG596&lt;90,BMILMS!$D$17*AG596^3+BMILMS!$E$17*AG596^2+BMILMS!$F$17*AG596+BMILMS!$G$17,BMILMS!$D$18*AG596^3+BMILMS!$E$18*AG596^2+BMILMS!$F$18*AG596+BMILMS!$G$18)))</f>
        <v>8.8969350000000003E-2</v>
      </c>
      <c r="AG596" s="24">
        <f t="shared" si="160"/>
        <v>0</v>
      </c>
      <c r="AI596" s="38">
        <f>IF(D596="M",WeightSDS!P$5*$AG596^7+WeightSDS!Q$5*$AG596^6+WeightSDS!R$5*$AG596^5+WeightSDS!S$5*$AG596^4+WeightSDS!T$5*$AG596^3+WeightSDS!U$5*$AG596^2+WeightSDS!V$5*$AG596+WeightSDS!W$5,IF($AG596&lt;186,WeightSDS!P$8*$AG596^7+WeightSDS!Q$8*$AG596^6+WeightSDS!R$8*$AG596^5+WeightSDS!S$8*$AG596^4+WeightSDS!T$8*$AG596^3+WeightSDS!U$8*$AG596^2+WeightSDS!V$8*$AG596+WeightSDS!W$8,WeightSDS!$U$9-WeightSDS!$V$9*($AG596-WeightSDS!$W$9)))</f>
        <v>0.75407122999999998</v>
      </c>
      <c r="AJ596" s="24">
        <f>IF(D596="M",IF($AG596&lt;45,WeightSDS!M$23*$AG596^10+WeightSDS!N$23*$AG596^9+WeightSDS!O$23*$AG596^8+WeightSDS!P$23*$AG596^7+WeightSDS!Q$23*$AG596^6+WeightSDS!R$23*$AG596^5+WeightSDS!S$23*$AG596^4+WeightSDS!T$23*$AG596^3+WeightSDS!U$23*$AG596^2+WeightSDS!V$23*$AG596+WeightSDS!W$23,IF($AG596&lt;153,WeightSDS!M$25*$AG596^10+WeightSDS!N$25*$AG596^9+WeightSDS!O$25*$AG596^8+WeightSDS!P$25*$AG596^7+WeightSDS!Q$25*$AG596^6+WeightSDS!R$25*$AG596^5+WeightSDS!S$25*$AG596^4+WeightSDS!T$25*$AG596^3+WeightSDS!U$25*$AG596^2+WeightSDS!V$25*$AG596+WeightSDS!W$25,WeightSDS!M$27+WeightSDS!N$27/(1+EXP(WeightSDS!O$27+WeightSDS!P$27*$AG596)))),IF($AG596&lt;43.8,WeightSDS!M$29*$AG596^10+WeightSDS!N$29*$AG596^9+WeightSDS!O$29*$AG596^8+WeightSDS!P$29*$AG596^7+WeightSDS!Q$29*$AG596^6+WeightSDS!R$29*$AG596^5+WeightSDS!S$29*$AG596^4+WeightSDS!T$29*$AG596^3+WeightSDS!U$29*$AG596^2+WeightSDS!V$29*$AG596+WeightSDS!W$29-0.010431*(1-$AG596/210),IF($AG596&lt;123,WeightSDS!M$30*$AG596^10+WeightSDS!N$30*$AG596^9+WeightSDS!O$30*$AG596^8+WeightSDS!P$30*$AG596^7+WeightSDS!Q$30*$AG596^6+WeightSDS!R$30*$AG596^5+WeightSDS!S$30*$AG596^4+WeightSDS!T$30*$AG596^3+WeightSDS!U$30*$AG596^2+WeightSDS!V$30*$AG596+WeightSDS!W$30-0.010431*(1-1/$AG596),WeightSDS!M$32+WeightSDS!N$32/(1+EXP(WeightSDS!O$32+WeightSDS!P$32*$AG596))-0.010431*(1-$AG596/210))))</f>
        <v>2.9500001032655536</v>
      </c>
      <c r="AK596" s="24">
        <f>IF(D596="M",IF($AG596&lt;162,WeightSDS!P$12*$AG596^7+WeightSDS!Q$12*$AG596^6+WeightSDS!R$12*$AG596^5+WeightSDS!S$12*$AG596^4+WeightSDS!T$12*$AG596^3+WeightSDS!U$12*$AG596^2+WeightSDS!V$12*$AG596+WeightSDS!W$12,WeightSDS!P$14*$AG596^7+WeightSDS!Q$14*$AG596^6+WeightSDS!R$14*$AG596^5+WeightSDS!S$14*$AG596^4+WeightSDS!T$14*$AG596^3+WeightSDS!U$14*$AG596^2+WeightSDS!V$14*$AG596+WeightSDS!W$14),IF($AG596&lt;156,WeightSDS!O$17*$AG596^8+WeightSDS!P$17*$AG596^7+WeightSDS!Q$17*$AG596^6+WeightSDS!R$17*$AG596^5+WeightSDS!S$17*$AG596^4+WeightSDS!T$17*$AG596^3+WeightSDS!U$17*$AG596^2+WeightSDS!V$17*$AG596+WeightSDS!W$17,IF($AG596&lt;186,WeightSDS!$U$18+(WeightSDS!$V$18-WeightSDS!$U$18)/24*($AG596-186)+WeightSDS!$W$18*(-$AG596+186)^2-0.005,WeightSDS!$U$18+(WeightSDS!$V$18-WeightSDS!$U$18)/24*($AG596-186)-0.005)))</f>
        <v>0.14604529399999999</v>
      </c>
    </row>
    <row r="597" spans="1:37">
      <c r="A597" s="4"/>
      <c r="B597" s="21"/>
      <c r="C597" s="21"/>
      <c r="D597" s="21"/>
      <c r="E597" s="22"/>
      <c r="F597" s="22"/>
      <c r="G597" s="23"/>
      <c r="H597" s="23"/>
      <c r="I597" s="8" t="str">
        <f t="shared" si="146"/>
        <v/>
      </c>
      <c r="J597" s="2" t="str">
        <f t="shared" si="153"/>
        <v/>
      </c>
      <c r="K597" s="2" t="str">
        <f t="shared" si="147"/>
        <v/>
      </c>
      <c r="L597" s="2" t="str">
        <f t="shared" si="154"/>
        <v/>
      </c>
      <c r="M597" s="2" t="str">
        <f t="shared" si="159"/>
        <v/>
      </c>
      <c r="N597" s="2" t="str">
        <f t="shared" si="155"/>
        <v/>
      </c>
      <c r="O597" s="8" t="str">
        <f t="shared" si="156"/>
        <v/>
      </c>
      <c r="P597" s="8" t="str">
        <f t="shared" si="157"/>
        <v/>
      </c>
      <c r="Q597" s="40" t="str">
        <f t="shared" si="148"/>
        <v/>
      </c>
      <c r="R597" s="48" t="str">
        <f t="shared" si="158"/>
        <v/>
      </c>
      <c r="S597" s="8"/>
      <c r="U597" s="35">
        <f t="shared" si="149"/>
        <v>0</v>
      </c>
      <c r="V597" s="24">
        <f t="shared" si="150"/>
        <v>0</v>
      </c>
      <c r="W597" s="41">
        <f t="shared" si="145"/>
        <v>0</v>
      </c>
      <c r="X597" s="31"/>
      <c r="Y597" s="31"/>
      <c r="Z597" s="31"/>
      <c r="AA597" s="25">
        <f t="shared" si="151"/>
        <v>9.0359999999999996</v>
      </c>
      <c r="AB597" s="25">
        <f t="shared" si="152"/>
        <v>-184.49199999999999</v>
      </c>
      <c r="AD597" s="24">
        <f>IF(D597="M",IF(AG597&lt;78,BMILMS!$D$5*AG597^3+BMILMS!$E$5*AG597^2+BMILMS!$F$5*AG597+BMILMS!$G$5,IF(AG597&lt;150,BMILMS!$D$6*AG597^3+BMILMS!$E$6*AG597^2+BMILMS!$F$6*AG597+BMILMS!$G$6,BMILMS!$D$7*AG597^3+BMILMS!$E$7*AG597^2+BMILMS!$F$7*AG597+BMILMS!$G$7)),IF(AG597&lt;69,BMILMS!$D$9*AG597^3+BMILMS!$E$9*AG597^2+BMILMS!$F$9*AG597+BMILMS!$G$9,IF(AG597&lt;150,BMILMS!$D$10*AG597^3+BMILMS!$E$10*AG597^2+BMILMS!$F$10*AG597+BMILMS!$G$10,BMILMS!$D$11*AG597^3+BMILMS!$E$11*AG597^2+BMILMS!$F$11*AG597+BMILMS!$G$11)))</f>
        <v>0.79584630099999998</v>
      </c>
      <c r="AE597" s="24">
        <f>IF(D597="M",(IF(AG597&lt;2.5,BMILMS!$D$21*AG597^3+BMILMS!$E$21*AG597^2+BMILMS!$F$21*AG597+BMILMS!$G$21,IF(AG597&lt;9.5,BMILMS!$D$22*AG597^3+BMILMS!$E$22*AG597^2+BMILMS!$F$22*AG597+BMILMS!$G$22,IF(AG597&lt;26.75,BMILMS!$D$23*AG597^3+BMILMS!$E$23*AG597^2+BMILMS!$F$23*AG597+BMILMS!$G$23,IF(AG597&lt;90,BMILMS!$D$24*AG597^3+BMILMS!$E$24*AG597^2+BMILMS!$F$24*AG597+BMILMS!$G$24,BMILMS!$D$25*AG597^3+BMILMS!$E$25*AG597^2+BMILMS!$F$25*AG597+BMILMS!$G$25))))),(IF(AG597&lt;2.5,BMILMS!$D$27*AG597^3+BMILMS!$E$27*AG597^2+BMILMS!$F$27*AG597+BMILMS!$G$27,IF(AG597&lt;9.5,BMILMS!$D$28*AG597^3+BMILMS!$E$28*AG597^2+BMILMS!$F$28*AG597+BMILMS!$G$28,IF(AG597&lt;26.75,BMILMS!$D$29*AG597^3+BMILMS!$E$29*AG597^2+BMILMS!$F$29*AG597+BMILMS!$G$29,IF(AG597&lt;90,BMILMS!$D$30*AG597^3+BMILMS!$E$30*AG597^2+BMILMS!$F$30*AG597+BMILMS!$G$30,IF(AG597&lt;150,BMILMS!$D$31*AG597^3+BMILMS!$E$31*AG597^2+BMILMS!$F$31*AG597+BMILMS!$G$31,BMILMS!$D$32*AG597^3+BMILMS!$E$32*AG597^2+BMILMS!$F$32*AG597+BMILMS!$G$32)))))))</f>
        <v>12.568967990000001</v>
      </c>
      <c r="AF597" s="24">
        <f>IF(D597="M",(IF(AG597&lt;90,BMILMS!$D$14*AG597^3+BMILMS!$E$14*AG597^2+BMILMS!$F$14*AG597+BMILMS!$G$14,BMILMS!$D$15*AG597^3+BMILMS!$E$15*AG597^2+BMILMS!$F$15*AG597+BMILMS!$G$15)),(IF(AG597&lt;90,BMILMS!$D$17*AG597^3+BMILMS!$E$17*AG597^2+BMILMS!$F$17*AG597+BMILMS!$G$17,BMILMS!$D$18*AG597^3+BMILMS!$E$18*AG597^2+BMILMS!$F$18*AG597+BMILMS!$G$18)))</f>
        <v>8.8969350000000003E-2</v>
      </c>
      <c r="AG597" s="24">
        <f t="shared" si="160"/>
        <v>0</v>
      </c>
      <c r="AI597" s="38">
        <f>IF(D597="M",WeightSDS!P$5*$AG597^7+WeightSDS!Q$5*$AG597^6+WeightSDS!R$5*$AG597^5+WeightSDS!S$5*$AG597^4+WeightSDS!T$5*$AG597^3+WeightSDS!U$5*$AG597^2+WeightSDS!V$5*$AG597+WeightSDS!W$5,IF($AG597&lt;186,WeightSDS!P$8*$AG597^7+WeightSDS!Q$8*$AG597^6+WeightSDS!R$8*$AG597^5+WeightSDS!S$8*$AG597^4+WeightSDS!T$8*$AG597^3+WeightSDS!U$8*$AG597^2+WeightSDS!V$8*$AG597+WeightSDS!W$8,WeightSDS!$U$9-WeightSDS!$V$9*($AG597-WeightSDS!$W$9)))</f>
        <v>0.75407122999999998</v>
      </c>
      <c r="AJ597" s="24">
        <f>IF(D597="M",IF($AG597&lt;45,WeightSDS!M$23*$AG597^10+WeightSDS!N$23*$AG597^9+WeightSDS!O$23*$AG597^8+WeightSDS!P$23*$AG597^7+WeightSDS!Q$23*$AG597^6+WeightSDS!R$23*$AG597^5+WeightSDS!S$23*$AG597^4+WeightSDS!T$23*$AG597^3+WeightSDS!U$23*$AG597^2+WeightSDS!V$23*$AG597+WeightSDS!W$23,IF($AG597&lt;153,WeightSDS!M$25*$AG597^10+WeightSDS!N$25*$AG597^9+WeightSDS!O$25*$AG597^8+WeightSDS!P$25*$AG597^7+WeightSDS!Q$25*$AG597^6+WeightSDS!R$25*$AG597^5+WeightSDS!S$25*$AG597^4+WeightSDS!T$25*$AG597^3+WeightSDS!U$25*$AG597^2+WeightSDS!V$25*$AG597+WeightSDS!W$25,WeightSDS!M$27+WeightSDS!N$27/(1+EXP(WeightSDS!O$27+WeightSDS!P$27*$AG597)))),IF($AG597&lt;43.8,WeightSDS!M$29*$AG597^10+WeightSDS!N$29*$AG597^9+WeightSDS!O$29*$AG597^8+WeightSDS!P$29*$AG597^7+WeightSDS!Q$29*$AG597^6+WeightSDS!R$29*$AG597^5+WeightSDS!S$29*$AG597^4+WeightSDS!T$29*$AG597^3+WeightSDS!U$29*$AG597^2+WeightSDS!V$29*$AG597+WeightSDS!W$29-0.010431*(1-$AG597/210),IF($AG597&lt;123,WeightSDS!M$30*$AG597^10+WeightSDS!N$30*$AG597^9+WeightSDS!O$30*$AG597^8+WeightSDS!P$30*$AG597^7+WeightSDS!Q$30*$AG597^6+WeightSDS!R$30*$AG597^5+WeightSDS!S$30*$AG597^4+WeightSDS!T$30*$AG597^3+WeightSDS!U$30*$AG597^2+WeightSDS!V$30*$AG597+WeightSDS!W$30-0.010431*(1-1/$AG597),WeightSDS!M$32+WeightSDS!N$32/(1+EXP(WeightSDS!O$32+WeightSDS!P$32*$AG597))-0.010431*(1-$AG597/210))))</f>
        <v>2.9500001032655536</v>
      </c>
      <c r="AK597" s="24">
        <f>IF(D597="M",IF($AG597&lt;162,WeightSDS!P$12*$AG597^7+WeightSDS!Q$12*$AG597^6+WeightSDS!R$12*$AG597^5+WeightSDS!S$12*$AG597^4+WeightSDS!T$12*$AG597^3+WeightSDS!U$12*$AG597^2+WeightSDS!V$12*$AG597+WeightSDS!W$12,WeightSDS!P$14*$AG597^7+WeightSDS!Q$14*$AG597^6+WeightSDS!R$14*$AG597^5+WeightSDS!S$14*$AG597^4+WeightSDS!T$14*$AG597^3+WeightSDS!U$14*$AG597^2+WeightSDS!V$14*$AG597+WeightSDS!W$14),IF($AG597&lt;156,WeightSDS!O$17*$AG597^8+WeightSDS!P$17*$AG597^7+WeightSDS!Q$17*$AG597^6+WeightSDS!R$17*$AG597^5+WeightSDS!S$17*$AG597^4+WeightSDS!T$17*$AG597^3+WeightSDS!U$17*$AG597^2+WeightSDS!V$17*$AG597+WeightSDS!W$17,IF($AG597&lt;186,WeightSDS!$U$18+(WeightSDS!$V$18-WeightSDS!$U$18)/24*($AG597-186)+WeightSDS!$W$18*(-$AG597+186)^2-0.005,WeightSDS!$U$18+(WeightSDS!$V$18-WeightSDS!$U$18)/24*($AG597-186)-0.005)))</f>
        <v>0.14604529399999999</v>
      </c>
    </row>
    <row r="598" spans="1:37">
      <c r="A598" s="4"/>
      <c r="B598" s="21"/>
      <c r="C598" s="21"/>
      <c r="D598" s="21"/>
      <c r="E598" s="22"/>
      <c r="F598" s="22"/>
      <c r="G598" s="23"/>
      <c r="H598" s="23"/>
      <c r="I598" s="8" t="str">
        <f t="shared" si="146"/>
        <v/>
      </c>
      <c r="J598" s="2" t="str">
        <f t="shared" si="153"/>
        <v/>
      </c>
      <c r="K598" s="2" t="str">
        <f t="shared" si="147"/>
        <v/>
      </c>
      <c r="L598" s="2" t="str">
        <f t="shared" si="154"/>
        <v/>
      </c>
      <c r="M598" s="2" t="str">
        <f t="shared" si="159"/>
        <v/>
      </c>
      <c r="N598" s="2" t="str">
        <f t="shared" si="155"/>
        <v/>
      </c>
      <c r="O598" s="8" t="str">
        <f t="shared" si="156"/>
        <v/>
      </c>
      <c r="P598" s="8" t="str">
        <f t="shared" si="157"/>
        <v/>
      </c>
      <c r="Q598" s="40" t="str">
        <f t="shared" si="148"/>
        <v/>
      </c>
      <c r="R598" s="48" t="str">
        <f t="shared" si="158"/>
        <v/>
      </c>
      <c r="S598" s="8"/>
      <c r="U598" s="35">
        <f t="shared" si="149"/>
        <v>0</v>
      </c>
      <c r="V598" s="24">
        <f t="shared" si="150"/>
        <v>0</v>
      </c>
      <c r="W598" s="41">
        <f t="shared" si="145"/>
        <v>0</v>
      </c>
      <c r="X598" s="31"/>
      <c r="Y598" s="31"/>
      <c r="Z598" s="31"/>
      <c r="AA598" s="25">
        <f t="shared" si="151"/>
        <v>9.0359999999999996</v>
      </c>
      <c r="AB598" s="25">
        <f t="shared" si="152"/>
        <v>-184.49199999999999</v>
      </c>
      <c r="AD598" s="24">
        <f>IF(D598="M",IF(AG598&lt;78,BMILMS!$D$5*AG598^3+BMILMS!$E$5*AG598^2+BMILMS!$F$5*AG598+BMILMS!$G$5,IF(AG598&lt;150,BMILMS!$D$6*AG598^3+BMILMS!$E$6*AG598^2+BMILMS!$F$6*AG598+BMILMS!$G$6,BMILMS!$D$7*AG598^3+BMILMS!$E$7*AG598^2+BMILMS!$F$7*AG598+BMILMS!$G$7)),IF(AG598&lt;69,BMILMS!$D$9*AG598^3+BMILMS!$E$9*AG598^2+BMILMS!$F$9*AG598+BMILMS!$G$9,IF(AG598&lt;150,BMILMS!$D$10*AG598^3+BMILMS!$E$10*AG598^2+BMILMS!$F$10*AG598+BMILMS!$G$10,BMILMS!$D$11*AG598^3+BMILMS!$E$11*AG598^2+BMILMS!$F$11*AG598+BMILMS!$G$11)))</f>
        <v>0.79584630099999998</v>
      </c>
      <c r="AE598" s="24">
        <f>IF(D598="M",(IF(AG598&lt;2.5,BMILMS!$D$21*AG598^3+BMILMS!$E$21*AG598^2+BMILMS!$F$21*AG598+BMILMS!$G$21,IF(AG598&lt;9.5,BMILMS!$D$22*AG598^3+BMILMS!$E$22*AG598^2+BMILMS!$F$22*AG598+BMILMS!$G$22,IF(AG598&lt;26.75,BMILMS!$D$23*AG598^3+BMILMS!$E$23*AG598^2+BMILMS!$F$23*AG598+BMILMS!$G$23,IF(AG598&lt;90,BMILMS!$D$24*AG598^3+BMILMS!$E$24*AG598^2+BMILMS!$F$24*AG598+BMILMS!$G$24,BMILMS!$D$25*AG598^3+BMILMS!$E$25*AG598^2+BMILMS!$F$25*AG598+BMILMS!$G$25))))),(IF(AG598&lt;2.5,BMILMS!$D$27*AG598^3+BMILMS!$E$27*AG598^2+BMILMS!$F$27*AG598+BMILMS!$G$27,IF(AG598&lt;9.5,BMILMS!$D$28*AG598^3+BMILMS!$E$28*AG598^2+BMILMS!$F$28*AG598+BMILMS!$G$28,IF(AG598&lt;26.75,BMILMS!$D$29*AG598^3+BMILMS!$E$29*AG598^2+BMILMS!$F$29*AG598+BMILMS!$G$29,IF(AG598&lt;90,BMILMS!$D$30*AG598^3+BMILMS!$E$30*AG598^2+BMILMS!$F$30*AG598+BMILMS!$G$30,IF(AG598&lt;150,BMILMS!$D$31*AG598^3+BMILMS!$E$31*AG598^2+BMILMS!$F$31*AG598+BMILMS!$G$31,BMILMS!$D$32*AG598^3+BMILMS!$E$32*AG598^2+BMILMS!$F$32*AG598+BMILMS!$G$32)))))))</f>
        <v>12.568967990000001</v>
      </c>
      <c r="AF598" s="24">
        <f>IF(D598="M",(IF(AG598&lt;90,BMILMS!$D$14*AG598^3+BMILMS!$E$14*AG598^2+BMILMS!$F$14*AG598+BMILMS!$G$14,BMILMS!$D$15*AG598^3+BMILMS!$E$15*AG598^2+BMILMS!$F$15*AG598+BMILMS!$G$15)),(IF(AG598&lt;90,BMILMS!$D$17*AG598^3+BMILMS!$E$17*AG598^2+BMILMS!$F$17*AG598+BMILMS!$G$17,BMILMS!$D$18*AG598^3+BMILMS!$E$18*AG598^2+BMILMS!$F$18*AG598+BMILMS!$G$18)))</f>
        <v>8.8969350000000003E-2</v>
      </c>
      <c r="AG598" s="24">
        <f t="shared" si="160"/>
        <v>0</v>
      </c>
      <c r="AI598" s="38">
        <f>IF(D598="M",WeightSDS!P$5*$AG598^7+WeightSDS!Q$5*$AG598^6+WeightSDS!R$5*$AG598^5+WeightSDS!S$5*$AG598^4+WeightSDS!T$5*$AG598^3+WeightSDS!U$5*$AG598^2+WeightSDS!V$5*$AG598+WeightSDS!W$5,IF($AG598&lt;186,WeightSDS!P$8*$AG598^7+WeightSDS!Q$8*$AG598^6+WeightSDS!R$8*$AG598^5+WeightSDS!S$8*$AG598^4+WeightSDS!T$8*$AG598^3+WeightSDS!U$8*$AG598^2+WeightSDS!V$8*$AG598+WeightSDS!W$8,WeightSDS!$U$9-WeightSDS!$V$9*($AG598-WeightSDS!$W$9)))</f>
        <v>0.75407122999999998</v>
      </c>
      <c r="AJ598" s="24">
        <f>IF(D598="M",IF($AG598&lt;45,WeightSDS!M$23*$AG598^10+WeightSDS!N$23*$AG598^9+WeightSDS!O$23*$AG598^8+WeightSDS!P$23*$AG598^7+WeightSDS!Q$23*$AG598^6+WeightSDS!R$23*$AG598^5+WeightSDS!S$23*$AG598^4+WeightSDS!T$23*$AG598^3+WeightSDS!U$23*$AG598^2+WeightSDS!V$23*$AG598+WeightSDS!W$23,IF($AG598&lt;153,WeightSDS!M$25*$AG598^10+WeightSDS!N$25*$AG598^9+WeightSDS!O$25*$AG598^8+WeightSDS!P$25*$AG598^7+WeightSDS!Q$25*$AG598^6+WeightSDS!R$25*$AG598^5+WeightSDS!S$25*$AG598^4+WeightSDS!T$25*$AG598^3+WeightSDS!U$25*$AG598^2+WeightSDS!V$25*$AG598+WeightSDS!W$25,WeightSDS!M$27+WeightSDS!N$27/(1+EXP(WeightSDS!O$27+WeightSDS!P$27*$AG598)))),IF($AG598&lt;43.8,WeightSDS!M$29*$AG598^10+WeightSDS!N$29*$AG598^9+WeightSDS!O$29*$AG598^8+WeightSDS!P$29*$AG598^7+WeightSDS!Q$29*$AG598^6+WeightSDS!R$29*$AG598^5+WeightSDS!S$29*$AG598^4+WeightSDS!T$29*$AG598^3+WeightSDS!U$29*$AG598^2+WeightSDS!V$29*$AG598+WeightSDS!W$29-0.010431*(1-$AG598/210),IF($AG598&lt;123,WeightSDS!M$30*$AG598^10+WeightSDS!N$30*$AG598^9+WeightSDS!O$30*$AG598^8+WeightSDS!P$30*$AG598^7+WeightSDS!Q$30*$AG598^6+WeightSDS!R$30*$AG598^5+WeightSDS!S$30*$AG598^4+WeightSDS!T$30*$AG598^3+WeightSDS!U$30*$AG598^2+WeightSDS!V$30*$AG598+WeightSDS!W$30-0.010431*(1-1/$AG598),WeightSDS!M$32+WeightSDS!N$32/(1+EXP(WeightSDS!O$32+WeightSDS!P$32*$AG598))-0.010431*(1-$AG598/210))))</f>
        <v>2.9500001032655536</v>
      </c>
      <c r="AK598" s="24">
        <f>IF(D598="M",IF($AG598&lt;162,WeightSDS!P$12*$AG598^7+WeightSDS!Q$12*$AG598^6+WeightSDS!R$12*$AG598^5+WeightSDS!S$12*$AG598^4+WeightSDS!T$12*$AG598^3+WeightSDS!U$12*$AG598^2+WeightSDS!V$12*$AG598+WeightSDS!W$12,WeightSDS!P$14*$AG598^7+WeightSDS!Q$14*$AG598^6+WeightSDS!R$14*$AG598^5+WeightSDS!S$14*$AG598^4+WeightSDS!T$14*$AG598^3+WeightSDS!U$14*$AG598^2+WeightSDS!V$14*$AG598+WeightSDS!W$14),IF($AG598&lt;156,WeightSDS!O$17*$AG598^8+WeightSDS!P$17*$AG598^7+WeightSDS!Q$17*$AG598^6+WeightSDS!R$17*$AG598^5+WeightSDS!S$17*$AG598^4+WeightSDS!T$17*$AG598^3+WeightSDS!U$17*$AG598^2+WeightSDS!V$17*$AG598+WeightSDS!W$17,IF($AG598&lt;186,WeightSDS!$U$18+(WeightSDS!$V$18-WeightSDS!$U$18)/24*($AG598-186)+WeightSDS!$W$18*(-$AG598+186)^2-0.005,WeightSDS!$U$18+(WeightSDS!$V$18-WeightSDS!$U$18)/24*($AG598-186)-0.005)))</f>
        <v>0.14604529399999999</v>
      </c>
    </row>
    <row r="599" spans="1:37">
      <c r="A599" s="4"/>
      <c r="B599" s="21"/>
      <c r="C599" s="21"/>
      <c r="D599" s="21"/>
      <c r="E599" s="22"/>
      <c r="F599" s="22"/>
      <c r="G599" s="23"/>
      <c r="H599" s="23"/>
      <c r="I599" s="8" t="str">
        <f t="shared" si="146"/>
        <v/>
      </c>
      <c r="J599" s="2" t="str">
        <f t="shared" si="153"/>
        <v/>
      </c>
      <c r="K599" s="2" t="str">
        <f t="shared" si="147"/>
        <v/>
      </c>
      <c r="L599" s="2" t="str">
        <f t="shared" si="154"/>
        <v/>
      </c>
      <c r="M599" s="2" t="str">
        <f t="shared" si="159"/>
        <v/>
      </c>
      <c r="N599" s="2" t="str">
        <f t="shared" si="155"/>
        <v/>
      </c>
      <c r="O599" s="8" t="str">
        <f t="shared" si="156"/>
        <v/>
      </c>
      <c r="P599" s="8" t="str">
        <f t="shared" si="157"/>
        <v/>
      </c>
      <c r="Q599" s="40" t="str">
        <f t="shared" si="148"/>
        <v/>
      </c>
      <c r="R599" s="48" t="str">
        <f t="shared" si="158"/>
        <v/>
      </c>
      <c r="S599" s="8"/>
      <c r="U599" s="35">
        <f t="shared" si="149"/>
        <v>0</v>
      </c>
      <c r="V599" s="24">
        <f t="shared" si="150"/>
        <v>0</v>
      </c>
      <c r="W599" s="41">
        <f t="shared" si="145"/>
        <v>0</v>
      </c>
      <c r="X599" s="31"/>
      <c r="Y599" s="31"/>
      <c r="Z599" s="31"/>
      <c r="AA599" s="25">
        <f t="shared" si="151"/>
        <v>9.0359999999999996</v>
      </c>
      <c r="AB599" s="25">
        <f t="shared" si="152"/>
        <v>-184.49199999999999</v>
      </c>
      <c r="AD599" s="24">
        <f>IF(D599="M",IF(AG599&lt;78,BMILMS!$D$5*AG599^3+BMILMS!$E$5*AG599^2+BMILMS!$F$5*AG599+BMILMS!$G$5,IF(AG599&lt;150,BMILMS!$D$6*AG599^3+BMILMS!$E$6*AG599^2+BMILMS!$F$6*AG599+BMILMS!$G$6,BMILMS!$D$7*AG599^3+BMILMS!$E$7*AG599^2+BMILMS!$F$7*AG599+BMILMS!$G$7)),IF(AG599&lt;69,BMILMS!$D$9*AG599^3+BMILMS!$E$9*AG599^2+BMILMS!$F$9*AG599+BMILMS!$G$9,IF(AG599&lt;150,BMILMS!$D$10*AG599^3+BMILMS!$E$10*AG599^2+BMILMS!$F$10*AG599+BMILMS!$G$10,BMILMS!$D$11*AG599^3+BMILMS!$E$11*AG599^2+BMILMS!$F$11*AG599+BMILMS!$G$11)))</f>
        <v>0.79584630099999998</v>
      </c>
      <c r="AE599" s="24">
        <f>IF(D599="M",(IF(AG599&lt;2.5,BMILMS!$D$21*AG599^3+BMILMS!$E$21*AG599^2+BMILMS!$F$21*AG599+BMILMS!$G$21,IF(AG599&lt;9.5,BMILMS!$D$22*AG599^3+BMILMS!$E$22*AG599^2+BMILMS!$F$22*AG599+BMILMS!$G$22,IF(AG599&lt;26.75,BMILMS!$D$23*AG599^3+BMILMS!$E$23*AG599^2+BMILMS!$F$23*AG599+BMILMS!$G$23,IF(AG599&lt;90,BMILMS!$D$24*AG599^3+BMILMS!$E$24*AG599^2+BMILMS!$F$24*AG599+BMILMS!$G$24,BMILMS!$D$25*AG599^3+BMILMS!$E$25*AG599^2+BMILMS!$F$25*AG599+BMILMS!$G$25))))),(IF(AG599&lt;2.5,BMILMS!$D$27*AG599^3+BMILMS!$E$27*AG599^2+BMILMS!$F$27*AG599+BMILMS!$G$27,IF(AG599&lt;9.5,BMILMS!$D$28*AG599^3+BMILMS!$E$28*AG599^2+BMILMS!$F$28*AG599+BMILMS!$G$28,IF(AG599&lt;26.75,BMILMS!$D$29*AG599^3+BMILMS!$E$29*AG599^2+BMILMS!$F$29*AG599+BMILMS!$G$29,IF(AG599&lt;90,BMILMS!$D$30*AG599^3+BMILMS!$E$30*AG599^2+BMILMS!$F$30*AG599+BMILMS!$G$30,IF(AG599&lt;150,BMILMS!$D$31*AG599^3+BMILMS!$E$31*AG599^2+BMILMS!$F$31*AG599+BMILMS!$G$31,BMILMS!$D$32*AG599^3+BMILMS!$E$32*AG599^2+BMILMS!$F$32*AG599+BMILMS!$G$32)))))))</f>
        <v>12.568967990000001</v>
      </c>
      <c r="AF599" s="24">
        <f>IF(D599="M",(IF(AG599&lt;90,BMILMS!$D$14*AG599^3+BMILMS!$E$14*AG599^2+BMILMS!$F$14*AG599+BMILMS!$G$14,BMILMS!$D$15*AG599^3+BMILMS!$E$15*AG599^2+BMILMS!$F$15*AG599+BMILMS!$G$15)),(IF(AG599&lt;90,BMILMS!$D$17*AG599^3+BMILMS!$E$17*AG599^2+BMILMS!$F$17*AG599+BMILMS!$G$17,BMILMS!$D$18*AG599^3+BMILMS!$E$18*AG599^2+BMILMS!$F$18*AG599+BMILMS!$G$18)))</f>
        <v>8.8969350000000003E-2</v>
      </c>
      <c r="AG599" s="24">
        <f t="shared" si="160"/>
        <v>0</v>
      </c>
      <c r="AI599" s="38">
        <f>IF(D599="M",WeightSDS!P$5*$AG599^7+WeightSDS!Q$5*$AG599^6+WeightSDS!R$5*$AG599^5+WeightSDS!S$5*$AG599^4+WeightSDS!T$5*$AG599^3+WeightSDS!U$5*$AG599^2+WeightSDS!V$5*$AG599+WeightSDS!W$5,IF($AG599&lt;186,WeightSDS!P$8*$AG599^7+WeightSDS!Q$8*$AG599^6+WeightSDS!R$8*$AG599^5+WeightSDS!S$8*$AG599^4+WeightSDS!T$8*$AG599^3+WeightSDS!U$8*$AG599^2+WeightSDS!V$8*$AG599+WeightSDS!W$8,WeightSDS!$U$9-WeightSDS!$V$9*($AG599-WeightSDS!$W$9)))</f>
        <v>0.75407122999999998</v>
      </c>
      <c r="AJ599" s="24">
        <f>IF(D599="M",IF($AG599&lt;45,WeightSDS!M$23*$AG599^10+WeightSDS!N$23*$AG599^9+WeightSDS!O$23*$AG599^8+WeightSDS!P$23*$AG599^7+WeightSDS!Q$23*$AG599^6+WeightSDS!R$23*$AG599^5+WeightSDS!S$23*$AG599^4+WeightSDS!T$23*$AG599^3+WeightSDS!U$23*$AG599^2+WeightSDS!V$23*$AG599+WeightSDS!W$23,IF($AG599&lt;153,WeightSDS!M$25*$AG599^10+WeightSDS!N$25*$AG599^9+WeightSDS!O$25*$AG599^8+WeightSDS!P$25*$AG599^7+WeightSDS!Q$25*$AG599^6+WeightSDS!R$25*$AG599^5+WeightSDS!S$25*$AG599^4+WeightSDS!T$25*$AG599^3+WeightSDS!U$25*$AG599^2+WeightSDS!V$25*$AG599+WeightSDS!W$25,WeightSDS!M$27+WeightSDS!N$27/(1+EXP(WeightSDS!O$27+WeightSDS!P$27*$AG599)))),IF($AG599&lt;43.8,WeightSDS!M$29*$AG599^10+WeightSDS!N$29*$AG599^9+WeightSDS!O$29*$AG599^8+WeightSDS!P$29*$AG599^7+WeightSDS!Q$29*$AG599^6+WeightSDS!R$29*$AG599^5+WeightSDS!S$29*$AG599^4+WeightSDS!T$29*$AG599^3+WeightSDS!U$29*$AG599^2+WeightSDS!V$29*$AG599+WeightSDS!W$29-0.010431*(1-$AG599/210),IF($AG599&lt;123,WeightSDS!M$30*$AG599^10+WeightSDS!N$30*$AG599^9+WeightSDS!O$30*$AG599^8+WeightSDS!P$30*$AG599^7+WeightSDS!Q$30*$AG599^6+WeightSDS!R$30*$AG599^5+WeightSDS!S$30*$AG599^4+WeightSDS!T$30*$AG599^3+WeightSDS!U$30*$AG599^2+WeightSDS!V$30*$AG599+WeightSDS!W$30-0.010431*(1-1/$AG599),WeightSDS!M$32+WeightSDS!N$32/(1+EXP(WeightSDS!O$32+WeightSDS!P$32*$AG599))-0.010431*(1-$AG599/210))))</f>
        <v>2.9500001032655536</v>
      </c>
      <c r="AK599" s="24">
        <f>IF(D599="M",IF($AG599&lt;162,WeightSDS!P$12*$AG599^7+WeightSDS!Q$12*$AG599^6+WeightSDS!R$12*$AG599^5+WeightSDS!S$12*$AG599^4+WeightSDS!T$12*$AG599^3+WeightSDS!U$12*$AG599^2+WeightSDS!V$12*$AG599+WeightSDS!W$12,WeightSDS!P$14*$AG599^7+WeightSDS!Q$14*$AG599^6+WeightSDS!R$14*$AG599^5+WeightSDS!S$14*$AG599^4+WeightSDS!T$14*$AG599^3+WeightSDS!U$14*$AG599^2+WeightSDS!V$14*$AG599+WeightSDS!W$14),IF($AG599&lt;156,WeightSDS!O$17*$AG599^8+WeightSDS!P$17*$AG599^7+WeightSDS!Q$17*$AG599^6+WeightSDS!R$17*$AG599^5+WeightSDS!S$17*$AG599^4+WeightSDS!T$17*$AG599^3+WeightSDS!U$17*$AG599^2+WeightSDS!V$17*$AG599+WeightSDS!W$17,IF($AG599&lt;186,WeightSDS!$U$18+(WeightSDS!$V$18-WeightSDS!$U$18)/24*($AG599-186)+WeightSDS!$W$18*(-$AG599+186)^2-0.005,WeightSDS!$U$18+(WeightSDS!$V$18-WeightSDS!$U$18)/24*($AG599-186)-0.005)))</f>
        <v>0.14604529399999999</v>
      </c>
    </row>
    <row r="600" spans="1:37">
      <c r="A600" s="4"/>
      <c r="B600" s="21"/>
      <c r="C600" s="21"/>
      <c r="D600" s="21"/>
      <c r="E600" s="22"/>
      <c r="F600" s="22"/>
      <c r="G600" s="23"/>
      <c r="H600" s="23"/>
      <c r="I600" s="8" t="str">
        <f t="shared" si="146"/>
        <v/>
      </c>
      <c r="J600" s="2" t="str">
        <f t="shared" si="153"/>
        <v/>
      </c>
      <c r="K600" s="2" t="str">
        <f t="shared" si="147"/>
        <v/>
      </c>
      <c r="L600" s="2" t="str">
        <f t="shared" si="154"/>
        <v/>
      </c>
      <c r="M600" s="2" t="str">
        <f t="shared" si="159"/>
        <v/>
      </c>
      <c r="N600" s="2" t="str">
        <f t="shared" si="155"/>
        <v/>
      </c>
      <c r="O600" s="8" t="str">
        <f t="shared" si="156"/>
        <v/>
      </c>
      <c r="P600" s="8" t="str">
        <f t="shared" si="157"/>
        <v/>
      </c>
      <c r="Q600" s="40" t="str">
        <f t="shared" si="148"/>
        <v/>
      </c>
      <c r="R600" s="48" t="str">
        <f t="shared" si="158"/>
        <v/>
      </c>
      <c r="S600" s="8"/>
      <c r="U600" s="35">
        <f t="shared" si="149"/>
        <v>0</v>
      </c>
      <c r="V600" s="24">
        <f t="shared" si="150"/>
        <v>0</v>
      </c>
      <c r="W600" s="41">
        <f t="shared" si="145"/>
        <v>0</v>
      </c>
      <c r="X600" s="31"/>
      <c r="Y600" s="31"/>
      <c r="Z600" s="31"/>
      <c r="AA600" s="25">
        <f t="shared" si="151"/>
        <v>9.0359999999999996</v>
      </c>
      <c r="AB600" s="25">
        <f t="shared" si="152"/>
        <v>-184.49199999999999</v>
      </c>
      <c r="AD600" s="24">
        <f>IF(D600="M",IF(AG600&lt;78,BMILMS!$D$5*AG600^3+BMILMS!$E$5*AG600^2+BMILMS!$F$5*AG600+BMILMS!$G$5,IF(AG600&lt;150,BMILMS!$D$6*AG600^3+BMILMS!$E$6*AG600^2+BMILMS!$F$6*AG600+BMILMS!$G$6,BMILMS!$D$7*AG600^3+BMILMS!$E$7*AG600^2+BMILMS!$F$7*AG600+BMILMS!$G$7)),IF(AG600&lt;69,BMILMS!$D$9*AG600^3+BMILMS!$E$9*AG600^2+BMILMS!$F$9*AG600+BMILMS!$G$9,IF(AG600&lt;150,BMILMS!$D$10*AG600^3+BMILMS!$E$10*AG600^2+BMILMS!$F$10*AG600+BMILMS!$G$10,BMILMS!$D$11*AG600^3+BMILMS!$E$11*AG600^2+BMILMS!$F$11*AG600+BMILMS!$G$11)))</f>
        <v>0.79584630099999998</v>
      </c>
      <c r="AE600" s="24">
        <f>IF(D600="M",(IF(AG600&lt;2.5,BMILMS!$D$21*AG600^3+BMILMS!$E$21*AG600^2+BMILMS!$F$21*AG600+BMILMS!$G$21,IF(AG600&lt;9.5,BMILMS!$D$22*AG600^3+BMILMS!$E$22*AG600^2+BMILMS!$F$22*AG600+BMILMS!$G$22,IF(AG600&lt;26.75,BMILMS!$D$23*AG600^3+BMILMS!$E$23*AG600^2+BMILMS!$F$23*AG600+BMILMS!$G$23,IF(AG600&lt;90,BMILMS!$D$24*AG600^3+BMILMS!$E$24*AG600^2+BMILMS!$F$24*AG600+BMILMS!$G$24,BMILMS!$D$25*AG600^3+BMILMS!$E$25*AG600^2+BMILMS!$F$25*AG600+BMILMS!$G$25))))),(IF(AG600&lt;2.5,BMILMS!$D$27*AG600^3+BMILMS!$E$27*AG600^2+BMILMS!$F$27*AG600+BMILMS!$G$27,IF(AG600&lt;9.5,BMILMS!$D$28*AG600^3+BMILMS!$E$28*AG600^2+BMILMS!$F$28*AG600+BMILMS!$G$28,IF(AG600&lt;26.75,BMILMS!$D$29*AG600^3+BMILMS!$E$29*AG600^2+BMILMS!$F$29*AG600+BMILMS!$G$29,IF(AG600&lt;90,BMILMS!$D$30*AG600^3+BMILMS!$E$30*AG600^2+BMILMS!$F$30*AG600+BMILMS!$G$30,IF(AG600&lt;150,BMILMS!$D$31*AG600^3+BMILMS!$E$31*AG600^2+BMILMS!$F$31*AG600+BMILMS!$G$31,BMILMS!$D$32*AG600^3+BMILMS!$E$32*AG600^2+BMILMS!$F$32*AG600+BMILMS!$G$32)))))))</f>
        <v>12.568967990000001</v>
      </c>
      <c r="AF600" s="24">
        <f>IF(D600="M",(IF(AG600&lt;90,BMILMS!$D$14*AG600^3+BMILMS!$E$14*AG600^2+BMILMS!$F$14*AG600+BMILMS!$G$14,BMILMS!$D$15*AG600^3+BMILMS!$E$15*AG600^2+BMILMS!$F$15*AG600+BMILMS!$G$15)),(IF(AG600&lt;90,BMILMS!$D$17*AG600^3+BMILMS!$E$17*AG600^2+BMILMS!$F$17*AG600+BMILMS!$G$17,BMILMS!$D$18*AG600^3+BMILMS!$E$18*AG600^2+BMILMS!$F$18*AG600+BMILMS!$G$18)))</f>
        <v>8.8969350000000003E-2</v>
      </c>
      <c r="AG600" s="24">
        <f t="shared" si="160"/>
        <v>0</v>
      </c>
      <c r="AI600" s="38">
        <f>IF(D600="M",WeightSDS!P$5*$AG600^7+WeightSDS!Q$5*$AG600^6+WeightSDS!R$5*$AG600^5+WeightSDS!S$5*$AG600^4+WeightSDS!T$5*$AG600^3+WeightSDS!U$5*$AG600^2+WeightSDS!V$5*$AG600+WeightSDS!W$5,IF($AG600&lt;186,WeightSDS!P$8*$AG600^7+WeightSDS!Q$8*$AG600^6+WeightSDS!R$8*$AG600^5+WeightSDS!S$8*$AG600^4+WeightSDS!T$8*$AG600^3+WeightSDS!U$8*$AG600^2+WeightSDS!V$8*$AG600+WeightSDS!W$8,WeightSDS!$U$9-WeightSDS!$V$9*($AG600-WeightSDS!$W$9)))</f>
        <v>0.75407122999999998</v>
      </c>
      <c r="AJ600" s="24">
        <f>IF(D600="M",IF($AG600&lt;45,WeightSDS!M$23*$AG600^10+WeightSDS!N$23*$AG600^9+WeightSDS!O$23*$AG600^8+WeightSDS!P$23*$AG600^7+WeightSDS!Q$23*$AG600^6+WeightSDS!R$23*$AG600^5+WeightSDS!S$23*$AG600^4+WeightSDS!T$23*$AG600^3+WeightSDS!U$23*$AG600^2+WeightSDS!V$23*$AG600+WeightSDS!W$23,IF($AG600&lt;153,WeightSDS!M$25*$AG600^10+WeightSDS!N$25*$AG600^9+WeightSDS!O$25*$AG600^8+WeightSDS!P$25*$AG600^7+WeightSDS!Q$25*$AG600^6+WeightSDS!R$25*$AG600^5+WeightSDS!S$25*$AG600^4+WeightSDS!T$25*$AG600^3+WeightSDS!U$25*$AG600^2+WeightSDS!V$25*$AG600+WeightSDS!W$25,WeightSDS!M$27+WeightSDS!N$27/(1+EXP(WeightSDS!O$27+WeightSDS!P$27*$AG600)))),IF($AG600&lt;43.8,WeightSDS!M$29*$AG600^10+WeightSDS!N$29*$AG600^9+WeightSDS!O$29*$AG600^8+WeightSDS!P$29*$AG600^7+WeightSDS!Q$29*$AG600^6+WeightSDS!R$29*$AG600^5+WeightSDS!S$29*$AG600^4+WeightSDS!T$29*$AG600^3+WeightSDS!U$29*$AG600^2+WeightSDS!V$29*$AG600+WeightSDS!W$29-0.010431*(1-$AG600/210),IF($AG600&lt;123,WeightSDS!M$30*$AG600^10+WeightSDS!N$30*$AG600^9+WeightSDS!O$30*$AG600^8+WeightSDS!P$30*$AG600^7+WeightSDS!Q$30*$AG600^6+WeightSDS!R$30*$AG600^5+WeightSDS!S$30*$AG600^4+WeightSDS!T$30*$AG600^3+WeightSDS!U$30*$AG600^2+WeightSDS!V$30*$AG600+WeightSDS!W$30-0.010431*(1-1/$AG600),WeightSDS!M$32+WeightSDS!N$32/(1+EXP(WeightSDS!O$32+WeightSDS!P$32*$AG600))-0.010431*(1-$AG600/210))))</f>
        <v>2.9500001032655536</v>
      </c>
      <c r="AK600" s="24">
        <f>IF(D600="M",IF($AG600&lt;162,WeightSDS!P$12*$AG600^7+WeightSDS!Q$12*$AG600^6+WeightSDS!R$12*$AG600^5+WeightSDS!S$12*$AG600^4+WeightSDS!T$12*$AG600^3+WeightSDS!U$12*$AG600^2+WeightSDS!V$12*$AG600+WeightSDS!W$12,WeightSDS!P$14*$AG600^7+WeightSDS!Q$14*$AG600^6+WeightSDS!R$14*$AG600^5+WeightSDS!S$14*$AG600^4+WeightSDS!T$14*$AG600^3+WeightSDS!U$14*$AG600^2+WeightSDS!V$14*$AG600+WeightSDS!W$14),IF($AG600&lt;156,WeightSDS!O$17*$AG600^8+WeightSDS!P$17*$AG600^7+WeightSDS!Q$17*$AG600^6+WeightSDS!R$17*$AG600^5+WeightSDS!S$17*$AG600^4+WeightSDS!T$17*$AG600^3+WeightSDS!U$17*$AG600^2+WeightSDS!V$17*$AG600+WeightSDS!W$17,IF($AG600&lt;186,WeightSDS!$U$18+(WeightSDS!$V$18-WeightSDS!$U$18)/24*($AG600-186)+WeightSDS!$W$18*(-$AG600+186)^2-0.005,WeightSDS!$U$18+(WeightSDS!$V$18-WeightSDS!$U$18)/24*($AG600-186)-0.005)))</f>
        <v>0.14604529399999999</v>
      </c>
    </row>
    <row r="601" spans="1:37">
      <c r="A601" s="4"/>
      <c r="B601" s="21"/>
      <c r="C601" s="21"/>
      <c r="D601" s="21"/>
      <c r="E601" s="22"/>
      <c r="F601" s="22"/>
      <c r="G601" s="23"/>
      <c r="H601" s="23"/>
      <c r="I601" s="8" t="str">
        <f t="shared" si="146"/>
        <v/>
      </c>
      <c r="J601" s="2" t="str">
        <f t="shared" si="153"/>
        <v/>
      </c>
      <c r="K601" s="2" t="str">
        <f t="shared" si="147"/>
        <v/>
      </c>
      <c r="L601" s="2" t="str">
        <f t="shared" si="154"/>
        <v/>
      </c>
      <c r="M601" s="2" t="str">
        <f t="shared" si="159"/>
        <v/>
      </c>
      <c r="N601" s="2" t="str">
        <f t="shared" si="155"/>
        <v/>
      </c>
      <c r="O601" s="8" t="str">
        <f t="shared" si="156"/>
        <v/>
      </c>
      <c r="P601" s="8" t="str">
        <f t="shared" si="157"/>
        <v/>
      </c>
      <c r="Q601" s="40" t="str">
        <f t="shared" si="148"/>
        <v/>
      </c>
      <c r="R601" s="48" t="str">
        <f t="shared" si="158"/>
        <v/>
      </c>
      <c r="S601" s="8"/>
      <c r="U601" s="35">
        <f t="shared" si="149"/>
        <v>0</v>
      </c>
      <c r="V601" s="24">
        <f t="shared" si="150"/>
        <v>0</v>
      </c>
      <c r="W601" s="41">
        <f t="shared" si="145"/>
        <v>0</v>
      </c>
      <c r="X601" s="31"/>
      <c r="Y601" s="31"/>
      <c r="Z601" s="31"/>
      <c r="AA601" s="25">
        <f t="shared" si="151"/>
        <v>9.0359999999999996</v>
      </c>
      <c r="AB601" s="25">
        <f t="shared" si="152"/>
        <v>-184.49199999999999</v>
      </c>
      <c r="AD601" s="24">
        <f>IF(D601="M",IF(AG601&lt;78,BMILMS!$D$5*AG601^3+BMILMS!$E$5*AG601^2+BMILMS!$F$5*AG601+BMILMS!$G$5,IF(AG601&lt;150,BMILMS!$D$6*AG601^3+BMILMS!$E$6*AG601^2+BMILMS!$F$6*AG601+BMILMS!$G$6,BMILMS!$D$7*AG601^3+BMILMS!$E$7*AG601^2+BMILMS!$F$7*AG601+BMILMS!$G$7)),IF(AG601&lt;69,BMILMS!$D$9*AG601^3+BMILMS!$E$9*AG601^2+BMILMS!$F$9*AG601+BMILMS!$G$9,IF(AG601&lt;150,BMILMS!$D$10*AG601^3+BMILMS!$E$10*AG601^2+BMILMS!$F$10*AG601+BMILMS!$G$10,BMILMS!$D$11*AG601^3+BMILMS!$E$11*AG601^2+BMILMS!$F$11*AG601+BMILMS!$G$11)))</f>
        <v>0.79584630099999998</v>
      </c>
      <c r="AE601" s="24">
        <f>IF(D601="M",(IF(AG601&lt;2.5,BMILMS!$D$21*AG601^3+BMILMS!$E$21*AG601^2+BMILMS!$F$21*AG601+BMILMS!$G$21,IF(AG601&lt;9.5,BMILMS!$D$22*AG601^3+BMILMS!$E$22*AG601^2+BMILMS!$F$22*AG601+BMILMS!$G$22,IF(AG601&lt;26.75,BMILMS!$D$23*AG601^3+BMILMS!$E$23*AG601^2+BMILMS!$F$23*AG601+BMILMS!$G$23,IF(AG601&lt;90,BMILMS!$D$24*AG601^3+BMILMS!$E$24*AG601^2+BMILMS!$F$24*AG601+BMILMS!$G$24,BMILMS!$D$25*AG601^3+BMILMS!$E$25*AG601^2+BMILMS!$F$25*AG601+BMILMS!$G$25))))),(IF(AG601&lt;2.5,BMILMS!$D$27*AG601^3+BMILMS!$E$27*AG601^2+BMILMS!$F$27*AG601+BMILMS!$G$27,IF(AG601&lt;9.5,BMILMS!$D$28*AG601^3+BMILMS!$E$28*AG601^2+BMILMS!$F$28*AG601+BMILMS!$G$28,IF(AG601&lt;26.75,BMILMS!$D$29*AG601^3+BMILMS!$E$29*AG601^2+BMILMS!$F$29*AG601+BMILMS!$G$29,IF(AG601&lt;90,BMILMS!$D$30*AG601^3+BMILMS!$E$30*AG601^2+BMILMS!$F$30*AG601+BMILMS!$G$30,IF(AG601&lt;150,BMILMS!$D$31*AG601^3+BMILMS!$E$31*AG601^2+BMILMS!$F$31*AG601+BMILMS!$G$31,BMILMS!$D$32*AG601^3+BMILMS!$E$32*AG601^2+BMILMS!$F$32*AG601+BMILMS!$G$32)))))))</f>
        <v>12.568967990000001</v>
      </c>
      <c r="AF601" s="24">
        <f>IF(D601="M",(IF(AG601&lt;90,BMILMS!$D$14*AG601^3+BMILMS!$E$14*AG601^2+BMILMS!$F$14*AG601+BMILMS!$G$14,BMILMS!$D$15*AG601^3+BMILMS!$E$15*AG601^2+BMILMS!$F$15*AG601+BMILMS!$G$15)),(IF(AG601&lt;90,BMILMS!$D$17*AG601^3+BMILMS!$E$17*AG601^2+BMILMS!$F$17*AG601+BMILMS!$G$17,BMILMS!$D$18*AG601^3+BMILMS!$E$18*AG601^2+BMILMS!$F$18*AG601+BMILMS!$G$18)))</f>
        <v>8.8969350000000003E-2</v>
      </c>
      <c r="AG601" s="24">
        <f t="shared" si="160"/>
        <v>0</v>
      </c>
      <c r="AI601" s="38">
        <f>IF(D601="M",WeightSDS!P$5*$AG601^7+WeightSDS!Q$5*$AG601^6+WeightSDS!R$5*$AG601^5+WeightSDS!S$5*$AG601^4+WeightSDS!T$5*$AG601^3+WeightSDS!U$5*$AG601^2+WeightSDS!V$5*$AG601+WeightSDS!W$5,IF($AG601&lt;186,WeightSDS!P$8*$AG601^7+WeightSDS!Q$8*$AG601^6+WeightSDS!R$8*$AG601^5+WeightSDS!S$8*$AG601^4+WeightSDS!T$8*$AG601^3+WeightSDS!U$8*$AG601^2+WeightSDS!V$8*$AG601+WeightSDS!W$8,WeightSDS!$U$9-WeightSDS!$V$9*($AG601-WeightSDS!$W$9)))</f>
        <v>0.75407122999999998</v>
      </c>
      <c r="AJ601" s="24">
        <f>IF(D601="M",IF($AG601&lt;45,WeightSDS!M$23*$AG601^10+WeightSDS!N$23*$AG601^9+WeightSDS!O$23*$AG601^8+WeightSDS!P$23*$AG601^7+WeightSDS!Q$23*$AG601^6+WeightSDS!R$23*$AG601^5+WeightSDS!S$23*$AG601^4+WeightSDS!T$23*$AG601^3+WeightSDS!U$23*$AG601^2+WeightSDS!V$23*$AG601+WeightSDS!W$23,IF($AG601&lt;153,WeightSDS!M$25*$AG601^10+WeightSDS!N$25*$AG601^9+WeightSDS!O$25*$AG601^8+WeightSDS!P$25*$AG601^7+WeightSDS!Q$25*$AG601^6+WeightSDS!R$25*$AG601^5+WeightSDS!S$25*$AG601^4+WeightSDS!T$25*$AG601^3+WeightSDS!U$25*$AG601^2+WeightSDS!V$25*$AG601+WeightSDS!W$25,WeightSDS!M$27+WeightSDS!N$27/(1+EXP(WeightSDS!O$27+WeightSDS!P$27*$AG601)))),IF($AG601&lt;43.8,WeightSDS!M$29*$AG601^10+WeightSDS!N$29*$AG601^9+WeightSDS!O$29*$AG601^8+WeightSDS!P$29*$AG601^7+WeightSDS!Q$29*$AG601^6+WeightSDS!R$29*$AG601^5+WeightSDS!S$29*$AG601^4+WeightSDS!T$29*$AG601^3+WeightSDS!U$29*$AG601^2+WeightSDS!V$29*$AG601+WeightSDS!W$29-0.010431*(1-$AG601/210),IF($AG601&lt;123,WeightSDS!M$30*$AG601^10+WeightSDS!N$30*$AG601^9+WeightSDS!O$30*$AG601^8+WeightSDS!P$30*$AG601^7+WeightSDS!Q$30*$AG601^6+WeightSDS!R$30*$AG601^5+WeightSDS!S$30*$AG601^4+WeightSDS!T$30*$AG601^3+WeightSDS!U$30*$AG601^2+WeightSDS!V$30*$AG601+WeightSDS!W$30-0.010431*(1-1/$AG601),WeightSDS!M$32+WeightSDS!N$32/(1+EXP(WeightSDS!O$32+WeightSDS!P$32*$AG601))-0.010431*(1-$AG601/210))))</f>
        <v>2.9500001032655536</v>
      </c>
      <c r="AK601" s="24">
        <f>IF(D601="M",IF($AG601&lt;162,WeightSDS!P$12*$AG601^7+WeightSDS!Q$12*$AG601^6+WeightSDS!R$12*$AG601^5+WeightSDS!S$12*$AG601^4+WeightSDS!T$12*$AG601^3+WeightSDS!U$12*$AG601^2+WeightSDS!V$12*$AG601+WeightSDS!W$12,WeightSDS!P$14*$AG601^7+WeightSDS!Q$14*$AG601^6+WeightSDS!R$14*$AG601^5+WeightSDS!S$14*$AG601^4+WeightSDS!T$14*$AG601^3+WeightSDS!U$14*$AG601^2+WeightSDS!V$14*$AG601+WeightSDS!W$14),IF($AG601&lt;156,WeightSDS!O$17*$AG601^8+WeightSDS!P$17*$AG601^7+WeightSDS!Q$17*$AG601^6+WeightSDS!R$17*$AG601^5+WeightSDS!S$17*$AG601^4+WeightSDS!T$17*$AG601^3+WeightSDS!U$17*$AG601^2+WeightSDS!V$17*$AG601+WeightSDS!W$17,IF($AG601&lt;186,WeightSDS!$U$18+(WeightSDS!$V$18-WeightSDS!$U$18)/24*($AG601-186)+WeightSDS!$W$18*(-$AG601+186)^2-0.005,WeightSDS!$U$18+(WeightSDS!$V$18-WeightSDS!$U$18)/24*($AG601-186)-0.005)))</f>
        <v>0.14604529399999999</v>
      </c>
    </row>
    <row r="602" spans="1:37">
      <c r="A602" s="4"/>
      <c r="B602" s="21"/>
      <c r="C602" s="21"/>
      <c r="D602" s="21"/>
      <c r="E602" s="22"/>
      <c r="F602" s="22"/>
      <c r="G602" s="23"/>
      <c r="H602" s="23"/>
      <c r="I602" s="8" t="str">
        <f t="shared" si="146"/>
        <v/>
      </c>
      <c r="J602" s="2" t="str">
        <f t="shared" si="153"/>
        <v/>
      </c>
      <c r="K602" s="2" t="str">
        <f t="shared" si="147"/>
        <v/>
      </c>
      <c r="L602" s="2" t="str">
        <f t="shared" si="154"/>
        <v/>
      </c>
      <c r="M602" s="2" t="str">
        <f t="shared" si="159"/>
        <v/>
      </c>
      <c r="N602" s="2" t="str">
        <f t="shared" si="155"/>
        <v/>
      </c>
      <c r="O602" s="8" t="str">
        <f t="shared" si="156"/>
        <v/>
      </c>
      <c r="P602" s="8" t="str">
        <f t="shared" si="157"/>
        <v/>
      </c>
      <c r="Q602" s="40" t="str">
        <f t="shared" si="148"/>
        <v/>
      </c>
      <c r="R602" s="48" t="str">
        <f t="shared" si="158"/>
        <v/>
      </c>
      <c r="S602" s="8"/>
      <c r="U602" s="35">
        <f t="shared" si="149"/>
        <v>0</v>
      </c>
      <c r="V602" s="24">
        <f t="shared" si="150"/>
        <v>0</v>
      </c>
      <c r="W602" s="41">
        <f t="shared" si="145"/>
        <v>0</v>
      </c>
      <c r="X602" s="31"/>
      <c r="Y602" s="31"/>
      <c r="Z602" s="31"/>
      <c r="AA602" s="25">
        <f t="shared" si="151"/>
        <v>9.0359999999999996</v>
      </c>
      <c r="AB602" s="25">
        <f t="shared" si="152"/>
        <v>-184.49199999999999</v>
      </c>
      <c r="AD602" s="24">
        <f>IF(D602="M",IF(AG602&lt;78,BMILMS!$D$5*AG602^3+BMILMS!$E$5*AG602^2+BMILMS!$F$5*AG602+BMILMS!$G$5,IF(AG602&lt;150,BMILMS!$D$6*AG602^3+BMILMS!$E$6*AG602^2+BMILMS!$F$6*AG602+BMILMS!$G$6,BMILMS!$D$7*AG602^3+BMILMS!$E$7*AG602^2+BMILMS!$F$7*AG602+BMILMS!$G$7)),IF(AG602&lt;69,BMILMS!$D$9*AG602^3+BMILMS!$E$9*AG602^2+BMILMS!$F$9*AG602+BMILMS!$G$9,IF(AG602&lt;150,BMILMS!$D$10*AG602^3+BMILMS!$E$10*AG602^2+BMILMS!$F$10*AG602+BMILMS!$G$10,BMILMS!$D$11*AG602^3+BMILMS!$E$11*AG602^2+BMILMS!$F$11*AG602+BMILMS!$G$11)))</f>
        <v>0.79584630099999998</v>
      </c>
      <c r="AE602" s="24">
        <f>IF(D602="M",(IF(AG602&lt;2.5,BMILMS!$D$21*AG602^3+BMILMS!$E$21*AG602^2+BMILMS!$F$21*AG602+BMILMS!$G$21,IF(AG602&lt;9.5,BMILMS!$D$22*AG602^3+BMILMS!$E$22*AG602^2+BMILMS!$F$22*AG602+BMILMS!$G$22,IF(AG602&lt;26.75,BMILMS!$D$23*AG602^3+BMILMS!$E$23*AG602^2+BMILMS!$F$23*AG602+BMILMS!$G$23,IF(AG602&lt;90,BMILMS!$D$24*AG602^3+BMILMS!$E$24*AG602^2+BMILMS!$F$24*AG602+BMILMS!$G$24,BMILMS!$D$25*AG602^3+BMILMS!$E$25*AG602^2+BMILMS!$F$25*AG602+BMILMS!$G$25))))),(IF(AG602&lt;2.5,BMILMS!$D$27*AG602^3+BMILMS!$E$27*AG602^2+BMILMS!$F$27*AG602+BMILMS!$G$27,IF(AG602&lt;9.5,BMILMS!$D$28*AG602^3+BMILMS!$E$28*AG602^2+BMILMS!$F$28*AG602+BMILMS!$G$28,IF(AG602&lt;26.75,BMILMS!$D$29*AG602^3+BMILMS!$E$29*AG602^2+BMILMS!$F$29*AG602+BMILMS!$G$29,IF(AG602&lt;90,BMILMS!$D$30*AG602^3+BMILMS!$E$30*AG602^2+BMILMS!$F$30*AG602+BMILMS!$G$30,IF(AG602&lt;150,BMILMS!$D$31*AG602^3+BMILMS!$E$31*AG602^2+BMILMS!$F$31*AG602+BMILMS!$G$31,BMILMS!$D$32*AG602^3+BMILMS!$E$32*AG602^2+BMILMS!$F$32*AG602+BMILMS!$G$32)))))))</f>
        <v>12.568967990000001</v>
      </c>
      <c r="AF602" s="24">
        <f>IF(D602="M",(IF(AG602&lt;90,BMILMS!$D$14*AG602^3+BMILMS!$E$14*AG602^2+BMILMS!$F$14*AG602+BMILMS!$G$14,BMILMS!$D$15*AG602^3+BMILMS!$E$15*AG602^2+BMILMS!$F$15*AG602+BMILMS!$G$15)),(IF(AG602&lt;90,BMILMS!$D$17*AG602^3+BMILMS!$E$17*AG602^2+BMILMS!$F$17*AG602+BMILMS!$G$17,BMILMS!$D$18*AG602^3+BMILMS!$E$18*AG602^2+BMILMS!$F$18*AG602+BMILMS!$G$18)))</f>
        <v>8.8969350000000003E-2</v>
      </c>
      <c r="AG602" s="24">
        <f t="shared" si="160"/>
        <v>0</v>
      </c>
      <c r="AI602" s="38">
        <f>IF(D602="M",WeightSDS!P$5*$AG602^7+WeightSDS!Q$5*$AG602^6+WeightSDS!R$5*$AG602^5+WeightSDS!S$5*$AG602^4+WeightSDS!T$5*$AG602^3+WeightSDS!U$5*$AG602^2+WeightSDS!V$5*$AG602+WeightSDS!W$5,IF($AG602&lt;186,WeightSDS!P$8*$AG602^7+WeightSDS!Q$8*$AG602^6+WeightSDS!R$8*$AG602^5+WeightSDS!S$8*$AG602^4+WeightSDS!T$8*$AG602^3+WeightSDS!U$8*$AG602^2+WeightSDS!V$8*$AG602+WeightSDS!W$8,WeightSDS!$U$9-WeightSDS!$V$9*($AG602-WeightSDS!$W$9)))</f>
        <v>0.75407122999999998</v>
      </c>
      <c r="AJ602" s="24">
        <f>IF(D602="M",IF($AG602&lt;45,WeightSDS!M$23*$AG602^10+WeightSDS!N$23*$AG602^9+WeightSDS!O$23*$AG602^8+WeightSDS!P$23*$AG602^7+WeightSDS!Q$23*$AG602^6+WeightSDS!R$23*$AG602^5+WeightSDS!S$23*$AG602^4+WeightSDS!T$23*$AG602^3+WeightSDS!U$23*$AG602^2+WeightSDS!V$23*$AG602+WeightSDS!W$23,IF($AG602&lt;153,WeightSDS!M$25*$AG602^10+WeightSDS!N$25*$AG602^9+WeightSDS!O$25*$AG602^8+WeightSDS!P$25*$AG602^7+WeightSDS!Q$25*$AG602^6+WeightSDS!R$25*$AG602^5+WeightSDS!S$25*$AG602^4+WeightSDS!T$25*$AG602^3+WeightSDS!U$25*$AG602^2+WeightSDS!V$25*$AG602+WeightSDS!W$25,WeightSDS!M$27+WeightSDS!N$27/(1+EXP(WeightSDS!O$27+WeightSDS!P$27*$AG602)))),IF($AG602&lt;43.8,WeightSDS!M$29*$AG602^10+WeightSDS!N$29*$AG602^9+WeightSDS!O$29*$AG602^8+WeightSDS!P$29*$AG602^7+WeightSDS!Q$29*$AG602^6+WeightSDS!R$29*$AG602^5+WeightSDS!S$29*$AG602^4+WeightSDS!T$29*$AG602^3+WeightSDS!U$29*$AG602^2+WeightSDS!V$29*$AG602+WeightSDS!W$29-0.010431*(1-$AG602/210),IF($AG602&lt;123,WeightSDS!M$30*$AG602^10+WeightSDS!N$30*$AG602^9+WeightSDS!O$30*$AG602^8+WeightSDS!P$30*$AG602^7+WeightSDS!Q$30*$AG602^6+WeightSDS!R$30*$AG602^5+WeightSDS!S$30*$AG602^4+WeightSDS!T$30*$AG602^3+WeightSDS!U$30*$AG602^2+WeightSDS!V$30*$AG602+WeightSDS!W$30-0.010431*(1-1/$AG602),WeightSDS!M$32+WeightSDS!N$32/(1+EXP(WeightSDS!O$32+WeightSDS!P$32*$AG602))-0.010431*(1-$AG602/210))))</f>
        <v>2.9500001032655536</v>
      </c>
      <c r="AK602" s="24">
        <f>IF(D602="M",IF($AG602&lt;162,WeightSDS!P$12*$AG602^7+WeightSDS!Q$12*$AG602^6+WeightSDS!R$12*$AG602^5+WeightSDS!S$12*$AG602^4+WeightSDS!T$12*$AG602^3+WeightSDS!U$12*$AG602^2+WeightSDS!V$12*$AG602+WeightSDS!W$12,WeightSDS!P$14*$AG602^7+WeightSDS!Q$14*$AG602^6+WeightSDS!R$14*$AG602^5+WeightSDS!S$14*$AG602^4+WeightSDS!T$14*$AG602^3+WeightSDS!U$14*$AG602^2+WeightSDS!V$14*$AG602+WeightSDS!W$14),IF($AG602&lt;156,WeightSDS!O$17*$AG602^8+WeightSDS!P$17*$AG602^7+WeightSDS!Q$17*$AG602^6+WeightSDS!R$17*$AG602^5+WeightSDS!S$17*$AG602^4+WeightSDS!T$17*$AG602^3+WeightSDS!U$17*$AG602^2+WeightSDS!V$17*$AG602+WeightSDS!W$17,IF($AG602&lt;186,WeightSDS!$U$18+(WeightSDS!$V$18-WeightSDS!$U$18)/24*($AG602-186)+WeightSDS!$W$18*(-$AG602+186)^2-0.005,WeightSDS!$U$18+(WeightSDS!$V$18-WeightSDS!$U$18)/24*($AG602-186)-0.005)))</f>
        <v>0.14604529399999999</v>
      </c>
    </row>
    <row r="603" spans="1:37">
      <c r="A603" s="4"/>
      <c r="B603" s="21"/>
      <c r="C603" s="21"/>
      <c r="D603" s="21"/>
      <c r="E603" s="22"/>
      <c r="F603" s="22"/>
      <c r="G603" s="23"/>
      <c r="H603" s="23"/>
      <c r="I603" s="8" t="str">
        <f t="shared" si="146"/>
        <v/>
      </c>
      <c r="J603" s="2" t="str">
        <f t="shared" si="153"/>
        <v/>
      </c>
      <c r="K603" s="2" t="str">
        <f t="shared" si="147"/>
        <v/>
      </c>
      <c r="L603" s="2" t="str">
        <f t="shared" si="154"/>
        <v/>
      </c>
      <c r="M603" s="2" t="str">
        <f t="shared" si="159"/>
        <v/>
      </c>
      <c r="N603" s="2" t="str">
        <f t="shared" si="155"/>
        <v/>
      </c>
      <c r="O603" s="8" t="str">
        <f t="shared" si="156"/>
        <v/>
      </c>
      <c r="P603" s="8" t="str">
        <f t="shared" si="157"/>
        <v/>
      </c>
      <c r="Q603" s="40" t="str">
        <f t="shared" si="148"/>
        <v/>
      </c>
      <c r="R603" s="48" t="str">
        <f t="shared" si="158"/>
        <v/>
      </c>
      <c r="S603" s="8"/>
      <c r="U603" s="35">
        <f t="shared" si="149"/>
        <v>0</v>
      </c>
      <c r="V603" s="24">
        <f t="shared" si="150"/>
        <v>0</v>
      </c>
      <c r="W603" s="41">
        <f t="shared" si="145"/>
        <v>0</v>
      </c>
      <c r="X603" s="31"/>
      <c r="Y603" s="31"/>
      <c r="Z603" s="31"/>
      <c r="AA603" s="25">
        <f t="shared" si="151"/>
        <v>9.0359999999999996</v>
      </c>
      <c r="AB603" s="25">
        <f t="shared" si="152"/>
        <v>-184.49199999999999</v>
      </c>
      <c r="AD603" s="24">
        <f>IF(D603="M",IF(AG603&lt;78,BMILMS!$D$5*AG603^3+BMILMS!$E$5*AG603^2+BMILMS!$F$5*AG603+BMILMS!$G$5,IF(AG603&lt;150,BMILMS!$D$6*AG603^3+BMILMS!$E$6*AG603^2+BMILMS!$F$6*AG603+BMILMS!$G$6,BMILMS!$D$7*AG603^3+BMILMS!$E$7*AG603^2+BMILMS!$F$7*AG603+BMILMS!$G$7)),IF(AG603&lt;69,BMILMS!$D$9*AG603^3+BMILMS!$E$9*AG603^2+BMILMS!$F$9*AG603+BMILMS!$G$9,IF(AG603&lt;150,BMILMS!$D$10*AG603^3+BMILMS!$E$10*AG603^2+BMILMS!$F$10*AG603+BMILMS!$G$10,BMILMS!$D$11*AG603^3+BMILMS!$E$11*AG603^2+BMILMS!$F$11*AG603+BMILMS!$G$11)))</f>
        <v>0.79584630099999998</v>
      </c>
      <c r="AE603" s="24">
        <f>IF(D603="M",(IF(AG603&lt;2.5,BMILMS!$D$21*AG603^3+BMILMS!$E$21*AG603^2+BMILMS!$F$21*AG603+BMILMS!$G$21,IF(AG603&lt;9.5,BMILMS!$D$22*AG603^3+BMILMS!$E$22*AG603^2+BMILMS!$F$22*AG603+BMILMS!$G$22,IF(AG603&lt;26.75,BMILMS!$D$23*AG603^3+BMILMS!$E$23*AG603^2+BMILMS!$F$23*AG603+BMILMS!$G$23,IF(AG603&lt;90,BMILMS!$D$24*AG603^3+BMILMS!$E$24*AG603^2+BMILMS!$F$24*AG603+BMILMS!$G$24,BMILMS!$D$25*AG603^3+BMILMS!$E$25*AG603^2+BMILMS!$F$25*AG603+BMILMS!$G$25))))),(IF(AG603&lt;2.5,BMILMS!$D$27*AG603^3+BMILMS!$E$27*AG603^2+BMILMS!$F$27*AG603+BMILMS!$G$27,IF(AG603&lt;9.5,BMILMS!$D$28*AG603^3+BMILMS!$E$28*AG603^2+BMILMS!$F$28*AG603+BMILMS!$G$28,IF(AG603&lt;26.75,BMILMS!$D$29*AG603^3+BMILMS!$E$29*AG603^2+BMILMS!$F$29*AG603+BMILMS!$G$29,IF(AG603&lt;90,BMILMS!$D$30*AG603^3+BMILMS!$E$30*AG603^2+BMILMS!$F$30*AG603+BMILMS!$G$30,IF(AG603&lt;150,BMILMS!$D$31*AG603^3+BMILMS!$E$31*AG603^2+BMILMS!$F$31*AG603+BMILMS!$G$31,BMILMS!$D$32*AG603^3+BMILMS!$E$32*AG603^2+BMILMS!$F$32*AG603+BMILMS!$G$32)))))))</f>
        <v>12.568967990000001</v>
      </c>
      <c r="AF603" s="24">
        <f>IF(D603="M",(IF(AG603&lt;90,BMILMS!$D$14*AG603^3+BMILMS!$E$14*AG603^2+BMILMS!$F$14*AG603+BMILMS!$G$14,BMILMS!$D$15*AG603^3+BMILMS!$E$15*AG603^2+BMILMS!$F$15*AG603+BMILMS!$G$15)),(IF(AG603&lt;90,BMILMS!$D$17*AG603^3+BMILMS!$E$17*AG603^2+BMILMS!$F$17*AG603+BMILMS!$G$17,BMILMS!$D$18*AG603^3+BMILMS!$E$18*AG603^2+BMILMS!$F$18*AG603+BMILMS!$G$18)))</f>
        <v>8.8969350000000003E-2</v>
      </c>
      <c r="AG603" s="24">
        <f t="shared" si="160"/>
        <v>0</v>
      </c>
      <c r="AI603" s="38">
        <f>IF(D603="M",WeightSDS!P$5*$AG603^7+WeightSDS!Q$5*$AG603^6+WeightSDS!R$5*$AG603^5+WeightSDS!S$5*$AG603^4+WeightSDS!T$5*$AG603^3+WeightSDS!U$5*$AG603^2+WeightSDS!V$5*$AG603+WeightSDS!W$5,IF($AG603&lt;186,WeightSDS!P$8*$AG603^7+WeightSDS!Q$8*$AG603^6+WeightSDS!R$8*$AG603^5+WeightSDS!S$8*$AG603^4+WeightSDS!T$8*$AG603^3+WeightSDS!U$8*$AG603^2+WeightSDS!V$8*$AG603+WeightSDS!W$8,WeightSDS!$U$9-WeightSDS!$V$9*($AG603-WeightSDS!$W$9)))</f>
        <v>0.75407122999999998</v>
      </c>
      <c r="AJ603" s="24">
        <f>IF(D603="M",IF($AG603&lt;45,WeightSDS!M$23*$AG603^10+WeightSDS!N$23*$AG603^9+WeightSDS!O$23*$AG603^8+WeightSDS!P$23*$AG603^7+WeightSDS!Q$23*$AG603^6+WeightSDS!R$23*$AG603^5+WeightSDS!S$23*$AG603^4+WeightSDS!T$23*$AG603^3+WeightSDS!U$23*$AG603^2+WeightSDS!V$23*$AG603+WeightSDS!W$23,IF($AG603&lt;153,WeightSDS!M$25*$AG603^10+WeightSDS!N$25*$AG603^9+WeightSDS!O$25*$AG603^8+WeightSDS!P$25*$AG603^7+WeightSDS!Q$25*$AG603^6+WeightSDS!R$25*$AG603^5+WeightSDS!S$25*$AG603^4+WeightSDS!T$25*$AG603^3+WeightSDS!U$25*$AG603^2+WeightSDS!V$25*$AG603+WeightSDS!W$25,WeightSDS!M$27+WeightSDS!N$27/(1+EXP(WeightSDS!O$27+WeightSDS!P$27*$AG603)))),IF($AG603&lt;43.8,WeightSDS!M$29*$AG603^10+WeightSDS!N$29*$AG603^9+WeightSDS!O$29*$AG603^8+WeightSDS!P$29*$AG603^7+WeightSDS!Q$29*$AG603^6+WeightSDS!R$29*$AG603^5+WeightSDS!S$29*$AG603^4+WeightSDS!T$29*$AG603^3+WeightSDS!U$29*$AG603^2+WeightSDS!V$29*$AG603+WeightSDS!W$29-0.010431*(1-$AG603/210),IF($AG603&lt;123,WeightSDS!M$30*$AG603^10+WeightSDS!N$30*$AG603^9+WeightSDS!O$30*$AG603^8+WeightSDS!P$30*$AG603^7+WeightSDS!Q$30*$AG603^6+WeightSDS!R$30*$AG603^5+WeightSDS!S$30*$AG603^4+WeightSDS!T$30*$AG603^3+WeightSDS!U$30*$AG603^2+WeightSDS!V$30*$AG603+WeightSDS!W$30-0.010431*(1-1/$AG603),WeightSDS!M$32+WeightSDS!N$32/(1+EXP(WeightSDS!O$32+WeightSDS!P$32*$AG603))-0.010431*(1-$AG603/210))))</f>
        <v>2.9500001032655536</v>
      </c>
      <c r="AK603" s="24">
        <f>IF(D603="M",IF($AG603&lt;162,WeightSDS!P$12*$AG603^7+WeightSDS!Q$12*$AG603^6+WeightSDS!R$12*$AG603^5+WeightSDS!S$12*$AG603^4+WeightSDS!T$12*$AG603^3+WeightSDS!U$12*$AG603^2+WeightSDS!V$12*$AG603+WeightSDS!W$12,WeightSDS!P$14*$AG603^7+WeightSDS!Q$14*$AG603^6+WeightSDS!R$14*$AG603^5+WeightSDS!S$14*$AG603^4+WeightSDS!T$14*$AG603^3+WeightSDS!U$14*$AG603^2+WeightSDS!V$14*$AG603+WeightSDS!W$14),IF($AG603&lt;156,WeightSDS!O$17*$AG603^8+WeightSDS!P$17*$AG603^7+WeightSDS!Q$17*$AG603^6+WeightSDS!R$17*$AG603^5+WeightSDS!S$17*$AG603^4+WeightSDS!T$17*$AG603^3+WeightSDS!U$17*$AG603^2+WeightSDS!V$17*$AG603+WeightSDS!W$17,IF($AG603&lt;186,WeightSDS!$U$18+(WeightSDS!$V$18-WeightSDS!$U$18)/24*($AG603-186)+WeightSDS!$W$18*(-$AG603+186)^2-0.005,WeightSDS!$U$18+(WeightSDS!$V$18-WeightSDS!$U$18)/24*($AG603-186)-0.005)))</f>
        <v>0.14604529399999999</v>
      </c>
    </row>
    <row r="604" spans="1:37">
      <c r="A604" s="4"/>
      <c r="B604" s="21"/>
      <c r="C604" s="21"/>
      <c r="D604" s="21"/>
      <c r="E604" s="22"/>
      <c r="F604" s="22"/>
      <c r="G604" s="23"/>
      <c r="H604" s="23"/>
      <c r="I604" s="8" t="str">
        <f t="shared" si="146"/>
        <v/>
      </c>
      <c r="J604" s="2" t="str">
        <f t="shared" si="153"/>
        <v/>
      </c>
      <c r="K604" s="2" t="str">
        <f t="shared" si="147"/>
        <v/>
      </c>
      <c r="L604" s="2" t="str">
        <f t="shared" si="154"/>
        <v/>
      </c>
      <c r="M604" s="2" t="str">
        <f t="shared" si="159"/>
        <v/>
      </c>
      <c r="N604" s="2" t="str">
        <f t="shared" si="155"/>
        <v/>
      </c>
      <c r="O604" s="8" t="str">
        <f t="shared" si="156"/>
        <v/>
      </c>
      <c r="P604" s="8" t="str">
        <f t="shared" si="157"/>
        <v/>
      </c>
      <c r="Q604" s="40" t="str">
        <f t="shared" si="148"/>
        <v/>
      </c>
      <c r="R604" s="48" t="str">
        <f t="shared" si="158"/>
        <v/>
      </c>
      <c r="S604" s="8"/>
      <c r="U604" s="35">
        <f t="shared" si="149"/>
        <v>0</v>
      </c>
      <c r="V604" s="24">
        <f t="shared" si="150"/>
        <v>0</v>
      </c>
      <c r="W604" s="41">
        <f t="shared" si="145"/>
        <v>0</v>
      </c>
      <c r="X604" s="31"/>
      <c r="Y604" s="31"/>
      <c r="Z604" s="31"/>
      <c r="AA604" s="25">
        <f t="shared" si="151"/>
        <v>9.0359999999999996</v>
      </c>
      <c r="AB604" s="25">
        <f t="shared" si="152"/>
        <v>-184.49199999999999</v>
      </c>
      <c r="AD604" s="24">
        <f>IF(D604="M",IF(AG604&lt;78,BMILMS!$D$5*AG604^3+BMILMS!$E$5*AG604^2+BMILMS!$F$5*AG604+BMILMS!$G$5,IF(AG604&lt;150,BMILMS!$D$6*AG604^3+BMILMS!$E$6*AG604^2+BMILMS!$F$6*AG604+BMILMS!$G$6,BMILMS!$D$7*AG604^3+BMILMS!$E$7*AG604^2+BMILMS!$F$7*AG604+BMILMS!$G$7)),IF(AG604&lt;69,BMILMS!$D$9*AG604^3+BMILMS!$E$9*AG604^2+BMILMS!$F$9*AG604+BMILMS!$G$9,IF(AG604&lt;150,BMILMS!$D$10*AG604^3+BMILMS!$E$10*AG604^2+BMILMS!$F$10*AG604+BMILMS!$G$10,BMILMS!$D$11*AG604^3+BMILMS!$E$11*AG604^2+BMILMS!$F$11*AG604+BMILMS!$G$11)))</f>
        <v>0.79584630099999998</v>
      </c>
      <c r="AE604" s="24">
        <f>IF(D604="M",(IF(AG604&lt;2.5,BMILMS!$D$21*AG604^3+BMILMS!$E$21*AG604^2+BMILMS!$F$21*AG604+BMILMS!$G$21,IF(AG604&lt;9.5,BMILMS!$D$22*AG604^3+BMILMS!$E$22*AG604^2+BMILMS!$F$22*AG604+BMILMS!$G$22,IF(AG604&lt;26.75,BMILMS!$D$23*AG604^3+BMILMS!$E$23*AG604^2+BMILMS!$F$23*AG604+BMILMS!$G$23,IF(AG604&lt;90,BMILMS!$D$24*AG604^3+BMILMS!$E$24*AG604^2+BMILMS!$F$24*AG604+BMILMS!$G$24,BMILMS!$D$25*AG604^3+BMILMS!$E$25*AG604^2+BMILMS!$F$25*AG604+BMILMS!$G$25))))),(IF(AG604&lt;2.5,BMILMS!$D$27*AG604^3+BMILMS!$E$27*AG604^2+BMILMS!$F$27*AG604+BMILMS!$G$27,IF(AG604&lt;9.5,BMILMS!$D$28*AG604^3+BMILMS!$E$28*AG604^2+BMILMS!$F$28*AG604+BMILMS!$G$28,IF(AG604&lt;26.75,BMILMS!$D$29*AG604^3+BMILMS!$E$29*AG604^2+BMILMS!$F$29*AG604+BMILMS!$G$29,IF(AG604&lt;90,BMILMS!$D$30*AG604^3+BMILMS!$E$30*AG604^2+BMILMS!$F$30*AG604+BMILMS!$G$30,IF(AG604&lt;150,BMILMS!$D$31*AG604^3+BMILMS!$E$31*AG604^2+BMILMS!$F$31*AG604+BMILMS!$G$31,BMILMS!$D$32*AG604^3+BMILMS!$E$32*AG604^2+BMILMS!$F$32*AG604+BMILMS!$G$32)))))))</f>
        <v>12.568967990000001</v>
      </c>
      <c r="AF604" s="24">
        <f>IF(D604="M",(IF(AG604&lt;90,BMILMS!$D$14*AG604^3+BMILMS!$E$14*AG604^2+BMILMS!$F$14*AG604+BMILMS!$G$14,BMILMS!$D$15*AG604^3+BMILMS!$E$15*AG604^2+BMILMS!$F$15*AG604+BMILMS!$G$15)),(IF(AG604&lt;90,BMILMS!$D$17*AG604^3+BMILMS!$E$17*AG604^2+BMILMS!$F$17*AG604+BMILMS!$G$17,BMILMS!$D$18*AG604^3+BMILMS!$E$18*AG604^2+BMILMS!$F$18*AG604+BMILMS!$G$18)))</f>
        <v>8.8969350000000003E-2</v>
      </c>
      <c r="AG604" s="24">
        <f t="shared" si="160"/>
        <v>0</v>
      </c>
      <c r="AI604" s="38">
        <f>IF(D604="M",WeightSDS!P$5*$AG604^7+WeightSDS!Q$5*$AG604^6+WeightSDS!R$5*$AG604^5+WeightSDS!S$5*$AG604^4+WeightSDS!T$5*$AG604^3+WeightSDS!U$5*$AG604^2+WeightSDS!V$5*$AG604+WeightSDS!W$5,IF($AG604&lt;186,WeightSDS!P$8*$AG604^7+WeightSDS!Q$8*$AG604^6+WeightSDS!R$8*$AG604^5+WeightSDS!S$8*$AG604^4+WeightSDS!T$8*$AG604^3+WeightSDS!U$8*$AG604^2+WeightSDS!V$8*$AG604+WeightSDS!W$8,WeightSDS!$U$9-WeightSDS!$V$9*($AG604-WeightSDS!$W$9)))</f>
        <v>0.75407122999999998</v>
      </c>
      <c r="AJ604" s="24">
        <f>IF(D604="M",IF($AG604&lt;45,WeightSDS!M$23*$AG604^10+WeightSDS!N$23*$AG604^9+WeightSDS!O$23*$AG604^8+WeightSDS!P$23*$AG604^7+WeightSDS!Q$23*$AG604^6+WeightSDS!R$23*$AG604^5+WeightSDS!S$23*$AG604^4+WeightSDS!T$23*$AG604^3+WeightSDS!U$23*$AG604^2+WeightSDS!V$23*$AG604+WeightSDS!W$23,IF($AG604&lt;153,WeightSDS!M$25*$AG604^10+WeightSDS!N$25*$AG604^9+WeightSDS!O$25*$AG604^8+WeightSDS!P$25*$AG604^7+WeightSDS!Q$25*$AG604^6+WeightSDS!R$25*$AG604^5+WeightSDS!S$25*$AG604^4+WeightSDS!T$25*$AG604^3+WeightSDS!U$25*$AG604^2+WeightSDS!V$25*$AG604+WeightSDS!W$25,WeightSDS!M$27+WeightSDS!N$27/(1+EXP(WeightSDS!O$27+WeightSDS!P$27*$AG604)))),IF($AG604&lt;43.8,WeightSDS!M$29*$AG604^10+WeightSDS!N$29*$AG604^9+WeightSDS!O$29*$AG604^8+WeightSDS!P$29*$AG604^7+WeightSDS!Q$29*$AG604^6+WeightSDS!R$29*$AG604^5+WeightSDS!S$29*$AG604^4+WeightSDS!T$29*$AG604^3+WeightSDS!U$29*$AG604^2+WeightSDS!V$29*$AG604+WeightSDS!W$29-0.010431*(1-$AG604/210),IF($AG604&lt;123,WeightSDS!M$30*$AG604^10+WeightSDS!N$30*$AG604^9+WeightSDS!O$30*$AG604^8+WeightSDS!P$30*$AG604^7+WeightSDS!Q$30*$AG604^6+WeightSDS!R$30*$AG604^5+WeightSDS!S$30*$AG604^4+WeightSDS!T$30*$AG604^3+WeightSDS!U$30*$AG604^2+WeightSDS!V$30*$AG604+WeightSDS!W$30-0.010431*(1-1/$AG604),WeightSDS!M$32+WeightSDS!N$32/(1+EXP(WeightSDS!O$32+WeightSDS!P$32*$AG604))-0.010431*(1-$AG604/210))))</f>
        <v>2.9500001032655536</v>
      </c>
      <c r="AK604" s="24">
        <f>IF(D604="M",IF($AG604&lt;162,WeightSDS!P$12*$AG604^7+WeightSDS!Q$12*$AG604^6+WeightSDS!R$12*$AG604^5+WeightSDS!S$12*$AG604^4+WeightSDS!T$12*$AG604^3+WeightSDS!U$12*$AG604^2+WeightSDS!V$12*$AG604+WeightSDS!W$12,WeightSDS!P$14*$AG604^7+WeightSDS!Q$14*$AG604^6+WeightSDS!R$14*$AG604^5+WeightSDS!S$14*$AG604^4+WeightSDS!T$14*$AG604^3+WeightSDS!U$14*$AG604^2+WeightSDS!V$14*$AG604+WeightSDS!W$14),IF($AG604&lt;156,WeightSDS!O$17*$AG604^8+WeightSDS!P$17*$AG604^7+WeightSDS!Q$17*$AG604^6+WeightSDS!R$17*$AG604^5+WeightSDS!S$17*$AG604^4+WeightSDS!T$17*$AG604^3+WeightSDS!U$17*$AG604^2+WeightSDS!V$17*$AG604+WeightSDS!W$17,IF($AG604&lt;186,WeightSDS!$U$18+(WeightSDS!$V$18-WeightSDS!$U$18)/24*($AG604-186)+WeightSDS!$W$18*(-$AG604+186)^2-0.005,WeightSDS!$U$18+(WeightSDS!$V$18-WeightSDS!$U$18)/24*($AG604-186)-0.005)))</f>
        <v>0.14604529399999999</v>
      </c>
    </row>
    <row r="605" spans="1:37">
      <c r="A605" s="4"/>
      <c r="B605" s="21"/>
      <c r="C605" s="21"/>
      <c r="D605" s="21"/>
      <c r="E605" s="22"/>
      <c r="F605" s="22"/>
      <c r="G605" s="23"/>
      <c r="H605" s="23"/>
      <c r="I605" s="8" t="str">
        <f t="shared" si="146"/>
        <v/>
      </c>
      <c r="J605" s="2" t="str">
        <f t="shared" si="153"/>
        <v/>
      </c>
      <c r="K605" s="2" t="str">
        <f t="shared" si="147"/>
        <v/>
      </c>
      <c r="L605" s="2" t="str">
        <f t="shared" si="154"/>
        <v/>
      </c>
      <c r="M605" s="2" t="str">
        <f t="shared" si="159"/>
        <v/>
      </c>
      <c r="N605" s="2" t="str">
        <f t="shared" si="155"/>
        <v/>
      </c>
      <c r="O605" s="8" t="str">
        <f t="shared" si="156"/>
        <v/>
      </c>
      <c r="P605" s="8" t="str">
        <f t="shared" si="157"/>
        <v/>
      </c>
      <c r="Q605" s="40" t="str">
        <f t="shared" si="148"/>
        <v/>
      </c>
      <c r="R605" s="48" t="str">
        <f t="shared" si="158"/>
        <v/>
      </c>
      <c r="S605" s="8"/>
      <c r="U605" s="35">
        <f t="shared" si="149"/>
        <v>0</v>
      </c>
      <c r="V605" s="24">
        <f t="shared" si="150"/>
        <v>0</v>
      </c>
      <c r="W605" s="41">
        <f t="shared" si="145"/>
        <v>0</v>
      </c>
      <c r="X605" s="31"/>
      <c r="Y605" s="31"/>
      <c r="Z605" s="31"/>
      <c r="AA605" s="25">
        <f t="shared" si="151"/>
        <v>9.0359999999999996</v>
      </c>
      <c r="AB605" s="25">
        <f t="shared" si="152"/>
        <v>-184.49199999999999</v>
      </c>
      <c r="AD605" s="24">
        <f>IF(D605="M",IF(AG605&lt;78,BMILMS!$D$5*AG605^3+BMILMS!$E$5*AG605^2+BMILMS!$F$5*AG605+BMILMS!$G$5,IF(AG605&lt;150,BMILMS!$D$6*AG605^3+BMILMS!$E$6*AG605^2+BMILMS!$F$6*AG605+BMILMS!$G$6,BMILMS!$D$7*AG605^3+BMILMS!$E$7*AG605^2+BMILMS!$F$7*AG605+BMILMS!$G$7)),IF(AG605&lt;69,BMILMS!$D$9*AG605^3+BMILMS!$E$9*AG605^2+BMILMS!$F$9*AG605+BMILMS!$G$9,IF(AG605&lt;150,BMILMS!$D$10*AG605^3+BMILMS!$E$10*AG605^2+BMILMS!$F$10*AG605+BMILMS!$G$10,BMILMS!$D$11*AG605^3+BMILMS!$E$11*AG605^2+BMILMS!$F$11*AG605+BMILMS!$G$11)))</f>
        <v>0.79584630099999998</v>
      </c>
      <c r="AE605" s="24">
        <f>IF(D605="M",(IF(AG605&lt;2.5,BMILMS!$D$21*AG605^3+BMILMS!$E$21*AG605^2+BMILMS!$F$21*AG605+BMILMS!$G$21,IF(AG605&lt;9.5,BMILMS!$D$22*AG605^3+BMILMS!$E$22*AG605^2+BMILMS!$F$22*AG605+BMILMS!$G$22,IF(AG605&lt;26.75,BMILMS!$D$23*AG605^3+BMILMS!$E$23*AG605^2+BMILMS!$F$23*AG605+BMILMS!$G$23,IF(AG605&lt;90,BMILMS!$D$24*AG605^3+BMILMS!$E$24*AG605^2+BMILMS!$F$24*AG605+BMILMS!$G$24,BMILMS!$D$25*AG605^3+BMILMS!$E$25*AG605^2+BMILMS!$F$25*AG605+BMILMS!$G$25))))),(IF(AG605&lt;2.5,BMILMS!$D$27*AG605^3+BMILMS!$E$27*AG605^2+BMILMS!$F$27*AG605+BMILMS!$G$27,IF(AG605&lt;9.5,BMILMS!$D$28*AG605^3+BMILMS!$E$28*AG605^2+BMILMS!$F$28*AG605+BMILMS!$G$28,IF(AG605&lt;26.75,BMILMS!$D$29*AG605^3+BMILMS!$E$29*AG605^2+BMILMS!$F$29*AG605+BMILMS!$G$29,IF(AG605&lt;90,BMILMS!$D$30*AG605^3+BMILMS!$E$30*AG605^2+BMILMS!$F$30*AG605+BMILMS!$G$30,IF(AG605&lt;150,BMILMS!$D$31*AG605^3+BMILMS!$E$31*AG605^2+BMILMS!$F$31*AG605+BMILMS!$G$31,BMILMS!$D$32*AG605^3+BMILMS!$E$32*AG605^2+BMILMS!$F$32*AG605+BMILMS!$G$32)))))))</f>
        <v>12.568967990000001</v>
      </c>
      <c r="AF605" s="24">
        <f>IF(D605="M",(IF(AG605&lt;90,BMILMS!$D$14*AG605^3+BMILMS!$E$14*AG605^2+BMILMS!$F$14*AG605+BMILMS!$G$14,BMILMS!$D$15*AG605^3+BMILMS!$E$15*AG605^2+BMILMS!$F$15*AG605+BMILMS!$G$15)),(IF(AG605&lt;90,BMILMS!$D$17*AG605^3+BMILMS!$E$17*AG605^2+BMILMS!$F$17*AG605+BMILMS!$G$17,BMILMS!$D$18*AG605^3+BMILMS!$E$18*AG605^2+BMILMS!$F$18*AG605+BMILMS!$G$18)))</f>
        <v>8.8969350000000003E-2</v>
      </c>
      <c r="AG605" s="24">
        <f t="shared" si="160"/>
        <v>0</v>
      </c>
      <c r="AI605" s="38">
        <f>IF(D605="M",WeightSDS!P$5*$AG605^7+WeightSDS!Q$5*$AG605^6+WeightSDS!R$5*$AG605^5+WeightSDS!S$5*$AG605^4+WeightSDS!T$5*$AG605^3+WeightSDS!U$5*$AG605^2+WeightSDS!V$5*$AG605+WeightSDS!W$5,IF($AG605&lt;186,WeightSDS!P$8*$AG605^7+WeightSDS!Q$8*$AG605^6+WeightSDS!R$8*$AG605^5+WeightSDS!S$8*$AG605^4+WeightSDS!T$8*$AG605^3+WeightSDS!U$8*$AG605^2+WeightSDS!V$8*$AG605+WeightSDS!W$8,WeightSDS!$U$9-WeightSDS!$V$9*($AG605-WeightSDS!$W$9)))</f>
        <v>0.75407122999999998</v>
      </c>
      <c r="AJ605" s="24">
        <f>IF(D605="M",IF($AG605&lt;45,WeightSDS!M$23*$AG605^10+WeightSDS!N$23*$AG605^9+WeightSDS!O$23*$AG605^8+WeightSDS!P$23*$AG605^7+WeightSDS!Q$23*$AG605^6+WeightSDS!R$23*$AG605^5+WeightSDS!S$23*$AG605^4+WeightSDS!T$23*$AG605^3+WeightSDS!U$23*$AG605^2+WeightSDS!V$23*$AG605+WeightSDS!W$23,IF($AG605&lt;153,WeightSDS!M$25*$AG605^10+WeightSDS!N$25*$AG605^9+WeightSDS!O$25*$AG605^8+WeightSDS!P$25*$AG605^7+WeightSDS!Q$25*$AG605^6+WeightSDS!R$25*$AG605^5+WeightSDS!S$25*$AG605^4+WeightSDS!T$25*$AG605^3+WeightSDS!U$25*$AG605^2+WeightSDS!V$25*$AG605+WeightSDS!W$25,WeightSDS!M$27+WeightSDS!N$27/(1+EXP(WeightSDS!O$27+WeightSDS!P$27*$AG605)))),IF($AG605&lt;43.8,WeightSDS!M$29*$AG605^10+WeightSDS!N$29*$AG605^9+WeightSDS!O$29*$AG605^8+WeightSDS!P$29*$AG605^7+WeightSDS!Q$29*$AG605^6+WeightSDS!R$29*$AG605^5+WeightSDS!S$29*$AG605^4+WeightSDS!T$29*$AG605^3+WeightSDS!U$29*$AG605^2+WeightSDS!V$29*$AG605+WeightSDS!W$29-0.010431*(1-$AG605/210),IF($AG605&lt;123,WeightSDS!M$30*$AG605^10+WeightSDS!N$30*$AG605^9+WeightSDS!O$30*$AG605^8+WeightSDS!P$30*$AG605^7+WeightSDS!Q$30*$AG605^6+WeightSDS!R$30*$AG605^5+WeightSDS!S$30*$AG605^4+WeightSDS!T$30*$AG605^3+WeightSDS!U$30*$AG605^2+WeightSDS!V$30*$AG605+WeightSDS!W$30-0.010431*(1-1/$AG605),WeightSDS!M$32+WeightSDS!N$32/(1+EXP(WeightSDS!O$32+WeightSDS!P$32*$AG605))-0.010431*(1-$AG605/210))))</f>
        <v>2.9500001032655536</v>
      </c>
      <c r="AK605" s="24">
        <f>IF(D605="M",IF($AG605&lt;162,WeightSDS!P$12*$AG605^7+WeightSDS!Q$12*$AG605^6+WeightSDS!R$12*$AG605^5+WeightSDS!S$12*$AG605^4+WeightSDS!T$12*$AG605^3+WeightSDS!U$12*$AG605^2+WeightSDS!V$12*$AG605+WeightSDS!W$12,WeightSDS!P$14*$AG605^7+WeightSDS!Q$14*$AG605^6+WeightSDS!R$14*$AG605^5+WeightSDS!S$14*$AG605^4+WeightSDS!T$14*$AG605^3+WeightSDS!U$14*$AG605^2+WeightSDS!V$14*$AG605+WeightSDS!W$14),IF($AG605&lt;156,WeightSDS!O$17*$AG605^8+WeightSDS!P$17*$AG605^7+WeightSDS!Q$17*$AG605^6+WeightSDS!R$17*$AG605^5+WeightSDS!S$17*$AG605^4+WeightSDS!T$17*$AG605^3+WeightSDS!U$17*$AG605^2+WeightSDS!V$17*$AG605+WeightSDS!W$17,IF($AG605&lt;186,WeightSDS!$U$18+(WeightSDS!$V$18-WeightSDS!$U$18)/24*($AG605-186)+WeightSDS!$W$18*(-$AG605+186)^2-0.005,WeightSDS!$U$18+(WeightSDS!$V$18-WeightSDS!$U$18)/24*($AG605-186)-0.005)))</f>
        <v>0.14604529399999999</v>
      </c>
    </row>
    <row r="606" spans="1:37">
      <c r="A606" s="4"/>
      <c r="B606" s="21"/>
      <c r="C606" s="21"/>
      <c r="D606" s="21"/>
      <c r="E606" s="22"/>
      <c r="F606" s="22"/>
      <c r="G606" s="23"/>
      <c r="H606" s="23"/>
      <c r="I606" s="8" t="str">
        <f t="shared" si="146"/>
        <v/>
      </c>
      <c r="J606" s="2" t="str">
        <f t="shared" si="153"/>
        <v/>
      </c>
      <c r="K606" s="2" t="str">
        <f t="shared" si="147"/>
        <v/>
      </c>
      <c r="L606" s="2" t="str">
        <f t="shared" si="154"/>
        <v/>
      </c>
      <c r="M606" s="2" t="str">
        <f t="shared" si="159"/>
        <v/>
      </c>
      <c r="N606" s="2" t="str">
        <f t="shared" si="155"/>
        <v/>
      </c>
      <c r="O606" s="8" t="str">
        <f t="shared" si="156"/>
        <v/>
      </c>
      <c r="P606" s="8" t="str">
        <f t="shared" si="157"/>
        <v/>
      </c>
      <c r="Q606" s="40" t="str">
        <f t="shared" si="148"/>
        <v/>
      </c>
      <c r="R606" s="48" t="str">
        <f t="shared" si="158"/>
        <v/>
      </c>
      <c r="S606" s="8"/>
      <c r="U606" s="35">
        <f t="shared" si="149"/>
        <v>0</v>
      </c>
      <c r="V606" s="24">
        <f t="shared" si="150"/>
        <v>0</v>
      </c>
      <c r="W606" s="41">
        <f t="shared" ref="W606:W669" si="161">DATEDIF(E606,F606,"Y")+(F606-(DATE(YEAR(E606)+DATEDIF(E606,F606,"Y"),MONTH(E606),DAY(E606))))/(365+IF(MOD(YEAR((DATE(YEAR(F606)-1,MONTH(E606),DAY(E606)))),4)=0,IF((DATE(YEAR(F606)-1,MONTH(E606),DAY(E606)))&gt;DATE(YEAR((DATE(YEAR(F606)-1,MONTH(E606),DAY(E606)))),2,29),0,1),0)+IF(MOD(YEAR(F606),4)=0,IF(F606&gt;DATE(YEAR(F606),2,29),1,0),0))</f>
        <v>0</v>
      </c>
      <c r="X606" s="31"/>
      <c r="Y606" s="31"/>
      <c r="Z606" s="31"/>
      <c r="AA606" s="25">
        <f t="shared" si="151"/>
        <v>9.0359999999999996</v>
      </c>
      <c r="AB606" s="25">
        <f t="shared" si="152"/>
        <v>-184.49199999999999</v>
      </c>
      <c r="AD606" s="24">
        <f>IF(D606="M",IF(AG606&lt;78,BMILMS!$D$5*AG606^3+BMILMS!$E$5*AG606^2+BMILMS!$F$5*AG606+BMILMS!$G$5,IF(AG606&lt;150,BMILMS!$D$6*AG606^3+BMILMS!$E$6*AG606^2+BMILMS!$F$6*AG606+BMILMS!$G$6,BMILMS!$D$7*AG606^3+BMILMS!$E$7*AG606^2+BMILMS!$F$7*AG606+BMILMS!$G$7)),IF(AG606&lt;69,BMILMS!$D$9*AG606^3+BMILMS!$E$9*AG606^2+BMILMS!$F$9*AG606+BMILMS!$G$9,IF(AG606&lt;150,BMILMS!$D$10*AG606^3+BMILMS!$E$10*AG606^2+BMILMS!$F$10*AG606+BMILMS!$G$10,BMILMS!$D$11*AG606^3+BMILMS!$E$11*AG606^2+BMILMS!$F$11*AG606+BMILMS!$G$11)))</f>
        <v>0.79584630099999998</v>
      </c>
      <c r="AE606" s="24">
        <f>IF(D606="M",(IF(AG606&lt;2.5,BMILMS!$D$21*AG606^3+BMILMS!$E$21*AG606^2+BMILMS!$F$21*AG606+BMILMS!$G$21,IF(AG606&lt;9.5,BMILMS!$D$22*AG606^3+BMILMS!$E$22*AG606^2+BMILMS!$F$22*AG606+BMILMS!$G$22,IF(AG606&lt;26.75,BMILMS!$D$23*AG606^3+BMILMS!$E$23*AG606^2+BMILMS!$F$23*AG606+BMILMS!$G$23,IF(AG606&lt;90,BMILMS!$D$24*AG606^3+BMILMS!$E$24*AG606^2+BMILMS!$F$24*AG606+BMILMS!$G$24,BMILMS!$D$25*AG606^3+BMILMS!$E$25*AG606^2+BMILMS!$F$25*AG606+BMILMS!$G$25))))),(IF(AG606&lt;2.5,BMILMS!$D$27*AG606^3+BMILMS!$E$27*AG606^2+BMILMS!$F$27*AG606+BMILMS!$G$27,IF(AG606&lt;9.5,BMILMS!$D$28*AG606^3+BMILMS!$E$28*AG606^2+BMILMS!$F$28*AG606+BMILMS!$G$28,IF(AG606&lt;26.75,BMILMS!$D$29*AG606^3+BMILMS!$E$29*AG606^2+BMILMS!$F$29*AG606+BMILMS!$G$29,IF(AG606&lt;90,BMILMS!$D$30*AG606^3+BMILMS!$E$30*AG606^2+BMILMS!$F$30*AG606+BMILMS!$G$30,IF(AG606&lt;150,BMILMS!$D$31*AG606^3+BMILMS!$E$31*AG606^2+BMILMS!$F$31*AG606+BMILMS!$G$31,BMILMS!$D$32*AG606^3+BMILMS!$E$32*AG606^2+BMILMS!$F$32*AG606+BMILMS!$G$32)))))))</f>
        <v>12.568967990000001</v>
      </c>
      <c r="AF606" s="24">
        <f>IF(D606="M",(IF(AG606&lt;90,BMILMS!$D$14*AG606^3+BMILMS!$E$14*AG606^2+BMILMS!$F$14*AG606+BMILMS!$G$14,BMILMS!$D$15*AG606^3+BMILMS!$E$15*AG606^2+BMILMS!$F$15*AG606+BMILMS!$G$15)),(IF(AG606&lt;90,BMILMS!$D$17*AG606^3+BMILMS!$E$17*AG606^2+BMILMS!$F$17*AG606+BMILMS!$G$17,BMILMS!$D$18*AG606^3+BMILMS!$E$18*AG606^2+BMILMS!$F$18*AG606+BMILMS!$G$18)))</f>
        <v>8.8969350000000003E-2</v>
      </c>
      <c r="AG606" s="24">
        <f t="shared" si="160"/>
        <v>0</v>
      </c>
      <c r="AI606" s="38">
        <f>IF(D606="M",WeightSDS!P$5*$AG606^7+WeightSDS!Q$5*$AG606^6+WeightSDS!R$5*$AG606^5+WeightSDS!S$5*$AG606^4+WeightSDS!T$5*$AG606^3+WeightSDS!U$5*$AG606^2+WeightSDS!V$5*$AG606+WeightSDS!W$5,IF($AG606&lt;186,WeightSDS!P$8*$AG606^7+WeightSDS!Q$8*$AG606^6+WeightSDS!R$8*$AG606^5+WeightSDS!S$8*$AG606^4+WeightSDS!T$8*$AG606^3+WeightSDS!U$8*$AG606^2+WeightSDS!V$8*$AG606+WeightSDS!W$8,WeightSDS!$U$9-WeightSDS!$V$9*($AG606-WeightSDS!$W$9)))</f>
        <v>0.75407122999999998</v>
      </c>
      <c r="AJ606" s="24">
        <f>IF(D606="M",IF($AG606&lt;45,WeightSDS!M$23*$AG606^10+WeightSDS!N$23*$AG606^9+WeightSDS!O$23*$AG606^8+WeightSDS!P$23*$AG606^7+WeightSDS!Q$23*$AG606^6+WeightSDS!R$23*$AG606^5+WeightSDS!S$23*$AG606^4+WeightSDS!T$23*$AG606^3+WeightSDS!U$23*$AG606^2+WeightSDS!V$23*$AG606+WeightSDS!W$23,IF($AG606&lt;153,WeightSDS!M$25*$AG606^10+WeightSDS!N$25*$AG606^9+WeightSDS!O$25*$AG606^8+WeightSDS!P$25*$AG606^7+WeightSDS!Q$25*$AG606^6+WeightSDS!R$25*$AG606^5+WeightSDS!S$25*$AG606^4+WeightSDS!T$25*$AG606^3+WeightSDS!U$25*$AG606^2+WeightSDS!V$25*$AG606+WeightSDS!W$25,WeightSDS!M$27+WeightSDS!N$27/(1+EXP(WeightSDS!O$27+WeightSDS!P$27*$AG606)))),IF($AG606&lt;43.8,WeightSDS!M$29*$AG606^10+WeightSDS!N$29*$AG606^9+WeightSDS!O$29*$AG606^8+WeightSDS!P$29*$AG606^7+WeightSDS!Q$29*$AG606^6+WeightSDS!R$29*$AG606^5+WeightSDS!S$29*$AG606^4+WeightSDS!T$29*$AG606^3+WeightSDS!U$29*$AG606^2+WeightSDS!V$29*$AG606+WeightSDS!W$29-0.010431*(1-$AG606/210),IF($AG606&lt;123,WeightSDS!M$30*$AG606^10+WeightSDS!N$30*$AG606^9+WeightSDS!O$30*$AG606^8+WeightSDS!P$30*$AG606^7+WeightSDS!Q$30*$AG606^6+WeightSDS!R$30*$AG606^5+WeightSDS!S$30*$AG606^4+WeightSDS!T$30*$AG606^3+WeightSDS!U$30*$AG606^2+WeightSDS!V$30*$AG606+WeightSDS!W$30-0.010431*(1-1/$AG606),WeightSDS!M$32+WeightSDS!N$32/(1+EXP(WeightSDS!O$32+WeightSDS!P$32*$AG606))-0.010431*(1-$AG606/210))))</f>
        <v>2.9500001032655536</v>
      </c>
      <c r="AK606" s="24">
        <f>IF(D606="M",IF($AG606&lt;162,WeightSDS!P$12*$AG606^7+WeightSDS!Q$12*$AG606^6+WeightSDS!R$12*$AG606^5+WeightSDS!S$12*$AG606^4+WeightSDS!T$12*$AG606^3+WeightSDS!U$12*$AG606^2+WeightSDS!V$12*$AG606+WeightSDS!W$12,WeightSDS!P$14*$AG606^7+WeightSDS!Q$14*$AG606^6+WeightSDS!R$14*$AG606^5+WeightSDS!S$14*$AG606^4+WeightSDS!T$14*$AG606^3+WeightSDS!U$14*$AG606^2+WeightSDS!V$14*$AG606+WeightSDS!W$14),IF($AG606&lt;156,WeightSDS!O$17*$AG606^8+WeightSDS!P$17*$AG606^7+WeightSDS!Q$17*$AG606^6+WeightSDS!R$17*$AG606^5+WeightSDS!S$17*$AG606^4+WeightSDS!T$17*$AG606^3+WeightSDS!U$17*$AG606^2+WeightSDS!V$17*$AG606+WeightSDS!W$17,IF($AG606&lt;186,WeightSDS!$U$18+(WeightSDS!$V$18-WeightSDS!$U$18)/24*($AG606-186)+WeightSDS!$W$18*(-$AG606+186)^2-0.005,WeightSDS!$U$18+(WeightSDS!$V$18-WeightSDS!$U$18)/24*($AG606-186)-0.005)))</f>
        <v>0.14604529399999999</v>
      </c>
    </row>
    <row r="607" spans="1:37">
      <c r="A607" s="4"/>
      <c r="B607" s="21"/>
      <c r="C607" s="21"/>
      <c r="D607" s="21"/>
      <c r="E607" s="22"/>
      <c r="F607" s="22"/>
      <c r="G607" s="23"/>
      <c r="H607" s="23"/>
      <c r="I607" s="8" t="str">
        <f t="shared" si="146"/>
        <v/>
      </c>
      <c r="J607" s="2" t="str">
        <f t="shared" si="153"/>
        <v/>
      </c>
      <c r="K607" s="2" t="str">
        <f t="shared" si="147"/>
        <v/>
      </c>
      <c r="L607" s="2" t="str">
        <f t="shared" si="154"/>
        <v/>
      </c>
      <c r="M607" s="2" t="str">
        <f t="shared" si="159"/>
        <v/>
      </c>
      <c r="N607" s="2" t="str">
        <f t="shared" si="155"/>
        <v/>
      </c>
      <c r="O607" s="8" t="str">
        <f t="shared" si="156"/>
        <v/>
      </c>
      <c r="P607" s="8" t="str">
        <f t="shared" si="157"/>
        <v/>
      </c>
      <c r="Q607" s="40" t="str">
        <f t="shared" si="148"/>
        <v/>
      </c>
      <c r="R607" s="48" t="str">
        <f t="shared" si="158"/>
        <v/>
      </c>
      <c r="S607" s="8"/>
      <c r="U607" s="35">
        <f t="shared" si="149"/>
        <v>0</v>
      </c>
      <c r="V607" s="24">
        <f t="shared" si="150"/>
        <v>0</v>
      </c>
      <c r="W607" s="41">
        <f t="shared" si="161"/>
        <v>0</v>
      </c>
      <c r="X607" s="31"/>
      <c r="Y607" s="31"/>
      <c r="Z607" s="31"/>
      <c r="AA607" s="25">
        <f t="shared" si="151"/>
        <v>9.0359999999999996</v>
      </c>
      <c r="AB607" s="25">
        <f t="shared" si="152"/>
        <v>-184.49199999999999</v>
      </c>
      <c r="AD607" s="24">
        <f>IF(D607="M",IF(AG607&lt;78,BMILMS!$D$5*AG607^3+BMILMS!$E$5*AG607^2+BMILMS!$F$5*AG607+BMILMS!$G$5,IF(AG607&lt;150,BMILMS!$D$6*AG607^3+BMILMS!$E$6*AG607^2+BMILMS!$F$6*AG607+BMILMS!$G$6,BMILMS!$D$7*AG607^3+BMILMS!$E$7*AG607^2+BMILMS!$F$7*AG607+BMILMS!$G$7)),IF(AG607&lt;69,BMILMS!$D$9*AG607^3+BMILMS!$E$9*AG607^2+BMILMS!$F$9*AG607+BMILMS!$G$9,IF(AG607&lt;150,BMILMS!$D$10*AG607^3+BMILMS!$E$10*AG607^2+BMILMS!$F$10*AG607+BMILMS!$G$10,BMILMS!$D$11*AG607^3+BMILMS!$E$11*AG607^2+BMILMS!$F$11*AG607+BMILMS!$G$11)))</f>
        <v>0.79584630099999998</v>
      </c>
      <c r="AE607" s="24">
        <f>IF(D607="M",(IF(AG607&lt;2.5,BMILMS!$D$21*AG607^3+BMILMS!$E$21*AG607^2+BMILMS!$F$21*AG607+BMILMS!$G$21,IF(AG607&lt;9.5,BMILMS!$D$22*AG607^3+BMILMS!$E$22*AG607^2+BMILMS!$F$22*AG607+BMILMS!$G$22,IF(AG607&lt;26.75,BMILMS!$D$23*AG607^3+BMILMS!$E$23*AG607^2+BMILMS!$F$23*AG607+BMILMS!$G$23,IF(AG607&lt;90,BMILMS!$D$24*AG607^3+BMILMS!$E$24*AG607^2+BMILMS!$F$24*AG607+BMILMS!$G$24,BMILMS!$D$25*AG607^3+BMILMS!$E$25*AG607^2+BMILMS!$F$25*AG607+BMILMS!$G$25))))),(IF(AG607&lt;2.5,BMILMS!$D$27*AG607^3+BMILMS!$E$27*AG607^2+BMILMS!$F$27*AG607+BMILMS!$G$27,IF(AG607&lt;9.5,BMILMS!$D$28*AG607^3+BMILMS!$E$28*AG607^2+BMILMS!$F$28*AG607+BMILMS!$G$28,IF(AG607&lt;26.75,BMILMS!$D$29*AG607^3+BMILMS!$E$29*AG607^2+BMILMS!$F$29*AG607+BMILMS!$G$29,IF(AG607&lt;90,BMILMS!$D$30*AG607^3+BMILMS!$E$30*AG607^2+BMILMS!$F$30*AG607+BMILMS!$G$30,IF(AG607&lt;150,BMILMS!$D$31*AG607^3+BMILMS!$E$31*AG607^2+BMILMS!$F$31*AG607+BMILMS!$G$31,BMILMS!$D$32*AG607^3+BMILMS!$E$32*AG607^2+BMILMS!$F$32*AG607+BMILMS!$G$32)))))))</f>
        <v>12.568967990000001</v>
      </c>
      <c r="AF607" s="24">
        <f>IF(D607="M",(IF(AG607&lt;90,BMILMS!$D$14*AG607^3+BMILMS!$E$14*AG607^2+BMILMS!$F$14*AG607+BMILMS!$G$14,BMILMS!$D$15*AG607^3+BMILMS!$E$15*AG607^2+BMILMS!$F$15*AG607+BMILMS!$G$15)),(IF(AG607&lt;90,BMILMS!$D$17*AG607^3+BMILMS!$E$17*AG607^2+BMILMS!$F$17*AG607+BMILMS!$G$17,BMILMS!$D$18*AG607^3+BMILMS!$E$18*AG607^2+BMILMS!$F$18*AG607+BMILMS!$G$18)))</f>
        <v>8.8969350000000003E-2</v>
      </c>
      <c r="AG607" s="24">
        <f t="shared" si="160"/>
        <v>0</v>
      </c>
      <c r="AI607" s="38">
        <f>IF(D607="M",WeightSDS!P$5*$AG607^7+WeightSDS!Q$5*$AG607^6+WeightSDS!R$5*$AG607^5+WeightSDS!S$5*$AG607^4+WeightSDS!T$5*$AG607^3+WeightSDS!U$5*$AG607^2+WeightSDS!V$5*$AG607+WeightSDS!W$5,IF($AG607&lt;186,WeightSDS!P$8*$AG607^7+WeightSDS!Q$8*$AG607^6+WeightSDS!R$8*$AG607^5+WeightSDS!S$8*$AG607^4+WeightSDS!T$8*$AG607^3+WeightSDS!U$8*$AG607^2+WeightSDS!V$8*$AG607+WeightSDS!W$8,WeightSDS!$U$9-WeightSDS!$V$9*($AG607-WeightSDS!$W$9)))</f>
        <v>0.75407122999999998</v>
      </c>
      <c r="AJ607" s="24">
        <f>IF(D607="M",IF($AG607&lt;45,WeightSDS!M$23*$AG607^10+WeightSDS!N$23*$AG607^9+WeightSDS!O$23*$AG607^8+WeightSDS!P$23*$AG607^7+WeightSDS!Q$23*$AG607^6+WeightSDS!R$23*$AG607^5+WeightSDS!S$23*$AG607^4+WeightSDS!T$23*$AG607^3+WeightSDS!U$23*$AG607^2+WeightSDS!V$23*$AG607+WeightSDS!W$23,IF($AG607&lt;153,WeightSDS!M$25*$AG607^10+WeightSDS!N$25*$AG607^9+WeightSDS!O$25*$AG607^8+WeightSDS!P$25*$AG607^7+WeightSDS!Q$25*$AG607^6+WeightSDS!R$25*$AG607^5+WeightSDS!S$25*$AG607^4+WeightSDS!T$25*$AG607^3+WeightSDS!U$25*$AG607^2+WeightSDS!V$25*$AG607+WeightSDS!W$25,WeightSDS!M$27+WeightSDS!N$27/(1+EXP(WeightSDS!O$27+WeightSDS!P$27*$AG607)))),IF($AG607&lt;43.8,WeightSDS!M$29*$AG607^10+WeightSDS!N$29*$AG607^9+WeightSDS!O$29*$AG607^8+WeightSDS!P$29*$AG607^7+WeightSDS!Q$29*$AG607^6+WeightSDS!R$29*$AG607^5+WeightSDS!S$29*$AG607^4+WeightSDS!T$29*$AG607^3+WeightSDS!U$29*$AG607^2+WeightSDS!V$29*$AG607+WeightSDS!W$29-0.010431*(1-$AG607/210),IF($AG607&lt;123,WeightSDS!M$30*$AG607^10+WeightSDS!N$30*$AG607^9+WeightSDS!O$30*$AG607^8+WeightSDS!P$30*$AG607^7+WeightSDS!Q$30*$AG607^6+WeightSDS!R$30*$AG607^5+WeightSDS!S$30*$AG607^4+WeightSDS!T$30*$AG607^3+WeightSDS!U$30*$AG607^2+WeightSDS!V$30*$AG607+WeightSDS!W$30-0.010431*(1-1/$AG607),WeightSDS!M$32+WeightSDS!N$32/(1+EXP(WeightSDS!O$32+WeightSDS!P$32*$AG607))-0.010431*(1-$AG607/210))))</f>
        <v>2.9500001032655536</v>
      </c>
      <c r="AK607" s="24">
        <f>IF(D607="M",IF($AG607&lt;162,WeightSDS!P$12*$AG607^7+WeightSDS!Q$12*$AG607^6+WeightSDS!R$12*$AG607^5+WeightSDS!S$12*$AG607^4+WeightSDS!T$12*$AG607^3+WeightSDS!U$12*$AG607^2+WeightSDS!V$12*$AG607+WeightSDS!W$12,WeightSDS!P$14*$AG607^7+WeightSDS!Q$14*$AG607^6+WeightSDS!R$14*$AG607^5+WeightSDS!S$14*$AG607^4+WeightSDS!T$14*$AG607^3+WeightSDS!U$14*$AG607^2+WeightSDS!V$14*$AG607+WeightSDS!W$14),IF($AG607&lt;156,WeightSDS!O$17*$AG607^8+WeightSDS!P$17*$AG607^7+WeightSDS!Q$17*$AG607^6+WeightSDS!R$17*$AG607^5+WeightSDS!S$17*$AG607^4+WeightSDS!T$17*$AG607^3+WeightSDS!U$17*$AG607^2+WeightSDS!V$17*$AG607+WeightSDS!W$17,IF($AG607&lt;186,WeightSDS!$U$18+(WeightSDS!$V$18-WeightSDS!$U$18)/24*($AG607-186)+WeightSDS!$W$18*(-$AG607+186)^2-0.005,WeightSDS!$U$18+(WeightSDS!$V$18-WeightSDS!$U$18)/24*($AG607-186)-0.005)))</f>
        <v>0.14604529399999999</v>
      </c>
    </row>
    <row r="608" spans="1:37">
      <c r="A608" s="4"/>
      <c r="B608" s="21"/>
      <c r="C608" s="21"/>
      <c r="D608" s="21"/>
      <c r="E608" s="22"/>
      <c r="F608" s="22"/>
      <c r="G608" s="23"/>
      <c r="H608" s="23"/>
      <c r="I608" s="8" t="str">
        <f t="shared" si="146"/>
        <v/>
      </c>
      <c r="J608" s="2" t="str">
        <f t="shared" si="153"/>
        <v/>
      </c>
      <c r="K608" s="2" t="str">
        <f t="shared" si="147"/>
        <v/>
      </c>
      <c r="L608" s="2" t="str">
        <f t="shared" si="154"/>
        <v/>
      </c>
      <c r="M608" s="2" t="str">
        <f t="shared" si="159"/>
        <v/>
      </c>
      <c r="N608" s="2" t="str">
        <f t="shared" si="155"/>
        <v/>
      </c>
      <c r="O608" s="8" t="str">
        <f t="shared" si="156"/>
        <v/>
      </c>
      <c r="P608" s="8" t="str">
        <f t="shared" si="157"/>
        <v/>
      </c>
      <c r="Q608" s="40" t="str">
        <f t="shared" si="148"/>
        <v/>
      </c>
      <c r="R608" s="48" t="str">
        <f t="shared" si="158"/>
        <v/>
      </c>
      <c r="S608" s="8"/>
      <c r="U608" s="35">
        <f t="shared" si="149"/>
        <v>0</v>
      </c>
      <c r="V608" s="24">
        <f t="shared" si="150"/>
        <v>0</v>
      </c>
      <c r="W608" s="41">
        <f t="shared" si="161"/>
        <v>0</v>
      </c>
      <c r="X608" s="31"/>
      <c r="Y608" s="31"/>
      <c r="Z608" s="31"/>
      <c r="AA608" s="25">
        <f t="shared" si="151"/>
        <v>9.0359999999999996</v>
      </c>
      <c r="AB608" s="25">
        <f t="shared" si="152"/>
        <v>-184.49199999999999</v>
      </c>
      <c r="AD608" s="24">
        <f>IF(D608="M",IF(AG608&lt;78,BMILMS!$D$5*AG608^3+BMILMS!$E$5*AG608^2+BMILMS!$F$5*AG608+BMILMS!$G$5,IF(AG608&lt;150,BMILMS!$D$6*AG608^3+BMILMS!$E$6*AG608^2+BMILMS!$F$6*AG608+BMILMS!$G$6,BMILMS!$D$7*AG608^3+BMILMS!$E$7*AG608^2+BMILMS!$F$7*AG608+BMILMS!$G$7)),IF(AG608&lt;69,BMILMS!$D$9*AG608^3+BMILMS!$E$9*AG608^2+BMILMS!$F$9*AG608+BMILMS!$G$9,IF(AG608&lt;150,BMILMS!$D$10*AG608^3+BMILMS!$E$10*AG608^2+BMILMS!$F$10*AG608+BMILMS!$G$10,BMILMS!$D$11*AG608^3+BMILMS!$E$11*AG608^2+BMILMS!$F$11*AG608+BMILMS!$G$11)))</f>
        <v>0.79584630099999998</v>
      </c>
      <c r="AE608" s="24">
        <f>IF(D608="M",(IF(AG608&lt;2.5,BMILMS!$D$21*AG608^3+BMILMS!$E$21*AG608^2+BMILMS!$F$21*AG608+BMILMS!$G$21,IF(AG608&lt;9.5,BMILMS!$D$22*AG608^3+BMILMS!$E$22*AG608^2+BMILMS!$F$22*AG608+BMILMS!$G$22,IF(AG608&lt;26.75,BMILMS!$D$23*AG608^3+BMILMS!$E$23*AG608^2+BMILMS!$F$23*AG608+BMILMS!$G$23,IF(AG608&lt;90,BMILMS!$D$24*AG608^3+BMILMS!$E$24*AG608^2+BMILMS!$F$24*AG608+BMILMS!$G$24,BMILMS!$D$25*AG608^3+BMILMS!$E$25*AG608^2+BMILMS!$F$25*AG608+BMILMS!$G$25))))),(IF(AG608&lt;2.5,BMILMS!$D$27*AG608^3+BMILMS!$E$27*AG608^2+BMILMS!$F$27*AG608+BMILMS!$G$27,IF(AG608&lt;9.5,BMILMS!$D$28*AG608^3+BMILMS!$E$28*AG608^2+BMILMS!$F$28*AG608+BMILMS!$G$28,IF(AG608&lt;26.75,BMILMS!$D$29*AG608^3+BMILMS!$E$29*AG608^2+BMILMS!$F$29*AG608+BMILMS!$G$29,IF(AG608&lt;90,BMILMS!$D$30*AG608^3+BMILMS!$E$30*AG608^2+BMILMS!$F$30*AG608+BMILMS!$G$30,IF(AG608&lt;150,BMILMS!$D$31*AG608^3+BMILMS!$E$31*AG608^2+BMILMS!$F$31*AG608+BMILMS!$G$31,BMILMS!$D$32*AG608^3+BMILMS!$E$32*AG608^2+BMILMS!$F$32*AG608+BMILMS!$G$32)))))))</f>
        <v>12.568967990000001</v>
      </c>
      <c r="AF608" s="24">
        <f>IF(D608="M",(IF(AG608&lt;90,BMILMS!$D$14*AG608^3+BMILMS!$E$14*AG608^2+BMILMS!$F$14*AG608+BMILMS!$G$14,BMILMS!$D$15*AG608^3+BMILMS!$E$15*AG608^2+BMILMS!$F$15*AG608+BMILMS!$G$15)),(IF(AG608&lt;90,BMILMS!$D$17*AG608^3+BMILMS!$E$17*AG608^2+BMILMS!$F$17*AG608+BMILMS!$G$17,BMILMS!$D$18*AG608^3+BMILMS!$E$18*AG608^2+BMILMS!$F$18*AG608+BMILMS!$G$18)))</f>
        <v>8.8969350000000003E-2</v>
      </c>
      <c r="AG608" s="24">
        <f t="shared" si="160"/>
        <v>0</v>
      </c>
      <c r="AI608" s="38">
        <f>IF(D608="M",WeightSDS!P$5*$AG608^7+WeightSDS!Q$5*$AG608^6+WeightSDS!R$5*$AG608^5+WeightSDS!S$5*$AG608^4+WeightSDS!T$5*$AG608^3+WeightSDS!U$5*$AG608^2+WeightSDS!V$5*$AG608+WeightSDS!W$5,IF($AG608&lt;186,WeightSDS!P$8*$AG608^7+WeightSDS!Q$8*$AG608^6+WeightSDS!R$8*$AG608^5+WeightSDS!S$8*$AG608^4+WeightSDS!T$8*$AG608^3+WeightSDS!U$8*$AG608^2+WeightSDS!V$8*$AG608+WeightSDS!W$8,WeightSDS!$U$9-WeightSDS!$V$9*($AG608-WeightSDS!$W$9)))</f>
        <v>0.75407122999999998</v>
      </c>
      <c r="AJ608" s="24">
        <f>IF(D608="M",IF($AG608&lt;45,WeightSDS!M$23*$AG608^10+WeightSDS!N$23*$AG608^9+WeightSDS!O$23*$AG608^8+WeightSDS!P$23*$AG608^7+WeightSDS!Q$23*$AG608^6+WeightSDS!R$23*$AG608^5+WeightSDS!S$23*$AG608^4+WeightSDS!T$23*$AG608^3+WeightSDS!U$23*$AG608^2+WeightSDS!V$23*$AG608+WeightSDS!W$23,IF($AG608&lt;153,WeightSDS!M$25*$AG608^10+WeightSDS!N$25*$AG608^9+WeightSDS!O$25*$AG608^8+WeightSDS!P$25*$AG608^7+WeightSDS!Q$25*$AG608^6+WeightSDS!R$25*$AG608^5+WeightSDS!S$25*$AG608^4+WeightSDS!T$25*$AG608^3+WeightSDS!U$25*$AG608^2+WeightSDS!V$25*$AG608+WeightSDS!W$25,WeightSDS!M$27+WeightSDS!N$27/(1+EXP(WeightSDS!O$27+WeightSDS!P$27*$AG608)))),IF($AG608&lt;43.8,WeightSDS!M$29*$AG608^10+WeightSDS!N$29*$AG608^9+WeightSDS!O$29*$AG608^8+WeightSDS!P$29*$AG608^7+WeightSDS!Q$29*$AG608^6+WeightSDS!R$29*$AG608^5+WeightSDS!S$29*$AG608^4+WeightSDS!T$29*$AG608^3+WeightSDS!U$29*$AG608^2+WeightSDS!V$29*$AG608+WeightSDS!W$29-0.010431*(1-$AG608/210),IF($AG608&lt;123,WeightSDS!M$30*$AG608^10+WeightSDS!N$30*$AG608^9+WeightSDS!O$30*$AG608^8+WeightSDS!P$30*$AG608^7+WeightSDS!Q$30*$AG608^6+WeightSDS!R$30*$AG608^5+WeightSDS!S$30*$AG608^4+WeightSDS!T$30*$AG608^3+WeightSDS!U$30*$AG608^2+WeightSDS!V$30*$AG608+WeightSDS!W$30-0.010431*(1-1/$AG608),WeightSDS!M$32+WeightSDS!N$32/(1+EXP(WeightSDS!O$32+WeightSDS!P$32*$AG608))-0.010431*(1-$AG608/210))))</f>
        <v>2.9500001032655536</v>
      </c>
      <c r="AK608" s="24">
        <f>IF(D608="M",IF($AG608&lt;162,WeightSDS!P$12*$AG608^7+WeightSDS!Q$12*$AG608^6+WeightSDS!R$12*$AG608^5+WeightSDS!S$12*$AG608^4+WeightSDS!T$12*$AG608^3+WeightSDS!U$12*$AG608^2+WeightSDS!V$12*$AG608+WeightSDS!W$12,WeightSDS!P$14*$AG608^7+WeightSDS!Q$14*$AG608^6+WeightSDS!R$14*$AG608^5+WeightSDS!S$14*$AG608^4+WeightSDS!T$14*$AG608^3+WeightSDS!U$14*$AG608^2+WeightSDS!V$14*$AG608+WeightSDS!W$14),IF($AG608&lt;156,WeightSDS!O$17*$AG608^8+WeightSDS!P$17*$AG608^7+WeightSDS!Q$17*$AG608^6+WeightSDS!R$17*$AG608^5+WeightSDS!S$17*$AG608^4+WeightSDS!T$17*$AG608^3+WeightSDS!U$17*$AG608^2+WeightSDS!V$17*$AG608+WeightSDS!W$17,IF($AG608&lt;186,WeightSDS!$U$18+(WeightSDS!$V$18-WeightSDS!$U$18)/24*($AG608-186)+WeightSDS!$W$18*(-$AG608+186)^2-0.005,WeightSDS!$U$18+(WeightSDS!$V$18-WeightSDS!$U$18)/24*($AG608-186)-0.005)))</f>
        <v>0.14604529399999999</v>
      </c>
    </row>
    <row r="609" spans="1:37">
      <c r="A609" s="4"/>
      <c r="B609" s="21"/>
      <c r="C609" s="21"/>
      <c r="D609" s="21"/>
      <c r="E609" s="22"/>
      <c r="F609" s="22"/>
      <c r="G609" s="23"/>
      <c r="H609" s="23"/>
      <c r="I609" s="8" t="str">
        <f t="shared" si="146"/>
        <v/>
      </c>
      <c r="J609" s="2" t="str">
        <f t="shared" si="153"/>
        <v/>
      </c>
      <c r="K609" s="2" t="str">
        <f t="shared" si="147"/>
        <v/>
      </c>
      <c r="L609" s="2" t="str">
        <f t="shared" si="154"/>
        <v/>
      </c>
      <c r="M609" s="2" t="str">
        <f t="shared" si="159"/>
        <v/>
      </c>
      <c r="N609" s="2" t="str">
        <f t="shared" si="155"/>
        <v/>
      </c>
      <c r="O609" s="8" t="str">
        <f t="shared" si="156"/>
        <v/>
      </c>
      <c r="P609" s="8" t="str">
        <f t="shared" si="157"/>
        <v/>
      </c>
      <c r="Q609" s="40" t="str">
        <f t="shared" si="148"/>
        <v/>
      </c>
      <c r="R609" s="48" t="str">
        <f t="shared" si="158"/>
        <v/>
      </c>
      <c r="S609" s="8"/>
      <c r="U609" s="35">
        <f t="shared" si="149"/>
        <v>0</v>
      </c>
      <c r="V609" s="24">
        <f t="shared" si="150"/>
        <v>0</v>
      </c>
      <c r="W609" s="41">
        <f t="shared" si="161"/>
        <v>0</v>
      </c>
      <c r="X609" s="31"/>
      <c r="Y609" s="31"/>
      <c r="Z609" s="31"/>
      <c r="AA609" s="25">
        <f t="shared" si="151"/>
        <v>9.0359999999999996</v>
      </c>
      <c r="AB609" s="25">
        <f t="shared" si="152"/>
        <v>-184.49199999999999</v>
      </c>
      <c r="AD609" s="24">
        <f>IF(D609="M",IF(AG609&lt;78,BMILMS!$D$5*AG609^3+BMILMS!$E$5*AG609^2+BMILMS!$F$5*AG609+BMILMS!$G$5,IF(AG609&lt;150,BMILMS!$D$6*AG609^3+BMILMS!$E$6*AG609^2+BMILMS!$F$6*AG609+BMILMS!$G$6,BMILMS!$D$7*AG609^3+BMILMS!$E$7*AG609^2+BMILMS!$F$7*AG609+BMILMS!$G$7)),IF(AG609&lt;69,BMILMS!$D$9*AG609^3+BMILMS!$E$9*AG609^2+BMILMS!$F$9*AG609+BMILMS!$G$9,IF(AG609&lt;150,BMILMS!$D$10*AG609^3+BMILMS!$E$10*AG609^2+BMILMS!$F$10*AG609+BMILMS!$G$10,BMILMS!$D$11*AG609^3+BMILMS!$E$11*AG609^2+BMILMS!$F$11*AG609+BMILMS!$G$11)))</f>
        <v>0.79584630099999998</v>
      </c>
      <c r="AE609" s="24">
        <f>IF(D609="M",(IF(AG609&lt;2.5,BMILMS!$D$21*AG609^3+BMILMS!$E$21*AG609^2+BMILMS!$F$21*AG609+BMILMS!$G$21,IF(AG609&lt;9.5,BMILMS!$D$22*AG609^3+BMILMS!$E$22*AG609^2+BMILMS!$F$22*AG609+BMILMS!$G$22,IF(AG609&lt;26.75,BMILMS!$D$23*AG609^3+BMILMS!$E$23*AG609^2+BMILMS!$F$23*AG609+BMILMS!$G$23,IF(AG609&lt;90,BMILMS!$D$24*AG609^3+BMILMS!$E$24*AG609^2+BMILMS!$F$24*AG609+BMILMS!$G$24,BMILMS!$D$25*AG609^3+BMILMS!$E$25*AG609^2+BMILMS!$F$25*AG609+BMILMS!$G$25))))),(IF(AG609&lt;2.5,BMILMS!$D$27*AG609^3+BMILMS!$E$27*AG609^2+BMILMS!$F$27*AG609+BMILMS!$G$27,IF(AG609&lt;9.5,BMILMS!$D$28*AG609^3+BMILMS!$E$28*AG609^2+BMILMS!$F$28*AG609+BMILMS!$G$28,IF(AG609&lt;26.75,BMILMS!$D$29*AG609^3+BMILMS!$E$29*AG609^2+BMILMS!$F$29*AG609+BMILMS!$G$29,IF(AG609&lt;90,BMILMS!$D$30*AG609^3+BMILMS!$E$30*AG609^2+BMILMS!$F$30*AG609+BMILMS!$G$30,IF(AG609&lt;150,BMILMS!$D$31*AG609^3+BMILMS!$E$31*AG609^2+BMILMS!$F$31*AG609+BMILMS!$G$31,BMILMS!$D$32*AG609^3+BMILMS!$E$32*AG609^2+BMILMS!$F$32*AG609+BMILMS!$G$32)))))))</f>
        <v>12.568967990000001</v>
      </c>
      <c r="AF609" s="24">
        <f>IF(D609="M",(IF(AG609&lt;90,BMILMS!$D$14*AG609^3+BMILMS!$E$14*AG609^2+BMILMS!$F$14*AG609+BMILMS!$G$14,BMILMS!$D$15*AG609^3+BMILMS!$E$15*AG609^2+BMILMS!$F$15*AG609+BMILMS!$G$15)),(IF(AG609&lt;90,BMILMS!$D$17*AG609^3+BMILMS!$E$17*AG609^2+BMILMS!$F$17*AG609+BMILMS!$G$17,BMILMS!$D$18*AG609^3+BMILMS!$E$18*AG609^2+BMILMS!$F$18*AG609+BMILMS!$G$18)))</f>
        <v>8.8969350000000003E-2</v>
      </c>
      <c r="AG609" s="24">
        <f t="shared" si="160"/>
        <v>0</v>
      </c>
      <c r="AI609" s="38">
        <f>IF(D609="M",WeightSDS!P$5*$AG609^7+WeightSDS!Q$5*$AG609^6+WeightSDS!R$5*$AG609^5+WeightSDS!S$5*$AG609^4+WeightSDS!T$5*$AG609^3+WeightSDS!U$5*$AG609^2+WeightSDS!V$5*$AG609+WeightSDS!W$5,IF($AG609&lt;186,WeightSDS!P$8*$AG609^7+WeightSDS!Q$8*$AG609^6+WeightSDS!R$8*$AG609^5+WeightSDS!S$8*$AG609^4+WeightSDS!T$8*$AG609^3+WeightSDS!U$8*$AG609^2+WeightSDS!V$8*$AG609+WeightSDS!W$8,WeightSDS!$U$9-WeightSDS!$V$9*($AG609-WeightSDS!$W$9)))</f>
        <v>0.75407122999999998</v>
      </c>
      <c r="AJ609" s="24">
        <f>IF(D609="M",IF($AG609&lt;45,WeightSDS!M$23*$AG609^10+WeightSDS!N$23*$AG609^9+WeightSDS!O$23*$AG609^8+WeightSDS!P$23*$AG609^7+WeightSDS!Q$23*$AG609^6+WeightSDS!R$23*$AG609^5+WeightSDS!S$23*$AG609^4+WeightSDS!T$23*$AG609^3+WeightSDS!U$23*$AG609^2+WeightSDS!V$23*$AG609+WeightSDS!W$23,IF($AG609&lt;153,WeightSDS!M$25*$AG609^10+WeightSDS!N$25*$AG609^9+WeightSDS!O$25*$AG609^8+WeightSDS!P$25*$AG609^7+WeightSDS!Q$25*$AG609^6+WeightSDS!R$25*$AG609^5+WeightSDS!S$25*$AG609^4+WeightSDS!T$25*$AG609^3+WeightSDS!U$25*$AG609^2+WeightSDS!V$25*$AG609+WeightSDS!W$25,WeightSDS!M$27+WeightSDS!N$27/(1+EXP(WeightSDS!O$27+WeightSDS!P$27*$AG609)))),IF($AG609&lt;43.8,WeightSDS!M$29*$AG609^10+WeightSDS!N$29*$AG609^9+WeightSDS!O$29*$AG609^8+WeightSDS!P$29*$AG609^7+WeightSDS!Q$29*$AG609^6+WeightSDS!R$29*$AG609^5+WeightSDS!S$29*$AG609^4+WeightSDS!T$29*$AG609^3+WeightSDS!U$29*$AG609^2+WeightSDS!V$29*$AG609+WeightSDS!W$29-0.010431*(1-$AG609/210),IF($AG609&lt;123,WeightSDS!M$30*$AG609^10+WeightSDS!N$30*$AG609^9+WeightSDS!O$30*$AG609^8+WeightSDS!P$30*$AG609^7+WeightSDS!Q$30*$AG609^6+WeightSDS!R$30*$AG609^5+WeightSDS!S$30*$AG609^4+WeightSDS!T$30*$AG609^3+WeightSDS!U$30*$AG609^2+WeightSDS!V$30*$AG609+WeightSDS!W$30-0.010431*(1-1/$AG609),WeightSDS!M$32+WeightSDS!N$32/(1+EXP(WeightSDS!O$32+WeightSDS!P$32*$AG609))-0.010431*(1-$AG609/210))))</f>
        <v>2.9500001032655536</v>
      </c>
      <c r="AK609" s="24">
        <f>IF(D609="M",IF($AG609&lt;162,WeightSDS!P$12*$AG609^7+WeightSDS!Q$12*$AG609^6+WeightSDS!R$12*$AG609^5+WeightSDS!S$12*$AG609^4+WeightSDS!T$12*$AG609^3+WeightSDS!U$12*$AG609^2+WeightSDS!V$12*$AG609+WeightSDS!W$12,WeightSDS!P$14*$AG609^7+WeightSDS!Q$14*$AG609^6+WeightSDS!R$14*$AG609^5+WeightSDS!S$14*$AG609^4+WeightSDS!T$14*$AG609^3+WeightSDS!U$14*$AG609^2+WeightSDS!V$14*$AG609+WeightSDS!W$14),IF($AG609&lt;156,WeightSDS!O$17*$AG609^8+WeightSDS!P$17*$AG609^7+WeightSDS!Q$17*$AG609^6+WeightSDS!R$17*$AG609^5+WeightSDS!S$17*$AG609^4+WeightSDS!T$17*$AG609^3+WeightSDS!U$17*$AG609^2+WeightSDS!V$17*$AG609+WeightSDS!W$17,IF($AG609&lt;186,WeightSDS!$U$18+(WeightSDS!$V$18-WeightSDS!$U$18)/24*($AG609-186)+WeightSDS!$W$18*(-$AG609+186)^2-0.005,WeightSDS!$U$18+(WeightSDS!$V$18-WeightSDS!$U$18)/24*($AG609-186)-0.005)))</f>
        <v>0.14604529399999999</v>
      </c>
    </row>
    <row r="610" spans="1:37">
      <c r="A610" s="4"/>
      <c r="B610" s="21"/>
      <c r="C610" s="21"/>
      <c r="D610" s="21"/>
      <c r="E610" s="22"/>
      <c r="F610" s="22"/>
      <c r="G610" s="23"/>
      <c r="H610" s="23"/>
      <c r="I610" s="8" t="str">
        <f t="shared" si="146"/>
        <v/>
      </c>
      <c r="J610" s="2" t="str">
        <f t="shared" si="153"/>
        <v/>
      </c>
      <c r="K610" s="2" t="str">
        <f t="shared" si="147"/>
        <v/>
      </c>
      <c r="L610" s="2" t="str">
        <f t="shared" si="154"/>
        <v/>
      </c>
      <c r="M610" s="2" t="str">
        <f t="shared" si="159"/>
        <v/>
      </c>
      <c r="N610" s="2" t="str">
        <f t="shared" si="155"/>
        <v/>
      </c>
      <c r="O610" s="8" t="str">
        <f t="shared" si="156"/>
        <v/>
      </c>
      <c r="P610" s="8" t="str">
        <f t="shared" si="157"/>
        <v/>
      </c>
      <c r="Q610" s="40" t="str">
        <f t="shared" si="148"/>
        <v/>
      </c>
      <c r="R610" s="48" t="str">
        <f t="shared" si="158"/>
        <v/>
      </c>
      <c r="S610" s="8"/>
      <c r="U610" s="35">
        <f t="shared" si="149"/>
        <v>0</v>
      </c>
      <c r="V610" s="24">
        <f t="shared" si="150"/>
        <v>0</v>
      </c>
      <c r="W610" s="41">
        <f t="shared" si="161"/>
        <v>0</v>
      </c>
      <c r="X610" s="31"/>
      <c r="Y610" s="31"/>
      <c r="Z610" s="31"/>
      <c r="AA610" s="25">
        <f t="shared" si="151"/>
        <v>9.0359999999999996</v>
      </c>
      <c r="AB610" s="25">
        <f t="shared" si="152"/>
        <v>-184.49199999999999</v>
      </c>
      <c r="AD610" s="24">
        <f>IF(D610="M",IF(AG610&lt;78,BMILMS!$D$5*AG610^3+BMILMS!$E$5*AG610^2+BMILMS!$F$5*AG610+BMILMS!$G$5,IF(AG610&lt;150,BMILMS!$D$6*AG610^3+BMILMS!$E$6*AG610^2+BMILMS!$F$6*AG610+BMILMS!$G$6,BMILMS!$D$7*AG610^3+BMILMS!$E$7*AG610^2+BMILMS!$F$7*AG610+BMILMS!$G$7)),IF(AG610&lt;69,BMILMS!$D$9*AG610^3+BMILMS!$E$9*AG610^2+BMILMS!$F$9*AG610+BMILMS!$G$9,IF(AG610&lt;150,BMILMS!$D$10*AG610^3+BMILMS!$E$10*AG610^2+BMILMS!$F$10*AG610+BMILMS!$G$10,BMILMS!$D$11*AG610^3+BMILMS!$E$11*AG610^2+BMILMS!$F$11*AG610+BMILMS!$G$11)))</f>
        <v>0.79584630099999998</v>
      </c>
      <c r="AE610" s="24">
        <f>IF(D610="M",(IF(AG610&lt;2.5,BMILMS!$D$21*AG610^3+BMILMS!$E$21*AG610^2+BMILMS!$F$21*AG610+BMILMS!$G$21,IF(AG610&lt;9.5,BMILMS!$D$22*AG610^3+BMILMS!$E$22*AG610^2+BMILMS!$F$22*AG610+BMILMS!$G$22,IF(AG610&lt;26.75,BMILMS!$D$23*AG610^3+BMILMS!$E$23*AG610^2+BMILMS!$F$23*AG610+BMILMS!$G$23,IF(AG610&lt;90,BMILMS!$D$24*AG610^3+BMILMS!$E$24*AG610^2+BMILMS!$F$24*AG610+BMILMS!$G$24,BMILMS!$D$25*AG610^3+BMILMS!$E$25*AG610^2+BMILMS!$F$25*AG610+BMILMS!$G$25))))),(IF(AG610&lt;2.5,BMILMS!$D$27*AG610^3+BMILMS!$E$27*AG610^2+BMILMS!$F$27*AG610+BMILMS!$G$27,IF(AG610&lt;9.5,BMILMS!$D$28*AG610^3+BMILMS!$E$28*AG610^2+BMILMS!$F$28*AG610+BMILMS!$G$28,IF(AG610&lt;26.75,BMILMS!$D$29*AG610^3+BMILMS!$E$29*AG610^2+BMILMS!$F$29*AG610+BMILMS!$G$29,IF(AG610&lt;90,BMILMS!$D$30*AG610^3+BMILMS!$E$30*AG610^2+BMILMS!$F$30*AG610+BMILMS!$G$30,IF(AG610&lt;150,BMILMS!$D$31*AG610^3+BMILMS!$E$31*AG610^2+BMILMS!$F$31*AG610+BMILMS!$G$31,BMILMS!$D$32*AG610^3+BMILMS!$E$32*AG610^2+BMILMS!$F$32*AG610+BMILMS!$G$32)))))))</f>
        <v>12.568967990000001</v>
      </c>
      <c r="AF610" s="24">
        <f>IF(D610="M",(IF(AG610&lt;90,BMILMS!$D$14*AG610^3+BMILMS!$E$14*AG610^2+BMILMS!$F$14*AG610+BMILMS!$G$14,BMILMS!$D$15*AG610^3+BMILMS!$E$15*AG610^2+BMILMS!$F$15*AG610+BMILMS!$G$15)),(IF(AG610&lt;90,BMILMS!$D$17*AG610^3+BMILMS!$E$17*AG610^2+BMILMS!$F$17*AG610+BMILMS!$G$17,BMILMS!$D$18*AG610^3+BMILMS!$E$18*AG610^2+BMILMS!$F$18*AG610+BMILMS!$G$18)))</f>
        <v>8.8969350000000003E-2</v>
      </c>
      <c r="AG610" s="24">
        <f t="shared" si="160"/>
        <v>0</v>
      </c>
      <c r="AI610" s="38">
        <f>IF(D610="M",WeightSDS!P$5*$AG610^7+WeightSDS!Q$5*$AG610^6+WeightSDS!R$5*$AG610^5+WeightSDS!S$5*$AG610^4+WeightSDS!T$5*$AG610^3+WeightSDS!U$5*$AG610^2+WeightSDS!V$5*$AG610+WeightSDS!W$5,IF($AG610&lt;186,WeightSDS!P$8*$AG610^7+WeightSDS!Q$8*$AG610^6+WeightSDS!R$8*$AG610^5+WeightSDS!S$8*$AG610^4+WeightSDS!T$8*$AG610^3+WeightSDS!U$8*$AG610^2+WeightSDS!V$8*$AG610+WeightSDS!W$8,WeightSDS!$U$9-WeightSDS!$V$9*($AG610-WeightSDS!$W$9)))</f>
        <v>0.75407122999999998</v>
      </c>
      <c r="AJ610" s="24">
        <f>IF(D610="M",IF($AG610&lt;45,WeightSDS!M$23*$AG610^10+WeightSDS!N$23*$AG610^9+WeightSDS!O$23*$AG610^8+WeightSDS!P$23*$AG610^7+WeightSDS!Q$23*$AG610^6+WeightSDS!R$23*$AG610^5+WeightSDS!S$23*$AG610^4+WeightSDS!T$23*$AG610^3+WeightSDS!U$23*$AG610^2+WeightSDS!V$23*$AG610+WeightSDS!W$23,IF($AG610&lt;153,WeightSDS!M$25*$AG610^10+WeightSDS!N$25*$AG610^9+WeightSDS!O$25*$AG610^8+WeightSDS!P$25*$AG610^7+WeightSDS!Q$25*$AG610^6+WeightSDS!R$25*$AG610^5+WeightSDS!S$25*$AG610^4+WeightSDS!T$25*$AG610^3+WeightSDS!U$25*$AG610^2+WeightSDS!V$25*$AG610+WeightSDS!W$25,WeightSDS!M$27+WeightSDS!N$27/(1+EXP(WeightSDS!O$27+WeightSDS!P$27*$AG610)))),IF($AG610&lt;43.8,WeightSDS!M$29*$AG610^10+WeightSDS!N$29*$AG610^9+WeightSDS!O$29*$AG610^8+WeightSDS!P$29*$AG610^7+WeightSDS!Q$29*$AG610^6+WeightSDS!R$29*$AG610^5+WeightSDS!S$29*$AG610^4+WeightSDS!T$29*$AG610^3+WeightSDS!U$29*$AG610^2+WeightSDS!V$29*$AG610+WeightSDS!W$29-0.010431*(1-$AG610/210),IF($AG610&lt;123,WeightSDS!M$30*$AG610^10+WeightSDS!N$30*$AG610^9+WeightSDS!O$30*$AG610^8+WeightSDS!P$30*$AG610^7+WeightSDS!Q$30*$AG610^6+WeightSDS!R$30*$AG610^5+WeightSDS!S$30*$AG610^4+WeightSDS!T$30*$AG610^3+WeightSDS!U$30*$AG610^2+WeightSDS!V$30*$AG610+WeightSDS!W$30-0.010431*(1-1/$AG610),WeightSDS!M$32+WeightSDS!N$32/(1+EXP(WeightSDS!O$32+WeightSDS!P$32*$AG610))-0.010431*(1-$AG610/210))))</f>
        <v>2.9500001032655536</v>
      </c>
      <c r="AK610" s="24">
        <f>IF(D610="M",IF($AG610&lt;162,WeightSDS!P$12*$AG610^7+WeightSDS!Q$12*$AG610^6+WeightSDS!R$12*$AG610^5+WeightSDS!S$12*$AG610^4+WeightSDS!T$12*$AG610^3+WeightSDS!U$12*$AG610^2+WeightSDS!V$12*$AG610+WeightSDS!W$12,WeightSDS!P$14*$AG610^7+WeightSDS!Q$14*$AG610^6+WeightSDS!R$14*$AG610^5+WeightSDS!S$14*$AG610^4+WeightSDS!T$14*$AG610^3+WeightSDS!U$14*$AG610^2+WeightSDS!V$14*$AG610+WeightSDS!W$14),IF($AG610&lt;156,WeightSDS!O$17*$AG610^8+WeightSDS!P$17*$AG610^7+WeightSDS!Q$17*$AG610^6+WeightSDS!R$17*$AG610^5+WeightSDS!S$17*$AG610^4+WeightSDS!T$17*$AG610^3+WeightSDS!U$17*$AG610^2+WeightSDS!V$17*$AG610+WeightSDS!W$17,IF($AG610&lt;186,WeightSDS!$U$18+(WeightSDS!$V$18-WeightSDS!$U$18)/24*($AG610-186)+WeightSDS!$W$18*(-$AG610+186)^2-0.005,WeightSDS!$U$18+(WeightSDS!$V$18-WeightSDS!$U$18)/24*($AG610-186)-0.005)))</f>
        <v>0.14604529399999999</v>
      </c>
    </row>
    <row r="611" spans="1:37">
      <c r="A611" s="4"/>
      <c r="B611" s="21"/>
      <c r="C611" s="21"/>
      <c r="D611" s="21"/>
      <c r="E611" s="22"/>
      <c r="F611" s="22"/>
      <c r="G611" s="23"/>
      <c r="H611" s="23"/>
      <c r="I611" s="8" t="str">
        <f t="shared" si="146"/>
        <v/>
      </c>
      <c r="J611" s="2" t="str">
        <f t="shared" si="153"/>
        <v/>
      </c>
      <c r="K611" s="2" t="str">
        <f t="shared" si="147"/>
        <v/>
      </c>
      <c r="L611" s="2" t="str">
        <f t="shared" si="154"/>
        <v/>
      </c>
      <c r="M611" s="2" t="str">
        <f t="shared" si="159"/>
        <v/>
      </c>
      <c r="N611" s="2" t="str">
        <f t="shared" si="155"/>
        <v/>
      </c>
      <c r="O611" s="8" t="str">
        <f t="shared" si="156"/>
        <v/>
      </c>
      <c r="P611" s="8" t="str">
        <f t="shared" si="157"/>
        <v/>
      </c>
      <c r="Q611" s="40" t="str">
        <f t="shared" si="148"/>
        <v/>
      </c>
      <c r="R611" s="48" t="str">
        <f t="shared" si="158"/>
        <v/>
      </c>
      <c r="S611" s="8"/>
      <c r="U611" s="35">
        <f t="shared" si="149"/>
        <v>0</v>
      </c>
      <c r="V611" s="24">
        <f t="shared" si="150"/>
        <v>0</v>
      </c>
      <c r="W611" s="41">
        <f t="shared" si="161"/>
        <v>0</v>
      </c>
      <c r="X611" s="31"/>
      <c r="Y611" s="31"/>
      <c r="Z611" s="31"/>
      <c r="AA611" s="25">
        <f t="shared" si="151"/>
        <v>9.0359999999999996</v>
      </c>
      <c r="AB611" s="25">
        <f t="shared" si="152"/>
        <v>-184.49199999999999</v>
      </c>
      <c r="AD611" s="24">
        <f>IF(D611="M",IF(AG611&lt;78,BMILMS!$D$5*AG611^3+BMILMS!$E$5*AG611^2+BMILMS!$F$5*AG611+BMILMS!$G$5,IF(AG611&lt;150,BMILMS!$D$6*AG611^3+BMILMS!$E$6*AG611^2+BMILMS!$F$6*AG611+BMILMS!$G$6,BMILMS!$D$7*AG611^3+BMILMS!$E$7*AG611^2+BMILMS!$F$7*AG611+BMILMS!$G$7)),IF(AG611&lt;69,BMILMS!$D$9*AG611^3+BMILMS!$E$9*AG611^2+BMILMS!$F$9*AG611+BMILMS!$G$9,IF(AG611&lt;150,BMILMS!$D$10*AG611^3+BMILMS!$E$10*AG611^2+BMILMS!$F$10*AG611+BMILMS!$G$10,BMILMS!$D$11*AG611^3+BMILMS!$E$11*AG611^2+BMILMS!$F$11*AG611+BMILMS!$G$11)))</f>
        <v>0.79584630099999998</v>
      </c>
      <c r="AE611" s="24">
        <f>IF(D611="M",(IF(AG611&lt;2.5,BMILMS!$D$21*AG611^3+BMILMS!$E$21*AG611^2+BMILMS!$F$21*AG611+BMILMS!$G$21,IF(AG611&lt;9.5,BMILMS!$D$22*AG611^3+BMILMS!$E$22*AG611^2+BMILMS!$F$22*AG611+BMILMS!$G$22,IF(AG611&lt;26.75,BMILMS!$D$23*AG611^3+BMILMS!$E$23*AG611^2+BMILMS!$F$23*AG611+BMILMS!$G$23,IF(AG611&lt;90,BMILMS!$D$24*AG611^3+BMILMS!$E$24*AG611^2+BMILMS!$F$24*AG611+BMILMS!$G$24,BMILMS!$D$25*AG611^3+BMILMS!$E$25*AG611^2+BMILMS!$F$25*AG611+BMILMS!$G$25))))),(IF(AG611&lt;2.5,BMILMS!$D$27*AG611^3+BMILMS!$E$27*AG611^2+BMILMS!$F$27*AG611+BMILMS!$G$27,IF(AG611&lt;9.5,BMILMS!$D$28*AG611^3+BMILMS!$E$28*AG611^2+BMILMS!$F$28*AG611+BMILMS!$G$28,IF(AG611&lt;26.75,BMILMS!$D$29*AG611^3+BMILMS!$E$29*AG611^2+BMILMS!$F$29*AG611+BMILMS!$G$29,IF(AG611&lt;90,BMILMS!$D$30*AG611^3+BMILMS!$E$30*AG611^2+BMILMS!$F$30*AG611+BMILMS!$G$30,IF(AG611&lt;150,BMILMS!$D$31*AG611^3+BMILMS!$E$31*AG611^2+BMILMS!$F$31*AG611+BMILMS!$G$31,BMILMS!$D$32*AG611^3+BMILMS!$E$32*AG611^2+BMILMS!$F$32*AG611+BMILMS!$G$32)))))))</f>
        <v>12.568967990000001</v>
      </c>
      <c r="AF611" s="24">
        <f>IF(D611="M",(IF(AG611&lt;90,BMILMS!$D$14*AG611^3+BMILMS!$E$14*AG611^2+BMILMS!$F$14*AG611+BMILMS!$G$14,BMILMS!$D$15*AG611^3+BMILMS!$E$15*AG611^2+BMILMS!$F$15*AG611+BMILMS!$G$15)),(IF(AG611&lt;90,BMILMS!$D$17*AG611^3+BMILMS!$E$17*AG611^2+BMILMS!$F$17*AG611+BMILMS!$G$17,BMILMS!$D$18*AG611^3+BMILMS!$E$18*AG611^2+BMILMS!$F$18*AG611+BMILMS!$G$18)))</f>
        <v>8.8969350000000003E-2</v>
      </c>
      <c r="AG611" s="24">
        <f t="shared" si="160"/>
        <v>0</v>
      </c>
      <c r="AI611" s="38">
        <f>IF(D611="M",WeightSDS!P$5*$AG611^7+WeightSDS!Q$5*$AG611^6+WeightSDS!R$5*$AG611^5+WeightSDS!S$5*$AG611^4+WeightSDS!T$5*$AG611^3+WeightSDS!U$5*$AG611^2+WeightSDS!V$5*$AG611+WeightSDS!W$5,IF($AG611&lt;186,WeightSDS!P$8*$AG611^7+WeightSDS!Q$8*$AG611^6+WeightSDS!R$8*$AG611^5+WeightSDS!S$8*$AG611^4+WeightSDS!T$8*$AG611^3+WeightSDS!U$8*$AG611^2+WeightSDS!V$8*$AG611+WeightSDS!W$8,WeightSDS!$U$9-WeightSDS!$V$9*($AG611-WeightSDS!$W$9)))</f>
        <v>0.75407122999999998</v>
      </c>
      <c r="AJ611" s="24">
        <f>IF(D611="M",IF($AG611&lt;45,WeightSDS!M$23*$AG611^10+WeightSDS!N$23*$AG611^9+WeightSDS!O$23*$AG611^8+WeightSDS!P$23*$AG611^7+WeightSDS!Q$23*$AG611^6+WeightSDS!R$23*$AG611^5+WeightSDS!S$23*$AG611^4+WeightSDS!T$23*$AG611^3+WeightSDS!U$23*$AG611^2+WeightSDS!V$23*$AG611+WeightSDS!W$23,IF($AG611&lt;153,WeightSDS!M$25*$AG611^10+WeightSDS!N$25*$AG611^9+WeightSDS!O$25*$AG611^8+WeightSDS!P$25*$AG611^7+WeightSDS!Q$25*$AG611^6+WeightSDS!R$25*$AG611^5+WeightSDS!S$25*$AG611^4+WeightSDS!T$25*$AG611^3+WeightSDS!U$25*$AG611^2+WeightSDS!V$25*$AG611+WeightSDS!W$25,WeightSDS!M$27+WeightSDS!N$27/(1+EXP(WeightSDS!O$27+WeightSDS!P$27*$AG611)))),IF($AG611&lt;43.8,WeightSDS!M$29*$AG611^10+WeightSDS!N$29*$AG611^9+WeightSDS!O$29*$AG611^8+WeightSDS!P$29*$AG611^7+WeightSDS!Q$29*$AG611^6+WeightSDS!R$29*$AG611^5+WeightSDS!S$29*$AG611^4+WeightSDS!T$29*$AG611^3+WeightSDS!U$29*$AG611^2+WeightSDS!V$29*$AG611+WeightSDS!W$29-0.010431*(1-$AG611/210),IF($AG611&lt;123,WeightSDS!M$30*$AG611^10+WeightSDS!N$30*$AG611^9+WeightSDS!O$30*$AG611^8+WeightSDS!P$30*$AG611^7+WeightSDS!Q$30*$AG611^6+WeightSDS!R$30*$AG611^5+WeightSDS!S$30*$AG611^4+WeightSDS!T$30*$AG611^3+WeightSDS!U$30*$AG611^2+WeightSDS!V$30*$AG611+WeightSDS!W$30-0.010431*(1-1/$AG611),WeightSDS!M$32+WeightSDS!N$32/(1+EXP(WeightSDS!O$32+WeightSDS!P$32*$AG611))-0.010431*(1-$AG611/210))))</f>
        <v>2.9500001032655536</v>
      </c>
      <c r="AK611" s="24">
        <f>IF(D611="M",IF($AG611&lt;162,WeightSDS!P$12*$AG611^7+WeightSDS!Q$12*$AG611^6+WeightSDS!R$12*$AG611^5+WeightSDS!S$12*$AG611^4+WeightSDS!T$12*$AG611^3+WeightSDS!U$12*$AG611^2+WeightSDS!V$12*$AG611+WeightSDS!W$12,WeightSDS!P$14*$AG611^7+WeightSDS!Q$14*$AG611^6+WeightSDS!R$14*$AG611^5+WeightSDS!S$14*$AG611^4+WeightSDS!T$14*$AG611^3+WeightSDS!U$14*$AG611^2+WeightSDS!V$14*$AG611+WeightSDS!W$14),IF($AG611&lt;156,WeightSDS!O$17*$AG611^8+WeightSDS!P$17*$AG611^7+WeightSDS!Q$17*$AG611^6+WeightSDS!R$17*$AG611^5+WeightSDS!S$17*$AG611^4+WeightSDS!T$17*$AG611^3+WeightSDS!U$17*$AG611^2+WeightSDS!V$17*$AG611+WeightSDS!W$17,IF($AG611&lt;186,WeightSDS!$U$18+(WeightSDS!$V$18-WeightSDS!$U$18)/24*($AG611-186)+WeightSDS!$W$18*(-$AG611+186)^2-0.005,WeightSDS!$U$18+(WeightSDS!$V$18-WeightSDS!$U$18)/24*($AG611-186)-0.005)))</f>
        <v>0.14604529399999999</v>
      </c>
    </row>
    <row r="612" spans="1:37">
      <c r="A612" s="4"/>
      <c r="B612" s="21"/>
      <c r="C612" s="21"/>
      <c r="D612" s="21"/>
      <c r="E612" s="22"/>
      <c r="F612" s="22"/>
      <c r="G612" s="23"/>
      <c r="H612" s="23"/>
      <c r="I612" s="8" t="str">
        <f t="shared" si="146"/>
        <v/>
      </c>
      <c r="J612" s="2" t="str">
        <f t="shared" si="153"/>
        <v/>
      </c>
      <c r="K612" s="2" t="str">
        <f t="shared" si="147"/>
        <v/>
      </c>
      <c r="L612" s="2" t="str">
        <f t="shared" si="154"/>
        <v/>
      </c>
      <c r="M612" s="2" t="str">
        <f t="shared" si="159"/>
        <v/>
      </c>
      <c r="N612" s="2" t="str">
        <f t="shared" si="155"/>
        <v/>
      </c>
      <c r="O612" s="8" t="str">
        <f t="shared" si="156"/>
        <v/>
      </c>
      <c r="P612" s="8" t="str">
        <f t="shared" si="157"/>
        <v/>
      </c>
      <c r="Q612" s="40" t="str">
        <f t="shared" si="148"/>
        <v/>
      </c>
      <c r="R612" s="48" t="str">
        <f t="shared" si="158"/>
        <v/>
      </c>
      <c r="S612" s="8"/>
      <c r="U612" s="35">
        <f t="shared" si="149"/>
        <v>0</v>
      </c>
      <c r="V612" s="24">
        <f t="shared" si="150"/>
        <v>0</v>
      </c>
      <c r="W612" s="41">
        <f t="shared" si="161"/>
        <v>0</v>
      </c>
      <c r="X612" s="31"/>
      <c r="Y612" s="31"/>
      <c r="Z612" s="31"/>
      <c r="AA612" s="25">
        <f t="shared" si="151"/>
        <v>9.0359999999999996</v>
      </c>
      <c r="AB612" s="25">
        <f t="shared" si="152"/>
        <v>-184.49199999999999</v>
      </c>
      <c r="AD612" s="24">
        <f>IF(D612="M",IF(AG612&lt;78,BMILMS!$D$5*AG612^3+BMILMS!$E$5*AG612^2+BMILMS!$F$5*AG612+BMILMS!$G$5,IF(AG612&lt;150,BMILMS!$D$6*AG612^3+BMILMS!$E$6*AG612^2+BMILMS!$F$6*AG612+BMILMS!$G$6,BMILMS!$D$7*AG612^3+BMILMS!$E$7*AG612^2+BMILMS!$F$7*AG612+BMILMS!$G$7)),IF(AG612&lt;69,BMILMS!$D$9*AG612^3+BMILMS!$E$9*AG612^2+BMILMS!$F$9*AG612+BMILMS!$G$9,IF(AG612&lt;150,BMILMS!$D$10*AG612^3+BMILMS!$E$10*AG612^2+BMILMS!$F$10*AG612+BMILMS!$G$10,BMILMS!$D$11*AG612^3+BMILMS!$E$11*AG612^2+BMILMS!$F$11*AG612+BMILMS!$G$11)))</f>
        <v>0.79584630099999998</v>
      </c>
      <c r="AE612" s="24">
        <f>IF(D612="M",(IF(AG612&lt;2.5,BMILMS!$D$21*AG612^3+BMILMS!$E$21*AG612^2+BMILMS!$F$21*AG612+BMILMS!$G$21,IF(AG612&lt;9.5,BMILMS!$D$22*AG612^3+BMILMS!$E$22*AG612^2+BMILMS!$F$22*AG612+BMILMS!$G$22,IF(AG612&lt;26.75,BMILMS!$D$23*AG612^3+BMILMS!$E$23*AG612^2+BMILMS!$F$23*AG612+BMILMS!$G$23,IF(AG612&lt;90,BMILMS!$D$24*AG612^3+BMILMS!$E$24*AG612^2+BMILMS!$F$24*AG612+BMILMS!$G$24,BMILMS!$D$25*AG612^3+BMILMS!$E$25*AG612^2+BMILMS!$F$25*AG612+BMILMS!$G$25))))),(IF(AG612&lt;2.5,BMILMS!$D$27*AG612^3+BMILMS!$E$27*AG612^2+BMILMS!$F$27*AG612+BMILMS!$G$27,IF(AG612&lt;9.5,BMILMS!$D$28*AG612^3+BMILMS!$E$28*AG612^2+BMILMS!$F$28*AG612+BMILMS!$G$28,IF(AG612&lt;26.75,BMILMS!$D$29*AG612^3+BMILMS!$E$29*AG612^2+BMILMS!$F$29*AG612+BMILMS!$G$29,IF(AG612&lt;90,BMILMS!$D$30*AG612^3+BMILMS!$E$30*AG612^2+BMILMS!$F$30*AG612+BMILMS!$G$30,IF(AG612&lt;150,BMILMS!$D$31*AG612^3+BMILMS!$E$31*AG612^2+BMILMS!$F$31*AG612+BMILMS!$G$31,BMILMS!$D$32*AG612^3+BMILMS!$E$32*AG612^2+BMILMS!$F$32*AG612+BMILMS!$G$32)))))))</f>
        <v>12.568967990000001</v>
      </c>
      <c r="AF612" s="24">
        <f>IF(D612="M",(IF(AG612&lt;90,BMILMS!$D$14*AG612^3+BMILMS!$E$14*AG612^2+BMILMS!$F$14*AG612+BMILMS!$G$14,BMILMS!$D$15*AG612^3+BMILMS!$E$15*AG612^2+BMILMS!$F$15*AG612+BMILMS!$G$15)),(IF(AG612&lt;90,BMILMS!$D$17*AG612^3+BMILMS!$E$17*AG612^2+BMILMS!$F$17*AG612+BMILMS!$G$17,BMILMS!$D$18*AG612^3+BMILMS!$E$18*AG612^2+BMILMS!$F$18*AG612+BMILMS!$G$18)))</f>
        <v>8.8969350000000003E-2</v>
      </c>
      <c r="AG612" s="24">
        <f t="shared" si="160"/>
        <v>0</v>
      </c>
      <c r="AI612" s="38">
        <f>IF(D612="M",WeightSDS!P$5*$AG612^7+WeightSDS!Q$5*$AG612^6+WeightSDS!R$5*$AG612^5+WeightSDS!S$5*$AG612^4+WeightSDS!T$5*$AG612^3+WeightSDS!U$5*$AG612^2+WeightSDS!V$5*$AG612+WeightSDS!W$5,IF($AG612&lt;186,WeightSDS!P$8*$AG612^7+WeightSDS!Q$8*$AG612^6+WeightSDS!R$8*$AG612^5+WeightSDS!S$8*$AG612^4+WeightSDS!T$8*$AG612^3+WeightSDS!U$8*$AG612^2+WeightSDS!V$8*$AG612+WeightSDS!W$8,WeightSDS!$U$9-WeightSDS!$V$9*($AG612-WeightSDS!$W$9)))</f>
        <v>0.75407122999999998</v>
      </c>
      <c r="AJ612" s="24">
        <f>IF(D612="M",IF($AG612&lt;45,WeightSDS!M$23*$AG612^10+WeightSDS!N$23*$AG612^9+WeightSDS!O$23*$AG612^8+WeightSDS!P$23*$AG612^7+WeightSDS!Q$23*$AG612^6+WeightSDS!R$23*$AG612^5+WeightSDS!S$23*$AG612^4+WeightSDS!T$23*$AG612^3+WeightSDS!U$23*$AG612^2+WeightSDS!V$23*$AG612+WeightSDS!W$23,IF($AG612&lt;153,WeightSDS!M$25*$AG612^10+WeightSDS!N$25*$AG612^9+WeightSDS!O$25*$AG612^8+WeightSDS!P$25*$AG612^7+WeightSDS!Q$25*$AG612^6+WeightSDS!R$25*$AG612^5+WeightSDS!S$25*$AG612^4+WeightSDS!T$25*$AG612^3+WeightSDS!U$25*$AG612^2+WeightSDS!V$25*$AG612+WeightSDS!W$25,WeightSDS!M$27+WeightSDS!N$27/(1+EXP(WeightSDS!O$27+WeightSDS!P$27*$AG612)))),IF($AG612&lt;43.8,WeightSDS!M$29*$AG612^10+WeightSDS!N$29*$AG612^9+WeightSDS!O$29*$AG612^8+WeightSDS!P$29*$AG612^7+WeightSDS!Q$29*$AG612^6+WeightSDS!R$29*$AG612^5+WeightSDS!S$29*$AG612^4+WeightSDS!T$29*$AG612^3+WeightSDS!U$29*$AG612^2+WeightSDS!V$29*$AG612+WeightSDS!W$29-0.010431*(1-$AG612/210),IF($AG612&lt;123,WeightSDS!M$30*$AG612^10+WeightSDS!N$30*$AG612^9+WeightSDS!O$30*$AG612^8+WeightSDS!P$30*$AG612^7+WeightSDS!Q$30*$AG612^6+WeightSDS!R$30*$AG612^5+WeightSDS!S$30*$AG612^4+WeightSDS!T$30*$AG612^3+WeightSDS!U$30*$AG612^2+WeightSDS!V$30*$AG612+WeightSDS!W$30-0.010431*(1-1/$AG612),WeightSDS!M$32+WeightSDS!N$32/(1+EXP(WeightSDS!O$32+WeightSDS!P$32*$AG612))-0.010431*(1-$AG612/210))))</f>
        <v>2.9500001032655536</v>
      </c>
      <c r="AK612" s="24">
        <f>IF(D612="M",IF($AG612&lt;162,WeightSDS!P$12*$AG612^7+WeightSDS!Q$12*$AG612^6+WeightSDS!R$12*$AG612^5+WeightSDS!S$12*$AG612^4+WeightSDS!T$12*$AG612^3+WeightSDS!U$12*$AG612^2+WeightSDS!V$12*$AG612+WeightSDS!W$12,WeightSDS!P$14*$AG612^7+WeightSDS!Q$14*$AG612^6+WeightSDS!R$14*$AG612^5+WeightSDS!S$14*$AG612^4+WeightSDS!T$14*$AG612^3+WeightSDS!U$14*$AG612^2+WeightSDS!V$14*$AG612+WeightSDS!W$14),IF($AG612&lt;156,WeightSDS!O$17*$AG612^8+WeightSDS!P$17*$AG612^7+WeightSDS!Q$17*$AG612^6+WeightSDS!R$17*$AG612^5+WeightSDS!S$17*$AG612^4+WeightSDS!T$17*$AG612^3+WeightSDS!U$17*$AG612^2+WeightSDS!V$17*$AG612+WeightSDS!W$17,IF($AG612&lt;186,WeightSDS!$U$18+(WeightSDS!$V$18-WeightSDS!$U$18)/24*($AG612-186)+WeightSDS!$W$18*(-$AG612+186)^2-0.005,WeightSDS!$U$18+(WeightSDS!$V$18-WeightSDS!$U$18)/24*($AG612-186)-0.005)))</f>
        <v>0.14604529399999999</v>
      </c>
    </row>
    <row r="613" spans="1:37">
      <c r="A613" s="4"/>
      <c r="B613" s="21"/>
      <c r="C613" s="21"/>
      <c r="D613" s="21"/>
      <c r="E613" s="22"/>
      <c r="F613" s="22"/>
      <c r="G613" s="23"/>
      <c r="H613" s="23"/>
      <c r="I613" s="8" t="str">
        <f t="shared" si="146"/>
        <v/>
      </c>
      <c r="J613" s="2" t="str">
        <f t="shared" si="153"/>
        <v/>
      </c>
      <c r="K613" s="2" t="str">
        <f t="shared" si="147"/>
        <v/>
      </c>
      <c r="L613" s="2" t="str">
        <f t="shared" si="154"/>
        <v/>
      </c>
      <c r="M613" s="2" t="str">
        <f t="shared" si="159"/>
        <v/>
      </c>
      <c r="N613" s="2" t="str">
        <f t="shared" si="155"/>
        <v/>
      </c>
      <c r="O613" s="8" t="str">
        <f t="shared" si="156"/>
        <v/>
      </c>
      <c r="P613" s="8" t="str">
        <f t="shared" si="157"/>
        <v/>
      </c>
      <c r="Q613" s="40" t="str">
        <f t="shared" si="148"/>
        <v/>
      </c>
      <c r="R613" s="48" t="str">
        <f t="shared" si="158"/>
        <v/>
      </c>
      <c r="S613" s="8"/>
      <c r="U613" s="35">
        <f t="shared" si="149"/>
        <v>0</v>
      </c>
      <c r="V613" s="24">
        <f t="shared" si="150"/>
        <v>0</v>
      </c>
      <c r="W613" s="41">
        <f t="shared" si="161"/>
        <v>0</v>
      </c>
      <c r="X613" s="31"/>
      <c r="Y613" s="31"/>
      <c r="Z613" s="31"/>
      <c r="AA613" s="25">
        <f t="shared" si="151"/>
        <v>9.0359999999999996</v>
      </c>
      <c r="AB613" s="25">
        <f t="shared" si="152"/>
        <v>-184.49199999999999</v>
      </c>
      <c r="AD613" s="24">
        <f>IF(D613="M",IF(AG613&lt;78,BMILMS!$D$5*AG613^3+BMILMS!$E$5*AG613^2+BMILMS!$F$5*AG613+BMILMS!$G$5,IF(AG613&lt;150,BMILMS!$D$6*AG613^3+BMILMS!$E$6*AG613^2+BMILMS!$F$6*AG613+BMILMS!$G$6,BMILMS!$D$7*AG613^3+BMILMS!$E$7*AG613^2+BMILMS!$F$7*AG613+BMILMS!$G$7)),IF(AG613&lt;69,BMILMS!$D$9*AG613^3+BMILMS!$E$9*AG613^2+BMILMS!$F$9*AG613+BMILMS!$G$9,IF(AG613&lt;150,BMILMS!$D$10*AG613^3+BMILMS!$E$10*AG613^2+BMILMS!$F$10*AG613+BMILMS!$G$10,BMILMS!$D$11*AG613^3+BMILMS!$E$11*AG613^2+BMILMS!$F$11*AG613+BMILMS!$G$11)))</f>
        <v>0.79584630099999998</v>
      </c>
      <c r="AE613" s="24">
        <f>IF(D613="M",(IF(AG613&lt;2.5,BMILMS!$D$21*AG613^3+BMILMS!$E$21*AG613^2+BMILMS!$F$21*AG613+BMILMS!$G$21,IF(AG613&lt;9.5,BMILMS!$D$22*AG613^3+BMILMS!$E$22*AG613^2+BMILMS!$F$22*AG613+BMILMS!$G$22,IF(AG613&lt;26.75,BMILMS!$D$23*AG613^3+BMILMS!$E$23*AG613^2+BMILMS!$F$23*AG613+BMILMS!$G$23,IF(AG613&lt;90,BMILMS!$D$24*AG613^3+BMILMS!$E$24*AG613^2+BMILMS!$F$24*AG613+BMILMS!$G$24,BMILMS!$D$25*AG613^3+BMILMS!$E$25*AG613^2+BMILMS!$F$25*AG613+BMILMS!$G$25))))),(IF(AG613&lt;2.5,BMILMS!$D$27*AG613^3+BMILMS!$E$27*AG613^2+BMILMS!$F$27*AG613+BMILMS!$G$27,IF(AG613&lt;9.5,BMILMS!$D$28*AG613^3+BMILMS!$E$28*AG613^2+BMILMS!$F$28*AG613+BMILMS!$G$28,IF(AG613&lt;26.75,BMILMS!$D$29*AG613^3+BMILMS!$E$29*AG613^2+BMILMS!$F$29*AG613+BMILMS!$G$29,IF(AG613&lt;90,BMILMS!$D$30*AG613^3+BMILMS!$E$30*AG613^2+BMILMS!$F$30*AG613+BMILMS!$G$30,IF(AG613&lt;150,BMILMS!$D$31*AG613^3+BMILMS!$E$31*AG613^2+BMILMS!$F$31*AG613+BMILMS!$G$31,BMILMS!$D$32*AG613^3+BMILMS!$E$32*AG613^2+BMILMS!$F$32*AG613+BMILMS!$G$32)))))))</f>
        <v>12.568967990000001</v>
      </c>
      <c r="AF613" s="24">
        <f>IF(D613="M",(IF(AG613&lt;90,BMILMS!$D$14*AG613^3+BMILMS!$E$14*AG613^2+BMILMS!$F$14*AG613+BMILMS!$G$14,BMILMS!$D$15*AG613^3+BMILMS!$E$15*AG613^2+BMILMS!$F$15*AG613+BMILMS!$G$15)),(IF(AG613&lt;90,BMILMS!$D$17*AG613^3+BMILMS!$E$17*AG613^2+BMILMS!$F$17*AG613+BMILMS!$G$17,BMILMS!$D$18*AG613^3+BMILMS!$E$18*AG613^2+BMILMS!$F$18*AG613+BMILMS!$G$18)))</f>
        <v>8.8969350000000003E-2</v>
      </c>
      <c r="AG613" s="24">
        <f t="shared" si="160"/>
        <v>0</v>
      </c>
      <c r="AI613" s="38">
        <f>IF(D613="M",WeightSDS!P$5*$AG613^7+WeightSDS!Q$5*$AG613^6+WeightSDS!R$5*$AG613^5+WeightSDS!S$5*$AG613^4+WeightSDS!T$5*$AG613^3+WeightSDS!U$5*$AG613^2+WeightSDS!V$5*$AG613+WeightSDS!W$5,IF($AG613&lt;186,WeightSDS!P$8*$AG613^7+WeightSDS!Q$8*$AG613^6+WeightSDS!R$8*$AG613^5+WeightSDS!S$8*$AG613^4+WeightSDS!T$8*$AG613^3+WeightSDS!U$8*$AG613^2+WeightSDS!V$8*$AG613+WeightSDS!W$8,WeightSDS!$U$9-WeightSDS!$V$9*($AG613-WeightSDS!$W$9)))</f>
        <v>0.75407122999999998</v>
      </c>
      <c r="AJ613" s="24">
        <f>IF(D613="M",IF($AG613&lt;45,WeightSDS!M$23*$AG613^10+WeightSDS!N$23*$AG613^9+WeightSDS!O$23*$AG613^8+WeightSDS!P$23*$AG613^7+WeightSDS!Q$23*$AG613^6+WeightSDS!R$23*$AG613^5+WeightSDS!S$23*$AG613^4+WeightSDS!T$23*$AG613^3+WeightSDS!U$23*$AG613^2+WeightSDS!V$23*$AG613+WeightSDS!W$23,IF($AG613&lt;153,WeightSDS!M$25*$AG613^10+WeightSDS!N$25*$AG613^9+WeightSDS!O$25*$AG613^8+WeightSDS!P$25*$AG613^7+WeightSDS!Q$25*$AG613^6+WeightSDS!R$25*$AG613^5+WeightSDS!S$25*$AG613^4+WeightSDS!T$25*$AG613^3+WeightSDS!U$25*$AG613^2+WeightSDS!V$25*$AG613+WeightSDS!W$25,WeightSDS!M$27+WeightSDS!N$27/(1+EXP(WeightSDS!O$27+WeightSDS!P$27*$AG613)))),IF($AG613&lt;43.8,WeightSDS!M$29*$AG613^10+WeightSDS!N$29*$AG613^9+WeightSDS!O$29*$AG613^8+WeightSDS!P$29*$AG613^7+WeightSDS!Q$29*$AG613^6+WeightSDS!R$29*$AG613^5+WeightSDS!S$29*$AG613^4+WeightSDS!T$29*$AG613^3+WeightSDS!U$29*$AG613^2+WeightSDS!V$29*$AG613+WeightSDS!W$29-0.010431*(1-$AG613/210),IF($AG613&lt;123,WeightSDS!M$30*$AG613^10+WeightSDS!N$30*$AG613^9+WeightSDS!O$30*$AG613^8+WeightSDS!P$30*$AG613^7+WeightSDS!Q$30*$AG613^6+WeightSDS!R$30*$AG613^5+WeightSDS!S$30*$AG613^4+WeightSDS!T$30*$AG613^3+WeightSDS!U$30*$AG613^2+WeightSDS!V$30*$AG613+WeightSDS!W$30-0.010431*(1-1/$AG613),WeightSDS!M$32+WeightSDS!N$32/(1+EXP(WeightSDS!O$32+WeightSDS!P$32*$AG613))-0.010431*(1-$AG613/210))))</f>
        <v>2.9500001032655536</v>
      </c>
      <c r="AK613" s="24">
        <f>IF(D613="M",IF($AG613&lt;162,WeightSDS!P$12*$AG613^7+WeightSDS!Q$12*$AG613^6+WeightSDS!R$12*$AG613^5+WeightSDS!S$12*$AG613^4+WeightSDS!T$12*$AG613^3+WeightSDS!U$12*$AG613^2+WeightSDS!V$12*$AG613+WeightSDS!W$12,WeightSDS!P$14*$AG613^7+WeightSDS!Q$14*$AG613^6+WeightSDS!R$14*$AG613^5+WeightSDS!S$14*$AG613^4+WeightSDS!T$14*$AG613^3+WeightSDS!U$14*$AG613^2+WeightSDS!V$14*$AG613+WeightSDS!W$14),IF($AG613&lt;156,WeightSDS!O$17*$AG613^8+WeightSDS!P$17*$AG613^7+WeightSDS!Q$17*$AG613^6+WeightSDS!R$17*$AG613^5+WeightSDS!S$17*$AG613^4+WeightSDS!T$17*$AG613^3+WeightSDS!U$17*$AG613^2+WeightSDS!V$17*$AG613+WeightSDS!W$17,IF($AG613&lt;186,WeightSDS!$U$18+(WeightSDS!$V$18-WeightSDS!$U$18)/24*($AG613-186)+WeightSDS!$W$18*(-$AG613+186)^2-0.005,WeightSDS!$U$18+(WeightSDS!$V$18-WeightSDS!$U$18)/24*($AG613-186)-0.005)))</f>
        <v>0.14604529399999999</v>
      </c>
    </row>
    <row r="614" spans="1:37">
      <c r="A614" s="4"/>
      <c r="B614" s="21"/>
      <c r="C614" s="21"/>
      <c r="D614" s="21"/>
      <c r="E614" s="22"/>
      <c r="F614" s="22"/>
      <c r="G614" s="23"/>
      <c r="H614" s="23"/>
      <c r="I614" s="8" t="str">
        <f t="shared" si="146"/>
        <v/>
      </c>
      <c r="J614" s="2" t="str">
        <f t="shared" si="153"/>
        <v/>
      </c>
      <c r="K614" s="2" t="str">
        <f t="shared" si="147"/>
        <v/>
      </c>
      <c r="L614" s="2" t="str">
        <f t="shared" si="154"/>
        <v/>
      </c>
      <c r="M614" s="2" t="str">
        <f t="shared" si="159"/>
        <v/>
      </c>
      <c r="N614" s="2" t="str">
        <f t="shared" si="155"/>
        <v/>
      </c>
      <c r="O614" s="8" t="str">
        <f t="shared" si="156"/>
        <v/>
      </c>
      <c r="P614" s="8" t="str">
        <f t="shared" si="157"/>
        <v/>
      </c>
      <c r="Q614" s="40" t="str">
        <f t="shared" si="148"/>
        <v/>
      </c>
      <c r="R614" s="48" t="str">
        <f t="shared" si="158"/>
        <v/>
      </c>
      <c r="S614" s="8"/>
      <c r="U614" s="35">
        <f t="shared" si="149"/>
        <v>0</v>
      </c>
      <c r="V614" s="24">
        <f t="shared" si="150"/>
        <v>0</v>
      </c>
      <c r="W614" s="41">
        <f t="shared" si="161"/>
        <v>0</v>
      </c>
      <c r="X614" s="31"/>
      <c r="Y614" s="31"/>
      <c r="Z614" s="31"/>
      <c r="AA614" s="25">
        <f t="shared" si="151"/>
        <v>9.0359999999999996</v>
      </c>
      <c r="AB614" s="25">
        <f t="shared" si="152"/>
        <v>-184.49199999999999</v>
      </c>
      <c r="AD614" s="24">
        <f>IF(D614="M",IF(AG614&lt;78,BMILMS!$D$5*AG614^3+BMILMS!$E$5*AG614^2+BMILMS!$F$5*AG614+BMILMS!$G$5,IF(AG614&lt;150,BMILMS!$D$6*AG614^3+BMILMS!$E$6*AG614^2+BMILMS!$F$6*AG614+BMILMS!$G$6,BMILMS!$D$7*AG614^3+BMILMS!$E$7*AG614^2+BMILMS!$F$7*AG614+BMILMS!$G$7)),IF(AG614&lt;69,BMILMS!$D$9*AG614^3+BMILMS!$E$9*AG614^2+BMILMS!$F$9*AG614+BMILMS!$G$9,IF(AG614&lt;150,BMILMS!$D$10*AG614^3+BMILMS!$E$10*AG614^2+BMILMS!$F$10*AG614+BMILMS!$G$10,BMILMS!$D$11*AG614^3+BMILMS!$E$11*AG614^2+BMILMS!$F$11*AG614+BMILMS!$G$11)))</f>
        <v>0.79584630099999998</v>
      </c>
      <c r="AE614" s="24">
        <f>IF(D614="M",(IF(AG614&lt;2.5,BMILMS!$D$21*AG614^3+BMILMS!$E$21*AG614^2+BMILMS!$F$21*AG614+BMILMS!$G$21,IF(AG614&lt;9.5,BMILMS!$D$22*AG614^3+BMILMS!$E$22*AG614^2+BMILMS!$F$22*AG614+BMILMS!$G$22,IF(AG614&lt;26.75,BMILMS!$D$23*AG614^3+BMILMS!$E$23*AG614^2+BMILMS!$F$23*AG614+BMILMS!$G$23,IF(AG614&lt;90,BMILMS!$D$24*AG614^3+BMILMS!$E$24*AG614^2+BMILMS!$F$24*AG614+BMILMS!$G$24,BMILMS!$D$25*AG614^3+BMILMS!$E$25*AG614^2+BMILMS!$F$25*AG614+BMILMS!$G$25))))),(IF(AG614&lt;2.5,BMILMS!$D$27*AG614^3+BMILMS!$E$27*AG614^2+BMILMS!$F$27*AG614+BMILMS!$G$27,IF(AG614&lt;9.5,BMILMS!$D$28*AG614^3+BMILMS!$E$28*AG614^2+BMILMS!$F$28*AG614+BMILMS!$G$28,IF(AG614&lt;26.75,BMILMS!$D$29*AG614^3+BMILMS!$E$29*AG614^2+BMILMS!$F$29*AG614+BMILMS!$G$29,IF(AG614&lt;90,BMILMS!$D$30*AG614^3+BMILMS!$E$30*AG614^2+BMILMS!$F$30*AG614+BMILMS!$G$30,IF(AG614&lt;150,BMILMS!$D$31*AG614^3+BMILMS!$E$31*AG614^2+BMILMS!$F$31*AG614+BMILMS!$G$31,BMILMS!$D$32*AG614^3+BMILMS!$E$32*AG614^2+BMILMS!$F$32*AG614+BMILMS!$G$32)))))))</f>
        <v>12.568967990000001</v>
      </c>
      <c r="AF614" s="24">
        <f>IF(D614="M",(IF(AG614&lt;90,BMILMS!$D$14*AG614^3+BMILMS!$E$14*AG614^2+BMILMS!$F$14*AG614+BMILMS!$G$14,BMILMS!$D$15*AG614^3+BMILMS!$E$15*AG614^2+BMILMS!$F$15*AG614+BMILMS!$G$15)),(IF(AG614&lt;90,BMILMS!$D$17*AG614^3+BMILMS!$E$17*AG614^2+BMILMS!$F$17*AG614+BMILMS!$G$17,BMILMS!$D$18*AG614^3+BMILMS!$E$18*AG614^2+BMILMS!$F$18*AG614+BMILMS!$G$18)))</f>
        <v>8.8969350000000003E-2</v>
      </c>
      <c r="AG614" s="24">
        <f t="shared" si="160"/>
        <v>0</v>
      </c>
      <c r="AI614" s="38">
        <f>IF(D614="M",WeightSDS!P$5*$AG614^7+WeightSDS!Q$5*$AG614^6+WeightSDS!R$5*$AG614^5+WeightSDS!S$5*$AG614^4+WeightSDS!T$5*$AG614^3+WeightSDS!U$5*$AG614^2+WeightSDS!V$5*$AG614+WeightSDS!W$5,IF($AG614&lt;186,WeightSDS!P$8*$AG614^7+WeightSDS!Q$8*$AG614^6+WeightSDS!R$8*$AG614^5+WeightSDS!S$8*$AG614^4+WeightSDS!T$8*$AG614^3+WeightSDS!U$8*$AG614^2+WeightSDS!V$8*$AG614+WeightSDS!W$8,WeightSDS!$U$9-WeightSDS!$V$9*($AG614-WeightSDS!$W$9)))</f>
        <v>0.75407122999999998</v>
      </c>
      <c r="AJ614" s="24">
        <f>IF(D614="M",IF($AG614&lt;45,WeightSDS!M$23*$AG614^10+WeightSDS!N$23*$AG614^9+WeightSDS!O$23*$AG614^8+WeightSDS!P$23*$AG614^7+WeightSDS!Q$23*$AG614^6+WeightSDS!R$23*$AG614^5+WeightSDS!S$23*$AG614^4+WeightSDS!T$23*$AG614^3+WeightSDS!U$23*$AG614^2+WeightSDS!V$23*$AG614+WeightSDS!W$23,IF($AG614&lt;153,WeightSDS!M$25*$AG614^10+WeightSDS!N$25*$AG614^9+WeightSDS!O$25*$AG614^8+WeightSDS!P$25*$AG614^7+WeightSDS!Q$25*$AG614^6+WeightSDS!R$25*$AG614^5+WeightSDS!S$25*$AG614^4+WeightSDS!T$25*$AG614^3+WeightSDS!U$25*$AG614^2+WeightSDS!V$25*$AG614+WeightSDS!W$25,WeightSDS!M$27+WeightSDS!N$27/(1+EXP(WeightSDS!O$27+WeightSDS!P$27*$AG614)))),IF($AG614&lt;43.8,WeightSDS!M$29*$AG614^10+WeightSDS!N$29*$AG614^9+WeightSDS!O$29*$AG614^8+WeightSDS!P$29*$AG614^7+WeightSDS!Q$29*$AG614^6+WeightSDS!R$29*$AG614^5+WeightSDS!S$29*$AG614^4+WeightSDS!T$29*$AG614^3+WeightSDS!U$29*$AG614^2+WeightSDS!V$29*$AG614+WeightSDS!W$29-0.010431*(1-$AG614/210),IF($AG614&lt;123,WeightSDS!M$30*$AG614^10+WeightSDS!N$30*$AG614^9+WeightSDS!O$30*$AG614^8+WeightSDS!P$30*$AG614^7+WeightSDS!Q$30*$AG614^6+WeightSDS!R$30*$AG614^5+WeightSDS!S$30*$AG614^4+WeightSDS!T$30*$AG614^3+WeightSDS!U$30*$AG614^2+WeightSDS!V$30*$AG614+WeightSDS!W$30-0.010431*(1-1/$AG614),WeightSDS!M$32+WeightSDS!N$32/(1+EXP(WeightSDS!O$32+WeightSDS!P$32*$AG614))-0.010431*(1-$AG614/210))))</f>
        <v>2.9500001032655536</v>
      </c>
      <c r="AK614" s="24">
        <f>IF(D614="M",IF($AG614&lt;162,WeightSDS!P$12*$AG614^7+WeightSDS!Q$12*$AG614^6+WeightSDS!R$12*$AG614^5+WeightSDS!S$12*$AG614^4+WeightSDS!T$12*$AG614^3+WeightSDS!U$12*$AG614^2+WeightSDS!V$12*$AG614+WeightSDS!W$12,WeightSDS!P$14*$AG614^7+WeightSDS!Q$14*$AG614^6+WeightSDS!R$14*$AG614^5+WeightSDS!S$14*$AG614^4+WeightSDS!T$14*$AG614^3+WeightSDS!U$14*$AG614^2+WeightSDS!V$14*$AG614+WeightSDS!W$14),IF($AG614&lt;156,WeightSDS!O$17*$AG614^8+WeightSDS!P$17*$AG614^7+WeightSDS!Q$17*$AG614^6+WeightSDS!R$17*$AG614^5+WeightSDS!S$17*$AG614^4+WeightSDS!T$17*$AG614^3+WeightSDS!U$17*$AG614^2+WeightSDS!V$17*$AG614+WeightSDS!W$17,IF($AG614&lt;186,WeightSDS!$U$18+(WeightSDS!$V$18-WeightSDS!$U$18)/24*($AG614-186)+WeightSDS!$W$18*(-$AG614+186)^2-0.005,WeightSDS!$U$18+(WeightSDS!$V$18-WeightSDS!$U$18)/24*($AG614-186)-0.005)))</f>
        <v>0.14604529399999999</v>
      </c>
    </row>
    <row r="615" spans="1:37">
      <c r="A615" s="4"/>
      <c r="B615" s="21"/>
      <c r="C615" s="21"/>
      <c r="D615" s="21"/>
      <c r="E615" s="22"/>
      <c r="F615" s="22"/>
      <c r="G615" s="23"/>
      <c r="H615" s="23"/>
      <c r="I615" s="8" t="str">
        <f t="shared" si="146"/>
        <v/>
      </c>
      <c r="J615" s="2" t="str">
        <f t="shared" si="153"/>
        <v/>
      </c>
      <c r="K615" s="2" t="str">
        <f t="shared" si="147"/>
        <v/>
      </c>
      <c r="L615" s="2" t="str">
        <f t="shared" si="154"/>
        <v/>
      </c>
      <c r="M615" s="2" t="str">
        <f t="shared" si="159"/>
        <v/>
      </c>
      <c r="N615" s="2" t="str">
        <f t="shared" si="155"/>
        <v/>
      </c>
      <c r="O615" s="8" t="str">
        <f t="shared" si="156"/>
        <v/>
      </c>
      <c r="P615" s="8" t="str">
        <f t="shared" si="157"/>
        <v/>
      </c>
      <c r="Q615" s="40" t="str">
        <f t="shared" si="148"/>
        <v/>
      </c>
      <c r="R615" s="48" t="str">
        <f t="shared" si="158"/>
        <v/>
      </c>
      <c r="S615" s="8"/>
      <c r="U615" s="35">
        <f t="shared" si="149"/>
        <v>0</v>
      </c>
      <c r="V615" s="24">
        <f t="shared" si="150"/>
        <v>0</v>
      </c>
      <c r="W615" s="41">
        <f t="shared" si="161"/>
        <v>0</v>
      </c>
      <c r="X615" s="31"/>
      <c r="Y615" s="31"/>
      <c r="Z615" s="31"/>
      <c r="AA615" s="25">
        <f t="shared" si="151"/>
        <v>9.0359999999999996</v>
      </c>
      <c r="AB615" s="25">
        <f t="shared" si="152"/>
        <v>-184.49199999999999</v>
      </c>
      <c r="AD615" s="24">
        <f>IF(D615="M",IF(AG615&lt;78,BMILMS!$D$5*AG615^3+BMILMS!$E$5*AG615^2+BMILMS!$F$5*AG615+BMILMS!$G$5,IF(AG615&lt;150,BMILMS!$D$6*AG615^3+BMILMS!$E$6*AG615^2+BMILMS!$F$6*AG615+BMILMS!$G$6,BMILMS!$D$7*AG615^3+BMILMS!$E$7*AG615^2+BMILMS!$F$7*AG615+BMILMS!$G$7)),IF(AG615&lt;69,BMILMS!$D$9*AG615^3+BMILMS!$E$9*AG615^2+BMILMS!$F$9*AG615+BMILMS!$G$9,IF(AG615&lt;150,BMILMS!$D$10*AG615^3+BMILMS!$E$10*AG615^2+BMILMS!$F$10*AG615+BMILMS!$G$10,BMILMS!$D$11*AG615^3+BMILMS!$E$11*AG615^2+BMILMS!$F$11*AG615+BMILMS!$G$11)))</f>
        <v>0.79584630099999998</v>
      </c>
      <c r="AE615" s="24">
        <f>IF(D615="M",(IF(AG615&lt;2.5,BMILMS!$D$21*AG615^3+BMILMS!$E$21*AG615^2+BMILMS!$F$21*AG615+BMILMS!$G$21,IF(AG615&lt;9.5,BMILMS!$D$22*AG615^3+BMILMS!$E$22*AG615^2+BMILMS!$F$22*AG615+BMILMS!$G$22,IF(AG615&lt;26.75,BMILMS!$D$23*AG615^3+BMILMS!$E$23*AG615^2+BMILMS!$F$23*AG615+BMILMS!$G$23,IF(AG615&lt;90,BMILMS!$D$24*AG615^3+BMILMS!$E$24*AG615^2+BMILMS!$F$24*AG615+BMILMS!$G$24,BMILMS!$D$25*AG615^3+BMILMS!$E$25*AG615^2+BMILMS!$F$25*AG615+BMILMS!$G$25))))),(IF(AG615&lt;2.5,BMILMS!$D$27*AG615^3+BMILMS!$E$27*AG615^2+BMILMS!$F$27*AG615+BMILMS!$G$27,IF(AG615&lt;9.5,BMILMS!$D$28*AG615^3+BMILMS!$E$28*AG615^2+BMILMS!$F$28*AG615+BMILMS!$G$28,IF(AG615&lt;26.75,BMILMS!$D$29*AG615^3+BMILMS!$E$29*AG615^2+BMILMS!$F$29*AG615+BMILMS!$G$29,IF(AG615&lt;90,BMILMS!$D$30*AG615^3+BMILMS!$E$30*AG615^2+BMILMS!$F$30*AG615+BMILMS!$G$30,IF(AG615&lt;150,BMILMS!$D$31*AG615^3+BMILMS!$E$31*AG615^2+BMILMS!$F$31*AG615+BMILMS!$G$31,BMILMS!$D$32*AG615^3+BMILMS!$E$32*AG615^2+BMILMS!$F$32*AG615+BMILMS!$G$32)))))))</f>
        <v>12.568967990000001</v>
      </c>
      <c r="AF615" s="24">
        <f>IF(D615="M",(IF(AG615&lt;90,BMILMS!$D$14*AG615^3+BMILMS!$E$14*AG615^2+BMILMS!$F$14*AG615+BMILMS!$G$14,BMILMS!$D$15*AG615^3+BMILMS!$E$15*AG615^2+BMILMS!$F$15*AG615+BMILMS!$G$15)),(IF(AG615&lt;90,BMILMS!$D$17*AG615^3+BMILMS!$E$17*AG615^2+BMILMS!$F$17*AG615+BMILMS!$G$17,BMILMS!$D$18*AG615^3+BMILMS!$E$18*AG615^2+BMILMS!$F$18*AG615+BMILMS!$G$18)))</f>
        <v>8.8969350000000003E-2</v>
      </c>
      <c r="AG615" s="24">
        <f t="shared" si="160"/>
        <v>0</v>
      </c>
      <c r="AI615" s="38">
        <f>IF(D615="M",WeightSDS!P$5*$AG615^7+WeightSDS!Q$5*$AG615^6+WeightSDS!R$5*$AG615^5+WeightSDS!S$5*$AG615^4+WeightSDS!T$5*$AG615^3+WeightSDS!U$5*$AG615^2+WeightSDS!V$5*$AG615+WeightSDS!W$5,IF($AG615&lt;186,WeightSDS!P$8*$AG615^7+WeightSDS!Q$8*$AG615^6+WeightSDS!R$8*$AG615^5+WeightSDS!S$8*$AG615^4+WeightSDS!T$8*$AG615^3+WeightSDS!U$8*$AG615^2+WeightSDS!V$8*$AG615+WeightSDS!W$8,WeightSDS!$U$9-WeightSDS!$V$9*($AG615-WeightSDS!$W$9)))</f>
        <v>0.75407122999999998</v>
      </c>
      <c r="AJ615" s="24">
        <f>IF(D615="M",IF($AG615&lt;45,WeightSDS!M$23*$AG615^10+WeightSDS!N$23*$AG615^9+WeightSDS!O$23*$AG615^8+WeightSDS!P$23*$AG615^7+WeightSDS!Q$23*$AG615^6+WeightSDS!R$23*$AG615^5+WeightSDS!S$23*$AG615^4+WeightSDS!T$23*$AG615^3+WeightSDS!U$23*$AG615^2+WeightSDS!V$23*$AG615+WeightSDS!W$23,IF($AG615&lt;153,WeightSDS!M$25*$AG615^10+WeightSDS!N$25*$AG615^9+WeightSDS!O$25*$AG615^8+WeightSDS!P$25*$AG615^7+WeightSDS!Q$25*$AG615^6+WeightSDS!R$25*$AG615^5+WeightSDS!S$25*$AG615^4+WeightSDS!T$25*$AG615^3+WeightSDS!U$25*$AG615^2+WeightSDS!V$25*$AG615+WeightSDS!W$25,WeightSDS!M$27+WeightSDS!N$27/(1+EXP(WeightSDS!O$27+WeightSDS!P$27*$AG615)))),IF($AG615&lt;43.8,WeightSDS!M$29*$AG615^10+WeightSDS!N$29*$AG615^9+WeightSDS!O$29*$AG615^8+WeightSDS!P$29*$AG615^7+WeightSDS!Q$29*$AG615^6+WeightSDS!R$29*$AG615^5+WeightSDS!S$29*$AG615^4+WeightSDS!T$29*$AG615^3+WeightSDS!U$29*$AG615^2+WeightSDS!V$29*$AG615+WeightSDS!W$29-0.010431*(1-$AG615/210),IF($AG615&lt;123,WeightSDS!M$30*$AG615^10+WeightSDS!N$30*$AG615^9+WeightSDS!O$30*$AG615^8+WeightSDS!P$30*$AG615^7+WeightSDS!Q$30*$AG615^6+WeightSDS!R$30*$AG615^5+WeightSDS!S$30*$AG615^4+WeightSDS!T$30*$AG615^3+WeightSDS!U$30*$AG615^2+WeightSDS!V$30*$AG615+WeightSDS!W$30-0.010431*(1-1/$AG615),WeightSDS!M$32+WeightSDS!N$32/(1+EXP(WeightSDS!O$32+WeightSDS!P$32*$AG615))-0.010431*(1-$AG615/210))))</f>
        <v>2.9500001032655536</v>
      </c>
      <c r="AK615" s="24">
        <f>IF(D615="M",IF($AG615&lt;162,WeightSDS!P$12*$AG615^7+WeightSDS!Q$12*$AG615^6+WeightSDS!R$12*$AG615^5+WeightSDS!S$12*$AG615^4+WeightSDS!T$12*$AG615^3+WeightSDS!U$12*$AG615^2+WeightSDS!V$12*$AG615+WeightSDS!W$12,WeightSDS!P$14*$AG615^7+WeightSDS!Q$14*$AG615^6+WeightSDS!R$14*$AG615^5+WeightSDS!S$14*$AG615^4+WeightSDS!T$14*$AG615^3+WeightSDS!U$14*$AG615^2+WeightSDS!V$14*$AG615+WeightSDS!W$14),IF($AG615&lt;156,WeightSDS!O$17*$AG615^8+WeightSDS!P$17*$AG615^7+WeightSDS!Q$17*$AG615^6+WeightSDS!R$17*$AG615^5+WeightSDS!S$17*$AG615^4+WeightSDS!T$17*$AG615^3+WeightSDS!U$17*$AG615^2+WeightSDS!V$17*$AG615+WeightSDS!W$17,IF($AG615&lt;186,WeightSDS!$U$18+(WeightSDS!$V$18-WeightSDS!$U$18)/24*($AG615-186)+WeightSDS!$W$18*(-$AG615+186)^2-0.005,WeightSDS!$U$18+(WeightSDS!$V$18-WeightSDS!$U$18)/24*($AG615-186)-0.005)))</f>
        <v>0.14604529399999999</v>
      </c>
    </row>
    <row r="616" spans="1:37">
      <c r="A616" s="4"/>
      <c r="B616" s="21"/>
      <c r="C616" s="21"/>
      <c r="D616" s="21"/>
      <c r="E616" s="22"/>
      <c r="F616" s="22"/>
      <c r="G616" s="23"/>
      <c r="H616" s="23"/>
      <c r="I616" s="8" t="str">
        <f t="shared" si="146"/>
        <v/>
      </c>
      <c r="J616" s="2" t="str">
        <f t="shared" si="153"/>
        <v/>
      </c>
      <c r="K616" s="2" t="str">
        <f t="shared" si="147"/>
        <v/>
      </c>
      <c r="L616" s="2" t="str">
        <f t="shared" si="154"/>
        <v/>
      </c>
      <c r="M616" s="2" t="str">
        <f t="shared" si="159"/>
        <v/>
      </c>
      <c r="N616" s="2" t="str">
        <f t="shared" si="155"/>
        <v/>
      </c>
      <c r="O616" s="8" t="str">
        <f t="shared" si="156"/>
        <v/>
      </c>
      <c r="P616" s="8" t="str">
        <f t="shared" si="157"/>
        <v/>
      </c>
      <c r="Q616" s="40" t="str">
        <f t="shared" si="148"/>
        <v/>
      </c>
      <c r="R616" s="48" t="str">
        <f t="shared" si="158"/>
        <v/>
      </c>
      <c r="S616" s="8"/>
      <c r="U616" s="35">
        <f t="shared" si="149"/>
        <v>0</v>
      </c>
      <c r="V616" s="24">
        <f t="shared" si="150"/>
        <v>0</v>
      </c>
      <c r="W616" s="41">
        <f t="shared" si="161"/>
        <v>0</v>
      </c>
      <c r="X616" s="31"/>
      <c r="Y616" s="31"/>
      <c r="Z616" s="31"/>
      <c r="AA616" s="25">
        <f t="shared" si="151"/>
        <v>9.0359999999999996</v>
      </c>
      <c r="AB616" s="25">
        <f t="shared" si="152"/>
        <v>-184.49199999999999</v>
      </c>
      <c r="AD616" s="24">
        <f>IF(D616="M",IF(AG616&lt;78,BMILMS!$D$5*AG616^3+BMILMS!$E$5*AG616^2+BMILMS!$F$5*AG616+BMILMS!$G$5,IF(AG616&lt;150,BMILMS!$D$6*AG616^3+BMILMS!$E$6*AG616^2+BMILMS!$F$6*AG616+BMILMS!$G$6,BMILMS!$D$7*AG616^3+BMILMS!$E$7*AG616^2+BMILMS!$F$7*AG616+BMILMS!$G$7)),IF(AG616&lt;69,BMILMS!$D$9*AG616^3+BMILMS!$E$9*AG616^2+BMILMS!$F$9*AG616+BMILMS!$G$9,IF(AG616&lt;150,BMILMS!$D$10*AG616^3+BMILMS!$E$10*AG616^2+BMILMS!$F$10*AG616+BMILMS!$G$10,BMILMS!$D$11*AG616^3+BMILMS!$E$11*AG616^2+BMILMS!$F$11*AG616+BMILMS!$G$11)))</f>
        <v>0.79584630099999998</v>
      </c>
      <c r="AE616" s="24">
        <f>IF(D616="M",(IF(AG616&lt;2.5,BMILMS!$D$21*AG616^3+BMILMS!$E$21*AG616^2+BMILMS!$F$21*AG616+BMILMS!$G$21,IF(AG616&lt;9.5,BMILMS!$D$22*AG616^3+BMILMS!$E$22*AG616^2+BMILMS!$F$22*AG616+BMILMS!$G$22,IF(AG616&lt;26.75,BMILMS!$D$23*AG616^3+BMILMS!$E$23*AG616^2+BMILMS!$F$23*AG616+BMILMS!$G$23,IF(AG616&lt;90,BMILMS!$D$24*AG616^3+BMILMS!$E$24*AG616^2+BMILMS!$F$24*AG616+BMILMS!$G$24,BMILMS!$D$25*AG616^3+BMILMS!$E$25*AG616^2+BMILMS!$F$25*AG616+BMILMS!$G$25))))),(IF(AG616&lt;2.5,BMILMS!$D$27*AG616^3+BMILMS!$E$27*AG616^2+BMILMS!$F$27*AG616+BMILMS!$G$27,IF(AG616&lt;9.5,BMILMS!$D$28*AG616^3+BMILMS!$E$28*AG616^2+BMILMS!$F$28*AG616+BMILMS!$G$28,IF(AG616&lt;26.75,BMILMS!$D$29*AG616^3+BMILMS!$E$29*AG616^2+BMILMS!$F$29*AG616+BMILMS!$G$29,IF(AG616&lt;90,BMILMS!$D$30*AG616^3+BMILMS!$E$30*AG616^2+BMILMS!$F$30*AG616+BMILMS!$G$30,IF(AG616&lt;150,BMILMS!$D$31*AG616^3+BMILMS!$E$31*AG616^2+BMILMS!$F$31*AG616+BMILMS!$G$31,BMILMS!$D$32*AG616^3+BMILMS!$E$32*AG616^2+BMILMS!$F$32*AG616+BMILMS!$G$32)))))))</f>
        <v>12.568967990000001</v>
      </c>
      <c r="AF616" s="24">
        <f>IF(D616="M",(IF(AG616&lt;90,BMILMS!$D$14*AG616^3+BMILMS!$E$14*AG616^2+BMILMS!$F$14*AG616+BMILMS!$G$14,BMILMS!$D$15*AG616^3+BMILMS!$E$15*AG616^2+BMILMS!$F$15*AG616+BMILMS!$G$15)),(IF(AG616&lt;90,BMILMS!$D$17*AG616^3+BMILMS!$E$17*AG616^2+BMILMS!$F$17*AG616+BMILMS!$G$17,BMILMS!$D$18*AG616^3+BMILMS!$E$18*AG616^2+BMILMS!$F$18*AG616+BMILMS!$G$18)))</f>
        <v>8.8969350000000003E-2</v>
      </c>
      <c r="AG616" s="24">
        <f t="shared" si="160"/>
        <v>0</v>
      </c>
      <c r="AI616" s="38">
        <f>IF(D616="M",WeightSDS!P$5*$AG616^7+WeightSDS!Q$5*$AG616^6+WeightSDS!R$5*$AG616^5+WeightSDS!S$5*$AG616^4+WeightSDS!T$5*$AG616^3+WeightSDS!U$5*$AG616^2+WeightSDS!V$5*$AG616+WeightSDS!W$5,IF($AG616&lt;186,WeightSDS!P$8*$AG616^7+WeightSDS!Q$8*$AG616^6+WeightSDS!R$8*$AG616^5+WeightSDS!S$8*$AG616^4+WeightSDS!T$8*$AG616^3+WeightSDS!U$8*$AG616^2+WeightSDS!V$8*$AG616+WeightSDS!W$8,WeightSDS!$U$9-WeightSDS!$V$9*($AG616-WeightSDS!$W$9)))</f>
        <v>0.75407122999999998</v>
      </c>
      <c r="AJ616" s="24">
        <f>IF(D616="M",IF($AG616&lt;45,WeightSDS!M$23*$AG616^10+WeightSDS!N$23*$AG616^9+WeightSDS!O$23*$AG616^8+WeightSDS!P$23*$AG616^7+WeightSDS!Q$23*$AG616^6+WeightSDS!R$23*$AG616^5+WeightSDS!S$23*$AG616^4+WeightSDS!T$23*$AG616^3+WeightSDS!U$23*$AG616^2+WeightSDS!V$23*$AG616+WeightSDS!W$23,IF($AG616&lt;153,WeightSDS!M$25*$AG616^10+WeightSDS!N$25*$AG616^9+WeightSDS!O$25*$AG616^8+WeightSDS!P$25*$AG616^7+WeightSDS!Q$25*$AG616^6+WeightSDS!R$25*$AG616^5+WeightSDS!S$25*$AG616^4+WeightSDS!T$25*$AG616^3+WeightSDS!U$25*$AG616^2+WeightSDS!V$25*$AG616+WeightSDS!W$25,WeightSDS!M$27+WeightSDS!N$27/(1+EXP(WeightSDS!O$27+WeightSDS!P$27*$AG616)))),IF($AG616&lt;43.8,WeightSDS!M$29*$AG616^10+WeightSDS!N$29*$AG616^9+WeightSDS!O$29*$AG616^8+WeightSDS!P$29*$AG616^7+WeightSDS!Q$29*$AG616^6+WeightSDS!R$29*$AG616^5+WeightSDS!S$29*$AG616^4+WeightSDS!T$29*$AG616^3+WeightSDS!U$29*$AG616^2+WeightSDS!V$29*$AG616+WeightSDS!W$29-0.010431*(1-$AG616/210),IF($AG616&lt;123,WeightSDS!M$30*$AG616^10+WeightSDS!N$30*$AG616^9+WeightSDS!O$30*$AG616^8+WeightSDS!P$30*$AG616^7+WeightSDS!Q$30*$AG616^6+WeightSDS!R$30*$AG616^5+WeightSDS!S$30*$AG616^4+WeightSDS!T$30*$AG616^3+WeightSDS!U$30*$AG616^2+WeightSDS!V$30*$AG616+WeightSDS!W$30-0.010431*(1-1/$AG616),WeightSDS!M$32+WeightSDS!N$32/(1+EXP(WeightSDS!O$32+WeightSDS!P$32*$AG616))-0.010431*(1-$AG616/210))))</f>
        <v>2.9500001032655536</v>
      </c>
      <c r="AK616" s="24">
        <f>IF(D616="M",IF($AG616&lt;162,WeightSDS!P$12*$AG616^7+WeightSDS!Q$12*$AG616^6+WeightSDS!R$12*$AG616^5+WeightSDS!S$12*$AG616^4+WeightSDS!T$12*$AG616^3+WeightSDS!U$12*$AG616^2+WeightSDS!V$12*$AG616+WeightSDS!W$12,WeightSDS!P$14*$AG616^7+WeightSDS!Q$14*$AG616^6+WeightSDS!R$14*$AG616^5+WeightSDS!S$14*$AG616^4+WeightSDS!T$14*$AG616^3+WeightSDS!U$14*$AG616^2+WeightSDS!V$14*$AG616+WeightSDS!W$14),IF($AG616&lt;156,WeightSDS!O$17*$AG616^8+WeightSDS!P$17*$AG616^7+WeightSDS!Q$17*$AG616^6+WeightSDS!R$17*$AG616^5+WeightSDS!S$17*$AG616^4+WeightSDS!T$17*$AG616^3+WeightSDS!U$17*$AG616^2+WeightSDS!V$17*$AG616+WeightSDS!W$17,IF($AG616&lt;186,WeightSDS!$U$18+(WeightSDS!$V$18-WeightSDS!$U$18)/24*($AG616-186)+WeightSDS!$W$18*(-$AG616+186)^2-0.005,WeightSDS!$U$18+(WeightSDS!$V$18-WeightSDS!$U$18)/24*($AG616-186)-0.005)))</f>
        <v>0.14604529399999999</v>
      </c>
    </row>
    <row r="617" spans="1:37">
      <c r="A617" s="4"/>
      <c r="B617" s="21"/>
      <c r="C617" s="21"/>
      <c r="D617" s="21"/>
      <c r="E617" s="22"/>
      <c r="F617" s="22"/>
      <c r="G617" s="23"/>
      <c r="H617" s="23"/>
      <c r="I617" s="8" t="str">
        <f t="shared" si="146"/>
        <v/>
      </c>
      <c r="J617" s="2" t="str">
        <f t="shared" si="153"/>
        <v/>
      </c>
      <c r="K617" s="2" t="str">
        <f t="shared" si="147"/>
        <v/>
      </c>
      <c r="L617" s="2" t="str">
        <f t="shared" si="154"/>
        <v/>
      </c>
      <c r="M617" s="2" t="str">
        <f t="shared" si="159"/>
        <v/>
      </c>
      <c r="N617" s="2" t="str">
        <f t="shared" si="155"/>
        <v/>
      </c>
      <c r="O617" s="8" t="str">
        <f t="shared" si="156"/>
        <v/>
      </c>
      <c r="P617" s="8" t="str">
        <f t="shared" si="157"/>
        <v/>
      </c>
      <c r="Q617" s="40" t="str">
        <f t="shared" si="148"/>
        <v/>
      </c>
      <c r="R617" s="48" t="str">
        <f t="shared" si="158"/>
        <v/>
      </c>
      <c r="S617" s="8"/>
      <c r="U617" s="35">
        <f t="shared" si="149"/>
        <v>0</v>
      </c>
      <c r="V617" s="24">
        <f t="shared" si="150"/>
        <v>0</v>
      </c>
      <c r="W617" s="41">
        <f t="shared" si="161"/>
        <v>0</v>
      </c>
      <c r="X617" s="31"/>
      <c r="Y617" s="31"/>
      <c r="Z617" s="31"/>
      <c r="AA617" s="25">
        <f t="shared" si="151"/>
        <v>9.0359999999999996</v>
      </c>
      <c r="AB617" s="25">
        <f t="shared" si="152"/>
        <v>-184.49199999999999</v>
      </c>
      <c r="AD617" s="24">
        <f>IF(D617="M",IF(AG617&lt;78,BMILMS!$D$5*AG617^3+BMILMS!$E$5*AG617^2+BMILMS!$F$5*AG617+BMILMS!$G$5,IF(AG617&lt;150,BMILMS!$D$6*AG617^3+BMILMS!$E$6*AG617^2+BMILMS!$F$6*AG617+BMILMS!$G$6,BMILMS!$D$7*AG617^3+BMILMS!$E$7*AG617^2+BMILMS!$F$7*AG617+BMILMS!$G$7)),IF(AG617&lt;69,BMILMS!$D$9*AG617^3+BMILMS!$E$9*AG617^2+BMILMS!$F$9*AG617+BMILMS!$G$9,IF(AG617&lt;150,BMILMS!$D$10*AG617^3+BMILMS!$E$10*AG617^2+BMILMS!$F$10*AG617+BMILMS!$G$10,BMILMS!$D$11*AG617^3+BMILMS!$E$11*AG617^2+BMILMS!$F$11*AG617+BMILMS!$G$11)))</f>
        <v>0.79584630099999998</v>
      </c>
      <c r="AE617" s="24">
        <f>IF(D617="M",(IF(AG617&lt;2.5,BMILMS!$D$21*AG617^3+BMILMS!$E$21*AG617^2+BMILMS!$F$21*AG617+BMILMS!$G$21,IF(AG617&lt;9.5,BMILMS!$D$22*AG617^3+BMILMS!$E$22*AG617^2+BMILMS!$F$22*AG617+BMILMS!$G$22,IF(AG617&lt;26.75,BMILMS!$D$23*AG617^3+BMILMS!$E$23*AG617^2+BMILMS!$F$23*AG617+BMILMS!$G$23,IF(AG617&lt;90,BMILMS!$D$24*AG617^3+BMILMS!$E$24*AG617^2+BMILMS!$F$24*AG617+BMILMS!$G$24,BMILMS!$D$25*AG617^3+BMILMS!$E$25*AG617^2+BMILMS!$F$25*AG617+BMILMS!$G$25))))),(IF(AG617&lt;2.5,BMILMS!$D$27*AG617^3+BMILMS!$E$27*AG617^2+BMILMS!$F$27*AG617+BMILMS!$G$27,IF(AG617&lt;9.5,BMILMS!$D$28*AG617^3+BMILMS!$E$28*AG617^2+BMILMS!$F$28*AG617+BMILMS!$G$28,IF(AG617&lt;26.75,BMILMS!$D$29*AG617^3+BMILMS!$E$29*AG617^2+BMILMS!$F$29*AG617+BMILMS!$G$29,IF(AG617&lt;90,BMILMS!$D$30*AG617^3+BMILMS!$E$30*AG617^2+BMILMS!$F$30*AG617+BMILMS!$G$30,IF(AG617&lt;150,BMILMS!$D$31*AG617^3+BMILMS!$E$31*AG617^2+BMILMS!$F$31*AG617+BMILMS!$G$31,BMILMS!$D$32*AG617^3+BMILMS!$E$32*AG617^2+BMILMS!$F$32*AG617+BMILMS!$G$32)))))))</f>
        <v>12.568967990000001</v>
      </c>
      <c r="AF617" s="24">
        <f>IF(D617="M",(IF(AG617&lt;90,BMILMS!$D$14*AG617^3+BMILMS!$E$14*AG617^2+BMILMS!$F$14*AG617+BMILMS!$G$14,BMILMS!$D$15*AG617^3+BMILMS!$E$15*AG617^2+BMILMS!$F$15*AG617+BMILMS!$G$15)),(IF(AG617&lt;90,BMILMS!$D$17*AG617^3+BMILMS!$E$17*AG617^2+BMILMS!$F$17*AG617+BMILMS!$G$17,BMILMS!$D$18*AG617^3+BMILMS!$E$18*AG617^2+BMILMS!$F$18*AG617+BMILMS!$G$18)))</f>
        <v>8.8969350000000003E-2</v>
      </c>
      <c r="AG617" s="24">
        <f t="shared" si="160"/>
        <v>0</v>
      </c>
      <c r="AI617" s="38">
        <f>IF(D617="M",WeightSDS!P$5*$AG617^7+WeightSDS!Q$5*$AG617^6+WeightSDS!R$5*$AG617^5+WeightSDS!S$5*$AG617^4+WeightSDS!T$5*$AG617^3+WeightSDS!U$5*$AG617^2+WeightSDS!V$5*$AG617+WeightSDS!W$5,IF($AG617&lt;186,WeightSDS!P$8*$AG617^7+WeightSDS!Q$8*$AG617^6+WeightSDS!R$8*$AG617^5+WeightSDS!S$8*$AG617^4+WeightSDS!T$8*$AG617^3+WeightSDS!U$8*$AG617^2+WeightSDS!V$8*$AG617+WeightSDS!W$8,WeightSDS!$U$9-WeightSDS!$V$9*($AG617-WeightSDS!$W$9)))</f>
        <v>0.75407122999999998</v>
      </c>
      <c r="AJ617" s="24">
        <f>IF(D617="M",IF($AG617&lt;45,WeightSDS!M$23*$AG617^10+WeightSDS!N$23*$AG617^9+WeightSDS!O$23*$AG617^8+WeightSDS!P$23*$AG617^7+WeightSDS!Q$23*$AG617^6+WeightSDS!R$23*$AG617^5+WeightSDS!S$23*$AG617^4+WeightSDS!T$23*$AG617^3+WeightSDS!U$23*$AG617^2+WeightSDS!V$23*$AG617+WeightSDS!W$23,IF($AG617&lt;153,WeightSDS!M$25*$AG617^10+WeightSDS!N$25*$AG617^9+WeightSDS!O$25*$AG617^8+WeightSDS!P$25*$AG617^7+WeightSDS!Q$25*$AG617^6+WeightSDS!R$25*$AG617^5+WeightSDS!S$25*$AG617^4+WeightSDS!T$25*$AG617^3+WeightSDS!U$25*$AG617^2+WeightSDS!V$25*$AG617+WeightSDS!W$25,WeightSDS!M$27+WeightSDS!N$27/(1+EXP(WeightSDS!O$27+WeightSDS!P$27*$AG617)))),IF($AG617&lt;43.8,WeightSDS!M$29*$AG617^10+WeightSDS!N$29*$AG617^9+WeightSDS!O$29*$AG617^8+WeightSDS!P$29*$AG617^7+WeightSDS!Q$29*$AG617^6+WeightSDS!R$29*$AG617^5+WeightSDS!S$29*$AG617^4+WeightSDS!T$29*$AG617^3+WeightSDS!U$29*$AG617^2+WeightSDS!V$29*$AG617+WeightSDS!W$29-0.010431*(1-$AG617/210),IF($AG617&lt;123,WeightSDS!M$30*$AG617^10+WeightSDS!N$30*$AG617^9+WeightSDS!O$30*$AG617^8+WeightSDS!P$30*$AG617^7+WeightSDS!Q$30*$AG617^6+WeightSDS!R$30*$AG617^5+WeightSDS!S$30*$AG617^4+WeightSDS!T$30*$AG617^3+WeightSDS!U$30*$AG617^2+WeightSDS!V$30*$AG617+WeightSDS!W$30-0.010431*(1-1/$AG617),WeightSDS!M$32+WeightSDS!N$32/(1+EXP(WeightSDS!O$32+WeightSDS!P$32*$AG617))-0.010431*(1-$AG617/210))))</f>
        <v>2.9500001032655536</v>
      </c>
      <c r="AK617" s="24">
        <f>IF(D617="M",IF($AG617&lt;162,WeightSDS!P$12*$AG617^7+WeightSDS!Q$12*$AG617^6+WeightSDS!R$12*$AG617^5+WeightSDS!S$12*$AG617^4+WeightSDS!T$12*$AG617^3+WeightSDS!U$12*$AG617^2+WeightSDS!V$12*$AG617+WeightSDS!W$12,WeightSDS!P$14*$AG617^7+WeightSDS!Q$14*$AG617^6+WeightSDS!R$14*$AG617^5+WeightSDS!S$14*$AG617^4+WeightSDS!T$14*$AG617^3+WeightSDS!U$14*$AG617^2+WeightSDS!V$14*$AG617+WeightSDS!W$14),IF($AG617&lt;156,WeightSDS!O$17*$AG617^8+WeightSDS!P$17*$AG617^7+WeightSDS!Q$17*$AG617^6+WeightSDS!R$17*$AG617^5+WeightSDS!S$17*$AG617^4+WeightSDS!T$17*$AG617^3+WeightSDS!U$17*$AG617^2+WeightSDS!V$17*$AG617+WeightSDS!W$17,IF($AG617&lt;186,WeightSDS!$U$18+(WeightSDS!$V$18-WeightSDS!$U$18)/24*($AG617-186)+WeightSDS!$W$18*(-$AG617+186)^2-0.005,WeightSDS!$U$18+(WeightSDS!$V$18-WeightSDS!$U$18)/24*($AG617-186)-0.005)))</f>
        <v>0.14604529399999999</v>
      </c>
    </row>
    <row r="618" spans="1:37">
      <c r="A618" s="4"/>
      <c r="B618" s="21"/>
      <c r="C618" s="21"/>
      <c r="D618" s="21"/>
      <c r="E618" s="22"/>
      <c r="F618" s="22"/>
      <c r="G618" s="23"/>
      <c r="H618" s="23"/>
      <c r="I618" s="8" t="str">
        <f t="shared" si="146"/>
        <v/>
      </c>
      <c r="J618" s="2" t="str">
        <f t="shared" si="153"/>
        <v/>
      </c>
      <c r="K618" s="2" t="str">
        <f t="shared" si="147"/>
        <v/>
      </c>
      <c r="L618" s="2" t="str">
        <f t="shared" si="154"/>
        <v/>
      </c>
      <c r="M618" s="2" t="str">
        <f t="shared" si="159"/>
        <v/>
      </c>
      <c r="N618" s="2" t="str">
        <f t="shared" si="155"/>
        <v/>
      </c>
      <c r="O618" s="8" t="str">
        <f t="shared" si="156"/>
        <v/>
      </c>
      <c r="P618" s="8" t="str">
        <f t="shared" si="157"/>
        <v/>
      </c>
      <c r="Q618" s="40" t="str">
        <f t="shared" si="148"/>
        <v/>
      </c>
      <c r="R618" s="48" t="str">
        <f t="shared" si="158"/>
        <v/>
      </c>
      <c r="S618" s="8"/>
      <c r="U618" s="35">
        <f t="shared" si="149"/>
        <v>0</v>
      </c>
      <c r="V618" s="24">
        <f t="shared" si="150"/>
        <v>0</v>
      </c>
      <c r="W618" s="41">
        <f t="shared" si="161"/>
        <v>0</v>
      </c>
      <c r="X618" s="31"/>
      <c r="Y618" s="31"/>
      <c r="Z618" s="31"/>
      <c r="AA618" s="25">
        <f t="shared" si="151"/>
        <v>9.0359999999999996</v>
      </c>
      <c r="AB618" s="25">
        <f t="shared" si="152"/>
        <v>-184.49199999999999</v>
      </c>
      <c r="AD618" s="24">
        <f>IF(D618="M",IF(AG618&lt;78,BMILMS!$D$5*AG618^3+BMILMS!$E$5*AG618^2+BMILMS!$F$5*AG618+BMILMS!$G$5,IF(AG618&lt;150,BMILMS!$D$6*AG618^3+BMILMS!$E$6*AG618^2+BMILMS!$F$6*AG618+BMILMS!$G$6,BMILMS!$D$7*AG618^3+BMILMS!$E$7*AG618^2+BMILMS!$F$7*AG618+BMILMS!$G$7)),IF(AG618&lt;69,BMILMS!$D$9*AG618^3+BMILMS!$E$9*AG618^2+BMILMS!$F$9*AG618+BMILMS!$G$9,IF(AG618&lt;150,BMILMS!$D$10*AG618^3+BMILMS!$E$10*AG618^2+BMILMS!$F$10*AG618+BMILMS!$G$10,BMILMS!$D$11*AG618^3+BMILMS!$E$11*AG618^2+BMILMS!$F$11*AG618+BMILMS!$G$11)))</f>
        <v>0.79584630099999998</v>
      </c>
      <c r="AE618" s="24">
        <f>IF(D618="M",(IF(AG618&lt;2.5,BMILMS!$D$21*AG618^3+BMILMS!$E$21*AG618^2+BMILMS!$F$21*AG618+BMILMS!$G$21,IF(AG618&lt;9.5,BMILMS!$D$22*AG618^3+BMILMS!$E$22*AG618^2+BMILMS!$F$22*AG618+BMILMS!$G$22,IF(AG618&lt;26.75,BMILMS!$D$23*AG618^3+BMILMS!$E$23*AG618^2+BMILMS!$F$23*AG618+BMILMS!$G$23,IF(AG618&lt;90,BMILMS!$D$24*AG618^3+BMILMS!$E$24*AG618^2+BMILMS!$F$24*AG618+BMILMS!$G$24,BMILMS!$D$25*AG618^3+BMILMS!$E$25*AG618^2+BMILMS!$F$25*AG618+BMILMS!$G$25))))),(IF(AG618&lt;2.5,BMILMS!$D$27*AG618^3+BMILMS!$E$27*AG618^2+BMILMS!$F$27*AG618+BMILMS!$G$27,IF(AG618&lt;9.5,BMILMS!$D$28*AG618^3+BMILMS!$E$28*AG618^2+BMILMS!$F$28*AG618+BMILMS!$G$28,IF(AG618&lt;26.75,BMILMS!$D$29*AG618^3+BMILMS!$E$29*AG618^2+BMILMS!$F$29*AG618+BMILMS!$G$29,IF(AG618&lt;90,BMILMS!$D$30*AG618^3+BMILMS!$E$30*AG618^2+BMILMS!$F$30*AG618+BMILMS!$G$30,IF(AG618&lt;150,BMILMS!$D$31*AG618^3+BMILMS!$E$31*AG618^2+BMILMS!$F$31*AG618+BMILMS!$G$31,BMILMS!$D$32*AG618^3+BMILMS!$E$32*AG618^2+BMILMS!$F$32*AG618+BMILMS!$G$32)))))))</f>
        <v>12.568967990000001</v>
      </c>
      <c r="AF618" s="24">
        <f>IF(D618="M",(IF(AG618&lt;90,BMILMS!$D$14*AG618^3+BMILMS!$E$14*AG618^2+BMILMS!$F$14*AG618+BMILMS!$G$14,BMILMS!$D$15*AG618^3+BMILMS!$E$15*AG618^2+BMILMS!$F$15*AG618+BMILMS!$G$15)),(IF(AG618&lt;90,BMILMS!$D$17*AG618^3+BMILMS!$E$17*AG618^2+BMILMS!$F$17*AG618+BMILMS!$G$17,BMILMS!$D$18*AG618^3+BMILMS!$E$18*AG618^2+BMILMS!$F$18*AG618+BMILMS!$G$18)))</f>
        <v>8.8969350000000003E-2</v>
      </c>
      <c r="AG618" s="24">
        <f t="shared" si="160"/>
        <v>0</v>
      </c>
      <c r="AI618" s="38">
        <f>IF(D618="M",WeightSDS!P$5*$AG618^7+WeightSDS!Q$5*$AG618^6+WeightSDS!R$5*$AG618^5+WeightSDS!S$5*$AG618^4+WeightSDS!T$5*$AG618^3+WeightSDS!U$5*$AG618^2+WeightSDS!V$5*$AG618+WeightSDS!W$5,IF($AG618&lt;186,WeightSDS!P$8*$AG618^7+WeightSDS!Q$8*$AG618^6+WeightSDS!R$8*$AG618^5+WeightSDS!S$8*$AG618^4+WeightSDS!T$8*$AG618^3+WeightSDS!U$8*$AG618^2+WeightSDS!V$8*$AG618+WeightSDS!W$8,WeightSDS!$U$9-WeightSDS!$V$9*($AG618-WeightSDS!$W$9)))</f>
        <v>0.75407122999999998</v>
      </c>
      <c r="AJ618" s="24">
        <f>IF(D618="M",IF($AG618&lt;45,WeightSDS!M$23*$AG618^10+WeightSDS!N$23*$AG618^9+WeightSDS!O$23*$AG618^8+WeightSDS!P$23*$AG618^7+WeightSDS!Q$23*$AG618^6+WeightSDS!R$23*$AG618^5+WeightSDS!S$23*$AG618^4+WeightSDS!T$23*$AG618^3+WeightSDS!U$23*$AG618^2+WeightSDS!V$23*$AG618+WeightSDS!W$23,IF($AG618&lt;153,WeightSDS!M$25*$AG618^10+WeightSDS!N$25*$AG618^9+WeightSDS!O$25*$AG618^8+WeightSDS!P$25*$AG618^7+WeightSDS!Q$25*$AG618^6+WeightSDS!R$25*$AG618^5+WeightSDS!S$25*$AG618^4+WeightSDS!T$25*$AG618^3+WeightSDS!U$25*$AG618^2+WeightSDS!V$25*$AG618+WeightSDS!W$25,WeightSDS!M$27+WeightSDS!N$27/(1+EXP(WeightSDS!O$27+WeightSDS!P$27*$AG618)))),IF($AG618&lt;43.8,WeightSDS!M$29*$AG618^10+WeightSDS!N$29*$AG618^9+WeightSDS!O$29*$AG618^8+WeightSDS!P$29*$AG618^7+WeightSDS!Q$29*$AG618^6+WeightSDS!R$29*$AG618^5+WeightSDS!S$29*$AG618^4+WeightSDS!T$29*$AG618^3+WeightSDS!U$29*$AG618^2+WeightSDS!V$29*$AG618+WeightSDS!W$29-0.010431*(1-$AG618/210),IF($AG618&lt;123,WeightSDS!M$30*$AG618^10+WeightSDS!N$30*$AG618^9+WeightSDS!O$30*$AG618^8+WeightSDS!P$30*$AG618^7+WeightSDS!Q$30*$AG618^6+WeightSDS!R$30*$AG618^5+WeightSDS!S$30*$AG618^4+WeightSDS!T$30*$AG618^3+WeightSDS!U$30*$AG618^2+WeightSDS!V$30*$AG618+WeightSDS!W$30-0.010431*(1-1/$AG618),WeightSDS!M$32+WeightSDS!N$32/(1+EXP(WeightSDS!O$32+WeightSDS!P$32*$AG618))-0.010431*(1-$AG618/210))))</f>
        <v>2.9500001032655536</v>
      </c>
      <c r="AK618" s="24">
        <f>IF(D618="M",IF($AG618&lt;162,WeightSDS!P$12*$AG618^7+WeightSDS!Q$12*$AG618^6+WeightSDS!R$12*$AG618^5+WeightSDS!S$12*$AG618^4+WeightSDS!T$12*$AG618^3+WeightSDS!U$12*$AG618^2+WeightSDS!V$12*$AG618+WeightSDS!W$12,WeightSDS!P$14*$AG618^7+WeightSDS!Q$14*$AG618^6+WeightSDS!R$14*$AG618^5+WeightSDS!S$14*$AG618^4+WeightSDS!T$14*$AG618^3+WeightSDS!U$14*$AG618^2+WeightSDS!V$14*$AG618+WeightSDS!W$14),IF($AG618&lt;156,WeightSDS!O$17*$AG618^8+WeightSDS!P$17*$AG618^7+WeightSDS!Q$17*$AG618^6+WeightSDS!R$17*$AG618^5+WeightSDS!S$17*$AG618^4+WeightSDS!T$17*$AG618^3+WeightSDS!U$17*$AG618^2+WeightSDS!V$17*$AG618+WeightSDS!W$17,IF($AG618&lt;186,WeightSDS!$U$18+(WeightSDS!$V$18-WeightSDS!$U$18)/24*($AG618-186)+WeightSDS!$W$18*(-$AG618+186)^2-0.005,WeightSDS!$U$18+(WeightSDS!$V$18-WeightSDS!$U$18)/24*($AG618-186)-0.005)))</f>
        <v>0.14604529399999999</v>
      </c>
    </row>
    <row r="619" spans="1:37">
      <c r="A619" s="4"/>
      <c r="B619" s="21"/>
      <c r="C619" s="21"/>
      <c r="D619" s="21"/>
      <c r="E619" s="22"/>
      <c r="F619" s="22"/>
      <c r="G619" s="23"/>
      <c r="H619" s="23"/>
      <c r="I619" s="8" t="str">
        <f t="shared" si="146"/>
        <v/>
      </c>
      <c r="J619" s="2" t="str">
        <f t="shared" si="153"/>
        <v/>
      </c>
      <c r="K619" s="2" t="str">
        <f t="shared" si="147"/>
        <v/>
      </c>
      <c r="L619" s="2" t="str">
        <f t="shared" si="154"/>
        <v/>
      </c>
      <c r="M619" s="2" t="str">
        <f t="shared" si="159"/>
        <v/>
      </c>
      <c r="N619" s="2" t="str">
        <f t="shared" si="155"/>
        <v/>
      </c>
      <c r="O619" s="8" t="str">
        <f t="shared" si="156"/>
        <v/>
      </c>
      <c r="P619" s="8" t="str">
        <f t="shared" si="157"/>
        <v/>
      </c>
      <c r="Q619" s="40" t="str">
        <f t="shared" si="148"/>
        <v/>
      </c>
      <c r="R619" s="48" t="str">
        <f t="shared" si="158"/>
        <v/>
      </c>
      <c r="S619" s="8"/>
      <c r="U619" s="35">
        <f t="shared" si="149"/>
        <v>0</v>
      </c>
      <c r="V619" s="24">
        <f t="shared" si="150"/>
        <v>0</v>
      </c>
      <c r="W619" s="41">
        <f t="shared" si="161"/>
        <v>0</v>
      </c>
      <c r="X619" s="31"/>
      <c r="Y619" s="31"/>
      <c r="Z619" s="31"/>
      <c r="AA619" s="25">
        <f t="shared" si="151"/>
        <v>9.0359999999999996</v>
      </c>
      <c r="AB619" s="25">
        <f t="shared" si="152"/>
        <v>-184.49199999999999</v>
      </c>
      <c r="AD619" s="24">
        <f>IF(D619="M",IF(AG619&lt;78,BMILMS!$D$5*AG619^3+BMILMS!$E$5*AG619^2+BMILMS!$F$5*AG619+BMILMS!$G$5,IF(AG619&lt;150,BMILMS!$D$6*AG619^3+BMILMS!$E$6*AG619^2+BMILMS!$F$6*AG619+BMILMS!$G$6,BMILMS!$D$7*AG619^3+BMILMS!$E$7*AG619^2+BMILMS!$F$7*AG619+BMILMS!$G$7)),IF(AG619&lt;69,BMILMS!$D$9*AG619^3+BMILMS!$E$9*AG619^2+BMILMS!$F$9*AG619+BMILMS!$G$9,IF(AG619&lt;150,BMILMS!$D$10*AG619^3+BMILMS!$E$10*AG619^2+BMILMS!$F$10*AG619+BMILMS!$G$10,BMILMS!$D$11*AG619^3+BMILMS!$E$11*AG619^2+BMILMS!$F$11*AG619+BMILMS!$G$11)))</f>
        <v>0.79584630099999998</v>
      </c>
      <c r="AE619" s="24">
        <f>IF(D619="M",(IF(AG619&lt;2.5,BMILMS!$D$21*AG619^3+BMILMS!$E$21*AG619^2+BMILMS!$F$21*AG619+BMILMS!$G$21,IF(AG619&lt;9.5,BMILMS!$D$22*AG619^3+BMILMS!$E$22*AG619^2+BMILMS!$F$22*AG619+BMILMS!$G$22,IF(AG619&lt;26.75,BMILMS!$D$23*AG619^3+BMILMS!$E$23*AG619^2+BMILMS!$F$23*AG619+BMILMS!$G$23,IF(AG619&lt;90,BMILMS!$D$24*AG619^3+BMILMS!$E$24*AG619^2+BMILMS!$F$24*AG619+BMILMS!$G$24,BMILMS!$D$25*AG619^3+BMILMS!$E$25*AG619^2+BMILMS!$F$25*AG619+BMILMS!$G$25))))),(IF(AG619&lt;2.5,BMILMS!$D$27*AG619^3+BMILMS!$E$27*AG619^2+BMILMS!$F$27*AG619+BMILMS!$G$27,IF(AG619&lt;9.5,BMILMS!$D$28*AG619^3+BMILMS!$E$28*AG619^2+BMILMS!$F$28*AG619+BMILMS!$G$28,IF(AG619&lt;26.75,BMILMS!$D$29*AG619^3+BMILMS!$E$29*AG619^2+BMILMS!$F$29*AG619+BMILMS!$G$29,IF(AG619&lt;90,BMILMS!$D$30*AG619^3+BMILMS!$E$30*AG619^2+BMILMS!$F$30*AG619+BMILMS!$G$30,IF(AG619&lt;150,BMILMS!$D$31*AG619^3+BMILMS!$E$31*AG619^2+BMILMS!$F$31*AG619+BMILMS!$G$31,BMILMS!$D$32*AG619^3+BMILMS!$E$32*AG619^2+BMILMS!$F$32*AG619+BMILMS!$G$32)))))))</f>
        <v>12.568967990000001</v>
      </c>
      <c r="AF619" s="24">
        <f>IF(D619="M",(IF(AG619&lt;90,BMILMS!$D$14*AG619^3+BMILMS!$E$14*AG619^2+BMILMS!$F$14*AG619+BMILMS!$G$14,BMILMS!$D$15*AG619^3+BMILMS!$E$15*AG619^2+BMILMS!$F$15*AG619+BMILMS!$G$15)),(IF(AG619&lt;90,BMILMS!$D$17*AG619^3+BMILMS!$E$17*AG619^2+BMILMS!$F$17*AG619+BMILMS!$G$17,BMILMS!$D$18*AG619^3+BMILMS!$E$18*AG619^2+BMILMS!$F$18*AG619+BMILMS!$G$18)))</f>
        <v>8.8969350000000003E-2</v>
      </c>
      <c r="AG619" s="24">
        <f t="shared" si="160"/>
        <v>0</v>
      </c>
      <c r="AI619" s="38">
        <f>IF(D619="M",WeightSDS!P$5*$AG619^7+WeightSDS!Q$5*$AG619^6+WeightSDS!R$5*$AG619^5+WeightSDS!S$5*$AG619^4+WeightSDS!T$5*$AG619^3+WeightSDS!U$5*$AG619^2+WeightSDS!V$5*$AG619+WeightSDS!W$5,IF($AG619&lt;186,WeightSDS!P$8*$AG619^7+WeightSDS!Q$8*$AG619^6+WeightSDS!R$8*$AG619^5+WeightSDS!S$8*$AG619^4+WeightSDS!T$8*$AG619^3+WeightSDS!U$8*$AG619^2+WeightSDS!V$8*$AG619+WeightSDS!W$8,WeightSDS!$U$9-WeightSDS!$V$9*($AG619-WeightSDS!$W$9)))</f>
        <v>0.75407122999999998</v>
      </c>
      <c r="AJ619" s="24">
        <f>IF(D619="M",IF($AG619&lt;45,WeightSDS!M$23*$AG619^10+WeightSDS!N$23*$AG619^9+WeightSDS!O$23*$AG619^8+WeightSDS!P$23*$AG619^7+WeightSDS!Q$23*$AG619^6+WeightSDS!R$23*$AG619^5+WeightSDS!S$23*$AG619^4+WeightSDS!T$23*$AG619^3+WeightSDS!U$23*$AG619^2+WeightSDS!V$23*$AG619+WeightSDS!W$23,IF($AG619&lt;153,WeightSDS!M$25*$AG619^10+WeightSDS!N$25*$AG619^9+WeightSDS!O$25*$AG619^8+WeightSDS!P$25*$AG619^7+WeightSDS!Q$25*$AG619^6+WeightSDS!R$25*$AG619^5+WeightSDS!S$25*$AG619^4+WeightSDS!T$25*$AG619^3+WeightSDS!U$25*$AG619^2+WeightSDS!V$25*$AG619+WeightSDS!W$25,WeightSDS!M$27+WeightSDS!N$27/(1+EXP(WeightSDS!O$27+WeightSDS!P$27*$AG619)))),IF($AG619&lt;43.8,WeightSDS!M$29*$AG619^10+WeightSDS!N$29*$AG619^9+WeightSDS!O$29*$AG619^8+WeightSDS!P$29*$AG619^7+WeightSDS!Q$29*$AG619^6+WeightSDS!R$29*$AG619^5+WeightSDS!S$29*$AG619^4+WeightSDS!T$29*$AG619^3+WeightSDS!U$29*$AG619^2+WeightSDS!V$29*$AG619+WeightSDS!W$29-0.010431*(1-$AG619/210),IF($AG619&lt;123,WeightSDS!M$30*$AG619^10+WeightSDS!N$30*$AG619^9+WeightSDS!O$30*$AG619^8+WeightSDS!P$30*$AG619^7+WeightSDS!Q$30*$AG619^6+WeightSDS!R$30*$AG619^5+WeightSDS!S$30*$AG619^4+WeightSDS!T$30*$AG619^3+WeightSDS!U$30*$AG619^2+WeightSDS!V$30*$AG619+WeightSDS!W$30-0.010431*(1-1/$AG619),WeightSDS!M$32+WeightSDS!N$32/(1+EXP(WeightSDS!O$32+WeightSDS!P$32*$AG619))-0.010431*(1-$AG619/210))))</f>
        <v>2.9500001032655536</v>
      </c>
      <c r="AK619" s="24">
        <f>IF(D619="M",IF($AG619&lt;162,WeightSDS!P$12*$AG619^7+WeightSDS!Q$12*$AG619^6+WeightSDS!R$12*$AG619^5+WeightSDS!S$12*$AG619^4+WeightSDS!T$12*$AG619^3+WeightSDS!U$12*$AG619^2+WeightSDS!V$12*$AG619+WeightSDS!W$12,WeightSDS!P$14*$AG619^7+WeightSDS!Q$14*$AG619^6+WeightSDS!R$14*$AG619^5+WeightSDS!S$14*$AG619^4+WeightSDS!T$14*$AG619^3+WeightSDS!U$14*$AG619^2+WeightSDS!V$14*$AG619+WeightSDS!W$14),IF($AG619&lt;156,WeightSDS!O$17*$AG619^8+WeightSDS!P$17*$AG619^7+WeightSDS!Q$17*$AG619^6+WeightSDS!R$17*$AG619^5+WeightSDS!S$17*$AG619^4+WeightSDS!T$17*$AG619^3+WeightSDS!U$17*$AG619^2+WeightSDS!V$17*$AG619+WeightSDS!W$17,IF($AG619&lt;186,WeightSDS!$U$18+(WeightSDS!$V$18-WeightSDS!$U$18)/24*($AG619-186)+WeightSDS!$W$18*(-$AG619+186)^2-0.005,WeightSDS!$U$18+(WeightSDS!$V$18-WeightSDS!$U$18)/24*($AG619-186)-0.005)))</f>
        <v>0.14604529399999999</v>
      </c>
    </row>
    <row r="620" spans="1:37">
      <c r="A620" s="4"/>
      <c r="B620" s="21"/>
      <c r="C620" s="21"/>
      <c r="D620" s="21"/>
      <c r="E620" s="22"/>
      <c r="F620" s="22"/>
      <c r="G620" s="23"/>
      <c r="H620" s="23"/>
      <c r="I620" s="8" t="str">
        <f t="shared" si="146"/>
        <v/>
      </c>
      <c r="J620" s="2" t="str">
        <f t="shared" si="153"/>
        <v/>
      </c>
      <c r="K620" s="2" t="str">
        <f t="shared" si="147"/>
        <v/>
      </c>
      <c r="L620" s="2" t="str">
        <f t="shared" si="154"/>
        <v/>
      </c>
      <c r="M620" s="2" t="str">
        <f t="shared" si="159"/>
        <v/>
      </c>
      <c r="N620" s="2" t="str">
        <f t="shared" si="155"/>
        <v/>
      </c>
      <c r="O620" s="8" t="str">
        <f t="shared" si="156"/>
        <v/>
      </c>
      <c r="P620" s="8" t="str">
        <f t="shared" si="157"/>
        <v/>
      </c>
      <c r="Q620" s="40" t="str">
        <f t="shared" si="148"/>
        <v/>
      </c>
      <c r="R620" s="48" t="str">
        <f t="shared" si="158"/>
        <v/>
      </c>
      <c r="S620" s="8"/>
      <c r="U620" s="35">
        <f t="shared" si="149"/>
        <v>0</v>
      </c>
      <c r="V620" s="24">
        <f t="shared" si="150"/>
        <v>0</v>
      </c>
      <c r="W620" s="41">
        <f t="shared" si="161"/>
        <v>0</v>
      </c>
      <c r="X620" s="31"/>
      <c r="Y620" s="31"/>
      <c r="Z620" s="31"/>
      <c r="AA620" s="25">
        <f t="shared" si="151"/>
        <v>9.0359999999999996</v>
      </c>
      <c r="AB620" s="25">
        <f t="shared" si="152"/>
        <v>-184.49199999999999</v>
      </c>
      <c r="AD620" s="24">
        <f>IF(D620="M",IF(AG620&lt;78,BMILMS!$D$5*AG620^3+BMILMS!$E$5*AG620^2+BMILMS!$F$5*AG620+BMILMS!$G$5,IF(AG620&lt;150,BMILMS!$D$6*AG620^3+BMILMS!$E$6*AG620^2+BMILMS!$F$6*AG620+BMILMS!$G$6,BMILMS!$D$7*AG620^3+BMILMS!$E$7*AG620^2+BMILMS!$F$7*AG620+BMILMS!$G$7)),IF(AG620&lt;69,BMILMS!$D$9*AG620^3+BMILMS!$E$9*AG620^2+BMILMS!$F$9*AG620+BMILMS!$G$9,IF(AG620&lt;150,BMILMS!$D$10*AG620^3+BMILMS!$E$10*AG620^2+BMILMS!$F$10*AG620+BMILMS!$G$10,BMILMS!$D$11*AG620^3+BMILMS!$E$11*AG620^2+BMILMS!$F$11*AG620+BMILMS!$G$11)))</f>
        <v>0.79584630099999998</v>
      </c>
      <c r="AE620" s="24">
        <f>IF(D620="M",(IF(AG620&lt;2.5,BMILMS!$D$21*AG620^3+BMILMS!$E$21*AG620^2+BMILMS!$F$21*AG620+BMILMS!$G$21,IF(AG620&lt;9.5,BMILMS!$D$22*AG620^3+BMILMS!$E$22*AG620^2+BMILMS!$F$22*AG620+BMILMS!$G$22,IF(AG620&lt;26.75,BMILMS!$D$23*AG620^3+BMILMS!$E$23*AG620^2+BMILMS!$F$23*AG620+BMILMS!$G$23,IF(AG620&lt;90,BMILMS!$D$24*AG620^3+BMILMS!$E$24*AG620^2+BMILMS!$F$24*AG620+BMILMS!$G$24,BMILMS!$D$25*AG620^3+BMILMS!$E$25*AG620^2+BMILMS!$F$25*AG620+BMILMS!$G$25))))),(IF(AG620&lt;2.5,BMILMS!$D$27*AG620^3+BMILMS!$E$27*AG620^2+BMILMS!$F$27*AG620+BMILMS!$G$27,IF(AG620&lt;9.5,BMILMS!$D$28*AG620^3+BMILMS!$E$28*AG620^2+BMILMS!$F$28*AG620+BMILMS!$G$28,IF(AG620&lt;26.75,BMILMS!$D$29*AG620^3+BMILMS!$E$29*AG620^2+BMILMS!$F$29*AG620+BMILMS!$G$29,IF(AG620&lt;90,BMILMS!$D$30*AG620^3+BMILMS!$E$30*AG620^2+BMILMS!$F$30*AG620+BMILMS!$G$30,IF(AG620&lt;150,BMILMS!$D$31*AG620^3+BMILMS!$E$31*AG620^2+BMILMS!$F$31*AG620+BMILMS!$G$31,BMILMS!$D$32*AG620^3+BMILMS!$E$32*AG620^2+BMILMS!$F$32*AG620+BMILMS!$G$32)))))))</f>
        <v>12.568967990000001</v>
      </c>
      <c r="AF620" s="24">
        <f>IF(D620="M",(IF(AG620&lt;90,BMILMS!$D$14*AG620^3+BMILMS!$E$14*AG620^2+BMILMS!$F$14*AG620+BMILMS!$G$14,BMILMS!$D$15*AG620^3+BMILMS!$E$15*AG620^2+BMILMS!$F$15*AG620+BMILMS!$G$15)),(IF(AG620&lt;90,BMILMS!$D$17*AG620^3+BMILMS!$E$17*AG620^2+BMILMS!$F$17*AG620+BMILMS!$G$17,BMILMS!$D$18*AG620^3+BMILMS!$E$18*AG620^2+BMILMS!$F$18*AG620+BMILMS!$G$18)))</f>
        <v>8.8969350000000003E-2</v>
      </c>
      <c r="AG620" s="24">
        <f t="shared" si="160"/>
        <v>0</v>
      </c>
      <c r="AI620" s="38">
        <f>IF(D620="M",WeightSDS!P$5*$AG620^7+WeightSDS!Q$5*$AG620^6+WeightSDS!R$5*$AG620^5+WeightSDS!S$5*$AG620^4+WeightSDS!T$5*$AG620^3+WeightSDS!U$5*$AG620^2+WeightSDS!V$5*$AG620+WeightSDS!W$5,IF($AG620&lt;186,WeightSDS!P$8*$AG620^7+WeightSDS!Q$8*$AG620^6+WeightSDS!R$8*$AG620^5+WeightSDS!S$8*$AG620^4+WeightSDS!T$8*$AG620^3+WeightSDS!U$8*$AG620^2+WeightSDS!V$8*$AG620+WeightSDS!W$8,WeightSDS!$U$9-WeightSDS!$V$9*($AG620-WeightSDS!$W$9)))</f>
        <v>0.75407122999999998</v>
      </c>
      <c r="AJ620" s="24">
        <f>IF(D620="M",IF($AG620&lt;45,WeightSDS!M$23*$AG620^10+WeightSDS!N$23*$AG620^9+WeightSDS!O$23*$AG620^8+WeightSDS!P$23*$AG620^7+WeightSDS!Q$23*$AG620^6+WeightSDS!R$23*$AG620^5+WeightSDS!S$23*$AG620^4+WeightSDS!T$23*$AG620^3+WeightSDS!U$23*$AG620^2+WeightSDS!V$23*$AG620+WeightSDS!W$23,IF($AG620&lt;153,WeightSDS!M$25*$AG620^10+WeightSDS!N$25*$AG620^9+WeightSDS!O$25*$AG620^8+WeightSDS!P$25*$AG620^7+WeightSDS!Q$25*$AG620^6+WeightSDS!R$25*$AG620^5+WeightSDS!S$25*$AG620^4+WeightSDS!T$25*$AG620^3+WeightSDS!U$25*$AG620^2+WeightSDS!V$25*$AG620+WeightSDS!W$25,WeightSDS!M$27+WeightSDS!N$27/(1+EXP(WeightSDS!O$27+WeightSDS!P$27*$AG620)))),IF($AG620&lt;43.8,WeightSDS!M$29*$AG620^10+WeightSDS!N$29*$AG620^9+WeightSDS!O$29*$AG620^8+WeightSDS!P$29*$AG620^7+WeightSDS!Q$29*$AG620^6+WeightSDS!R$29*$AG620^5+WeightSDS!S$29*$AG620^4+WeightSDS!T$29*$AG620^3+WeightSDS!U$29*$AG620^2+WeightSDS!V$29*$AG620+WeightSDS!W$29-0.010431*(1-$AG620/210),IF($AG620&lt;123,WeightSDS!M$30*$AG620^10+WeightSDS!N$30*$AG620^9+WeightSDS!O$30*$AG620^8+WeightSDS!P$30*$AG620^7+WeightSDS!Q$30*$AG620^6+WeightSDS!R$30*$AG620^5+WeightSDS!S$30*$AG620^4+WeightSDS!T$30*$AG620^3+WeightSDS!U$30*$AG620^2+WeightSDS!V$30*$AG620+WeightSDS!W$30-0.010431*(1-1/$AG620),WeightSDS!M$32+WeightSDS!N$32/(1+EXP(WeightSDS!O$32+WeightSDS!P$32*$AG620))-0.010431*(1-$AG620/210))))</f>
        <v>2.9500001032655536</v>
      </c>
      <c r="AK620" s="24">
        <f>IF(D620="M",IF($AG620&lt;162,WeightSDS!P$12*$AG620^7+WeightSDS!Q$12*$AG620^6+WeightSDS!R$12*$AG620^5+WeightSDS!S$12*$AG620^4+WeightSDS!T$12*$AG620^3+WeightSDS!U$12*$AG620^2+WeightSDS!V$12*$AG620+WeightSDS!W$12,WeightSDS!P$14*$AG620^7+WeightSDS!Q$14*$AG620^6+WeightSDS!R$14*$AG620^5+WeightSDS!S$14*$AG620^4+WeightSDS!T$14*$AG620^3+WeightSDS!U$14*$AG620^2+WeightSDS!V$14*$AG620+WeightSDS!W$14),IF($AG620&lt;156,WeightSDS!O$17*$AG620^8+WeightSDS!P$17*$AG620^7+WeightSDS!Q$17*$AG620^6+WeightSDS!R$17*$AG620^5+WeightSDS!S$17*$AG620^4+WeightSDS!T$17*$AG620^3+WeightSDS!U$17*$AG620^2+WeightSDS!V$17*$AG620+WeightSDS!W$17,IF($AG620&lt;186,WeightSDS!$U$18+(WeightSDS!$V$18-WeightSDS!$U$18)/24*($AG620-186)+WeightSDS!$W$18*(-$AG620+186)^2-0.005,WeightSDS!$U$18+(WeightSDS!$V$18-WeightSDS!$U$18)/24*($AG620-186)-0.005)))</f>
        <v>0.14604529399999999</v>
      </c>
    </row>
    <row r="621" spans="1:37">
      <c r="A621" s="4"/>
      <c r="B621" s="21"/>
      <c r="C621" s="21"/>
      <c r="D621" s="21"/>
      <c r="E621" s="22"/>
      <c r="F621" s="22"/>
      <c r="G621" s="23"/>
      <c r="H621" s="23"/>
      <c r="I621" s="8" t="str">
        <f t="shared" si="146"/>
        <v/>
      </c>
      <c r="J621" s="2" t="str">
        <f t="shared" si="153"/>
        <v/>
      </c>
      <c r="K621" s="2" t="str">
        <f t="shared" si="147"/>
        <v/>
      </c>
      <c r="L621" s="2" t="str">
        <f t="shared" si="154"/>
        <v/>
      </c>
      <c r="M621" s="2" t="str">
        <f t="shared" si="159"/>
        <v/>
      </c>
      <c r="N621" s="2" t="str">
        <f t="shared" si="155"/>
        <v/>
      </c>
      <c r="O621" s="8" t="str">
        <f t="shared" si="156"/>
        <v/>
      </c>
      <c r="P621" s="8" t="str">
        <f t="shared" si="157"/>
        <v/>
      </c>
      <c r="Q621" s="40" t="str">
        <f t="shared" si="148"/>
        <v/>
      </c>
      <c r="R621" s="48" t="str">
        <f t="shared" si="158"/>
        <v/>
      </c>
      <c r="S621" s="8"/>
      <c r="U621" s="35">
        <f t="shared" si="149"/>
        <v>0</v>
      </c>
      <c r="V621" s="24">
        <f t="shared" si="150"/>
        <v>0</v>
      </c>
      <c r="W621" s="41">
        <f t="shared" si="161"/>
        <v>0</v>
      </c>
      <c r="X621" s="31"/>
      <c r="Y621" s="31"/>
      <c r="Z621" s="31"/>
      <c r="AA621" s="25">
        <f t="shared" si="151"/>
        <v>9.0359999999999996</v>
      </c>
      <c r="AB621" s="25">
        <f t="shared" si="152"/>
        <v>-184.49199999999999</v>
      </c>
      <c r="AD621" s="24">
        <f>IF(D621="M",IF(AG621&lt;78,BMILMS!$D$5*AG621^3+BMILMS!$E$5*AG621^2+BMILMS!$F$5*AG621+BMILMS!$G$5,IF(AG621&lt;150,BMILMS!$D$6*AG621^3+BMILMS!$E$6*AG621^2+BMILMS!$F$6*AG621+BMILMS!$G$6,BMILMS!$D$7*AG621^3+BMILMS!$E$7*AG621^2+BMILMS!$F$7*AG621+BMILMS!$G$7)),IF(AG621&lt;69,BMILMS!$D$9*AG621^3+BMILMS!$E$9*AG621^2+BMILMS!$F$9*AG621+BMILMS!$G$9,IF(AG621&lt;150,BMILMS!$D$10*AG621^3+BMILMS!$E$10*AG621^2+BMILMS!$F$10*AG621+BMILMS!$G$10,BMILMS!$D$11*AG621^3+BMILMS!$E$11*AG621^2+BMILMS!$F$11*AG621+BMILMS!$G$11)))</f>
        <v>0.79584630099999998</v>
      </c>
      <c r="AE621" s="24">
        <f>IF(D621="M",(IF(AG621&lt;2.5,BMILMS!$D$21*AG621^3+BMILMS!$E$21*AG621^2+BMILMS!$F$21*AG621+BMILMS!$G$21,IF(AG621&lt;9.5,BMILMS!$D$22*AG621^3+BMILMS!$E$22*AG621^2+BMILMS!$F$22*AG621+BMILMS!$G$22,IF(AG621&lt;26.75,BMILMS!$D$23*AG621^3+BMILMS!$E$23*AG621^2+BMILMS!$F$23*AG621+BMILMS!$G$23,IF(AG621&lt;90,BMILMS!$D$24*AG621^3+BMILMS!$E$24*AG621^2+BMILMS!$F$24*AG621+BMILMS!$G$24,BMILMS!$D$25*AG621^3+BMILMS!$E$25*AG621^2+BMILMS!$F$25*AG621+BMILMS!$G$25))))),(IF(AG621&lt;2.5,BMILMS!$D$27*AG621^3+BMILMS!$E$27*AG621^2+BMILMS!$F$27*AG621+BMILMS!$G$27,IF(AG621&lt;9.5,BMILMS!$D$28*AG621^3+BMILMS!$E$28*AG621^2+BMILMS!$F$28*AG621+BMILMS!$G$28,IF(AG621&lt;26.75,BMILMS!$D$29*AG621^3+BMILMS!$E$29*AG621^2+BMILMS!$F$29*AG621+BMILMS!$G$29,IF(AG621&lt;90,BMILMS!$D$30*AG621^3+BMILMS!$E$30*AG621^2+BMILMS!$F$30*AG621+BMILMS!$G$30,IF(AG621&lt;150,BMILMS!$D$31*AG621^3+BMILMS!$E$31*AG621^2+BMILMS!$F$31*AG621+BMILMS!$G$31,BMILMS!$D$32*AG621^3+BMILMS!$E$32*AG621^2+BMILMS!$F$32*AG621+BMILMS!$G$32)))))))</f>
        <v>12.568967990000001</v>
      </c>
      <c r="AF621" s="24">
        <f>IF(D621="M",(IF(AG621&lt;90,BMILMS!$D$14*AG621^3+BMILMS!$E$14*AG621^2+BMILMS!$F$14*AG621+BMILMS!$G$14,BMILMS!$D$15*AG621^3+BMILMS!$E$15*AG621^2+BMILMS!$F$15*AG621+BMILMS!$G$15)),(IF(AG621&lt;90,BMILMS!$D$17*AG621^3+BMILMS!$E$17*AG621^2+BMILMS!$F$17*AG621+BMILMS!$G$17,BMILMS!$D$18*AG621^3+BMILMS!$E$18*AG621^2+BMILMS!$F$18*AG621+BMILMS!$G$18)))</f>
        <v>8.8969350000000003E-2</v>
      </c>
      <c r="AG621" s="24">
        <f t="shared" si="160"/>
        <v>0</v>
      </c>
      <c r="AI621" s="38">
        <f>IF(D621="M",WeightSDS!P$5*$AG621^7+WeightSDS!Q$5*$AG621^6+WeightSDS!R$5*$AG621^5+WeightSDS!S$5*$AG621^4+WeightSDS!T$5*$AG621^3+WeightSDS!U$5*$AG621^2+WeightSDS!V$5*$AG621+WeightSDS!W$5,IF($AG621&lt;186,WeightSDS!P$8*$AG621^7+WeightSDS!Q$8*$AG621^6+WeightSDS!R$8*$AG621^5+WeightSDS!S$8*$AG621^4+WeightSDS!T$8*$AG621^3+WeightSDS!U$8*$AG621^2+WeightSDS!V$8*$AG621+WeightSDS!W$8,WeightSDS!$U$9-WeightSDS!$V$9*($AG621-WeightSDS!$W$9)))</f>
        <v>0.75407122999999998</v>
      </c>
      <c r="AJ621" s="24">
        <f>IF(D621="M",IF($AG621&lt;45,WeightSDS!M$23*$AG621^10+WeightSDS!N$23*$AG621^9+WeightSDS!O$23*$AG621^8+WeightSDS!P$23*$AG621^7+WeightSDS!Q$23*$AG621^6+WeightSDS!R$23*$AG621^5+WeightSDS!S$23*$AG621^4+WeightSDS!T$23*$AG621^3+WeightSDS!U$23*$AG621^2+WeightSDS!V$23*$AG621+WeightSDS!W$23,IF($AG621&lt;153,WeightSDS!M$25*$AG621^10+WeightSDS!N$25*$AG621^9+WeightSDS!O$25*$AG621^8+WeightSDS!P$25*$AG621^7+WeightSDS!Q$25*$AG621^6+WeightSDS!R$25*$AG621^5+WeightSDS!S$25*$AG621^4+WeightSDS!T$25*$AG621^3+WeightSDS!U$25*$AG621^2+WeightSDS!V$25*$AG621+WeightSDS!W$25,WeightSDS!M$27+WeightSDS!N$27/(1+EXP(WeightSDS!O$27+WeightSDS!P$27*$AG621)))),IF($AG621&lt;43.8,WeightSDS!M$29*$AG621^10+WeightSDS!N$29*$AG621^9+WeightSDS!O$29*$AG621^8+WeightSDS!P$29*$AG621^7+WeightSDS!Q$29*$AG621^6+WeightSDS!R$29*$AG621^5+WeightSDS!S$29*$AG621^4+WeightSDS!T$29*$AG621^3+WeightSDS!U$29*$AG621^2+WeightSDS!V$29*$AG621+WeightSDS!W$29-0.010431*(1-$AG621/210),IF($AG621&lt;123,WeightSDS!M$30*$AG621^10+WeightSDS!N$30*$AG621^9+WeightSDS!O$30*$AG621^8+WeightSDS!P$30*$AG621^7+WeightSDS!Q$30*$AG621^6+WeightSDS!R$30*$AG621^5+WeightSDS!S$30*$AG621^4+WeightSDS!T$30*$AG621^3+WeightSDS!U$30*$AG621^2+WeightSDS!V$30*$AG621+WeightSDS!W$30-0.010431*(1-1/$AG621),WeightSDS!M$32+WeightSDS!N$32/(1+EXP(WeightSDS!O$32+WeightSDS!P$32*$AG621))-0.010431*(1-$AG621/210))))</f>
        <v>2.9500001032655536</v>
      </c>
      <c r="AK621" s="24">
        <f>IF(D621="M",IF($AG621&lt;162,WeightSDS!P$12*$AG621^7+WeightSDS!Q$12*$AG621^6+WeightSDS!R$12*$AG621^5+WeightSDS!S$12*$AG621^4+WeightSDS!T$12*$AG621^3+WeightSDS!U$12*$AG621^2+WeightSDS!V$12*$AG621+WeightSDS!W$12,WeightSDS!P$14*$AG621^7+WeightSDS!Q$14*$AG621^6+WeightSDS!R$14*$AG621^5+WeightSDS!S$14*$AG621^4+WeightSDS!T$14*$AG621^3+WeightSDS!U$14*$AG621^2+WeightSDS!V$14*$AG621+WeightSDS!W$14),IF($AG621&lt;156,WeightSDS!O$17*$AG621^8+WeightSDS!P$17*$AG621^7+WeightSDS!Q$17*$AG621^6+WeightSDS!R$17*$AG621^5+WeightSDS!S$17*$AG621^4+WeightSDS!T$17*$AG621^3+WeightSDS!U$17*$AG621^2+WeightSDS!V$17*$AG621+WeightSDS!W$17,IF($AG621&lt;186,WeightSDS!$U$18+(WeightSDS!$V$18-WeightSDS!$U$18)/24*($AG621-186)+WeightSDS!$W$18*(-$AG621+186)^2-0.005,WeightSDS!$U$18+(WeightSDS!$V$18-WeightSDS!$U$18)/24*($AG621-186)-0.005)))</f>
        <v>0.14604529399999999</v>
      </c>
    </row>
    <row r="622" spans="1:37">
      <c r="A622" s="4"/>
      <c r="B622" s="21"/>
      <c r="C622" s="21"/>
      <c r="D622" s="21"/>
      <c r="E622" s="22"/>
      <c r="F622" s="22"/>
      <c r="G622" s="23"/>
      <c r="H622" s="23"/>
      <c r="I622" s="8" t="str">
        <f t="shared" si="146"/>
        <v/>
      </c>
      <c r="J622" s="2" t="str">
        <f t="shared" si="153"/>
        <v/>
      </c>
      <c r="K622" s="2" t="str">
        <f t="shared" si="147"/>
        <v/>
      </c>
      <c r="L622" s="2" t="str">
        <f t="shared" si="154"/>
        <v/>
      </c>
      <c r="M622" s="2" t="str">
        <f t="shared" si="159"/>
        <v/>
      </c>
      <c r="N622" s="2" t="str">
        <f t="shared" si="155"/>
        <v/>
      </c>
      <c r="O622" s="8" t="str">
        <f t="shared" si="156"/>
        <v/>
      </c>
      <c r="P622" s="8" t="str">
        <f t="shared" si="157"/>
        <v/>
      </c>
      <c r="Q622" s="40" t="str">
        <f t="shared" si="148"/>
        <v/>
      </c>
      <c r="R622" s="48" t="str">
        <f t="shared" si="158"/>
        <v/>
      </c>
      <c r="S622" s="8"/>
      <c r="U622" s="35">
        <f t="shared" si="149"/>
        <v>0</v>
      </c>
      <c r="V622" s="24">
        <f t="shared" si="150"/>
        <v>0</v>
      </c>
      <c r="W622" s="41">
        <f t="shared" si="161"/>
        <v>0</v>
      </c>
      <c r="X622" s="31"/>
      <c r="Y622" s="31"/>
      <c r="Z622" s="31"/>
      <c r="AA622" s="25">
        <f t="shared" si="151"/>
        <v>9.0359999999999996</v>
      </c>
      <c r="AB622" s="25">
        <f t="shared" si="152"/>
        <v>-184.49199999999999</v>
      </c>
      <c r="AD622" s="24">
        <f>IF(D622="M",IF(AG622&lt;78,BMILMS!$D$5*AG622^3+BMILMS!$E$5*AG622^2+BMILMS!$F$5*AG622+BMILMS!$G$5,IF(AG622&lt;150,BMILMS!$D$6*AG622^3+BMILMS!$E$6*AG622^2+BMILMS!$F$6*AG622+BMILMS!$G$6,BMILMS!$D$7*AG622^3+BMILMS!$E$7*AG622^2+BMILMS!$F$7*AG622+BMILMS!$G$7)),IF(AG622&lt;69,BMILMS!$D$9*AG622^3+BMILMS!$E$9*AG622^2+BMILMS!$F$9*AG622+BMILMS!$G$9,IF(AG622&lt;150,BMILMS!$D$10*AG622^3+BMILMS!$E$10*AG622^2+BMILMS!$F$10*AG622+BMILMS!$G$10,BMILMS!$D$11*AG622^3+BMILMS!$E$11*AG622^2+BMILMS!$F$11*AG622+BMILMS!$G$11)))</f>
        <v>0.79584630099999998</v>
      </c>
      <c r="AE622" s="24">
        <f>IF(D622="M",(IF(AG622&lt;2.5,BMILMS!$D$21*AG622^3+BMILMS!$E$21*AG622^2+BMILMS!$F$21*AG622+BMILMS!$G$21,IF(AG622&lt;9.5,BMILMS!$D$22*AG622^3+BMILMS!$E$22*AG622^2+BMILMS!$F$22*AG622+BMILMS!$G$22,IF(AG622&lt;26.75,BMILMS!$D$23*AG622^3+BMILMS!$E$23*AG622^2+BMILMS!$F$23*AG622+BMILMS!$G$23,IF(AG622&lt;90,BMILMS!$D$24*AG622^3+BMILMS!$E$24*AG622^2+BMILMS!$F$24*AG622+BMILMS!$G$24,BMILMS!$D$25*AG622^3+BMILMS!$E$25*AG622^2+BMILMS!$F$25*AG622+BMILMS!$G$25))))),(IF(AG622&lt;2.5,BMILMS!$D$27*AG622^3+BMILMS!$E$27*AG622^2+BMILMS!$F$27*AG622+BMILMS!$G$27,IF(AG622&lt;9.5,BMILMS!$D$28*AG622^3+BMILMS!$E$28*AG622^2+BMILMS!$F$28*AG622+BMILMS!$G$28,IF(AG622&lt;26.75,BMILMS!$D$29*AG622^3+BMILMS!$E$29*AG622^2+BMILMS!$F$29*AG622+BMILMS!$G$29,IF(AG622&lt;90,BMILMS!$D$30*AG622^3+BMILMS!$E$30*AG622^2+BMILMS!$F$30*AG622+BMILMS!$G$30,IF(AG622&lt;150,BMILMS!$D$31*AG622^3+BMILMS!$E$31*AG622^2+BMILMS!$F$31*AG622+BMILMS!$G$31,BMILMS!$D$32*AG622^3+BMILMS!$E$32*AG622^2+BMILMS!$F$32*AG622+BMILMS!$G$32)))))))</f>
        <v>12.568967990000001</v>
      </c>
      <c r="AF622" s="24">
        <f>IF(D622="M",(IF(AG622&lt;90,BMILMS!$D$14*AG622^3+BMILMS!$E$14*AG622^2+BMILMS!$F$14*AG622+BMILMS!$G$14,BMILMS!$D$15*AG622^3+BMILMS!$E$15*AG622^2+BMILMS!$F$15*AG622+BMILMS!$G$15)),(IF(AG622&lt;90,BMILMS!$D$17*AG622^3+BMILMS!$E$17*AG622^2+BMILMS!$F$17*AG622+BMILMS!$G$17,BMILMS!$D$18*AG622^3+BMILMS!$E$18*AG622^2+BMILMS!$F$18*AG622+BMILMS!$G$18)))</f>
        <v>8.8969350000000003E-2</v>
      </c>
      <c r="AG622" s="24">
        <f t="shared" si="160"/>
        <v>0</v>
      </c>
      <c r="AI622" s="38">
        <f>IF(D622="M",WeightSDS!P$5*$AG622^7+WeightSDS!Q$5*$AG622^6+WeightSDS!R$5*$AG622^5+WeightSDS!S$5*$AG622^4+WeightSDS!T$5*$AG622^3+WeightSDS!U$5*$AG622^2+WeightSDS!V$5*$AG622+WeightSDS!W$5,IF($AG622&lt;186,WeightSDS!P$8*$AG622^7+WeightSDS!Q$8*$AG622^6+WeightSDS!R$8*$AG622^5+WeightSDS!S$8*$AG622^4+WeightSDS!T$8*$AG622^3+WeightSDS!U$8*$AG622^2+WeightSDS!V$8*$AG622+WeightSDS!W$8,WeightSDS!$U$9-WeightSDS!$V$9*($AG622-WeightSDS!$W$9)))</f>
        <v>0.75407122999999998</v>
      </c>
      <c r="AJ622" s="24">
        <f>IF(D622="M",IF($AG622&lt;45,WeightSDS!M$23*$AG622^10+WeightSDS!N$23*$AG622^9+WeightSDS!O$23*$AG622^8+WeightSDS!P$23*$AG622^7+WeightSDS!Q$23*$AG622^6+WeightSDS!R$23*$AG622^5+WeightSDS!S$23*$AG622^4+WeightSDS!T$23*$AG622^3+WeightSDS!U$23*$AG622^2+WeightSDS!V$23*$AG622+WeightSDS!W$23,IF($AG622&lt;153,WeightSDS!M$25*$AG622^10+WeightSDS!N$25*$AG622^9+WeightSDS!O$25*$AG622^8+WeightSDS!P$25*$AG622^7+WeightSDS!Q$25*$AG622^6+WeightSDS!R$25*$AG622^5+WeightSDS!S$25*$AG622^4+WeightSDS!T$25*$AG622^3+WeightSDS!U$25*$AG622^2+WeightSDS!V$25*$AG622+WeightSDS!W$25,WeightSDS!M$27+WeightSDS!N$27/(1+EXP(WeightSDS!O$27+WeightSDS!P$27*$AG622)))),IF($AG622&lt;43.8,WeightSDS!M$29*$AG622^10+WeightSDS!N$29*$AG622^9+WeightSDS!O$29*$AG622^8+WeightSDS!P$29*$AG622^7+WeightSDS!Q$29*$AG622^6+WeightSDS!R$29*$AG622^5+WeightSDS!S$29*$AG622^4+WeightSDS!T$29*$AG622^3+WeightSDS!U$29*$AG622^2+WeightSDS!V$29*$AG622+WeightSDS!W$29-0.010431*(1-$AG622/210),IF($AG622&lt;123,WeightSDS!M$30*$AG622^10+WeightSDS!N$30*$AG622^9+WeightSDS!O$30*$AG622^8+WeightSDS!P$30*$AG622^7+WeightSDS!Q$30*$AG622^6+WeightSDS!R$30*$AG622^5+WeightSDS!S$30*$AG622^4+WeightSDS!T$30*$AG622^3+WeightSDS!U$30*$AG622^2+WeightSDS!V$30*$AG622+WeightSDS!W$30-0.010431*(1-1/$AG622),WeightSDS!M$32+WeightSDS!N$32/(1+EXP(WeightSDS!O$32+WeightSDS!P$32*$AG622))-0.010431*(1-$AG622/210))))</f>
        <v>2.9500001032655536</v>
      </c>
      <c r="AK622" s="24">
        <f>IF(D622="M",IF($AG622&lt;162,WeightSDS!P$12*$AG622^7+WeightSDS!Q$12*$AG622^6+WeightSDS!R$12*$AG622^5+WeightSDS!S$12*$AG622^4+WeightSDS!T$12*$AG622^3+WeightSDS!U$12*$AG622^2+WeightSDS!V$12*$AG622+WeightSDS!W$12,WeightSDS!P$14*$AG622^7+WeightSDS!Q$14*$AG622^6+WeightSDS!R$14*$AG622^5+WeightSDS!S$14*$AG622^4+WeightSDS!T$14*$AG622^3+WeightSDS!U$14*$AG622^2+WeightSDS!V$14*$AG622+WeightSDS!W$14),IF($AG622&lt;156,WeightSDS!O$17*$AG622^8+WeightSDS!P$17*$AG622^7+WeightSDS!Q$17*$AG622^6+WeightSDS!R$17*$AG622^5+WeightSDS!S$17*$AG622^4+WeightSDS!T$17*$AG622^3+WeightSDS!U$17*$AG622^2+WeightSDS!V$17*$AG622+WeightSDS!W$17,IF($AG622&lt;186,WeightSDS!$U$18+(WeightSDS!$V$18-WeightSDS!$U$18)/24*($AG622-186)+WeightSDS!$W$18*(-$AG622+186)^2-0.005,WeightSDS!$U$18+(WeightSDS!$V$18-WeightSDS!$U$18)/24*($AG622-186)-0.005)))</f>
        <v>0.14604529399999999</v>
      </c>
    </row>
    <row r="623" spans="1:37">
      <c r="A623" s="4"/>
      <c r="B623" s="21"/>
      <c r="C623" s="21"/>
      <c r="D623" s="21"/>
      <c r="E623" s="22"/>
      <c r="F623" s="22"/>
      <c r="G623" s="23"/>
      <c r="H623" s="23"/>
      <c r="I623" s="8" t="str">
        <f t="shared" si="146"/>
        <v/>
      </c>
      <c r="J623" s="2" t="str">
        <f t="shared" si="153"/>
        <v/>
      </c>
      <c r="K623" s="2" t="str">
        <f t="shared" si="147"/>
        <v/>
      </c>
      <c r="L623" s="2" t="str">
        <f t="shared" si="154"/>
        <v/>
      </c>
      <c r="M623" s="2" t="str">
        <f t="shared" si="159"/>
        <v/>
      </c>
      <c r="N623" s="2" t="str">
        <f t="shared" si="155"/>
        <v/>
      </c>
      <c r="O623" s="8" t="str">
        <f t="shared" si="156"/>
        <v/>
      </c>
      <c r="P623" s="8" t="str">
        <f t="shared" si="157"/>
        <v/>
      </c>
      <c r="Q623" s="40" t="str">
        <f t="shared" si="148"/>
        <v/>
      </c>
      <c r="R623" s="48" t="str">
        <f t="shared" si="158"/>
        <v/>
      </c>
      <c r="S623" s="8"/>
      <c r="U623" s="35">
        <f t="shared" si="149"/>
        <v>0</v>
      </c>
      <c r="V623" s="24">
        <f t="shared" si="150"/>
        <v>0</v>
      </c>
      <c r="W623" s="41">
        <f t="shared" si="161"/>
        <v>0</v>
      </c>
      <c r="X623" s="31"/>
      <c r="Y623" s="31"/>
      <c r="Z623" s="31"/>
      <c r="AA623" s="25">
        <f t="shared" si="151"/>
        <v>9.0359999999999996</v>
      </c>
      <c r="AB623" s="25">
        <f t="shared" si="152"/>
        <v>-184.49199999999999</v>
      </c>
      <c r="AD623" s="24">
        <f>IF(D623="M",IF(AG623&lt;78,BMILMS!$D$5*AG623^3+BMILMS!$E$5*AG623^2+BMILMS!$F$5*AG623+BMILMS!$G$5,IF(AG623&lt;150,BMILMS!$D$6*AG623^3+BMILMS!$E$6*AG623^2+BMILMS!$F$6*AG623+BMILMS!$G$6,BMILMS!$D$7*AG623^3+BMILMS!$E$7*AG623^2+BMILMS!$F$7*AG623+BMILMS!$G$7)),IF(AG623&lt;69,BMILMS!$D$9*AG623^3+BMILMS!$E$9*AG623^2+BMILMS!$F$9*AG623+BMILMS!$G$9,IF(AG623&lt;150,BMILMS!$D$10*AG623^3+BMILMS!$E$10*AG623^2+BMILMS!$F$10*AG623+BMILMS!$G$10,BMILMS!$D$11*AG623^3+BMILMS!$E$11*AG623^2+BMILMS!$F$11*AG623+BMILMS!$G$11)))</f>
        <v>0.79584630099999998</v>
      </c>
      <c r="AE623" s="24">
        <f>IF(D623="M",(IF(AG623&lt;2.5,BMILMS!$D$21*AG623^3+BMILMS!$E$21*AG623^2+BMILMS!$F$21*AG623+BMILMS!$G$21,IF(AG623&lt;9.5,BMILMS!$D$22*AG623^3+BMILMS!$E$22*AG623^2+BMILMS!$F$22*AG623+BMILMS!$G$22,IF(AG623&lt;26.75,BMILMS!$D$23*AG623^3+BMILMS!$E$23*AG623^2+BMILMS!$F$23*AG623+BMILMS!$G$23,IF(AG623&lt;90,BMILMS!$D$24*AG623^3+BMILMS!$E$24*AG623^2+BMILMS!$F$24*AG623+BMILMS!$G$24,BMILMS!$D$25*AG623^3+BMILMS!$E$25*AG623^2+BMILMS!$F$25*AG623+BMILMS!$G$25))))),(IF(AG623&lt;2.5,BMILMS!$D$27*AG623^3+BMILMS!$E$27*AG623^2+BMILMS!$F$27*AG623+BMILMS!$G$27,IF(AG623&lt;9.5,BMILMS!$D$28*AG623^3+BMILMS!$E$28*AG623^2+BMILMS!$F$28*AG623+BMILMS!$G$28,IF(AG623&lt;26.75,BMILMS!$D$29*AG623^3+BMILMS!$E$29*AG623^2+BMILMS!$F$29*AG623+BMILMS!$G$29,IF(AG623&lt;90,BMILMS!$D$30*AG623^3+BMILMS!$E$30*AG623^2+BMILMS!$F$30*AG623+BMILMS!$G$30,IF(AG623&lt;150,BMILMS!$D$31*AG623^3+BMILMS!$E$31*AG623^2+BMILMS!$F$31*AG623+BMILMS!$G$31,BMILMS!$D$32*AG623^3+BMILMS!$E$32*AG623^2+BMILMS!$F$32*AG623+BMILMS!$G$32)))))))</f>
        <v>12.568967990000001</v>
      </c>
      <c r="AF623" s="24">
        <f>IF(D623="M",(IF(AG623&lt;90,BMILMS!$D$14*AG623^3+BMILMS!$E$14*AG623^2+BMILMS!$F$14*AG623+BMILMS!$G$14,BMILMS!$D$15*AG623^3+BMILMS!$E$15*AG623^2+BMILMS!$F$15*AG623+BMILMS!$G$15)),(IF(AG623&lt;90,BMILMS!$D$17*AG623^3+BMILMS!$E$17*AG623^2+BMILMS!$F$17*AG623+BMILMS!$G$17,BMILMS!$D$18*AG623^3+BMILMS!$E$18*AG623^2+BMILMS!$F$18*AG623+BMILMS!$G$18)))</f>
        <v>8.8969350000000003E-2</v>
      </c>
      <c r="AG623" s="24">
        <f t="shared" si="160"/>
        <v>0</v>
      </c>
      <c r="AI623" s="38">
        <f>IF(D623="M",WeightSDS!P$5*$AG623^7+WeightSDS!Q$5*$AG623^6+WeightSDS!R$5*$AG623^5+WeightSDS!S$5*$AG623^4+WeightSDS!T$5*$AG623^3+WeightSDS!U$5*$AG623^2+WeightSDS!V$5*$AG623+WeightSDS!W$5,IF($AG623&lt;186,WeightSDS!P$8*$AG623^7+WeightSDS!Q$8*$AG623^6+WeightSDS!R$8*$AG623^5+WeightSDS!S$8*$AG623^4+WeightSDS!T$8*$AG623^3+WeightSDS!U$8*$AG623^2+WeightSDS!V$8*$AG623+WeightSDS!W$8,WeightSDS!$U$9-WeightSDS!$V$9*($AG623-WeightSDS!$W$9)))</f>
        <v>0.75407122999999998</v>
      </c>
      <c r="AJ623" s="24">
        <f>IF(D623="M",IF($AG623&lt;45,WeightSDS!M$23*$AG623^10+WeightSDS!N$23*$AG623^9+WeightSDS!O$23*$AG623^8+WeightSDS!P$23*$AG623^7+WeightSDS!Q$23*$AG623^6+WeightSDS!R$23*$AG623^5+WeightSDS!S$23*$AG623^4+WeightSDS!T$23*$AG623^3+WeightSDS!U$23*$AG623^2+WeightSDS!V$23*$AG623+WeightSDS!W$23,IF($AG623&lt;153,WeightSDS!M$25*$AG623^10+WeightSDS!N$25*$AG623^9+WeightSDS!O$25*$AG623^8+WeightSDS!P$25*$AG623^7+WeightSDS!Q$25*$AG623^6+WeightSDS!R$25*$AG623^5+WeightSDS!S$25*$AG623^4+WeightSDS!T$25*$AG623^3+WeightSDS!U$25*$AG623^2+WeightSDS!V$25*$AG623+WeightSDS!W$25,WeightSDS!M$27+WeightSDS!N$27/(1+EXP(WeightSDS!O$27+WeightSDS!P$27*$AG623)))),IF($AG623&lt;43.8,WeightSDS!M$29*$AG623^10+WeightSDS!N$29*$AG623^9+WeightSDS!O$29*$AG623^8+WeightSDS!P$29*$AG623^7+WeightSDS!Q$29*$AG623^6+WeightSDS!R$29*$AG623^5+WeightSDS!S$29*$AG623^4+WeightSDS!T$29*$AG623^3+WeightSDS!U$29*$AG623^2+WeightSDS!V$29*$AG623+WeightSDS!W$29-0.010431*(1-$AG623/210),IF($AG623&lt;123,WeightSDS!M$30*$AG623^10+WeightSDS!N$30*$AG623^9+WeightSDS!O$30*$AG623^8+WeightSDS!P$30*$AG623^7+WeightSDS!Q$30*$AG623^6+WeightSDS!R$30*$AG623^5+WeightSDS!S$30*$AG623^4+WeightSDS!T$30*$AG623^3+WeightSDS!U$30*$AG623^2+WeightSDS!V$30*$AG623+WeightSDS!W$30-0.010431*(1-1/$AG623),WeightSDS!M$32+WeightSDS!N$32/(1+EXP(WeightSDS!O$32+WeightSDS!P$32*$AG623))-0.010431*(1-$AG623/210))))</f>
        <v>2.9500001032655536</v>
      </c>
      <c r="AK623" s="24">
        <f>IF(D623="M",IF($AG623&lt;162,WeightSDS!P$12*$AG623^7+WeightSDS!Q$12*$AG623^6+WeightSDS!R$12*$AG623^5+WeightSDS!S$12*$AG623^4+WeightSDS!T$12*$AG623^3+WeightSDS!U$12*$AG623^2+WeightSDS!V$12*$AG623+WeightSDS!W$12,WeightSDS!P$14*$AG623^7+WeightSDS!Q$14*$AG623^6+WeightSDS!R$14*$AG623^5+WeightSDS!S$14*$AG623^4+WeightSDS!T$14*$AG623^3+WeightSDS!U$14*$AG623^2+WeightSDS!V$14*$AG623+WeightSDS!W$14),IF($AG623&lt;156,WeightSDS!O$17*$AG623^8+WeightSDS!P$17*$AG623^7+WeightSDS!Q$17*$AG623^6+WeightSDS!R$17*$AG623^5+WeightSDS!S$17*$AG623^4+WeightSDS!T$17*$AG623^3+WeightSDS!U$17*$AG623^2+WeightSDS!V$17*$AG623+WeightSDS!W$17,IF($AG623&lt;186,WeightSDS!$U$18+(WeightSDS!$V$18-WeightSDS!$U$18)/24*($AG623-186)+WeightSDS!$W$18*(-$AG623+186)^2-0.005,WeightSDS!$U$18+(WeightSDS!$V$18-WeightSDS!$U$18)/24*($AG623-186)-0.005)))</f>
        <v>0.14604529399999999</v>
      </c>
    </row>
    <row r="624" spans="1:37">
      <c r="A624" s="4"/>
      <c r="B624" s="21"/>
      <c r="C624" s="21"/>
      <c r="D624" s="21"/>
      <c r="E624" s="22"/>
      <c r="F624" s="22"/>
      <c r="G624" s="23"/>
      <c r="H624" s="23"/>
      <c r="I624" s="8" t="str">
        <f t="shared" si="146"/>
        <v/>
      </c>
      <c r="J624" s="2" t="str">
        <f t="shared" si="153"/>
        <v/>
      </c>
      <c r="K624" s="2" t="str">
        <f t="shared" si="147"/>
        <v/>
      </c>
      <c r="L624" s="2" t="str">
        <f t="shared" si="154"/>
        <v/>
      </c>
      <c r="M624" s="2" t="str">
        <f t="shared" si="159"/>
        <v/>
      </c>
      <c r="N624" s="2" t="str">
        <f t="shared" si="155"/>
        <v/>
      </c>
      <c r="O624" s="8" t="str">
        <f t="shared" si="156"/>
        <v/>
      </c>
      <c r="P624" s="8" t="str">
        <f t="shared" si="157"/>
        <v/>
      </c>
      <c r="Q624" s="40" t="str">
        <f t="shared" si="148"/>
        <v/>
      </c>
      <c r="R624" s="48" t="str">
        <f t="shared" si="158"/>
        <v/>
      </c>
      <c r="S624" s="8"/>
      <c r="U624" s="35">
        <f t="shared" si="149"/>
        <v>0</v>
      </c>
      <c r="V624" s="24">
        <f t="shared" si="150"/>
        <v>0</v>
      </c>
      <c r="W624" s="41">
        <f t="shared" si="161"/>
        <v>0</v>
      </c>
      <c r="X624" s="31"/>
      <c r="Y624" s="31"/>
      <c r="Z624" s="31"/>
      <c r="AA624" s="25">
        <f t="shared" si="151"/>
        <v>9.0359999999999996</v>
      </c>
      <c r="AB624" s="25">
        <f t="shared" si="152"/>
        <v>-184.49199999999999</v>
      </c>
      <c r="AD624" s="24">
        <f>IF(D624="M",IF(AG624&lt;78,BMILMS!$D$5*AG624^3+BMILMS!$E$5*AG624^2+BMILMS!$F$5*AG624+BMILMS!$G$5,IF(AG624&lt;150,BMILMS!$D$6*AG624^3+BMILMS!$E$6*AG624^2+BMILMS!$F$6*AG624+BMILMS!$G$6,BMILMS!$D$7*AG624^3+BMILMS!$E$7*AG624^2+BMILMS!$F$7*AG624+BMILMS!$G$7)),IF(AG624&lt;69,BMILMS!$D$9*AG624^3+BMILMS!$E$9*AG624^2+BMILMS!$F$9*AG624+BMILMS!$G$9,IF(AG624&lt;150,BMILMS!$D$10*AG624^3+BMILMS!$E$10*AG624^2+BMILMS!$F$10*AG624+BMILMS!$G$10,BMILMS!$D$11*AG624^3+BMILMS!$E$11*AG624^2+BMILMS!$F$11*AG624+BMILMS!$G$11)))</f>
        <v>0.79584630099999998</v>
      </c>
      <c r="AE624" s="24">
        <f>IF(D624="M",(IF(AG624&lt;2.5,BMILMS!$D$21*AG624^3+BMILMS!$E$21*AG624^2+BMILMS!$F$21*AG624+BMILMS!$G$21,IF(AG624&lt;9.5,BMILMS!$D$22*AG624^3+BMILMS!$E$22*AG624^2+BMILMS!$F$22*AG624+BMILMS!$G$22,IF(AG624&lt;26.75,BMILMS!$D$23*AG624^3+BMILMS!$E$23*AG624^2+BMILMS!$F$23*AG624+BMILMS!$G$23,IF(AG624&lt;90,BMILMS!$D$24*AG624^3+BMILMS!$E$24*AG624^2+BMILMS!$F$24*AG624+BMILMS!$G$24,BMILMS!$D$25*AG624^3+BMILMS!$E$25*AG624^2+BMILMS!$F$25*AG624+BMILMS!$G$25))))),(IF(AG624&lt;2.5,BMILMS!$D$27*AG624^3+BMILMS!$E$27*AG624^2+BMILMS!$F$27*AG624+BMILMS!$G$27,IF(AG624&lt;9.5,BMILMS!$D$28*AG624^3+BMILMS!$E$28*AG624^2+BMILMS!$F$28*AG624+BMILMS!$G$28,IF(AG624&lt;26.75,BMILMS!$D$29*AG624^3+BMILMS!$E$29*AG624^2+BMILMS!$F$29*AG624+BMILMS!$G$29,IF(AG624&lt;90,BMILMS!$D$30*AG624^3+BMILMS!$E$30*AG624^2+BMILMS!$F$30*AG624+BMILMS!$G$30,IF(AG624&lt;150,BMILMS!$D$31*AG624^3+BMILMS!$E$31*AG624^2+BMILMS!$F$31*AG624+BMILMS!$G$31,BMILMS!$D$32*AG624^3+BMILMS!$E$32*AG624^2+BMILMS!$F$32*AG624+BMILMS!$G$32)))))))</f>
        <v>12.568967990000001</v>
      </c>
      <c r="AF624" s="24">
        <f>IF(D624="M",(IF(AG624&lt;90,BMILMS!$D$14*AG624^3+BMILMS!$E$14*AG624^2+BMILMS!$F$14*AG624+BMILMS!$G$14,BMILMS!$D$15*AG624^3+BMILMS!$E$15*AG624^2+BMILMS!$F$15*AG624+BMILMS!$G$15)),(IF(AG624&lt;90,BMILMS!$D$17*AG624^3+BMILMS!$E$17*AG624^2+BMILMS!$F$17*AG624+BMILMS!$G$17,BMILMS!$D$18*AG624^3+BMILMS!$E$18*AG624^2+BMILMS!$F$18*AG624+BMILMS!$G$18)))</f>
        <v>8.8969350000000003E-2</v>
      </c>
      <c r="AG624" s="24">
        <f t="shared" si="160"/>
        <v>0</v>
      </c>
      <c r="AI624" s="38">
        <f>IF(D624="M",WeightSDS!P$5*$AG624^7+WeightSDS!Q$5*$AG624^6+WeightSDS!R$5*$AG624^5+WeightSDS!S$5*$AG624^4+WeightSDS!T$5*$AG624^3+WeightSDS!U$5*$AG624^2+WeightSDS!V$5*$AG624+WeightSDS!W$5,IF($AG624&lt;186,WeightSDS!P$8*$AG624^7+WeightSDS!Q$8*$AG624^6+WeightSDS!R$8*$AG624^5+WeightSDS!S$8*$AG624^4+WeightSDS!T$8*$AG624^3+WeightSDS!U$8*$AG624^2+WeightSDS!V$8*$AG624+WeightSDS!W$8,WeightSDS!$U$9-WeightSDS!$V$9*($AG624-WeightSDS!$W$9)))</f>
        <v>0.75407122999999998</v>
      </c>
      <c r="AJ624" s="24">
        <f>IF(D624="M",IF($AG624&lt;45,WeightSDS!M$23*$AG624^10+WeightSDS!N$23*$AG624^9+WeightSDS!O$23*$AG624^8+WeightSDS!P$23*$AG624^7+WeightSDS!Q$23*$AG624^6+WeightSDS!R$23*$AG624^5+WeightSDS!S$23*$AG624^4+WeightSDS!T$23*$AG624^3+WeightSDS!U$23*$AG624^2+WeightSDS!V$23*$AG624+WeightSDS!W$23,IF($AG624&lt;153,WeightSDS!M$25*$AG624^10+WeightSDS!N$25*$AG624^9+WeightSDS!O$25*$AG624^8+WeightSDS!P$25*$AG624^7+WeightSDS!Q$25*$AG624^6+WeightSDS!R$25*$AG624^5+WeightSDS!S$25*$AG624^4+WeightSDS!T$25*$AG624^3+WeightSDS!U$25*$AG624^2+WeightSDS!V$25*$AG624+WeightSDS!W$25,WeightSDS!M$27+WeightSDS!N$27/(1+EXP(WeightSDS!O$27+WeightSDS!P$27*$AG624)))),IF($AG624&lt;43.8,WeightSDS!M$29*$AG624^10+WeightSDS!N$29*$AG624^9+WeightSDS!O$29*$AG624^8+WeightSDS!P$29*$AG624^7+WeightSDS!Q$29*$AG624^6+WeightSDS!R$29*$AG624^5+WeightSDS!S$29*$AG624^4+WeightSDS!T$29*$AG624^3+WeightSDS!U$29*$AG624^2+WeightSDS!V$29*$AG624+WeightSDS!W$29-0.010431*(1-$AG624/210),IF($AG624&lt;123,WeightSDS!M$30*$AG624^10+WeightSDS!N$30*$AG624^9+WeightSDS!O$30*$AG624^8+WeightSDS!P$30*$AG624^7+WeightSDS!Q$30*$AG624^6+WeightSDS!R$30*$AG624^5+WeightSDS!S$30*$AG624^4+WeightSDS!T$30*$AG624^3+WeightSDS!U$30*$AG624^2+WeightSDS!V$30*$AG624+WeightSDS!W$30-0.010431*(1-1/$AG624),WeightSDS!M$32+WeightSDS!N$32/(1+EXP(WeightSDS!O$32+WeightSDS!P$32*$AG624))-0.010431*(1-$AG624/210))))</f>
        <v>2.9500001032655536</v>
      </c>
      <c r="AK624" s="24">
        <f>IF(D624="M",IF($AG624&lt;162,WeightSDS!P$12*$AG624^7+WeightSDS!Q$12*$AG624^6+WeightSDS!R$12*$AG624^5+WeightSDS!S$12*$AG624^4+WeightSDS!T$12*$AG624^3+WeightSDS!U$12*$AG624^2+WeightSDS!V$12*$AG624+WeightSDS!W$12,WeightSDS!P$14*$AG624^7+WeightSDS!Q$14*$AG624^6+WeightSDS!R$14*$AG624^5+WeightSDS!S$14*$AG624^4+WeightSDS!T$14*$AG624^3+WeightSDS!U$14*$AG624^2+WeightSDS!V$14*$AG624+WeightSDS!W$14),IF($AG624&lt;156,WeightSDS!O$17*$AG624^8+WeightSDS!P$17*$AG624^7+WeightSDS!Q$17*$AG624^6+WeightSDS!R$17*$AG624^5+WeightSDS!S$17*$AG624^4+WeightSDS!T$17*$AG624^3+WeightSDS!U$17*$AG624^2+WeightSDS!V$17*$AG624+WeightSDS!W$17,IF($AG624&lt;186,WeightSDS!$U$18+(WeightSDS!$V$18-WeightSDS!$U$18)/24*($AG624-186)+WeightSDS!$W$18*(-$AG624+186)^2-0.005,WeightSDS!$U$18+(WeightSDS!$V$18-WeightSDS!$U$18)/24*($AG624-186)-0.005)))</f>
        <v>0.14604529399999999</v>
      </c>
    </row>
    <row r="625" spans="1:37">
      <c r="A625" s="4"/>
      <c r="B625" s="21"/>
      <c r="C625" s="21"/>
      <c r="D625" s="21"/>
      <c r="E625" s="22"/>
      <c r="F625" s="22"/>
      <c r="G625" s="23"/>
      <c r="H625" s="23"/>
      <c r="I625" s="8" t="str">
        <f t="shared" si="146"/>
        <v/>
      </c>
      <c r="J625" s="2" t="str">
        <f t="shared" si="153"/>
        <v/>
      </c>
      <c r="K625" s="2" t="str">
        <f t="shared" si="147"/>
        <v/>
      </c>
      <c r="L625" s="2" t="str">
        <f t="shared" si="154"/>
        <v/>
      </c>
      <c r="M625" s="2" t="str">
        <f t="shared" si="159"/>
        <v/>
      </c>
      <c r="N625" s="2" t="str">
        <f t="shared" si="155"/>
        <v/>
      </c>
      <c r="O625" s="8" t="str">
        <f t="shared" si="156"/>
        <v/>
      </c>
      <c r="P625" s="8" t="str">
        <f t="shared" si="157"/>
        <v/>
      </c>
      <c r="Q625" s="40" t="str">
        <f t="shared" si="148"/>
        <v/>
      </c>
      <c r="R625" s="48" t="str">
        <f t="shared" si="158"/>
        <v/>
      </c>
      <c r="S625" s="8"/>
      <c r="U625" s="35">
        <f t="shared" si="149"/>
        <v>0</v>
      </c>
      <c r="V625" s="24">
        <f t="shared" si="150"/>
        <v>0</v>
      </c>
      <c r="W625" s="41">
        <f t="shared" si="161"/>
        <v>0</v>
      </c>
      <c r="X625" s="31"/>
      <c r="Y625" s="31"/>
      <c r="Z625" s="31"/>
      <c r="AA625" s="25">
        <f t="shared" si="151"/>
        <v>9.0359999999999996</v>
      </c>
      <c r="AB625" s="25">
        <f t="shared" si="152"/>
        <v>-184.49199999999999</v>
      </c>
      <c r="AD625" s="24">
        <f>IF(D625="M",IF(AG625&lt;78,BMILMS!$D$5*AG625^3+BMILMS!$E$5*AG625^2+BMILMS!$F$5*AG625+BMILMS!$G$5,IF(AG625&lt;150,BMILMS!$D$6*AG625^3+BMILMS!$E$6*AG625^2+BMILMS!$F$6*AG625+BMILMS!$G$6,BMILMS!$D$7*AG625^3+BMILMS!$E$7*AG625^2+BMILMS!$F$7*AG625+BMILMS!$G$7)),IF(AG625&lt;69,BMILMS!$D$9*AG625^3+BMILMS!$E$9*AG625^2+BMILMS!$F$9*AG625+BMILMS!$G$9,IF(AG625&lt;150,BMILMS!$D$10*AG625^3+BMILMS!$E$10*AG625^2+BMILMS!$F$10*AG625+BMILMS!$G$10,BMILMS!$D$11*AG625^3+BMILMS!$E$11*AG625^2+BMILMS!$F$11*AG625+BMILMS!$G$11)))</f>
        <v>0.79584630099999998</v>
      </c>
      <c r="AE625" s="24">
        <f>IF(D625="M",(IF(AG625&lt;2.5,BMILMS!$D$21*AG625^3+BMILMS!$E$21*AG625^2+BMILMS!$F$21*AG625+BMILMS!$G$21,IF(AG625&lt;9.5,BMILMS!$D$22*AG625^3+BMILMS!$E$22*AG625^2+BMILMS!$F$22*AG625+BMILMS!$G$22,IF(AG625&lt;26.75,BMILMS!$D$23*AG625^3+BMILMS!$E$23*AG625^2+BMILMS!$F$23*AG625+BMILMS!$G$23,IF(AG625&lt;90,BMILMS!$D$24*AG625^3+BMILMS!$E$24*AG625^2+BMILMS!$F$24*AG625+BMILMS!$G$24,BMILMS!$D$25*AG625^3+BMILMS!$E$25*AG625^2+BMILMS!$F$25*AG625+BMILMS!$G$25))))),(IF(AG625&lt;2.5,BMILMS!$D$27*AG625^3+BMILMS!$E$27*AG625^2+BMILMS!$F$27*AG625+BMILMS!$G$27,IF(AG625&lt;9.5,BMILMS!$D$28*AG625^3+BMILMS!$E$28*AG625^2+BMILMS!$F$28*AG625+BMILMS!$G$28,IF(AG625&lt;26.75,BMILMS!$D$29*AG625^3+BMILMS!$E$29*AG625^2+BMILMS!$F$29*AG625+BMILMS!$G$29,IF(AG625&lt;90,BMILMS!$D$30*AG625^3+BMILMS!$E$30*AG625^2+BMILMS!$F$30*AG625+BMILMS!$G$30,IF(AG625&lt;150,BMILMS!$D$31*AG625^3+BMILMS!$E$31*AG625^2+BMILMS!$F$31*AG625+BMILMS!$G$31,BMILMS!$D$32*AG625^3+BMILMS!$E$32*AG625^2+BMILMS!$F$32*AG625+BMILMS!$G$32)))))))</f>
        <v>12.568967990000001</v>
      </c>
      <c r="AF625" s="24">
        <f>IF(D625="M",(IF(AG625&lt;90,BMILMS!$D$14*AG625^3+BMILMS!$E$14*AG625^2+BMILMS!$F$14*AG625+BMILMS!$G$14,BMILMS!$D$15*AG625^3+BMILMS!$E$15*AG625^2+BMILMS!$F$15*AG625+BMILMS!$G$15)),(IF(AG625&lt;90,BMILMS!$D$17*AG625^3+BMILMS!$E$17*AG625^2+BMILMS!$F$17*AG625+BMILMS!$G$17,BMILMS!$D$18*AG625^3+BMILMS!$E$18*AG625^2+BMILMS!$F$18*AG625+BMILMS!$G$18)))</f>
        <v>8.8969350000000003E-2</v>
      </c>
      <c r="AG625" s="24">
        <f t="shared" si="160"/>
        <v>0</v>
      </c>
      <c r="AI625" s="38">
        <f>IF(D625="M",WeightSDS!P$5*$AG625^7+WeightSDS!Q$5*$AG625^6+WeightSDS!R$5*$AG625^5+WeightSDS!S$5*$AG625^4+WeightSDS!T$5*$AG625^3+WeightSDS!U$5*$AG625^2+WeightSDS!V$5*$AG625+WeightSDS!W$5,IF($AG625&lt;186,WeightSDS!P$8*$AG625^7+WeightSDS!Q$8*$AG625^6+WeightSDS!R$8*$AG625^5+WeightSDS!S$8*$AG625^4+WeightSDS!T$8*$AG625^3+WeightSDS!U$8*$AG625^2+WeightSDS!V$8*$AG625+WeightSDS!W$8,WeightSDS!$U$9-WeightSDS!$V$9*($AG625-WeightSDS!$W$9)))</f>
        <v>0.75407122999999998</v>
      </c>
      <c r="AJ625" s="24">
        <f>IF(D625="M",IF($AG625&lt;45,WeightSDS!M$23*$AG625^10+WeightSDS!N$23*$AG625^9+WeightSDS!O$23*$AG625^8+WeightSDS!P$23*$AG625^7+WeightSDS!Q$23*$AG625^6+WeightSDS!R$23*$AG625^5+WeightSDS!S$23*$AG625^4+WeightSDS!T$23*$AG625^3+WeightSDS!U$23*$AG625^2+WeightSDS!V$23*$AG625+WeightSDS!W$23,IF($AG625&lt;153,WeightSDS!M$25*$AG625^10+WeightSDS!N$25*$AG625^9+WeightSDS!O$25*$AG625^8+WeightSDS!P$25*$AG625^7+WeightSDS!Q$25*$AG625^6+WeightSDS!R$25*$AG625^5+WeightSDS!S$25*$AG625^4+WeightSDS!T$25*$AG625^3+WeightSDS!U$25*$AG625^2+WeightSDS!V$25*$AG625+WeightSDS!W$25,WeightSDS!M$27+WeightSDS!N$27/(1+EXP(WeightSDS!O$27+WeightSDS!P$27*$AG625)))),IF($AG625&lt;43.8,WeightSDS!M$29*$AG625^10+WeightSDS!N$29*$AG625^9+WeightSDS!O$29*$AG625^8+WeightSDS!P$29*$AG625^7+WeightSDS!Q$29*$AG625^6+WeightSDS!R$29*$AG625^5+WeightSDS!S$29*$AG625^4+WeightSDS!T$29*$AG625^3+WeightSDS!U$29*$AG625^2+WeightSDS!V$29*$AG625+WeightSDS!W$29-0.010431*(1-$AG625/210),IF($AG625&lt;123,WeightSDS!M$30*$AG625^10+WeightSDS!N$30*$AG625^9+WeightSDS!O$30*$AG625^8+WeightSDS!P$30*$AG625^7+WeightSDS!Q$30*$AG625^6+WeightSDS!R$30*$AG625^5+WeightSDS!S$30*$AG625^4+WeightSDS!T$30*$AG625^3+WeightSDS!U$30*$AG625^2+WeightSDS!V$30*$AG625+WeightSDS!W$30-0.010431*(1-1/$AG625),WeightSDS!M$32+WeightSDS!N$32/(1+EXP(WeightSDS!O$32+WeightSDS!P$32*$AG625))-0.010431*(1-$AG625/210))))</f>
        <v>2.9500001032655536</v>
      </c>
      <c r="AK625" s="24">
        <f>IF(D625="M",IF($AG625&lt;162,WeightSDS!P$12*$AG625^7+WeightSDS!Q$12*$AG625^6+WeightSDS!R$12*$AG625^5+WeightSDS!S$12*$AG625^4+WeightSDS!T$12*$AG625^3+WeightSDS!U$12*$AG625^2+WeightSDS!V$12*$AG625+WeightSDS!W$12,WeightSDS!P$14*$AG625^7+WeightSDS!Q$14*$AG625^6+WeightSDS!R$14*$AG625^5+WeightSDS!S$14*$AG625^4+WeightSDS!T$14*$AG625^3+WeightSDS!U$14*$AG625^2+WeightSDS!V$14*$AG625+WeightSDS!W$14),IF($AG625&lt;156,WeightSDS!O$17*$AG625^8+WeightSDS!P$17*$AG625^7+WeightSDS!Q$17*$AG625^6+WeightSDS!R$17*$AG625^5+WeightSDS!S$17*$AG625^4+WeightSDS!T$17*$AG625^3+WeightSDS!U$17*$AG625^2+WeightSDS!V$17*$AG625+WeightSDS!W$17,IF($AG625&lt;186,WeightSDS!$U$18+(WeightSDS!$V$18-WeightSDS!$U$18)/24*($AG625-186)+WeightSDS!$W$18*(-$AG625+186)^2-0.005,WeightSDS!$U$18+(WeightSDS!$V$18-WeightSDS!$U$18)/24*($AG625-186)-0.005)))</f>
        <v>0.14604529399999999</v>
      </c>
    </row>
    <row r="626" spans="1:37">
      <c r="A626" s="4"/>
      <c r="B626" s="21"/>
      <c r="C626" s="21"/>
      <c r="D626" s="21"/>
      <c r="E626" s="22"/>
      <c r="F626" s="22"/>
      <c r="G626" s="23"/>
      <c r="H626" s="23"/>
      <c r="I626" s="8" t="str">
        <f t="shared" si="146"/>
        <v/>
      </c>
      <c r="J626" s="2" t="str">
        <f t="shared" si="153"/>
        <v/>
      </c>
      <c r="K626" s="2" t="str">
        <f t="shared" si="147"/>
        <v/>
      </c>
      <c r="L626" s="2" t="str">
        <f t="shared" si="154"/>
        <v/>
      </c>
      <c r="M626" s="2" t="str">
        <f t="shared" si="159"/>
        <v/>
      </c>
      <c r="N626" s="2" t="str">
        <f t="shared" si="155"/>
        <v/>
      </c>
      <c r="O626" s="8" t="str">
        <f t="shared" si="156"/>
        <v/>
      </c>
      <c r="P626" s="8" t="str">
        <f t="shared" si="157"/>
        <v/>
      </c>
      <c r="Q626" s="40" t="str">
        <f t="shared" si="148"/>
        <v/>
      </c>
      <c r="R626" s="48" t="str">
        <f t="shared" si="158"/>
        <v/>
      </c>
      <c r="S626" s="8"/>
      <c r="U626" s="35">
        <f t="shared" si="149"/>
        <v>0</v>
      </c>
      <c r="V626" s="24">
        <f t="shared" si="150"/>
        <v>0</v>
      </c>
      <c r="W626" s="41">
        <f t="shared" si="161"/>
        <v>0</v>
      </c>
      <c r="X626" s="31"/>
      <c r="Y626" s="31"/>
      <c r="Z626" s="31"/>
      <c r="AA626" s="25">
        <f t="shared" si="151"/>
        <v>9.0359999999999996</v>
      </c>
      <c r="AB626" s="25">
        <f t="shared" si="152"/>
        <v>-184.49199999999999</v>
      </c>
      <c r="AD626" s="24">
        <f>IF(D626="M",IF(AG626&lt;78,BMILMS!$D$5*AG626^3+BMILMS!$E$5*AG626^2+BMILMS!$F$5*AG626+BMILMS!$G$5,IF(AG626&lt;150,BMILMS!$D$6*AG626^3+BMILMS!$E$6*AG626^2+BMILMS!$F$6*AG626+BMILMS!$G$6,BMILMS!$D$7*AG626^3+BMILMS!$E$7*AG626^2+BMILMS!$F$7*AG626+BMILMS!$G$7)),IF(AG626&lt;69,BMILMS!$D$9*AG626^3+BMILMS!$E$9*AG626^2+BMILMS!$F$9*AG626+BMILMS!$G$9,IF(AG626&lt;150,BMILMS!$D$10*AG626^3+BMILMS!$E$10*AG626^2+BMILMS!$F$10*AG626+BMILMS!$G$10,BMILMS!$D$11*AG626^3+BMILMS!$E$11*AG626^2+BMILMS!$F$11*AG626+BMILMS!$G$11)))</f>
        <v>0.79584630099999998</v>
      </c>
      <c r="AE626" s="24">
        <f>IF(D626="M",(IF(AG626&lt;2.5,BMILMS!$D$21*AG626^3+BMILMS!$E$21*AG626^2+BMILMS!$F$21*AG626+BMILMS!$G$21,IF(AG626&lt;9.5,BMILMS!$D$22*AG626^3+BMILMS!$E$22*AG626^2+BMILMS!$F$22*AG626+BMILMS!$G$22,IF(AG626&lt;26.75,BMILMS!$D$23*AG626^3+BMILMS!$E$23*AG626^2+BMILMS!$F$23*AG626+BMILMS!$G$23,IF(AG626&lt;90,BMILMS!$D$24*AG626^3+BMILMS!$E$24*AG626^2+BMILMS!$F$24*AG626+BMILMS!$G$24,BMILMS!$D$25*AG626^3+BMILMS!$E$25*AG626^2+BMILMS!$F$25*AG626+BMILMS!$G$25))))),(IF(AG626&lt;2.5,BMILMS!$D$27*AG626^3+BMILMS!$E$27*AG626^2+BMILMS!$F$27*AG626+BMILMS!$G$27,IF(AG626&lt;9.5,BMILMS!$D$28*AG626^3+BMILMS!$E$28*AG626^2+BMILMS!$F$28*AG626+BMILMS!$G$28,IF(AG626&lt;26.75,BMILMS!$D$29*AG626^3+BMILMS!$E$29*AG626^2+BMILMS!$F$29*AG626+BMILMS!$G$29,IF(AG626&lt;90,BMILMS!$D$30*AG626^3+BMILMS!$E$30*AG626^2+BMILMS!$F$30*AG626+BMILMS!$G$30,IF(AG626&lt;150,BMILMS!$D$31*AG626^3+BMILMS!$E$31*AG626^2+BMILMS!$F$31*AG626+BMILMS!$G$31,BMILMS!$D$32*AG626^3+BMILMS!$E$32*AG626^2+BMILMS!$F$32*AG626+BMILMS!$G$32)))))))</f>
        <v>12.568967990000001</v>
      </c>
      <c r="AF626" s="24">
        <f>IF(D626="M",(IF(AG626&lt;90,BMILMS!$D$14*AG626^3+BMILMS!$E$14*AG626^2+BMILMS!$F$14*AG626+BMILMS!$G$14,BMILMS!$D$15*AG626^3+BMILMS!$E$15*AG626^2+BMILMS!$F$15*AG626+BMILMS!$G$15)),(IF(AG626&lt;90,BMILMS!$D$17*AG626^3+BMILMS!$E$17*AG626^2+BMILMS!$F$17*AG626+BMILMS!$G$17,BMILMS!$D$18*AG626^3+BMILMS!$E$18*AG626^2+BMILMS!$F$18*AG626+BMILMS!$G$18)))</f>
        <v>8.8969350000000003E-2</v>
      </c>
      <c r="AG626" s="24">
        <f t="shared" si="160"/>
        <v>0</v>
      </c>
      <c r="AI626" s="38">
        <f>IF(D626="M",WeightSDS!P$5*$AG626^7+WeightSDS!Q$5*$AG626^6+WeightSDS!R$5*$AG626^5+WeightSDS!S$5*$AG626^4+WeightSDS!T$5*$AG626^3+WeightSDS!U$5*$AG626^2+WeightSDS!V$5*$AG626+WeightSDS!W$5,IF($AG626&lt;186,WeightSDS!P$8*$AG626^7+WeightSDS!Q$8*$AG626^6+WeightSDS!R$8*$AG626^5+WeightSDS!S$8*$AG626^4+WeightSDS!T$8*$AG626^3+WeightSDS!U$8*$AG626^2+WeightSDS!V$8*$AG626+WeightSDS!W$8,WeightSDS!$U$9-WeightSDS!$V$9*($AG626-WeightSDS!$W$9)))</f>
        <v>0.75407122999999998</v>
      </c>
      <c r="AJ626" s="24">
        <f>IF(D626="M",IF($AG626&lt;45,WeightSDS!M$23*$AG626^10+WeightSDS!N$23*$AG626^9+WeightSDS!O$23*$AG626^8+WeightSDS!P$23*$AG626^7+WeightSDS!Q$23*$AG626^6+WeightSDS!R$23*$AG626^5+WeightSDS!S$23*$AG626^4+WeightSDS!T$23*$AG626^3+WeightSDS!U$23*$AG626^2+WeightSDS!V$23*$AG626+WeightSDS!W$23,IF($AG626&lt;153,WeightSDS!M$25*$AG626^10+WeightSDS!N$25*$AG626^9+WeightSDS!O$25*$AG626^8+WeightSDS!P$25*$AG626^7+WeightSDS!Q$25*$AG626^6+WeightSDS!R$25*$AG626^5+WeightSDS!S$25*$AG626^4+WeightSDS!T$25*$AG626^3+WeightSDS!U$25*$AG626^2+WeightSDS!V$25*$AG626+WeightSDS!W$25,WeightSDS!M$27+WeightSDS!N$27/(1+EXP(WeightSDS!O$27+WeightSDS!P$27*$AG626)))),IF($AG626&lt;43.8,WeightSDS!M$29*$AG626^10+WeightSDS!N$29*$AG626^9+WeightSDS!O$29*$AG626^8+WeightSDS!P$29*$AG626^7+WeightSDS!Q$29*$AG626^6+WeightSDS!R$29*$AG626^5+WeightSDS!S$29*$AG626^4+WeightSDS!T$29*$AG626^3+WeightSDS!U$29*$AG626^2+WeightSDS!V$29*$AG626+WeightSDS!W$29-0.010431*(1-$AG626/210),IF($AG626&lt;123,WeightSDS!M$30*$AG626^10+WeightSDS!N$30*$AG626^9+WeightSDS!O$30*$AG626^8+WeightSDS!P$30*$AG626^7+WeightSDS!Q$30*$AG626^6+WeightSDS!R$30*$AG626^5+WeightSDS!S$30*$AG626^4+WeightSDS!T$30*$AG626^3+WeightSDS!U$30*$AG626^2+WeightSDS!V$30*$AG626+WeightSDS!W$30-0.010431*(1-1/$AG626),WeightSDS!M$32+WeightSDS!N$32/(1+EXP(WeightSDS!O$32+WeightSDS!P$32*$AG626))-0.010431*(1-$AG626/210))))</f>
        <v>2.9500001032655536</v>
      </c>
      <c r="AK626" s="24">
        <f>IF(D626="M",IF($AG626&lt;162,WeightSDS!P$12*$AG626^7+WeightSDS!Q$12*$AG626^6+WeightSDS!R$12*$AG626^5+WeightSDS!S$12*$AG626^4+WeightSDS!T$12*$AG626^3+WeightSDS!U$12*$AG626^2+WeightSDS!V$12*$AG626+WeightSDS!W$12,WeightSDS!P$14*$AG626^7+WeightSDS!Q$14*$AG626^6+WeightSDS!R$14*$AG626^5+WeightSDS!S$14*$AG626^4+WeightSDS!T$14*$AG626^3+WeightSDS!U$14*$AG626^2+WeightSDS!V$14*$AG626+WeightSDS!W$14),IF($AG626&lt;156,WeightSDS!O$17*$AG626^8+WeightSDS!P$17*$AG626^7+WeightSDS!Q$17*$AG626^6+WeightSDS!R$17*$AG626^5+WeightSDS!S$17*$AG626^4+WeightSDS!T$17*$AG626^3+WeightSDS!U$17*$AG626^2+WeightSDS!V$17*$AG626+WeightSDS!W$17,IF($AG626&lt;186,WeightSDS!$U$18+(WeightSDS!$V$18-WeightSDS!$U$18)/24*($AG626-186)+WeightSDS!$W$18*(-$AG626+186)^2-0.005,WeightSDS!$U$18+(WeightSDS!$V$18-WeightSDS!$U$18)/24*($AG626-186)-0.005)))</f>
        <v>0.14604529399999999</v>
      </c>
    </row>
    <row r="627" spans="1:37">
      <c r="A627" s="4"/>
      <c r="B627" s="21"/>
      <c r="C627" s="21"/>
      <c r="D627" s="21"/>
      <c r="E627" s="22"/>
      <c r="F627" s="22"/>
      <c r="G627" s="23"/>
      <c r="H627" s="23"/>
      <c r="I627" s="8" t="str">
        <f t="shared" si="146"/>
        <v/>
      </c>
      <c r="J627" s="2" t="str">
        <f t="shared" si="153"/>
        <v/>
      </c>
      <c r="K627" s="2" t="str">
        <f t="shared" si="147"/>
        <v/>
      </c>
      <c r="L627" s="2" t="str">
        <f t="shared" si="154"/>
        <v/>
      </c>
      <c r="M627" s="2" t="str">
        <f t="shared" si="159"/>
        <v/>
      </c>
      <c r="N627" s="2" t="str">
        <f t="shared" si="155"/>
        <v/>
      </c>
      <c r="O627" s="8" t="str">
        <f t="shared" si="156"/>
        <v/>
      </c>
      <c r="P627" s="8" t="str">
        <f t="shared" si="157"/>
        <v/>
      </c>
      <c r="Q627" s="40" t="str">
        <f t="shared" si="148"/>
        <v/>
      </c>
      <c r="R627" s="48" t="str">
        <f t="shared" si="158"/>
        <v/>
      </c>
      <c r="S627" s="8"/>
      <c r="U627" s="35">
        <f t="shared" si="149"/>
        <v>0</v>
      </c>
      <c r="V627" s="24">
        <f t="shared" si="150"/>
        <v>0</v>
      </c>
      <c r="W627" s="41">
        <f t="shared" si="161"/>
        <v>0</v>
      </c>
      <c r="X627" s="31"/>
      <c r="Y627" s="31"/>
      <c r="Z627" s="31"/>
      <c r="AA627" s="25">
        <f t="shared" si="151"/>
        <v>9.0359999999999996</v>
      </c>
      <c r="AB627" s="25">
        <f t="shared" si="152"/>
        <v>-184.49199999999999</v>
      </c>
      <c r="AD627" s="24">
        <f>IF(D627="M",IF(AG627&lt;78,BMILMS!$D$5*AG627^3+BMILMS!$E$5*AG627^2+BMILMS!$F$5*AG627+BMILMS!$G$5,IF(AG627&lt;150,BMILMS!$D$6*AG627^3+BMILMS!$E$6*AG627^2+BMILMS!$F$6*AG627+BMILMS!$G$6,BMILMS!$D$7*AG627^3+BMILMS!$E$7*AG627^2+BMILMS!$F$7*AG627+BMILMS!$G$7)),IF(AG627&lt;69,BMILMS!$D$9*AG627^3+BMILMS!$E$9*AG627^2+BMILMS!$F$9*AG627+BMILMS!$G$9,IF(AG627&lt;150,BMILMS!$D$10*AG627^3+BMILMS!$E$10*AG627^2+BMILMS!$F$10*AG627+BMILMS!$G$10,BMILMS!$D$11*AG627^3+BMILMS!$E$11*AG627^2+BMILMS!$F$11*AG627+BMILMS!$G$11)))</f>
        <v>0.79584630099999998</v>
      </c>
      <c r="AE627" s="24">
        <f>IF(D627="M",(IF(AG627&lt;2.5,BMILMS!$D$21*AG627^3+BMILMS!$E$21*AG627^2+BMILMS!$F$21*AG627+BMILMS!$G$21,IF(AG627&lt;9.5,BMILMS!$D$22*AG627^3+BMILMS!$E$22*AG627^2+BMILMS!$F$22*AG627+BMILMS!$G$22,IF(AG627&lt;26.75,BMILMS!$D$23*AG627^3+BMILMS!$E$23*AG627^2+BMILMS!$F$23*AG627+BMILMS!$G$23,IF(AG627&lt;90,BMILMS!$D$24*AG627^3+BMILMS!$E$24*AG627^2+BMILMS!$F$24*AG627+BMILMS!$G$24,BMILMS!$D$25*AG627^3+BMILMS!$E$25*AG627^2+BMILMS!$F$25*AG627+BMILMS!$G$25))))),(IF(AG627&lt;2.5,BMILMS!$D$27*AG627^3+BMILMS!$E$27*AG627^2+BMILMS!$F$27*AG627+BMILMS!$G$27,IF(AG627&lt;9.5,BMILMS!$D$28*AG627^3+BMILMS!$E$28*AG627^2+BMILMS!$F$28*AG627+BMILMS!$G$28,IF(AG627&lt;26.75,BMILMS!$D$29*AG627^3+BMILMS!$E$29*AG627^2+BMILMS!$F$29*AG627+BMILMS!$G$29,IF(AG627&lt;90,BMILMS!$D$30*AG627^3+BMILMS!$E$30*AG627^2+BMILMS!$F$30*AG627+BMILMS!$G$30,IF(AG627&lt;150,BMILMS!$D$31*AG627^3+BMILMS!$E$31*AG627^2+BMILMS!$F$31*AG627+BMILMS!$G$31,BMILMS!$D$32*AG627^3+BMILMS!$E$32*AG627^2+BMILMS!$F$32*AG627+BMILMS!$G$32)))))))</f>
        <v>12.568967990000001</v>
      </c>
      <c r="AF627" s="24">
        <f>IF(D627="M",(IF(AG627&lt;90,BMILMS!$D$14*AG627^3+BMILMS!$E$14*AG627^2+BMILMS!$F$14*AG627+BMILMS!$G$14,BMILMS!$D$15*AG627^3+BMILMS!$E$15*AG627^2+BMILMS!$F$15*AG627+BMILMS!$G$15)),(IF(AG627&lt;90,BMILMS!$D$17*AG627^3+BMILMS!$E$17*AG627^2+BMILMS!$F$17*AG627+BMILMS!$G$17,BMILMS!$D$18*AG627^3+BMILMS!$E$18*AG627^2+BMILMS!$F$18*AG627+BMILMS!$G$18)))</f>
        <v>8.8969350000000003E-2</v>
      </c>
      <c r="AG627" s="24">
        <f t="shared" si="160"/>
        <v>0</v>
      </c>
      <c r="AI627" s="38">
        <f>IF(D627="M",WeightSDS!P$5*$AG627^7+WeightSDS!Q$5*$AG627^6+WeightSDS!R$5*$AG627^5+WeightSDS!S$5*$AG627^4+WeightSDS!T$5*$AG627^3+WeightSDS!U$5*$AG627^2+WeightSDS!V$5*$AG627+WeightSDS!W$5,IF($AG627&lt;186,WeightSDS!P$8*$AG627^7+WeightSDS!Q$8*$AG627^6+WeightSDS!R$8*$AG627^5+WeightSDS!S$8*$AG627^4+WeightSDS!T$8*$AG627^3+WeightSDS!U$8*$AG627^2+WeightSDS!V$8*$AG627+WeightSDS!W$8,WeightSDS!$U$9-WeightSDS!$V$9*($AG627-WeightSDS!$W$9)))</f>
        <v>0.75407122999999998</v>
      </c>
      <c r="AJ627" s="24">
        <f>IF(D627="M",IF($AG627&lt;45,WeightSDS!M$23*$AG627^10+WeightSDS!N$23*$AG627^9+WeightSDS!O$23*$AG627^8+WeightSDS!P$23*$AG627^7+WeightSDS!Q$23*$AG627^6+WeightSDS!R$23*$AG627^5+WeightSDS!S$23*$AG627^4+WeightSDS!T$23*$AG627^3+WeightSDS!U$23*$AG627^2+WeightSDS!V$23*$AG627+WeightSDS!W$23,IF($AG627&lt;153,WeightSDS!M$25*$AG627^10+WeightSDS!N$25*$AG627^9+WeightSDS!O$25*$AG627^8+WeightSDS!P$25*$AG627^7+WeightSDS!Q$25*$AG627^6+WeightSDS!R$25*$AG627^5+WeightSDS!S$25*$AG627^4+WeightSDS!T$25*$AG627^3+WeightSDS!U$25*$AG627^2+WeightSDS!V$25*$AG627+WeightSDS!W$25,WeightSDS!M$27+WeightSDS!N$27/(1+EXP(WeightSDS!O$27+WeightSDS!P$27*$AG627)))),IF($AG627&lt;43.8,WeightSDS!M$29*$AG627^10+WeightSDS!N$29*$AG627^9+WeightSDS!O$29*$AG627^8+WeightSDS!P$29*$AG627^7+WeightSDS!Q$29*$AG627^6+WeightSDS!R$29*$AG627^5+WeightSDS!S$29*$AG627^4+WeightSDS!T$29*$AG627^3+WeightSDS!U$29*$AG627^2+WeightSDS!V$29*$AG627+WeightSDS!W$29-0.010431*(1-$AG627/210),IF($AG627&lt;123,WeightSDS!M$30*$AG627^10+WeightSDS!N$30*$AG627^9+WeightSDS!O$30*$AG627^8+WeightSDS!P$30*$AG627^7+WeightSDS!Q$30*$AG627^6+WeightSDS!R$30*$AG627^5+WeightSDS!S$30*$AG627^4+WeightSDS!T$30*$AG627^3+WeightSDS!U$30*$AG627^2+WeightSDS!V$30*$AG627+WeightSDS!W$30-0.010431*(1-1/$AG627),WeightSDS!M$32+WeightSDS!N$32/(1+EXP(WeightSDS!O$32+WeightSDS!P$32*$AG627))-0.010431*(1-$AG627/210))))</f>
        <v>2.9500001032655536</v>
      </c>
      <c r="AK627" s="24">
        <f>IF(D627="M",IF($AG627&lt;162,WeightSDS!P$12*$AG627^7+WeightSDS!Q$12*$AG627^6+WeightSDS!R$12*$AG627^5+WeightSDS!S$12*$AG627^4+WeightSDS!T$12*$AG627^3+WeightSDS!U$12*$AG627^2+WeightSDS!V$12*$AG627+WeightSDS!W$12,WeightSDS!P$14*$AG627^7+WeightSDS!Q$14*$AG627^6+WeightSDS!R$14*$AG627^5+WeightSDS!S$14*$AG627^4+WeightSDS!T$14*$AG627^3+WeightSDS!U$14*$AG627^2+WeightSDS!V$14*$AG627+WeightSDS!W$14),IF($AG627&lt;156,WeightSDS!O$17*$AG627^8+WeightSDS!P$17*$AG627^7+WeightSDS!Q$17*$AG627^6+WeightSDS!R$17*$AG627^5+WeightSDS!S$17*$AG627^4+WeightSDS!T$17*$AG627^3+WeightSDS!U$17*$AG627^2+WeightSDS!V$17*$AG627+WeightSDS!W$17,IF($AG627&lt;186,WeightSDS!$U$18+(WeightSDS!$V$18-WeightSDS!$U$18)/24*($AG627-186)+WeightSDS!$W$18*(-$AG627+186)^2-0.005,WeightSDS!$U$18+(WeightSDS!$V$18-WeightSDS!$U$18)/24*($AG627-186)-0.005)))</f>
        <v>0.14604529399999999</v>
      </c>
    </row>
    <row r="628" spans="1:37">
      <c r="A628" s="4"/>
      <c r="B628" s="21"/>
      <c r="C628" s="21"/>
      <c r="D628" s="21"/>
      <c r="E628" s="22"/>
      <c r="F628" s="22"/>
      <c r="G628" s="23"/>
      <c r="H628" s="23"/>
      <c r="I628" s="8" t="str">
        <f t="shared" si="146"/>
        <v/>
      </c>
      <c r="J628" s="2" t="str">
        <f t="shared" si="153"/>
        <v/>
      </c>
      <c r="K628" s="2" t="str">
        <f t="shared" si="147"/>
        <v/>
      </c>
      <c r="L628" s="2" t="str">
        <f t="shared" si="154"/>
        <v/>
      </c>
      <c r="M628" s="2" t="str">
        <f t="shared" si="159"/>
        <v/>
      </c>
      <c r="N628" s="2" t="str">
        <f t="shared" si="155"/>
        <v/>
      </c>
      <c r="O628" s="8" t="str">
        <f t="shared" si="156"/>
        <v/>
      </c>
      <c r="P628" s="8" t="str">
        <f t="shared" si="157"/>
        <v/>
      </c>
      <c r="Q628" s="40" t="str">
        <f t="shared" si="148"/>
        <v/>
      </c>
      <c r="R628" s="48" t="str">
        <f t="shared" si="158"/>
        <v/>
      </c>
      <c r="S628" s="8"/>
      <c r="U628" s="35">
        <f t="shared" si="149"/>
        <v>0</v>
      </c>
      <c r="V628" s="24">
        <f t="shared" si="150"/>
        <v>0</v>
      </c>
      <c r="W628" s="41">
        <f t="shared" si="161"/>
        <v>0</v>
      </c>
      <c r="X628" s="31"/>
      <c r="Y628" s="31"/>
      <c r="Z628" s="31"/>
      <c r="AA628" s="25">
        <f t="shared" si="151"/>
        <v>9.0359999999999996</v>
      </c>
      <c r="AB628" s="25">
        <f t="shared" si="152"/>
        <v>-184.49199999999999</v>
      </c>
      <c r="AD628" s="24">
        <f>IF(D628="M",IF(AG628&lt;78,BMILMS!$D$5*AG628^3+BMILMS!$E$5*AG628^2+BMILMS!$F$5*AG628+BMILMS!$G$5,IF(AG628&lt;150,BMILMS!$D$6*AG628^3+BMILMS!$E$6*AG628^2+BMILMS!$F$6*AG628+BMILMS!$G$6,BMILMS!$D$7*AG628^3+BMILMS!$E$7*AG628^2+BMILMS!$F$7*AG628+BMILMS!$G$7)),IF(AG628&lt;69,BMILMS!$D$9*AG628^3+BMILMS!$E$9*AG628^2+BMILMS!$F$9*AG628+BMILMS!$G$9,IF(AG628&lt;150,BMILMS!$D$10*AG628^3+BMILMS!$E$10*AG628^2+BMILMS!$F$10*AG628+BMILMS!$G$10,BMILMS!$D$11*AG628^3+BMILMS!$E$11*AG628^2+BMILMS!$F$11*AG628+BMILMS!$G$11)))</f>
        <v>0.79584630099999998</v>
      </c>
      <c r="AE628" s="24">
        <f>IF(D628="M",(IF(AG628&lt;2.5,BMILMS!$D$21*AG628^3+BMILMS!$E$21*AG628^2+BMILMS!$F$21*AG628+BMILMS!$G$21,IF(AG628&lt;9.5,BMILMS!$D$22*AG628^3+BMILMS!$E$22*AG628^2+BMILMS!$F$22*AG628+BMILMS!$G$22,IF(AG628&lt;26.75,BMILMS!$D$23*AG628^3+BMILMS!$E$23*AG628^2+BMILMS!$F$23*AG628+BMILMS!$G$23,IF(AG628&lt;90,BMILMS!$D$24*AG628^3+BMILMS!$E$24*AG628^2+BMILMS!$F$24*AG628+BMILMS!$G$24,BMILMS!$D$25*AG628^3+BMILMS!$E$25*AG628^2+BMILMS!$F$25*AG628+BMILMS!$G$25))))),(IF(AG628&lt;2.5,BMILMS!$D$27*AG628^3+BMILMS!$E$27*AG628^2+BMILMS!$F$27*AG628+BMILMS!$G$27,IF(AG628&lt;9.5,BMILMS!$D$28*AG628^3+BMILMS!$E$28*AG628^2+BMILMS!$F$28*AG628+BMILMS!$G$28,IF(AG628&lt;26.75,BMILMS!$D$29*AG628^3+BMILMS!$E$29*AG628^2+BMILMS!$F$29*AG628+BMILMS!$G$29,IF(AG628&lt;90,BMILMS!$D$30*AG628^3+BMILMS!$E$30*AG628^2+BMILMS!$F$30*AG628+BMILMS!$G$30,IF(AG628&lt;150,BMILMS!$D$31*AG628^3+BMILMS!$E$31*AG628^2+BMILMS!$F$31*AG628+BMILMS!$G$31,BMILMS!$D$32*AG628^3+BMILMS!$E$32*AG628^2+BMILMS!$F$32*AG628+BMILMS!$G$32)))))))</f>
        <v>12.568967990000001</v>
      </c>
      <c r="AF628" s="24">
        <f>IF(D628="M",(IF(AG628&lt;90,BMILMS!$D$14*AG628^3+BMILMS!$E$14*AG628^2+BMILMS!$F$14*AG628+BMILMS!$G$14,BMILMS!$D$15*AG628^3+BMILMS!$E$15*AG628^2+BMILMS!$F$15*AG628+BMILMS!$G$15)),(IF(AG628&lt;90,BMILMS!$D$17*AG628^3+BMILMS!$E$17*AG628^2+BMILMS!$F$17*AG628+BMILMS!$G$17,BMILMS!$D$18*AG628^3+BMILMS!$E$18*AG628^2+BMILMS!$F$18*AG628+BMILMS!$G$18)))</f>
        <v>8.8969350000000003E-2</v>
      </c>
      <c r="AG628" s="24">
        <f t="shared" si="160"/>
        <v>0</v>
      </c>
      <c r="AI628" s="38">
        <f>IF(D628="M",WeightSDS!P$5*$AG628^7+WeightSDS!Q$5*$AG628^6+WeightSDS!R$5*$AG628^5+WeightSDS!S$5*$AG628^4+WeightSDS!T$5*$AG628^3+WeightSDS!U$5*$AG628^2+WeightSDS!V$5*$AG628+WeightSDS!W$5,IF($AG628&lt;186,WeightSDS!P$8*$AG628^7+WeightSDS!Q$8*$AG628^6+WeightSDS!R$8*$AG628^5+WeightSDS!S$8*$AG628^4+WeightSDS!T$8*$AG628^3+WeightSDS!U$8*$AG628^2+WeightSDS!V$8*$AG628+WeightSDS!W$8,WeightSDS!$U$9-WeightSDS!$V$9*($AG628-WeightSDS!$W$9)))</f>
        <v>0.75407122999999998</v>
      </c>
      <c r="AJ628" s="24">
        <f>IF(D628="M",IF($AG628&lt;45,WeightSDS!M$23*$AG628^10+WeightSDS!N$23*$AG628^9+WeightSDS!O$23*$AG628^8+WeightSDS!P$23*$AG628^7+WeightSDS!Q$23*$AG628^6+WeightSDS!R$23*$AG628^5+WeightSDS!S$23*$AG628^4+WeightSDS!T$23*$AG628^3+WeightSDS!U$23*$AG628^2+WeightSDS!V$23*$AG628+WeightSDS!W$23,IF($AG628&lt;153,WeightSDS!M$25*$AG628^10+WeightSDS!N$25*$AG628^9+WeightSDS!O$25*$AG628^8+WeightSDS!P$25*$AG628^7+WeightSDS!Q$25*$AG628^6+WeightSDS!R$25*$AG628^5+WeightSDS!S$25*$AG628^4+WeightSDS!T$25*$AG628^3+WeightSDS!U$25*$AG628^2+WeightSDS!V$25*$AG628+WeightSDS!W$25,WeightSDS!M$27+WeightSDS!N$27/(1+EXP(WeightSDS!O$27+WeightSDS!P$27*$AG628)))),IF($AG628&lt;43.8,WeightSDS!M$29*$AG628^10+WeightSDS!N$29*$AG628^9+WeightSDS!O$29*$AG628^8+WeightSDS!P$29*$AG628^7+WeightSDS!Q$29*$AG628^6+WeightSDS!R$29*$AG628^5+WeightSDS!S$29*$AG628^4+WeightSDS!T$29*$AG628^3+WeightSDS!U$29*$AG628^2+WeightSDS!V$29*$AG628+WeightSDS!W$29-0.010431*(1-$AG628/210),IF($AG628&lt;123,WeightSDS!M$30*$AG628^10+WeightSDS!N$30*$AG628^9+WeightSDS!O$30*$AG628^8+WeightSDS!P$30*$AG628^7+WeightSDS!Q$30*$AG628^6+WeightSDS!R$30*$AG628^5+WeightSDS!S$30*$AG628^4+WeightSDS!T$30*$AG628^3+WeightSDS!U$30*$AG628^2+WeightSDS!V$30*$AG628+WeightSDS!W$30-0.010431*(1-1/$AG628),WeightSDS!M$32+WeightSDS!N$32/(1+EXP(WeightSDS!O$32+WeightSDS!P$32*$AG628))-0.010431*(1-$AG628/210))))</f>
        <v>2.9500001032655536</v>
      </c>
      <c r="AK628" s="24">
        <f>IF(D628="M",IF($AG628&lt;162,WeightSDS!P$12*$AG628^7+WeightSDS!Q$12*$AG628^6+WeightSDS!R$12*$AG628^5+WeightSDS!S$12*$AG628^4+WeightSDS!T$12*$AG628^3+WeightSDS!U$12*$AG628^2+WeightSDS!V$12*$AG628+WeightSDS!W$12,WeightSDS!P$14*$AG628^7+WeightSDS!Q$14*$AG628^6+WeightSDS!R$14*$AG628^5+WeightSDS!S$14*$AG628^4+WeightSDS!T$14*$AG628^3+WeightSDS!U$14*$AG628^2+WeightSDS!V$14*$AG628+WeightSDS!W$14),IF($AG628&lt;156,WeightSDS!O$17*$AG628^8+WeightSDS!P$17*$AG628^7+WeightSDS!Q$17*$AG628^6+WeightSDS!R$17*$AG628^5+WeightSDS!S$17*$AG628^4+WeightSDS!T$17*$AG628^3+WeightSDS!U$17*$AG628^2+WeightSDS!V$17*$AG628+WeightSDS!W$17,IF($AG628&lt;186,WeightSDS!$U$18+(WeightSDS!$V$18-WeightSDS!$U$18)/24*($AG628-186)+WeightSDS!$W$18*(-$AG628+186)^2-0.005,WeightSDS!$U$18+(WeightSDS!$V$18-WeightSDS!$U$18)/24*($AG628-186)-0.005)))</f>
        <v>0.14604529399999999</v>
      </c>
    </row>
    <row r="629" spans="1:37">
      <c r="A629" s="4"/>
      <c r="B629" s="21"/>
      <c r="C629" s="21"/>
      <c r="D629" s="21"/>
      <c r="E629" s="22"/>
      <c r="F629" s="22"/>
      <c r="G629" s="23"/>
      <c r="H629" s="23"/>
      <c r="I629" s="8" t="str">
        <f t="shared" si="146"/>
        <v/>
      </c>
      <c r="J629" s="2" t="str">
        <f t="shared" si="153"/>
        <v/>
      </c>
      <c r="K629" s="2" t="str">
        <f t="shared" si="147"/>
        <v/>
      </c>
      <c r="L629" s="2" t="str">
        <f t="shared" si="154"/>
        <v/>
      </c>
      <c r="M629" s="2" t="str">
        <f t="shared" si="159"/>
        <v/>
      </c>
      <c r="N629" s="2" t="str">
        <f t="shared" si="155"/>
        <v/>
      </c>
      <c r="O629" s="8" t="str">
        <f t="shared" si="156"/>
        <v/>
      </c>
      <c r="P629" s="8" t="str">
        <f t="shared" si="157"/>
        <v/>
      </c>
      <c r="Q629" s="40" t="str">
        <f t="shared" si="148"/>
        <v/>
      </c>
      <c r="R629" s="48" t="str">
        <f t="shared" si="158"/>
        <v/>
      </c>
      <c r="S629" s="8"/>
      <c r="U629" s="35">
        <f t="shared" si="149"/>
        <v>0</v>
      </c>
      <c r="V629" s="24">
        <f t="shared" si="150"/>
        <v>0</v>
      </c>
      <c r="W629" s="41">
        <f t="shared" si="161"/>
        <v>0</v>
      </c>
      <c r="X629" s="31"/>
      <c r="Y629" s="31"/>
      <c r="Z629" s="31"/>
      <c r="AA629" s="25">
        <f t="shared" si="151"/>
        <v>9.0359999999999996</v>
      </c>
      <c r="AB629" s="25">
        <f t="shared" si="152"/>
        <v>-184.49199999999999</v>
      </c>
      <c r="AD629" s="24">
        <f>IF(D629="M",IF(AG629&lt;78,BMILMS!$D$5*AG629^3+BMILMS!$E$5*AG629^2+BMILMS!$F$5*AG629+BMILMS!$G$5,IF(AG629&lt;150,BMILMS!$D$6*AG629^3+BMILMS!$E$6*AG629^2+BMILMS!$F$6*AG629+BMILMS!$G$6,BMILMS!$D$7*AG629^3+BMILMS!$E$7*AG629^2+BMILMS!$F$7*AG629+BMILMS!$G$7)),IF(AG629&lt;69,BMILMS!$D$9*AG629^3+BMILMS!$E$9*AG629^2+BMILMS!$F$9*AG629+BMILMS!$G$9,IF(AG629&lt;150,BMILMS!$D$10*AG629^3+BMILMS!$E$10*AG629^2+BMILMS!$F$10*AG629+BMILMS!$G$10,BMILMS!$D$11*AG629^3+BMILMS!$E$11*AG629^2+BMILMS!$F$11*AG629+BMILMS!$G$11)))</f>
        <v>0.79584630099999998</v>
      </c>
      <c r="AE629" s="24">
        <f>IF(D629="M",(IF(AG629&lt;2.5,BMILMS!$D$21*AG629^3+BMILMS!$E$21*AG629^2+BMILMS!$F$21*AG629+BMILMS!$G$21,IF(AG629&lt;9.5,BMILMS!$D$22*AG629^3+BMILMS!$E$22*AG629^2+BMILMS!$F$22*AG629+BMILMS!$G$22,IF(AG629&lt;26.75,BMILMS!$D$23*AG629^3+BMILMS!$E$23*AG629^2+BMILMS!$F$23*AG629+BMILMS!$G$23,IF(AG629&lt;90,BMILMS!$D$24*AG629^3+BMILMS!$E$24*AG629^2+BMILMS!$F$24*AG629+BMILMS!$G$24,BMILMS!$D$25*AG629^3+BMILMS!$E$25*AG629^2+BMILMS!$F$25*AG629+BMILMS!$G$25))))),(IF(AG629&lt;2.5,BMILMS!$D$27*AG629^3+BMILMS!$E$27*AG629^2+BMILMS!$F$27*AG629+BMILMS!$G$27,IF(AG629&lt;9.5,BMILMS!$D$28*AG629^3+BMILMS!$E$28*AG629^2+BMILMS!$F$28*AG629+BMILMS!$G$28,IF(AG629&lt;26.75,BMILMS!$D$29*AG629^3+BMILMS!$E$29*AG629^2+BMILMS!$F$29*AG629+BMILMS!$G$29,IF(AG629&lt;90,BMILMS!$D$30*AG629^3+BMILMS!$E$30*AG629^2+BMILMS!$F$30*AG629+BMILMS!$G$30,IF(AG629&lt;150,BMILMS!$D$31*AG629^3+BMILMS!$E$31*AG629^2+BMILMS!$F$31*AG629+BMILMS!$G$31,BMILMS!$D$32*AG629^3+BMILMS!$E$32*AG629^2+BMILMS!$F$32*AG629+BMILMS!$G$32)))))))</f>
        <v>12.568967990000001</v>
      </c>
      <c r="AF629" s="24">
        <f>IF(D629="M",(IF(AG629&lt;90,BMILMS!$D$14*AG629^3+BMILMS!$E$14*AG629^2+BMILMS!$F$14*AG629+BMILMS!$G$14,BMILMS!$D$15*AG629^3+BMILMS!$E$15*AG629^2+BMILMS!$F$15*AG629+BMILMS!$G$15)),(IF(AG629&lt;90,BMILMS!$D$17*AG629^3+BMILMS!$E$17*AG629^2+BMILMS!$F$17*AG629+BMILMS!$G$17,BMILMS!$D$18*AG629^3+BMILMS!$E$18*AG629^2+BMILMS!$F$18*AG629+BMILMS!$G$18)))</f>
        <v>8.8969350000000003E-2</v>
      </c>
      <c r="AG629" s="24">
        <f t="shared" si="160"/>
        <v>0</v>
      </c>
      <c r="AI629" s="38">
        <f>IF(D629="M",WeightSDS!P$5*$AG629^7+WeightSDS!Q$5*$AG629^6+WeightSDS!R$5*$AG629^5+WeightSDS!S$5*$AG629^4+WeightSDS!T$5*$AG629^3+WeightSDS!U$5*$AG629^2+WeightSDS!V$5*$AG629+WeightSDS!W$5,IF($AG629&lt;186,WeightSDS!P$8*$AG629^7+WeightSDS!Q$8*$AG629^6+WeightSDS!R$8*$AG629^5+WeightSDS!S$8*$AG629^4+WeightSDS!T$8*$AG629^3+WeightSDS!U$8*$AG629^2+WeightSDS!V$8*$AG629+WeightSDS!W$8,WeightSDS!$U$9-WeightSDS!$V$9*($AG629-WeightSDS!$W$9)))</f>
        <v>0.75407122999999998</v>
      </c>
      <c r="AJ629" s="24">
        <f>IF(D629="M",IF($AG629&lt;45,WeightSDS!M$23*$AG629^10+WeightSDS!N$23*$AG629^9+WeightSDS!O$23*$AG629^8+WeightSDS!P$23*$AG629^7+WeightSDS!Q$23*$AG629^6+WeightSDS!R$23*$AG629^5+WeightSDS!S$23*$AG629^4+WeightSDS!T$23*$AG629^3+WeightSDS!U$23*$AG629^2+WeightSDS!V$23*$AG629+WeightSDS!W$23,IF($AG629&lt;153,WeightSDS!M$25*$AG629^10+WeightSDS!N$25*$AG629^9+WeightSDS!O$25*$AG629^8+WeightSDS!P$25*$AG629^7+WeightSDS!Q$25*$AG629^6+WeightSDS!R$25*$AG629^5+WeightSDS!S$25*$AG629^4+WeightSDS!T$25*$AG629^3+WeightSDS!U$25*$AG629^2+WeightSDS!V$25*$AG629+WeightSDS!W$25,WeightSDS!M$27+WeightSDS!N$27/(1+EXP(WeightSDS!O$27+WeightSDS!P$27*$AG629)))),IF($AG629&lt;43.8,WeightSDS!M$29*$AG629^10+WeightSDS!N$29*$AG629^9+WeightSDS!O$29*$AG629^8+WeightSDS!P$29*$AG629^7+WeightSDS!Q$29*$AG629^6+WeightSDS!R$29*$AG629^5+WeightSDS!S$29*$AG629^4+WeightSDS!T$29*$AG629^3+WeightSDS!U$29*$AG629^2+WeightSDS!V$29*$AG629+WeightSDS!W$29-0.010431*(1-$AG629/210),IF($AG629&lt;123,WeightSDS!M$30*$AG629^10+WeightSDS!N$30*$AG629^9+WeightSDS!O$30*$AG629^8+WeightSDS!P$30*$AG629^7+WeightSDS!Q$30*$AG629^6+WeightSDS!R$30*$AG629^5+WeightSDS!S$30*$AG629^4+WeightSDS!T$30*$AG629^3+WeightSDS!U$30*$AG629^2+WeightSDS!V$30*$AG629+WeightSDS!W$30-0.010431*(1-1/$AG629),WeightSDS!M$32+WeightSDS!N$32/(1+EXP(WeightSDS!O$32+WeightSDS!P$32*$AG629))-0.010431*(1-$AG629/210))))</f>
        <v>2.9500001032655536</v>
      </c>
      <c r="AK629" s="24">
        <f>IF(D629="M",IF($AG629&lt;162,WeightSDS!P$12*$AG629^7+WeightSDS!Q$12*$AG629^6+WeightSDS!R$12*$AG629^5+WeightSDS!S$12*$AG629^4+WeightSDS!T$12*$AG629^3+WeightSDS!U$12*$AG629^2+WeightSDS!V$12*$AG629+WeightSDS!W$12,WeightSDS!P$14*$AG629^7+WeightSDS!Q$14*$AG629^6+WeightSDS!R$14*$AG629^5+WeightSDS!S$14*$AG629^4+WeightSDS!T$14*$AG629^3+WeightSDS!U$14*$AG629^2+WeightSDS!V$14*$AG629+WeightSDS!W$14),IF($AG629&lt;156,WeightSDS!O$17*$AG629^8+WeightSDS!P$17*$AG629^7+WeightSDS!Q$17*$AG629^6+WeightSDS!R$17*$AG629^5+WeightSDS!S$17*$AG629^4+WeightSDS!T$17*$AG629^3+WeightSDS!U$17*$AG629^2+WeightSDS!V$17*$AG629+WeightSDS!W$17,IF($AG629&lt;186,WeightSDS!$U$18+(WeightSDS!$V$18-WeightSDS!$U$18)/24*($AG629-186)+WeightSDS!$W$18*(-$AG629+186)^2-0.005,WeightSDS!$U$18+(WeightSDS!$V$18-WeightSDS!$U$18)/24*($AG629-186)-0.005)))</f>
        <v>0.14604529399999999</v>
      </c>
    </row>
    <row r="630" spans="1:37">
      <c r="A630" s="4"/>
      <c r="B630" s="21"/>
      <c r="C630" s="21"/>
      <c r="D630" s="21"/>
      <c r="E630" s="22"/>
      <c r="F630" s="22"/>
      <c r="G630" s="23"/>
      <c r="H630" s="23"/>
      <c r="I630" s="8" t="str">
        <f t="shared" si="146"/>
        <v/>
      </c>
      <c r="J630" s="2" t="str">
        <f t="shared" si="153"/>
        <v/>
      </c>
      <c r="K630" s="2" t="str">
        <f t="shared" si="147"/>
        <v/>
      </c>
      <c r="L630" s="2" t="str">
        <f t="shared" si="154"/>
        <v/>
      </c>
      <c r="M630" s="2" t="str">
        <f t="shared" si="159"/>
        <v/>
      </c>
      <c r="N630" s="2" t="str">
        <f t="shared" si="155"/>
        <v/>
      </c>
      <c r="O630" s="8" t="str">
        <f t="shared" si="156"/>
        <v/>
      </c>
      <c r="P630" s="8" t="str">
        <f t="shared" si="157"/>
        <v/>
      </c>
      <c r="Q630" s="40" t="str">
        <f t="shared" si="148"/>
        <v/>
      </c>
      <c r="R630" s="48" t="str">
        <f t="shared" si="158"/>
        <v/>
      </c>
      <c r="S630" s="8"/>
      <c r="U630" s="35">
        <f t="shared" si="149"/>
        <v>0</v>
      </c>
      <c r="V630" s="24">
        <f t="shared" si="150"/>
        <v>0</v>
      </c>
      <c r="W630" s="41">
        <f t="shared" si="161"/>
        <v>0</v>
      </c>
      <c r="X630" s="31"/>
      <c r="Y630" s="31"/>
      <c r="Z630" s="31"/>
      <c r="AA630" s="25">
        <f t="shared" si="151"/>
        <v>9.0359999999999996</v>
      </c>
      <c r="AB630" s="25">
        <f t="shared" si="152"/>
        <v>-184.49199999999999</v>
      </c>
      <c r="AD630" s="24">
        <f>IF(D630="M",IF(AG630&lt;78,BMILMS!$D$5*AG630^3+BMILMS!$E$5*AG630^2+BMILMS!$F$5*AG630+BMILMS!$G$5,IF(AG630&lt;150,BMILMS!$D$6*AG630^3+BMILMS!$E$6*AG630^2+BMILMS!$F$6*AG630+BMILMS!$G$6,BMILMS!$D$7*AG630^3+BMILMS!$E$7*AG630^2+BMILMS!$F$7*AG630+BMILMS!$G$7)),IF(AG630&lt;69,BMILMS!$D$9*AG630^3+BMILMS!$E$9*AG630^2+BMILMS!$F$9*AG630+BMILMS!$G$9,IF(AG630&lt;150,BMILMS!$D$10*AG630^3+BMILMS!$E$10*AG630^2+BMILMS!$F$10*AG630+BMILMS!$G$10,BMILMS!$D$11*AG630^3+BMILMS!$E$11*AG630^2+BMILMS!$F$11*AG630+BMILMS!$G$11)))</f>
        <v>0.79584630099999998</v>
      </c>
      <c r="AE630" s="24">
        <f>IF(D630="M",(IF(AG630&lt;2.5,BMILMS!$D$21*AG630^3+BMILMS!$E$21*AG630^2+BMILMS!$F$21*AG630+BMILMS!$G$21,IF(AG630&lt;9.5,BMILMS!$D$22*AG630^3+BMILMS!$E$22*AG630^2+BMILMS!$F$22*AG630+BMILMS!$G$22,IF(AG630&lt;26.75,BMILMS!$D$23*AG630^3+BMILMS!$E$23*AG630^2+BMILMS!$F$23*AG630+BMILMS!$G$23,IF(AG630&lt;90,BMILMS!$D$24*AG630^3+BMILMS!$E$24*AG630^2+BMILMS!$F$24*AG630+BMILMS!$G$24,BMILMS!$D$25*AG630^3+BMILMS!$E$25*AG630^2+BMILMS!$F$25*AG630+BMILMS!$G$25))))),(IF(AG630&lt;2.5,BMILMS!$D$27*AG630^3+BMILMS!$E$27*AG630^2+BMILMS!$F$27*AG630+BMILMS!$G$27,IF(AG630&lt;9.5,BMILMS!$D$28*AG630^3+BMILMS!$E$28*AG630^2+BMILMS!$F$28*AG630+BMILMS!$G$28,IF(AG630&lt;26.75,BMILMS!$D$29*AG630^3+BMILMS!$E$29*AG630^2+BMILMS!$F$29*AG630+BMILMS!$G$29,IF(AG630&lt;90,BMILMS!$D$30*AG630^3+BMILMS!$E$30*AG630^2+BMILMS!$F$30*AG630+BMILMS!$G$30,IF(AG630&lt;150,BMILMS!$D$31*AG630^3+BMILMS!$E$31*AG630^2+BMILMS!$F$31*AG630+BMILMS!$G$31,BMILMS!$D$32*AG630^3+BMILMS!$E$32*AG630^2+BMILMS!$F$32*AG630+BMILMS!$G$32)))))))</f>
        <v>12.568967990000001</v>
      </c>
      <c r="AF630" s="24">
        <f>IF(D630="M",(IF(AG630&lt;90,BMILMS!$D$14*AG630^3+BMILMS!$E$14*AG630^2+BMILMS!$F$14*AG630+BMILMS!$G$14,BMILMS!$D$15*AG630^3+BMILMS!$E$15*AG630^2+BMILMS!$F$15*AG630+BMILMS!$G$15)),(IF(AG630&lt;90,BMILMS!$D$17*AG630^3+BMILMS!$E$17*AG630^2+BMILMS!$F$17*AG630+BMILMS!$G$17,BMILMS!$D$18*AG630^3+BMILMS!$E$18*AG630^2+BMILMS!$F$18*AG630+BMILMS!$G$18)))</f>
        <v>8.8969350000000003E-2</v>
      </c>
      <c r="AG630" s="24">
        <f t="shared" si="160"/>
        <v>0</v>
      </c>
      <c r="AI630" s="38">
        <f>IF(D630="M",WeightSDS!P$5*$AG630^7+WeightSDS!Q$5*$AG630^6+WeightSDS!R$5*$AG630^5+WeightSDS!S$5*$AG630^4+WeightSDS!T$5*$AG630^3+WeightSDS!U$5*$AG630^2+WeightSDS!V$5*$AG630+WeightSDS!W$5,IF($AG630&lt;186,WeightSDS!P$8*$AG630^7+WeightSDS!Q$8*$AG630^6+WeightSDS!R$8*$AG630^5+WeightSDS!S$8*$AG630^4+WeightSDS!T$8*$AG630^3+WeightSDS!U$8*$AG630^2+WeightSDS!V$8*$AG630+WeightSDS!W$8,WeightSDS!$U$9-WeightSDS!$V$9*($AG630-WeightSDS!$W$9)))</f>
        <v>0.75407122999999998</v>
      </c>
      <c r="AJ630" s="24">
        <f>IF(D630="M",IF($AG630&lt;45,WeightSDS!M$23*$AG630^10+WeightSDS!N$23*$AG630^9+WeightSDS!O$23*$AG630^8+WeightSDS!P$23*$AG630^7+WeightSDS!Q$23*$AG630^6+WeightSDS!R$23*$AG630^5+WeightSDS!S$23*$AG630^4+WeightSDS!T$23*$AG630^3+WeightSDS!U$23*$AG630^2+WeightSDS!V$23*$AG630+WeightSDS!W$23,IF($AG630&lt;153,WeightSDS!M$25*$AG630^10+WeightSDS!N$25*$AG630^9+WeightSDS!O$25*$AG630^8+WeightSDS!P$25*$AG630^7+WeightSDS!Q$25*$AG630^6+WeightSDS!R$25*$AG630^5+WeightSDS!S$25*$AG630^4+WeightSDS!T$25*$AG630^3+WeightSDS!U$25*$AG630^2+WeightSDS!V$25*$AG630+WeightSDS!W$25,WeightSDS!M$27+WeightSDS!N$27/(1+EXP(WeightSDS!O$27+WeightSDS!P$27*$AG630)))),IF($AG630&lt;43.8,WeightSDS!M$29*$AG630^10+WeightSDS!N$29*$AG630^9+WeightSDS!O$29*$AG630^8+WeightSDS!P$29*$AG630^7+WeightSDS!Q$29*$AG630^6+WeightSDS!R$29*$AG630^5+WeightSDS!S$29*$AG630^4+WeightSDS!T$29*$AG630^3+WeightSDS!U$29*$AG630^2+WeightSDS!V$29*$AG630+WeightSDS!W$29-0.010431*(1-$AG630/210),IF($AG630&lt;123,WeightSDS!M$30*$AG630^10+WeightSDS!N$30*$AG630^9+WeightSDS!O$30*$AG630^8+WeightSDS!P$30*$AG630^7+WeightSDS!Q$30*$AG630^6+WeightSDS!R$30*$AG630^5+WeightSDS!S$30*$AG630^4+WeightSDS!T$30*$AG630^3+WeightSDS!U$30*$AG630^2+WeightSDS!V$30*$AG630+WeightSDS!W$30-0.010431*(1-1/$AG630),WeightSDS!M$32+WeightSDS!N$32/(1+EXP(WeightSDS!O$32+WeightSDS!P$32*$AG630))-0.010431*(1-$AG630/210))))</f>
        <v>2.9500001032655536</v>
      </c>
      <c r="AK630" s="24">
        <f>IF(D630="M",IF($AG630&lt;162,WeightSDS!P$12*$AG630^7+WeightSDS!Q$12*$AG630^6+WeightSDS!R$12*$AG630^5+WeightSDS!S$12*$AG630^4+WeightSDS!T$12*$AG630^3+WeightSDS!U$12*$AG630^2+WeightSDS!V$12*$AG630+WeightSDS!W$12,WeightSDS!P$14*$AG630^7+WeightSDS!Q$14*$AG630^6+WeightSDS!R$14*$AG630^5+WeightSDS!S$14*$AG630^4+WeightSDS!T$14*$AG630^3+WeightSDS!U$14*$AG630^2+WeightSDS!V$14*$AG630+WeightSDS!W$14),IF($AG630&lt;156,WeightSDS!O$17*$AG630^8+WeightSDS!P$17*$AG630^7+WeightSDS!Q$17*$AG630^6+WeightSDS!R$17*$AG630^5+WeightSDS!S$17*$AG630^4+WeightSDS!T$17*$AG630^3+WeightSDS!U$17*$AG630^2+WeightSDS!V$17*$AG630+WeightSDS!W$17,IF($AG630&lt;186,WeightSDS!$U$18+(WeightSDS!$V$18-WeightSDS!$U$18)/24*($AG630-186)+WeightSDS!$W$18*(-$AG630+186)^2-0.005,WeightSDS!$U$18+(WeightSDS!$V$18-WeightSDS!$U$18)/24*($AG630-186)-0.005)))</f>
        <v>0.14604529399999999</v>
      </c>
    </row>
    <row r="631" spans="1:37">
      <c r="A631" s="4"/>
      <c r="B631" s="21"/>
      <c r="C631" s="21"/>
      <c r="D631" s="21"/>
      <c r="E631" s="22"/>
      <c r="F631" s="22"/>
      <c r="G631" s="23"/>
      <c r="H631" s="23"/>
      <c r="I631" s="8" t="str">
        <f t="shared" si="146"/>
        <v/>
      </c>
      <c r="J631" s="2" t="str">
        <f t="shared" si="153"/>
        <v/>
      </c>
      <c r="K631" s="2" t="str">
        <f t="shared" si="147"/>
        <v/>
      </c>
      <c r="L631" s="2" t="str">
        <f t="shared" si="154"/>
        <v/>
      </c>
      <c r="M631" s="2" t="str">
        <f t="shared" si="159"/>
        <v/>
      </c>
      <c r="N631" s="2" t="str">
        <f t="shared" si="155"/>
        <v/>
      </c>
      <c r="O631" s="8" t="str">
        <f t="shared" si="156"/>
        <v/>
      </c>
      <c r="P631" s="8" t="str">
        <f t="shared" si="157"/>
        <v/>
      </c>
      <c r="Q631" s="40" t="str">
        <f t="shared" si="148"/>
        <v/>
      </c>
      <c r="R631" s="48" t="str">
        <f t="shared" si="158"/>
        <v/>
      </c>
      <c r="S631" s="8"/>
      <c r="U631" s="35">
        <f t="shared" si="149"/>
        <v>0</v>
      </c>
      <c r="V631" s="24">
        <f t="shared" si="150"/>
        <v>0</v>
      </c>
      <c r="W631" s="41">
        <f t="shared" si="161"/>
        <v>0</v>
      </c>
      <c r="X631" s="31"/>
      <c r="Y631" s="31"/>
      <c r="Z631" s="31"/>
      <c r="AA631" s="25">
        <f t="shared" si="151"/>
        <v>9.0359999999999996</v>
      </c>
      <c r="AB631" s="25">
        <f t="shared" si="152"/>
        <v>-184.49199999999999</v>
      </c>
      <c r="AD631" s="24">
        <f>IF(D631="M",IF(AG631&lt;78,BMILMS!$D$5*AG631^3+BMILMS!$E$5*AG631^2+BMILMS!$F$5*AG631+BMILMS!$G$5,IF(AG631&lt;150,BMILMS!$D$6*AG631^3+BMILMS!$E$6*AG631^2+BMILMS!$F$6*AG631+BMILMS!$G$6,BMILMS!$D$7*AG631^3+BMILMS!$E$7*AG631^2+BMILMS!$F$7*AG631+BMILMS!$G$7)),IF(AG631&lt;69,BMILMS!$D$9*AG631^3+BMILMS!$E$9*AG631^2+BMILMS!$F$9*AG631+BMILMS!$G$9,IF(AG631&lt;150,BMILMS!$D$10*AG631^3+BMILMS!$E$10*AG631^2+BMILMS!$F$10*AG631+BMILMS!$G$10,BMILMS!$D$11*AG631^3+BMILMS!$E$11*AG631^2+BMILMS!$F$11*AG631+BMILMS!$G$11)))</f>
        <v>0.79584630099999998</v>
      </c>
      <c r="AE631" s="24">
        <f>IF(D631="M",(IF(AG631&lt;2.5,BMILMS!$D$21*AG631^3+BMILMS!$E$21*AG631^2+BMILMS!$F$21*AG631+BMILMS!$G$21,IF(AG631&lt;9.5,BMILMS!$D$22*AG631^3+BMILMS!$E$22*AG631^2+BMILMS!$F$22*AG631+BMILMS!$G$22,IF(AG631&lt;26.75,BMILMS!$D$23*AG631^3+BMILMS!$E$23*AG631^2+BMILMS!$F$23*AG631+BMILMS!$G$23,IF(AG631&lt;90,BMILMS!$D$24*AG631^3+BMILMS!$E$24*AG631^2+BMILMS!$F$24*AG631+BMILMS!$G$24,BMILMS!$D$25*AG631^3+BMILMS!$E$25*AG631^2+BMILMS!$F$25*AG631+BMILMS!$G$25))))),(IF(AG631&lt;2.5,BMILMS!$D$27*AG631^3+BMILMS!$E$27*AG631^2+BMILMS!$F$27*AG631+BMILMS!$G$27,IF(AG631&lt;9.5,BMILMS!$D$28*AG631^3+BMILMS!$E$28*AG631^2+BMILMS!$F$28*AG631+BMILMS!$G$28,IF(AG631&lt;26.75,BMILMS!$D$29*AG631^3+BMILMS!$E$29*AG631^2+BMILMS!$F$29*AG631+BMILMS!$G$29,IF(AG631&lt;90,BMILMS!$D$30*AG631^3+BMILMS!$E$30*AG631^2+BMILMS!$F$30*AG631+BMILMS!$G$30,IF(AG631&lt;150,BMILMS!$D$31*AG631^3+BMILMS!$E$31*AG631^2+BMILMS!$F$31*AG631+BMILMS!$G$31,BMILMS!$D$32*AG631^3+BMILMS!$E$32*AG631^2+BMILMS!$F$32*AG631+BMILMS!$G$32)))))))</f>
        <v>12.568967990000001</v>
      </c>
      <c r="AF631" s="24">
        <f>IF(D631="M",(IF(AG631&lt;90,BMILMS!$D$14*AG631^3+BMILMS!$E$14*AG631^2+BMILMS!$F$14*AG631+BMILMS!$G$14,BMILMS!$D$15*AG631^3+BMILMS!$E$15*AG631^2+BMILMS!$F$15*AG631+BMILMS!$G$15)),(IF(AG631&lt;90,BMILMS!$D$17*AG631^3+BMILMS!$E$17*AG631^2+BMILMS!$F$17*AG631+BMILMS!$G$17,BMILMS!$D$18*AG631^3+BMILMS!$E$18*AG631^2+BMILMS!$F$18*AG631+BMILMS!$G$18)))</f>
        <v>8.8969350000000003E-2</v>
      </c>
      <c r="AG631" s="24">
        <f t="shared" si="160"/>
        <v>0</v>
      </c>
      <c r="AI631" s="38">
        <f>IF(D631="M",WeightSDS!P$5*$AG631^7+WeightSDS!Q$5*$AG631^6+WeightSDS!R$5*$AG631^5+WeightSDS!S$5*$AG631^4+WeightSDS!T$5*$AG631^3+WeightSDS!U$5*$AG631^2+WeightSDS!V$5*$AG631+WeightSDS!W$5,IF($AG631&lt;186,WeightSDS!P$8*$AG631^7+WeightSDS!Q$8*$AG631^6+WeightSDS!R$8*$AG631^5+WeightSDS!S$8*$AG631^4+WeightSDS!T$8*$AG631^3+WeightSDS!U$8*$AG631^2+WeightSDS!V$8*$AG631+WeightSDS!W$8,WeightSDS!$U$9-WeightSDS!$V$9*($AG631-WeightSDS!$W$9)))</f>
        <v>0.75407122999999998</v>
      </c>
      <c r="AJ631" s="24">
        <f>IF(D631="M",IF($AG631&lt;45,WeightSDS!M$23*$AG631^10+WeightSDS!N$23*$AG631^9+WeightSDS!O$23*$AG631^8+WeightSDS!P$23*$AG631^7+WeightSDS!Q$23*$AG631^6+WeightSDS!R$23*$AG631^5+WeightSDS!S$23*$AG631^4+WeightSDS!T$23*$AG631^3+WeightSDS!U$23*$AG631^2+WeightSDS!V$23*$AG631+WeightSDS!W$23,IF($AG631&lt;153,WeightSDS!M$25*$AG631^10+WeightSDS!N$25*$AG631^9+WeightSDS!O$25*$AG631^8+WeightSDS!P$25*$AG631^7+WeightSDS!Q$25*$AG631^6+WeightSDS!R$25*$AG631^5+WeightSDS!S$25*$AG631^4+WeightSDS!T$25*$AG631^3+WeightSDS!U$25*$AG631^2+WeightSDS!V$25*$AG631+WeightSDS!W$25,WeightSDS!M$27+WeightSDS!N$27/(1+EXP(WeightSDS!O$27+WeightSDS!P$27*$AG631)))),IF($AG631&lt;43.8,WeightSDS!M$29*$AG631^10+WeightSDS!N$29*$AG631^9+WeightSDS!O$29*$AG631^8+WeightSDS!P$29*$AG631^7+WeightSDS!Q$29*$AG631^6+WeightSDS!R$29*$AG631^5+WeightSDS!S$29*$AG631^4+WeightSDS!T$29*$AG631^3+WeightSDS!U$29*$AG631^2+WeightSDS!V$29*$AG631+WeightSDS!W$29-0.010431*(1-$AG631/210),IF($AG631&lt;123,WeightSDS!M$30*$AG631^10+WeightSDS!N$30*$AG631^9+WeightSDS!O$30*$AG631^8+WeightSDS!P$30*$AG631^7+WeightSDS!Q$30*$AG631^6+WeightSDS!R$30*$AG631^5+WeightSDS!S$30*$AG631^4+WeightSDS!T$30*$AG631^3+WeightSDS!U$30*$AG631^2+WeightSDS!V$30*$AG631+WeightSDS!W$30-0.010431*(1-1/$AG631),WeightSDS!M$32+WeightSDS!N$32/(1+EXP(WeightSDS!O$32+WeightSDS!P$32*$AG631))-0.010431*(1-$AG631/210))))</f>
        <v>2.9500001032655536</v>
      </c>
      <c r="AK631" s="24">
        <f>IF(D631="M",IF($AG631&lt;162,WeightSDS!P$12*$AG631^7+WeightSDS!Q$12*$AG631^6+WeightSDS!R$12*$AG631^5+WeightSDS!S$12*$AG631^4+WeightSDS!T$12*$AG631^3+WeightSDS!U$12*$AG631^2+WeightSDS!V$12*$AG631+WeightSDS!W$12,WeightSDS!P$14*$AG631^7+WeightSDS!Q$14*$AG631^6+WeightSDS!R$14*$AG631^5+WeightSDS!S$14*$AG631^4+WeightSDS!T$14*$AG631^3+WeightSDS!U$14*$AG631^2+WeightSDS!V$14*$AG631+WeightSDS!W$14),IF($AG631&lt;156,WeightSDS!O$17*$AG631^8+WeightSDS!P$17*$AG631^7+WeightSDS!Q$17*$AG631^6+WeightSDS!R$17*$AG631^5+WeightSDS!S$17*$AG631^4+WeightSDS!T$17*$AG631^3+WeightSDS!U$17*$AG631^2+WeightSDS!V$17*$AG631+WeightSDS!W$17,IF($AG631&lt;186,WeightSDS!$U$18+(WeightSDS!$V$18-WeightSDS!$U$18)/24*($AG631-186)+WeightSDS!$W$18*(-$AG631+186)^2-0.005,WeightSDS!$U$18+(WeightSDS!$V$18-WeightSDS!$U$18)/24*($AG631-186)-0.005)))</f>
        <v>0.14604529399999999</v>
      </c>
    </row>
    <row r="632" spans="1:37">
      <c r="A632" s="4"/>
      <c r="B632" s="21"/>
      <c r="C632" s="21"/>
      <c r="D632" s="21"/>
      <c r="E632" s="22"/>
      <c r="F632" s="22"/>
      <c r="G632" s="23"/>
      <c r="H632" s="23"/>
      <c r="I632" s="8" t="str">
        <f t="shared" si="146"/>
        <v/>
      </c>
      <c r="J632" s="2" t="str">
        <f t="shared" si="153"/>
        <v/>
      </c>
      <c r="K632" s="2" t="str">
        <f t="shared" si="147"/>
        <v/>
      </c>
      <c r="L632" s="2" t="str">
        <f t="shared" si="154"/>
        <v/>
      </c>
      <c r="M632" s="2" t="str">
        <f t="shared" si="159"/>
        <v/>
      </c>
      <c r="N632" s="2" t="str">
        <f t="shared" si="155"/>
        <v/>
      </c>
      <c r="O632" s="8" t="str">
        <f t="shared" si="156"/>
        <v/>
      </c>
      <c r="P632" s="8" t="str">
        <f t="shared" si="157"/>
        <v/>
      </c>
      <c r="Q632" s="40" t="str">
        <f t="shared" si="148"/>
        <v/>
      </c>
      <c r="R632" s="48" t="str">
        <f t="shared" si="158"/>
        <v/>
      </c>
      <c r="S632" s="8"/>
      <c r="U632" s="35">
        <f t="shared" si="149"/>
        <v>0</v>
      </c>
      <c r="V632" s="24">
        <f t="shared" si="150"/>
        <v>0</v>
      </c>
      <c r="W632" s="41">
        <f t="shared" si="161"/>
        <v>0</v>
      </c>
      <c r="X632" s="31"/>
      <c r="Y632" s="31"/>
      <c r="Z632" s="31"/>
      <c r="AA632" s="25">
        <f t="shared" si="151"/>
        <v>9.0359999999999996</v>
      </c>
      <c r="AB632" s="25">
        <f t="shared" si="152"/>
        <v>-184.49199999999999</v>
      </c>
      <c r="AD632" s="24">
        <f>IF(D632="M",IF(AG632&lt;78,BMILMS!$D$5*AG632^3+BMILMS!$E$5*AG632^2+BMILMS!$F$5*AG632+BMILMS!$G$5,IF(AG632&lt;150,BMILMS!$D$6*AG632^3+BMILMS!$E$6*AG632^2+BMILMS!$F$6*AG632+BMILMS!$G$6,BMILMS!$D$7*AG632^3+BMILMS!$E$7*AG632^2+BMILMS!$F$7*AG632+BMILMS!$G$7)),IF(AG632&lt;69,BMILMS!$D$9*AG632^3+BMILMS!$E$9*AG632^2+BMILMS!$F$9*AG632+BMILMS!$G$9,IF(AG632&lt;150,BMILMS!$D$10*AG632^3+BMILMS!$E$10*AG632^2+BMILMS!$F$10*AG632+BMILMS!$G$10,BMILMS!$D$11*AG632^3+BMILMS!$E$11*AG632^2+BMILMS!$F$11*AG632+BMILMS!$G$11)))</f>
        <v>0.79584630099999998</v>
      </c>
      <c r="AE632" s="24">
        <f>IF(D632="M",(IF(AG632&lt;2.5,BMILMS!$D$21*AG632^3+BMILMS!$E$21*AG632^2+BMILMS!$F$21*AG632+BMILMS!$G$21,IF(AG632&lt;9.5,BMILMS!$D$22*AG632^3+BMILMS!$E$22*AG632^2+BMILMS!$F$22*AG632+BMILMS!$G$22,IF(AG632&lt;26.75,BMILMS!$D$23*AG632^3+BMILMS!$E$23*AG632^2+BMILMS!$F$23*AG632+BMILMS!$G$23,IF(AG632&lt;90,BMILMS!$D$24*AG632^3+BMILMS!$E$24*AG632^2+BMILMS!$F$24*AG632+BMILMS!$G$24,BMILMS!$D$25*AG632^3+BMILMS!$E$25*AG632^2+BMILMS!$F$25*AG632+BMILMS!$G$25))))),(IF(AG632&lt;2.5,BMILMS!$D$27*AG632^3+BMILMS!$E$27*AG632^2+BMILMS!$F$27*AG632+BMILMS!$G$27,IF(AG632&lt;9.5,BMILMS!$D$28*AG632^3+BMILMS!$E$28*AG632^2+BMILMS!$F$28*AG632+BMILMS!$G$28,IF(AG632&lt;26.75,BMILMS!$D$29*AG632^3+BMILMS!$E$29*AG632^2+BMILMS!$F$29*AG632+BMILMS!$G$29,IF(AG632&lt;90,BMILMS!$D$30*AG632^3+BMILMS!$E$30*AG632^2+BMILMS!$F$30*AG632+BMILMS!$G$30,IF(AG632&lt;150,BMILMS!$D$31*AG632^3+BMILMS!$E$31*AG632^2+BMILMS!$F$31*AG632+BMILMS!$G$31,BMILMS!$D$32*AG632^3+BMILMS!$E$32*AG632^2+BMILMS!$F$32*AG632+BMILMS!$G$32)))))))</f>
        <v>12.568967990000001</v>
      </c>
      <c r="AF632" s="24">
        <f>IF(D632="M",(IF(AG632&lt;90,BMILMS!$D$14*AG632^3+BMILMS!$E$14*AG632^2+BMILMS!$F$14*AG632+BMILMS!$G$14,BMILMS!$D$15*AG632^3+BMILMS!$E$15*AG632^2+BMILMS!$F$15*AG632+BMILMS!$G$15)),(IF(AG632&lt;90,BMILMS!$D$17*AG632^3+BMILMS!$E$17*AG632^2+BMILMS!$F$17*AG632+BMILMS!$G$17,BMILMS!$D$18*AG632^3+BMILMS!$E$18*AG632^2+BMILMS!$F$18*AG632+BMILMS!$G$18)))</f>
        <v>8.8969350000000003E-2</v>
      </c>
      <c r="AG632" s="24">
        <f t="shared" si="160"/>
        <v>0</v>
      </c>
      <c r="AI632" s="38">
        <f>IF(D632="M",WeightSDS!P$5*$AG632^7+WeightSDS!Q$5*$AG632^6+WeightSDS!R$5*$AG632^5+WeightSDS!S$5*$AG632^4+WeightSDS!T$5*$AG632^3+WeightSDS!U$5*$AG632^2+WeightSDS!V$5*$AG632+WeightSDS!W$5,IF($AG632&lt;186,WeightSDS!P$8*$AG632^7+WeightSDS!Q$8*$AG632^6+WeightSDS!R$8*$AG632^5+WeightSDS!S$8*$AG632^4+WeightSDS!T$8*$AG632^3+WeightSDS!U$8*$AG632^2+WeightSDS!V$8*$AG632+WeightSDS!W$8,WeightSDS!$U$9-WeightSDS!$V$9*($AG632-WeightSDS!$W$9)))</f>
        <v>0.75407122999999998</v>
      </c>
      <c r="AJ632" s="24">
        <f>IF(D632="M",IF($AG632&lt;45,WeightSDS!M$23*$AG632^10+WeightSDS!N$23*$AG632^9+WeightSDS!O$23*$AG632^8+WeightSDS!P$23*$AG632^7+WeightSDS!Q$23*$AG632^6+WeightSDS!R$23*$AG632^5+WeightSDS!S$23*$AG632^4+WeightSDS!T$23*$AG632^3+WeightSDS!U$23*$AG632^2+WeightSDS!V$23*$AG632+WeightSDS!W$23,IF($AG632&lt;153,WeightSDS!M$25*$AG632^10+WeightSDS!N$25*$AG632^9+WeightSDS!O$25*$AG632^8+WeightSDS!P$25*$AG632^7+WeightSDS!Q$25*$AG632^6+WeightSDS!R$25*$AG632^5+WeightSDS!S$25*$AG632^4+WeightSDS!T$25*$AG632^3+WeightSDS!U$25*$AG632^2+WeightSDS!V$25*$AG632+WeightSDS!W$25,WeightSDS!M$27+WeightSDS!N$27/(1+EXP(WeightSDS!O$27+WeightSDS!P$27*$AG632)))),IF($AG632&lt;43.8,WeightSDS!M$29*$AG632^10+WeightSDS!N$29*$AG632^9+WeightSDS!O$29*$AG632^8+WeightSDS!P$29*$AG632^7+WeightSDS!Q$29*$AG632^6+WeightSDS!R$29*$AG632^5+WeightSDS!S$29*$AG632^4+WeightSDS!T$29*$AG632^3+WeightSDS!U$29*$AG632^2+WeightSDS!V$29*$AG632+WeightSDS!W$29-0.010431*(1-$AG632/210),IF($AG632&lt;123,WeightSDS!M$30*$AG632^10+WeightSDS!N$30*$AG632^9+WeightSDS!O$30*$AG632^8+WeightSDS!P$30*$AG632^7+WeightSDS!Q$30*$AG632^6+WeightSDS!R$30*$AG632^5+WeightSDS!S$30*$AG632^4+WeightSDS!T$30*$AG632^3+WeightSDS!U$30*$AG632^2+WeightSDS!V$30*$AG632+WeightSDS!W$30-0.010431*(1-1/$AG632),WeightSDS!M$32+WeightSDS!N$32/(1+EXP(WeightSDS!O$32+WeightSDS!P$32*$AG632))-0.010431*(1-$AG632/210))))</f>
        <v>2.9500001032655536</v>
      </c>
      <c r="AK632" s="24">
        <f>IF(D632="M",IF($AG632&lt;162,WeightSDS!P$12*$AG632^7+WeightSDS!Q$12*$AG632^6+WeightSDS!R$12*$AG632^5+WeightSDS!S$12*$AG632^4+WeightSDS!T$12*$AG632^3+WeightSDS!U$12*$AG632^2+WeightSDS!V$12*$AG632+WeightSDS!W$12,WeightSDS!P$14*$AG632^7+WeightSDS!Q$14*$AG632^6+WeightSDS!R$14*$AG632^5+WeightSDS!S$14*$AG632^4+WeightSDS!T$14*$AG632^3+WeightSDS!U$14*$AG632^2+WeightSDS!V$14*$AG632+WeightSDS!W$14),IF($AG632&lt;156,WeightSDS!O$17*$AG632^8+WeightSDS!P$17*$AG632^7+WeightSDS!Q$17*$AG632^6+WeightSDS!R$17*$AG632^5+WeightSDS!S$17*$AG632^4+WeightSDS!T$17*$AG632^3+WeightSDS!U$17*$AG632^2+WeightSDS!V$17*$AG632+WeightSDS!W$17,IF($AG632&lt;186,WeightSDS!$U$18+(WeightSDS!$V$18-WeightSDS!$U$18)/24*($AG632-186)+WeightSDS!$W$18*(-$AG632+186)^2-0.005,WeightSDS!$U$18+(WeightSDS!$V$18-WeightSDS!$U$18)/24*($AG632-186)-0.005)))</f>
        <v>0.14604529399999999</v>
      </c>
    </row>
    <row r="633" spans="1:37">
      <c r="A633" s="4"/>
      <c r="B633" s="21"/>
      <c r="C633" s="21"/>
      <c r="D633" s="21"/>
      <c r="E633" s="22"/>
      <c r="F633" s="22"/>
      <c r="G633" s="23"/>
      <c r="H633" s="23"/>
      <c r="I633" s="8" t="str">
        <f t="shared" si="146"/>
        <v/>
      </c>
      <c r="J633" s="2" t="str">
        <f t="shared" si="153"/>
        <v/>
      </c>
      <c r="K633" s="2" t="str">
        <f t="shared" si="147"/>
        <v/>
      </c>
      <c r="L633" s="2" t="str">
        <f t="shared" si="154"/>
        <v/>
      </c>
      <c r="M633" s="2" t="str">
        <f t="shared" si="159"/>
        <v/>
      </c>
      <c r="N633" s="2" t="str">
        <f t="shared" si="155"/>
        <v/>
      </c>
      <c r="O633" s="8" t="str">
        <f t="shared" si="156"/>
        <v/>
      </c>
      <c r="P633" s="8" t="str">
        <f t="shared" si="157"/>
        <v/>
      </c>
      <c r="Q633" s="40" t="str">
        <f t="shared" si="148"/>
        <v/>
      </c>
      <c r="R633" s="48" t="str">
        <f t="shared" si="158"/>
        <v/>
      </c>
      <c r="S633" s="8"/>
      <c r="U633" s="35">
        <f t="shared" si="149"/>
        <v>0</v>
      </c>
      <c r="V633" s="24">
        <f t="shared" si="150"/>
        <v>0</v>
      </c>
      <c r="W633" s="41">
        <f t="shared" si="161"/>
        <v>0</v>
      </c>
      <c r="X633" s="31"/>
      <c r="Y633" s="31"/>
      <c r="Z633" s="31"/>
      <c r="AA633" s="25">
        <f t="shared" si="151"/>
        <v>9.0359999999999996</v>
      </c>
      <c r="AB633" s="25">
        <f t="shared" si="152"/>
        <v>-184.49199999999999</v>
      </c>
      <c r="AD633" s="24">
        <f>IF(D633="M",IF(AG633&lt;78,BMILMS!$D$5*AG633^3+BMILMS!$E$5*AG633^2+BMILMS!$F$5*AG633+BMILMS!$G$5,IF(AG633&lt;150,BMILMS!$D$6*AG633^3+BMILMS!$E$6*AG633^2+BMILMS!$F$6*AG633+BMILMS!$G$6,BMILMS!$D$7*AG633^3+BMILMS!$E$7*AG633^2+BMILMS!$F$7*AG633+BMILMS!$G$7)),IF(AG633&lt;69,BMILMS!$D$9*AG633^3+BMILMS!$E$9*AG633^2+BMILMS!$F$9*AG633+BMILMS!$G$9,IF(AG633&lt;150,BMILMS!$D$10*AG633^3+BMILMS!$E$10*AG633^2+BMILMS!$F$10*AG633+BMILMS!$G$10,BMILMS!$D$11*AG633^3+BMILMS!$E$11*AG633^2+BMILMS!$F$11*AG633+BMILMS!$G$11)))</f>
        <v>0.79584630099999998</v>
      </c>
      <c r="AE633" s="24">
        <f>IF(D633="M",(IF(AG633&lt;2.5,BMILMS!$D$21*AG633^3+BMILMS!$E$21*AG633^2+BMILMS!$F$21*AG633+BMILMS!$G$21,IF(AG633&lt;9.5,BMILMS!$D$22*AG633^3+BMILMS!$E$22*AG633^2+BMILMS!$F$22*AG633+BMILMS!$G$22,IF(AG633&lt;26.75,BMILMS!$D$23*AG633^3+BMILMS!$E$23*AG633^2+BMILMS!$F$23*AG633+BMILMS!$G$23,IF(AG633&lt;90,BMILMS!$D$24*AG633^3+BMILMS!$E$24*AG633^2+BMILMS!$F$24*AG633+BMILMS!$G$24,BMILMS!$D$25*AG633^3+BMILMS!$E$25*AG633^2+BMILMS!$F$25*AG633+BMILMS!$G$25))))),(IF(AG633&lt;2.5,BMILMS!$D$27*AG633^3+BMILMS!$E$27*AG633^2+BMILMS!$F$27*AG633+BMILMS!$G$27,IF(AG633&lt;9.5,BMILMS!$D$28*AG633^3+BMILMS!$E$28*AG633^2+BMILMS!$F$28*AG633+BMILMS!$G$28,IF(AG633&lt;26.75,BMILMS!$D$29*AG633^3+BMILMS!$E$29*AG633^2+BMILMS!$F$29*AG633+BMILMS!$G$29,IF(AG633&lt;90,BMILMS!$D$30*AG633^3+BMILMS!$E$30*AG633^2+BMILMS!$F$30*AG633+BMILMS!$G$30,IF(AG633&lt;150,BMILMS!$D$31*AG633^3+BMILMS!$E$31*AG633^2+BMILMS!$F$31*AG633+BMILMS!$G$31,BMILMS!$D$32*AG633^3+BMILMS!$E$32*AG633^2+BMILMS!$F$32*AG633+BMILMS!$G$32)))))))</f>
        <v>12.568967990000001</v>
      </c>
      <c r="AF633" s="24">
        <f>IF(D633="M",(IF(AG633&lt;90,BMILMS!$D$14*AG633^3+BMILMS!$E$14*AG633^2+BMILMS!$F$14*AG633+BMILMS!$G$14,BMILMS!$D$15*AG633^3+BMILMS!$E$15*AG633^2+BMILMS!$F$15*AG633+BMILMS!$G$15)),(IF(AG633&lt;90,BMILMS!$D$17*AG633^3+BMILMS!$E$17*AG633^2+BMILMS!$F$17*AG633+BMILMS!$G$17,BMILMS!$D$18*AG633^3+BMILMS!$E$18*AG633^2+BMILMS!$F$18*AG633+BMILMS!$G$18)))</f>
        <v>8.8969350000000003E-2</v>
      </c>
      <c r="AG633" s="24">
        <f t="shared" si="160"/>
        <v>0</v>
      </c>
      <c r="AI633" s="38">
        <f>IF(D633="M",WeightSDS!P$5*$AG633^7+WeightSDS!Q$5*$AG633^6+WeightSDS!R$5*$AG633^5+WeightSDS!S$5*$AG633^4+WeightSDS!T$5*$AG633^3+WeightSDS!U$5*$AG633^2+WeightSDS!V$5*$AG633+WeightSDS!W$5,IF($AG633&lt;186,WeightSDS!P$8*$AG633^7+WeightSDS!Q$8*$AG633^6+WeightSDS!R$8*$AG633^5+WeightSDS!S$8*$AG633^4+WeightSDS!T$8*$AG633^3+WeightSDS!U$8*$AG633^2+WeightSDS!V$8*$AG633+WeightSDS!W$8,WeightSDS!$U$9-WeightSDS!$V$9*($AG633-WeightSDS!$W$9)))</f>
        <v>0.75407122999999998</v>
      </c>
      <c r="AJ633" s="24">
        <f>IF(D633="M",IF($AG633&lt;45,WeightSDS!M$23*$AG633^10+WeightSDS!N$23*$AG633^9+WeightSDS!O$23*$AG633^8+WeightSDS!P$23*$AG633^7+WeightSDS!Q$23*$AG633^6+WeightSDS!R$23*$AG633^5+WeightSDS!S$23*$AG633^4+WeightSDS!T$23*$AG633^3+WeightSDS!U$23*$AG633^2+WeightSDS!V$23*$AG633+WeightSDS!W$23,IF($AG633&lt;153,WeightSDS!M$25*$AG633^10+WeightSDS!N$25*$AG633^9+WeightSDS!O$25*$AG633^8+WeightSDS!P$25*$AG633^7+WeightSDS!Q$25*$AG633^6+WeightSDS!R$25*$AG633^5+WeightSDS!S$25*$AG633^4+WeightSDS!T$25*$AG633^3+WeightSDS!U$25*$AG633^2+WeightSDS!V$25*$AG633+WeightSDS!W$25,WeightSDS!M$27+WeightSDS!N$27/(1+EXP(WeightSDS!O$27+WeightSDS!P$27*$AG633)))),IF($AG633&lt;43.8,WeightSDS!M$29*$AG633^10+WeightSDS!N$29*$AG633^9+WeightSDS!O$29*$AG633^8+WeightSDS!P$29*$AG633^7+WeightSDS!Q$29*$AG633^6+WeightSDS!R$29*$AG633^5+WeightSDS!S$29*$AG633^4+WeightSDS!T$29*$AG633^3+WeightSDS!U$29*$AG633^2+WeightSDS!V$29*$AG633+WeightSDS!W$29-0.010431*(1-$AG633/210),IF($AG633&lt;123,WeightSDS!M$30*$AG633^10+WeightSDS!N$30*$AG633^9+WeightSDS!O$30*$AG633^8+WeightSDS!P$30*$AG633^7+WeightSDS!Q$30*$AG633^6+WeightSDS!R$30*$AG633^5+WeightSDS!S$30*$AG633^4+WeightSDS!T$30*$AG633^3+WeightSDS!U$30*$AG633^2+WeightSDS!V$30*$AG633+WeightSDS!W$30-0.010431*(1-1/$AG633),WeightSDS!M$32+WeightSDS!N$32/(1+EXP(WeightSDS!O$32+WeightSDS!P$32*$AG633))-0.010431*(1-$AG633/210))))</f>
        <v>2.9500001032655536</v>
      </c>
      <c r="AK633" s="24">
        <f>IF(D633="M",IF($AG633&lt;162,WeightSDS!P$12*$AG633^7+WeightSDS!Q$12*$AG633^6+WeightSDS!R$12*$AG633^5+WeightSDS!S$12*$AG633^4+WeightSDS!T$12*$AG633^3+WeightSDS!U$12*$AG633^2+WeightSDS!V$12*$AG633+WeightSDS!W$12,WeightSDS!P$14*$AG633^7+WeightSDS!Q$14*$AG633^6+WeightSDS!R$14*$AG633^5+WeightSDS!S$14*$AG633^4+WeightSDS!T$14*$AG633^3+WeightSDS!U$14*$AG633^2+WeightSDS!V$14*$AG633+WeightSDS!W$14),IF($AG633&lt;156,WeightSDS!O$17*$AG633^8+WeightSDS!P$17*$AG633^7+WeightSDS!Q$17*$AG633^6+WeightSDS!R$17*$AG633^5+WeightSDS!S$17*$AG633^4+WeightSDS!T$17*$AG633^3+WeightSDS!U$17*$AG633^2+WeightSDS!V$17*$AG633+WeightSDS!W$17,IF($AG633&lt;186,WeightSDS!$U$18+(WeightSDS!$V$18-WeightSDS!$U$18)/24*($AG633-186)+WeightSDS!$W$18*(-$AG633+186)^2-0.005,WeightSDS!$U$18+(WeightSDS!$V$18-WeightSDS!$U$18)/24*($AG633-186)-0.005)))</f>
        <v>0.14604529399999999</v>
      </c>
    </row>
    <row r="634" spans="1:37">
      <c r="A634" s="4"/>
      <c r="B634" s="21"/>
      <c r="C634" s="21"/>
      <c r="D634" s="21"/>
      <c r="E634" s="22"/>
      <c r="F634" s="22"/>
      <c r="G634" s="23"/>
      <c r="H634" s="23"/>
      <c r="I634" s="8" t="str">
        <f t="shared" si="146"/>
        <v/>
      </c>
      <c r="J634" s="2" t="str">
        <f t="shared" si="153"/>
        <v/>
      </c>
      <c r="K634" s="2" t="str">
        <f t="shared" si="147"/>
        <v/>
      </c>
      <c r="L634" s="2" t="str">
        <f t="shared" si="154"/>
        <v/>
      </c>
      <c r="M634" s="2" t="str">
        <f t="shared" si="159"/>
        <v/>
      </c>
      <c r="N634" s="2" t="str">
        <f t="shared" si="155"/>
        <v/>
      </c>
      <c r="O634" s="8" t="str">
        <f t="shared" si="156"/>
        <v/>
      </c>
      <c r="P634" s="8" t="str">
        <f t="shared" si="157"/>
        <v/>
      </c>
      <c r="Q634" s="40" t="str">
        <f t="shared" si="148"/>
        <v/>
      </c>
      <c r="R634" s="48" t="str">
        <f t="shared" si="158"/>
        <v/>
      </c>
      <c r="S634" s="8"/>
      <c r="U634" s="35">
        <f t="shared" si="149"/>
        <v>0</v>
      </c>
      <c r="V634" s="24">
        <f t="shared" si="150"/>
        <v>0</v>
      </c>
      <c r="W634" s="41">
        <f t="shared" si="161"/>
        <v>0</v>
      </c>
      <c r="X634" s="31"/>
      <c r="Y634" s="31"/>
      <c r="Z634" s="31"/>
      <c r="AA634" s="25">
        <f t="shared" si="151"/>
        <v>9.0359999999999996</v>
      </c>
      <c r="AB634" s="25">
        <f t="shared" si="152"/>
        <v>-184.49199999999999</v>
      </c>
      <c r="AD634" s="24">
        <f>IF(D634="M",IF(AG634&lt;78,BMILMS!$D$5*AG634^3+BMILMS!$E$5*AG634^2+BMILMS!$F$5*AG634+BMILMS!$G$5,IF(AG634&lt;150,BMILMS!$D$6*AG634^3+BMILMS!$E$6*AG634^2+BMILMS!$F$6*AG634+BMILMS!$G$6,BMILMS!$D$7*AG634^3+BMILMS!$E$7*AG634^2+BMILMS!$F$7*AG634+BMILMS!$G$7)),IF(AG634&lt;69,BMILMS!$D$9*AG634^3+BMILMS!$E$9*AG634^2+BMILMS!$F$9*AG634+BMILMS!$G$9,IF(AG634&lt;150,BMILMS!$D$10*AG634^3+BMILMS!$E$10*AG634^2+BMILMS!$F$10*AG634+BMILMS!$G$10,BMILMS!$D$11*AG634^3+BMILMS!$E$11*AG634^2+BMILMS!$F$11*AG634+BMILMS!$G$11)))</f>
        <v>0.79584630099999998</v>
      </c>
      <c r="AE634" s="24">
        <f>IF(D634="M",(IF(AG634&lt;2.5,BMILMS!$D$21*AG634^3+BMILMS!$E$21*AG634^2+BMILMS!$F$21*AG634+BMILMS!$G$21,IF(AG634&lt;9.5,BMILMS!$D$22*AG634^3+BMILMS!$E$22*AG634^2+BMILMS!$F$22*AG634+BMILMS!$G$22,IF(AG634&lt;26.75,BMILMS!$D$23*AG634^3+BMILMS!$E$23*AG634^2+BMILMS!$F$23*AG634+BMILMS!$G$23,IF(AG634&lt;90,BMILMS!$D$24*AG634^3+BMILMS!$E$24*AG634^2+BMILMS!$F$24*AG634+BMILMS!$G$24,BMILMS!$D$25*AG634^3+BMILMS!$E$25*AG634^2+BMILMS!$F$25*AG634+BMILMS!$G$25))))),(IF(AG634&lt;2.5,BMILMS!$D$27*AG634^3+BMILMS!$E$27*AG634^2+BMILMS!$F$27*AG634+BMILMS!$G$27,IF(AG634&lt;9.5,BMILMS!$D$28*AG634^3+BMILMS!$E$28*AG634^2+BMILMS!$F$28*AG634+BMILMS!$G$28,IF(AG634&lt;26.75,BMILMS!$D$29*AG634^3+BMILMS!$E$29*AG634^2+BMILMS!$F$29*AG634+BMILMS!$G$29,IF(AG634&lt;90,BMILMS!$D$30*AG634^3+BMILMS!$E$30*AG634^2+BMILMS!$F$30*AG634+BMILMS!$G$30,IF(AG634&lt;150,BMILMS!$D$31*AG634^3+BMILMS!$E$31*AG634^2+BMILMS!$F$31*AG634+BMILMS!$G$31,BMILMS!$D$32*AG634^3+BMILMS!$E$32*AG634^2+BMILMS!$F$32*AG634+BMILMS!$G$32)))))))</f>
        <v>12.568967990000001</v>
      </c>
      <c r="AF634" s="24">
        <f>IF(D634="M",(IF(AG634&lt;90,BMILMS!$D$14*AG634^3+BMILMS!$E$14*AG634^2+BMILMS!$F$14*AG634+BMILMS!$G$14,BMILMS!$D$15*AG634^3+BMILMS!$E$15*AG634^2+BMILMS!$F$15*AG634+BMILMS!$G$15)),(IF(AG634&lt;90,BMILMS!$D$17*AG634^3+BMILMS!$E$17*AG634^2+BMILMS!$F$17*AG634+BMILMS!$G$17,BMILMS!$D$18*AG634^3+BMILMS!$E$18*AG634^2+BMILMS!$F$18*AG634+BMILMS!$G$18)))</f>
        <v>8.8969350000000003E-2</v>
      </c>
      <c r="AG634" s="24">
        <f t="shared" si="160"/>
        <v>0</v>
      </c>
      <c r="AI634" s="38">
        <f>IF(D634="M",WeightSDS!P$5*$AG634^7+WeightSDS!Q$5*$AG634^6+WeightSDS!R$5*$AG634^5+WeightSDS!S$5*$AG634^4+WeightSDS!T$5*$AG634^3+WeightSDS!U$5*$AG634^2+WeightSDS!V$5*$AG634+WeightSDS!W$5,IF($AG634&lt;186,WeightSDS!P$8*$AG634^7+WeightSDS!Q$8*$AG634^6+WeightSDS!R$8*$AG634^5+WeightSDS!S$8*$AG634^4+WeightSDS!T$8*$AG634^3+WeightSDS!U$8*$AG634^2+WeightSDS!V$8*$AG634+WeightSDS!W$8,WeightSDS!$U$9-WeightSDS!$V$9*($AG634-WeightSDS!$W$9)))</f>
        <v>0.75407122999999998</v>
      </c>
      <c r="AJ634" s="24">
        <f>IF(D634="M",IF($AG634&lt;45,WeightSDS!M$23*$AG634^10+WeightSDS!N$23*$AG634^9+WeightSDS!O$23*$AG634^8+WeightSDS!P$23*$AG634^7+WeightSDS!Q$23*$AG634^6+WeightSDS!R$23*$AG634^5+WeightSDS!S$23*$AG634^4+WeightSDS!T$23*$AG634^3+WeightSDS!U$23*$AG634^2+WeightSDS!V$23*$AG634+WeightSDS!W$23,IF($AG634&lt;153,WeightSDS!M$25*$AG634^10+WeightSDS!N$25*$AG634^9+WeightSDS!O$25*$AG634^8+WeightSDS!P$25*$AG634^7+WeightSDS!Q$25*$AG634^6+WeightSDS!R$25*$AG634^5+WeightSDS!S$25*$AG634^4+WeightSDS!T$25*$AG634^3+WeightSDS!U$25*$AG634^2+WeightSDS!V$25*$AG634+WeightSDS!W$25,WeightSDS!M$27+WeightSDS!N$27/(1+EXP(WeightSDS!O$27+WeightSDS!P$27*$AG634)))),IF($AG634&lt;43.8,WeightSDS!M$29*$AG634^10+WeightSDS!N$29*$AG634^9+WeightSDS!O$29*$AG634^8+WeightSDS!P$29*$AG634^7+WeightSDS!Q$29*$AG634^6+WeightSDS!R$29*$AG634^5+WeightSDS!S$29*$AG634^4+WeightSDS!T$29*$AG634^3+WeightSDS!U$29*$AG634^2+WeightSDS!V$29*$AG634+WeightSDS!W$29-0.010431*(1-$AG634/210),IF($AG634&lt;123,WeightSDS!M$30*$AG634^10+WeightSDS!N$30*$AG634^9+WeightSDS!O$30*$AG634^8+WeightSDS!P$30*$AG634^7+WeightSDS!Q$30*$AG634^6+WeightSDS!R$30*$AG634^5+WeightSDS!S$30*$AG634^4+WeightSDS!T$30*$AG634^3+WeightSDS!U$30*$AG634^2+WeightSDS!V$30*$AG634+WeightSDS!W$30-0.010431*(1-1/$AG634),WeightSDS!M$32+WeightSDS!N$32/(1+EXP(WeightSDS!O$32+WeightSDS!P$32*$AG634))-0.010431*(1-$AG634/210))))</f>
        <v>2.9500001032655536</v>
      </c>
      <c r="AK634" s="24">
        <f>IF(D634="M",IF($AG634&lt;162,WeightSDS!P$12*$AG634^7+WeightSDS!Q$12*$AG634^6+WeightSDS!R$12*$AG634^5+WeightSDS!S$12*$AG634^4+WeightSDS!T$12*$AG634^3+WeightSDS!U$12*$AG634^2+WeightSDS!V$12*$AG634+WeightSDS!W$12,WeightSDS!P$14*$AG634^7+WeightSDS!Q$14*$AG634^6+WeightSDS!R$14*$AG634^5+WeightSDS!S$14*$AG634^4+WeightSDS!T$14*$AG634^3+WeightSDS!U$14*$AG634^2+WeightSDS!V$14*$AG634+WeightSDS!W$14),IF($AG634&lt;156,WeightSDS!O$17*$AG634^8+WeightSDS!P$17*$AG634^7+WeightSDS!Q$17*$AG634^6+WeightSDS!R$17*$AG634^5+WeightSDS!S$17*$AG634^4+WeightSDS!T$17*$AG634^3+WeightSDS!U$17*$AG634^2+WeightSDS!V$17*$AG634+WeightSDS!W$17,IF($AG634&lt;186,WeightSDS!$U$18+(WeightSDS!$V$18-WeightSDS!$U$18)/24*($AG634-186)+WeightSDS!$W$18*(-$AG634+186)^2-0.005,WeightSDS!$U$18+(WeightSDS!$V$18-WeightSDS!$U$18)/24*($AG634-186)-0.005)))</f>
        <v>0.14604529399999999</v>
      </c>
    </row>
    <row r="635" spans="1:37">
      <c r="A635" s="4"/>
      <c r="B635" s="21"/>
      <c r="C635" s="21"/>
      <c r="D635" s="21"/>
      <c r="E635" s="22"/>
      <c r="F635" s="22"/>
      <c r="G635" s="23"/>
      <c r="H635" s="23"/>
      <c r="I635" s="8" t="str">
        <f t="shared" si="146"/>
        <v/>
      </c>
      <c r="J635" s="2" t="str">
        <f t="shared" si="153"/>
        <v/>
      </c>
      <c r="K635" s="2" t="str">
        <f t="shared" si="147"/>
        <v/>
      </c>
      <c r="L635" s="2" t="str">
        <f t="shared" si="154"/>
        <v/>
      </c>
      <c r="M635" s="2" t="str">
        <f t="shared" si="159"/>
        <v/>
      </c>
      <c r="N635" s="2" t="str">
        <f t="shared" si="155"/>
        <v/>
      </c>
      <c r="O635" s="8" t="str">
        <f t="shared" si="156"/>
        <v/>
      </c>
      <c r="P635" s="8" t="str">
        <f t="shared" si="157"/>
        <v/>
      </c>
      <c r="Q635" s="40" t="str">
        <f t="shared" si="148"/>
        <v/>
      </c>
      <c r="R635" s="48" t="str">
        <f t="shared" si="158"/>
        <v/>
      </c>
      <c r="S635" s="8"/>
      <c r="U635" s="35">
        <f t="shared" si="149"/>
        <v>0</v>
      </c>
      <c r="V635" s="24">
        <f t="shared" si="150"/>
        <v>0</v>
      </c>
      <c r="W635" s="41">
        <f t="shared" si="161"/>
        <v>0</v>
      </c>
      <c r="X635" s="31"/>
      <c r="Y635" s="31"/>
      <c r="Z635" s="31"/>
      <c r="AA635" s="25">
        <f t="shared" si="151"/>
        <v>9.0359999999999996</v>
      </c>
      <c r="AB635" s="25">
        <f t="shared" si="152"/>
        <v>-184.49199999999999</v>
      </c>
      <c r="AD635" s="24">
        <f>IF(D635="M",IF(AG635&lt;78,BMILMS!$D$5*AG635^3+BMILMS!$E$5*AG635^2+BMILMS!$F$5*AG635+BMILMS!$G$5,IF(AG635&lt;150,BMILMS!$D$6*AG635^3+BMILMS!$E$6*AG635^2+BMILMS!$F$6*AG635+BMILMS!$G$6,BMILMS!$D$7*AG635^3+BMILMS!$E$7*AG635^2+BMILMS!$F$7*AG635+BMILMS!$G$7)),IF(AG635&lt;69,BMILMS!$D$9*AG635^3+BMILMS!$E$9*AG635^2+BMILMS!$F$9*AG635+BMILMS!$G$9,IF(AG635&lt;150,BMILMS!$D$10*AG635^3+BMILMS!$E$10*AG635^2+BMILMS!$F$10*AG635+BMILMS!$G$10,BMILMS!$D$11*AG635^3+BMILMS!$E$11*AG635^2+BMILMS!$F$11*AG635+BMILMS!$G$11)))</f>
        <v>0.79584630099999998</v>
      </c>
      <c r="AE635" s="24">
        <f>IF(D635="M",(IF(AG635&lt;2.5,BMILMS!$D$21*AG635^3+BMILMS!$E$21*AG635^2+BMILMS!$F$21*AG635+BMILMS!$G$21,IF(AG635&lt;9.5,BMILMS!$D$22*AG635^3+BMILMS!$E$22*AG635^2+BMILMS!$F$22*AG635+BMILMS!$G$22,IF(AG635&lt;26.75,BMILMS!$D$23*AG635^3+BMILMS!$E$23*AG635^2+BMILMS!$F$23*AG635+BMILMS!$G$23,IF(AG635&lt;90,BMILMS!$D$24*AG635^3+BMILMS!$E$24*AG635^2+BMILMS!$F$24*AG635+BMILMS!$G$24,BMILMS!$D$25*AG635^3+BMILMS!$E$25*AG635^2+BMILMS!$F$25*AG635+BMILMS!$G$25))))),(IF(AG635&lt;2.5,BMILMS!$D$27*AG635^3+BMILMS!$E$27*AG635^2+BMILMS!$F$27*AG635+BMILMS!$G$27,IF(AG635&lt;9.5,BMILMS!$D$28*AG635^3+BMILMS!$E$28*AG635^2+BMILMS!$F$28*AG635+BMILMS!$G$28,IF(AG635&lt;26.75,BMILMS!$D$29*AG635^3+BMILMS!$E$29*AG635^2+BMILMS!$F$29*AG635+BMILMS!$G$29,IF(AG635&lt;90,BMILMS!$D$30*AG635^3+BMILMS!$E$30*AG635^2+BMILMS!$F$30*AG635+BMILMS!$G$30,IF(AG635&lt;150,BMILMS!$D$31*AG635^3+BMILMS!$E$31*AG635^2+BMILMS!$F$31*AG635+BMILMS!$G$31,BMILMS!$D$32*AG635^3+BMILMS!$E$32*AG635^2+BMILMS!$F$32*AG635+BMILMS!$G$32)))))))</f>
        <v>12.568967990000001</v>
      </c>
      <c r="AF635" s="24">
        <f>IF(D635="M",(IF(AG635&lt;90,BMILMS!$D$14*AG635^3+BMILMS!$E$14*AG635^2+BMILMS!$F$14*AG635+BMILMS!$G$14,BMILMS!$D$15*AG635^3+BMILMS!$E$15*AG635^2+BMILMS!$F$15*AG635+BMILMS!$G$15)),(IF(AG635&lt;90,BMILMS!$D$17*AG635^3+BMILMS!$E$17*AG635^2+BMILMS!$F$17*AG635+BMILMS!$G$17,BMILMS!$D$18*AG635^3+BMILMS!$E$18*AG635^2+BMILMS!$F$18*AG635+BMILMS!$G$18)))</f>
        <v>8.8969350000000003E-2</v>
      </c>
      <c r="AG635" s="24">
        <f t="shared" si="160"/>
        <v>0</v>
      </c>
      <c r="AI635" s="38">
        <f>IF(D635="M",WeightSDS!P$5*$AG635^7+WeightSDS!Q$5*$AG635^6+WeightSDS!R$5*$AG635^5+WeightSDS!S$5*$AG635^4+WeightSDS!T$5*$AG635^3+WeightSDS!U$5*$AG635^2+WeightSDS!V$5*$AG635+WeightSDS!W$5,IF($AG635&lt;186,WeightSDS!P$8*$AG635^7+WeightSDS!Q$8*$AG635^6+WeightSDS!R$8*$AG635^5+WeightSDS!S$8*$AG635^4+WeightSDS!T$8*$AG635^3+WeightSDS!U$8*$AG635^2+WeightSDS!V$8*$AG635+WeightSDS!W$8,WeightSDS!$U$9-WeightSDS!$V$9*($AG635-WeightSDS!$W$9)))</f>
        <v>0.75407122999999998</v>
      </c>
      <c r="AJ635" s="24">
        <f>IF(D635="M",IF($AG635&lt;45,WeightSDS!M$23*$AG635^10+WeightSDS!N$23*$AG635^9+WeightSDS!O$23*$AG635^8+WeightSDS!P$23*$AG635^7+WeightSDS!Q$23*$AG635^6+WeightSDS!R$23*$AG635^5+WeightSDS!S$23*$AG635^4+WeightSDS!T$23*$AG635^3+WeightSDS!U$23*$AG635^2+WeightSDS!V$23*$AG635+WeightSDS!W$23,IF($AG635&lt;153,WeightSDS!M$25*$AG635^10+WeightSDS!N$25*$AG635^9+WeightSDS!O$25*$AG635^8+WeightSDS!P$25*$AG635^7+WeightSDS!Q$25*$AG635^6+WeightSDS!R$25*$AG635^5+WeightSDS!S$25*$AG635^4+WeightSDS!T$25*$AG635^3+WeightSDS!U$25*$AG635^2+WeightSDS!V$25*$AG635+WeightSDS!W$25,WeightSDS!M$27+WeightSDS!N$27/(1+EXP(WeightSDS!O$27+WeightSDS!P$27*$AG635)))),IF($AG635&lt;43.8,WeightSDS!M$29*$AG635^10+WeightSDS!N$29*$AG635^9+WeightSDS!O$29*$AG635^8+WeightSDS!P$29*$AG635^7+WeightSDS!Q$29*$AG635^6+WeightSDS!R$29*$AG635^5+WeightSDS!S$29*$AG635^4+WeightSDS!T$29*$AG635^3+WeightSDS!U$29*$AG635^2+WeightSDS!V$29*$AG635+WeightSDS!W$29-0.010431*(1-$AG635/210),IF($AG635&lt;123,WeightSDS!M$30*$AG635^10+WeightSDS!N$30*$AG635^9+WeightSDS!O$30*$AG635^8+WeightSDS!P$30*$AG635^7+WeightSDS!Q$30*$AG635^6+WeightSDS!R$30*$AG635^5+WeightSDS!S$30*$AG635^4+WeightSDS!T$30*$AG635^3+WeightSDS!U$30*$AG635^2+WeightSDS!V$30*$AG635+WeightSDS!W$30-0.010431*(1-1/$AG635),WeightSDS!M$32+WeightSDS!N$32/(1+EXP(WeightSDS!O$32+WeightSDS!P$32*$AG635))-0.010431*(1-$AG635/210))))</f>
        <v>2.9500001032655536</v>
      </c>
      <c r="AK635" s="24">
        <f>IF(D635="M",IF($AG635&lt;162,WeightSDS!P$12*$AG635^7+WeightSDS!Q$12*$AG635^6+WeightSDS!R$12*$AG635^5+WeightSDS!S$12*$AG635^4+WeightSDS!T$12*$AG635^3+WeightSDS!U$12*$AG635^2+WeightSDS!V$12*$AG635+WeightSDS!W$12,WeightSDS!P$14*$AG635^7+WeightSDS!Q$14*$AG635^6+WeightSDS!R$14*$AG635^5+WeightSDS!S$14*$AG635^4+WeightSDS!T$14*$AG635^3+WeightSDS!U$14*$AG635^2+WeightSDS!V$14*$AG635+WeightSDS!W$14),IF($AG635&lt;156,WeightSDS!O$17*$AG635^8+WeightSDS!P$17*$AG635^7+WeightSDS!Q$17*$AG635^6+WeightSDS!R$17*$AG635^5+WeightSDS!S$17*$AG635^4+WeightSDS!T$17*$AG635^3+WeightSDS!U$17*$AG635^2+WeightSDS!V$17*$AG635+WeightSDS!W$17,IF($AG635&lt;186,WeightSDS!$U$18+(WeightSDS!$V$18-WeightSDS!$U$18)/24*($AG635-186)+WeightSDS!$W$18*(-$AG635+186)^2-0.005,WeightSDS!$U$18+(WeightSDS!$V$18-WeightSDS!$U$18)/24*($AG635-186)-0.005)))</f>
        <v>0.14604529399999999</v>
      </c>
    </row>
    <row r="636" spans="1:37">
      <c r="A636" s="4"/>
      <c r="B636" s="21"/>
      <c r="C636" s="21"/>
      <c r="D636" s="21"/>
      <c r="E636" s="22"/>
      <c r="F636" s="22"/>
      <c r="G636" s="23"/>
      <c r="H636" s="23"/>
      <c r="I636" s="8" t="str">
        <f t="shared" si="146"/>
        <v/>
      </c>
      <c r="J636" s="2" t="str">
        <f t="shared" si="153"/>
        <v/>
      </c>
      <c r="K636" s="2" t="str">
        <f t="shared" si="147"/>
        <v/>
      </c>
      <c r="L636" s="2" t="str">
        <f t="shared" si="154"/>
        <v/>
      </c>
      <c r="M636" s="2" t="str">
        <f t="shared" si="159"/>
        <v/>
      </c>
      <c r="N636" s="2" t="str">
        <f t="shared" si="155"/>
        <v/>
      </c>
      <c r="O636" s="8" t="str">
        <f t="shared" si="156"/>
        <v/>
      </c>
      <c r="P636" s="8" t="str">
        <f t="shared" si="157"/>
        <v/>
      </c>
      <c r="Q636" s="40" t="str">
        <f t="shared" si="148"/>
        <v/>
      </c>
      <c r="R636" s="48" t="str">
        <f t="shared" si="158"/>
        <v/>
      </c>
      <c r="S636" s="8"/>
      <c r="U636" s="35">
        <f t="shared" si="149"/>
        <v>0</v>
      </c>
      <c r="V636" s="24">
        <f t="shared" si="150"/>
        <v>0</v>
      </c>
      <c r="W636" s="41">
        <f t="shared" si="161"/>
        <v>0</v>
      </c>
      <c r="X636" s="31"/>
      <c r="Y636" s="31"/>
      <c r="Z636" s="31"/>
      <c r="AA636" s="25">
        <f t="shared" si="151"/>
        <v>9.0359999999999996</v>
      </c>
      <c r="AB636" s="25">
        <f t="shared" si="152"/>
        <v>-184.49199999999999</v>
      </c>
      <c r="AD636" s="24">
        <f>IF(D636="M",IF(AG636&lt;78,BMILMS!$D$5*AG636^3+BMILMS!$E$5*AG636^2+BMILMS!$F$5*AG636+BMILMS!$G$5,IF(AG636&lt;150,BMILMS!$D$6*AG636^3+BMILMS!$E$6*AG636^2+BMILMS!$F$6*AG636+BMILMS!$G$6,BMILMS!$D$7*AG636^3+BMILMS!$E$7*AG636^2+BMILMS!$F$7*AG636+BMILMS!$G$7)),IF(AG636&lt;69,BMILMS!$D$9*AG636^3+BMILMS!$E$9*AG636^2+BMILMS!$F$9*AG636+BMILMS!$G$9,IF(AG636&lt;150,BMILMS!$D$10*AG636^3+BMILMS!$E$10*AG636^2+BMILMS!$F$10*AG636+BMILMS!$G$10,BMILMS!$D$11*AG636^3+BMILMS!$E$11*AG636^2+BMILMS!$F$11*AG636+BMILMS!$G$11)))</f>
        <v>0.79584630099999998</v>
      </c>
      <c r="AE636" s="24">
        <f>IF(D636="M",(IF(AG636&lt;2.5,BMILMS!$D$21*AG636^3+BMILMS!$E$21*AG636^2+BMILMS!$F$21*AG636+BMILMS!$G$21,IF(AG636&lt;9.5,BMILMS!$D$22*AG636^3+BMILMS!$E$22*AG636^2+BMILMS!$F$22*AG636+BMILMS!$G$22,IF(AG636&lt;26.75,BMILMS!$D$23*AG636^3+BMILMS!$E$23*AG636^2+BMILMS!$F$23*AG636+BMILMS!$G$23,IF(AG636&lt;90,BMILMS!$D$24*AG636^3+BMILMS!$E$24*AG636^2+BMILMS!$F$24*AG636+BMILMS!$G$24,BMILMS!$D$25*AG636^3+BMILMS!$E$25*AG636^2+BMILMS!$F$25*AG636+BMILMS!$G$25))))),(IF(AG636&lt;2.5,BMILMS!$D$27*AG636^3+BMILMS!$E$27*AG636^2+BMILMS!$F$27*AG636+BMILMS!$G$27,IF(AG636&lt;9.5,BMILMS!$D$28*AG636^3+BMILMS!$E$28*AG636^2+BMILMS!$F$28*AG636+BMILMS!$G$28,IF(AG636&lt;26.75,BMILMS!$D$29*AG636^3+BMILMS!$E$29*AG636^2+BMILMS!$F$29*AG636+BMILMS!$G$29,IF(AG636&lt;90,BMILMS!$D$30*AG636^3+BMILMS!$E$30*AG636^2+BMILMS!$F$30*AG636+BMILMS!$G$30,IF(AG636&lt;150,BMILMS!$D$31*AG636^3+BMILMS!$E$31*AG636^2+BMILMS!$F$31*AG636+BMILMS!$G$31,BMILMS!$D$32*AG636^3+BMILMS!$E$32*AG636^2+BMILMS!$F$32*AG636+BMILMS!$G$32)))))))</f>
        <v>12.568967990000001</v>
      </c>
      <c r="AF636" s="24">
        <f>IF(D636="M",(IF(AG636&lt;90,BMILMS!$D$14*AG636^3+BMILMS!$E$14*AG636^2+BMILMS!$F$14*AG636+BMILMS!$G$14,BMILMS!$D$15*AG636^3+BMILMS!$E$15*AG636^2+BMILMS!$F$15*AG636+BMILMS!$G$15)),(IF(AG636&lt;90,BMILMS!$D$17*AG636^3+BMILMS!$E$17*AG636^2+BMILMS!$F$17*AG636+BMILMS!$G$17,BMILMS!$D$18*AG636^3+BMILMS!$E$18*AG636^2+BMILMS!$F$18*AG636+BMILMS!$G$18)))</f>
        <v>8.8969350000000003E-2</v>
      </c>
      <c r="AG636" s="24">
        <f t="shared" si="160"/>
        <v>0</v>
      </c>
      <c r="AI636" s="38">
        <f>IF(D636="M",WeightSDS!P$5*$AG636^7+WeightSDS!Q$5*$AG636^6+WeightSDS!R$5*$AG636^5+WeightSDS!S$5*$AG636^4+WeightSDS!T$5*$AG636^3+WeightSDS!U$5*$AG636^2+WeightSDS!V$5*$AG636+WeightSDS!W$5,IF($AG636&lt;186,WeightSDS!P$8*$AG636^7+WeightSDS!Q$8*$AG636^6+WeightSDS!R$8*$AG636^5+WeightSDS!S$8*$AG636^4+WeightSDS!T$8*$AG636^3+WeightSDS!U$8*$AG636^2+WeightSDS!V$8*$AG636+WeightSDS!W$8,WeightSDS!$U$9-WeightSDS!$V$9*($AG636-WeightSDS!$W$9)))</f>
        <v>0.75407122999999998</v>
      </c>
      <c r="AJ636" s="24">
        <f>IF(D636="M",IF($AG636&lt;45,WeightSDS!M$23*$AG636^10+WeightSDS!N$23*$AG636^9+WeightSDS!O$23*$AG636^8+WeightSDS!P$23*$AG636^7+WeightSDS!Q$23*$AG636^6+WeightSDS!R$23*$AG636^5+WeightSDS!S$23*$AG636^4+WeightSDS!T$23*$AG636^3+WeightSDS!U$23*$AG636^2+WeightSDS!V$23*$AG636+WeightSDS!W$23,IF($AG636&lt;153,WeightSDS!M$25*$AG636^10+WeightSDS!N$25*$AG636^9+WeightSDS!O$25*$AG636^8+WeightSDS!P$25*$AG636^7+WeightSDS!Q$25*$AG636^6+WeightSDS!R$25*$AG636^5+WeightSDS!S$25*$AG636^4+WeightSDS!T$25*$AG636^3+WeightSDS!U$25*$AG636^2+WeightSDS!V$25*$AG636+WeightSDS!W$25,WeightSDS!M$27+WeightSDS!N$27/(1+EXP(WeightSDS!O$27+WeightSDS!P$27*$AG636)))),IF($AG636&lt;43.8,WeightSDS!M$29*$AG636^10+WeightSDS!N$29*$AG636^9+WeightSDS!O$29*$AG636^8+WeightSDS!P$29*$AG636^7+WeightSDS!Q$29*$AG636^6+WeightSDS!R$29*$AG636^5+WeightSDS!S$29*$AG636^4+WeightSDS!T$29*$AG636^3+WeightSDS!U$29*$AG636^2+WeightSDS!V$29*$AG636+WeightSDS!W$29-0.010431*(1-$AG636/210),IF($AG636&lt;123,WeightSDS!M$30*$AG636^10+WeightSDS!N$30*$AG636^9+WeightSDS!O$30*$AG636^8+WeightSDS!P$30*$AG636^7+WeightSDS!Q$30*$AG636^6+WeightSDS!R$30*$AG636^5+WeightSDS!S$30*$AG636^4+WeightSDS!T$30*$AG636^3+WeightSDS!U$30*$AG636^2+WeightSDS!V$30*$AG636+WeightSDS!W$30-0.010431*(1-1/$AG636),WeightSDS!M$32+WeightSDS!N$32/(1+EXP(WeightSDS!O$32+WeightSDS!P$32*$AG636))-0.010431*(1-$AG636/210))))</f>
        <v>2.9500001032655536</v>
      </c>
      <c r="AK636" s="24">
        <f>IF(D636="M",IF($AG636&lt;162,WeightSDS!P$12*$AG636^7+WeightSDS!Q$12*$AG636^6+WeightSDS!R$12*$AG636^5+WeightSDS!S$12*$AG636^4+WeightSDS!T$12*$AG636^3+WeightSDS!U$12*$AG636^2+WeightSDS!V$12*$AG636+WeightSDS!W$12,WeightSDS!P$14*$AG636^7+WeightSDS!Q$14*$AG636^6+WeightSDS!R$14*$AG636^5+WeightSDS!S$14*$AG636^4+WeightSDS!T$14*$AG636^3+WeightSDS!U$14*$AG636^2+WeightSDS!V$14*$AG636+WeightSDS!W$14),IF($AG636&lt;156,WeightSDS!O$17*$AG636^8+WeightSDS!P$17*$AG636^7+WeightSDS!Q$17*$AG636^6+WeightSDS!R$17*$AG636^5+WeightSDS!S$17*$AG636^4+WeightSDS!T$17*$AG636^3+WeightSDS!U$17*$AG636^2+WeightSDS!V$17*$AG636+WeightSDS!W$17,IF($AG636&lt;186,WeightSDS!$U$18+(WeightSDS!$V$18-WeightSDS!$U$18)/24*($AG636-186)+WeightSDS!$W$18*(-$AG636+186)^2-0.005,WeightSDS!$U$18+(WeightSDS!$V$18-WeightSDS!$U$18)/24*($AG636-186)-0.005)))</f>
        <v>0.14604529399999999</v>
      </c>
    </row>
    <row r="637" spans="1:37">
      <c r="A637" s="4"/>
      <c r="B637" s="21"/>
      <c r="C637" s="21"/>
      <c r="D637" s="21"/>
      <c r="E637" s="22"/>
      <c r="F637" s="22"/>
      <c r="G637" s="23"/>
      <c r="H637" s="23"/>
      <c r="I637" s="8" t="str">
        <f t="shared" si="146"/>
        <v/>
      </c>
      <c r="J637" s="2" t="str">
        <f t="shared" si="153"/>
        <v/>
      </c>
      <c r="K637" s="2" t="str">
        <f t="shared" si="147"/>
        <v/>
      </c>
      <c r="L637" s="2" t="str">
        <f t="shared" si="154"/>
        <v/>
      </c>
      <c r="M637" s="2" t="str">
        <f t="shared" si="159"/>
        <v/>
      </c>
      <c r="N637" s="2" t="str">
        <f t="shared" si="155"/>
        <v/>
      </c>
      <c r="O637" s="8" t="str">
        <f t="shared" si="156"/>
        <v/>
      </c>
      <c r="P637" s="8" t="str">
        <f t="shared" si="157"/>
        <v/>
      </c>
      <c r="Q637" s="40" t="str">
        <f t="shared" si="148"/>
        <v/>
      </c>
      <c r="R637" s="48" t="str">
        <f t="shared" si="158"/>
        <v/>
      </c>
      <c r="S637" s="8"/>
      <c r="U637" s="35">
        <f t="shared" si="149"/>
        <v>0</v>
      </c>
      <c r="V637" s="24">
        <f t="shared" si="150"/>
        <v>0</v>
      </c>
      <c r="W637" s="41">
        <f t="shared" si="161"/>
        <v>0</v>
      </c>
      <c r="X637" s="31"/>
      <c r="Y637" s="31"/>
      <c r="Z637" s="31"/>
      <c r="AA637" s="25">
        <f t="shared" si="151"/>
        <v>9.0359999999999996</v>
      </c>
      <c r="AB637" s="25">
        <f t="shared" si="152"/>
        <v>-184.49199999999999</v>
      </c>
      <c r="AD637" s="24">
        <f>IF(D637="M",IF(AG637&lt;78,BMILMS!$D$5*AG637^3+BMILMS!$E$5*AG637^2+BMILMS!$F$5*AG637+BMILMS!$G$5,IF(AG637&lt;150,BMILMS!$D$6*AG637^3+BMILMS!$E$6*AG637^2+BMILMS!$F$6*AG637+BMILMS!$G$6,BMILMS!$D$7*AG637^3+BMILMS!$E$7*AG637^2+BMILMS!$F$7*AG637+BMILMS!$G$7)),IF(AG637&lt;69,BMILMS!$D$9*AG637^3+BMILMS!$E$9*AG637^2+BMILMS!$F$9*AG637+BMILMS!$G$9,IF(AG637&lt;150,BMILMS!$D$10*AG637^3+BMILMS!$E$10*AG637^2+BMILMS!$F$10*AG637+BMILMS!$G$10,BMILMS!$D$11*AG637^3+BMILMS!$E$11*AG637^2+BMILMS!$F$11*AG637+BMILMS!$G$11)))</f>
        <v>0.79584630099999998</v>
      </c>
      <c r="AE637" s="24">
        <f>IF(D637="M",(IF(AG637&lt;2.5,BMILMS!$D$21*AG637^3+BMILMS!$E$21*AG637^2+BMILMS!$F$21*AG637+BMILMS!$G$21,IF(AG637&lt;9.5,BMILMS!$D$22*AG637^3+BMILMS!$E$22*AG637^2+BMILMS!$F$22*AG637+BMILMS!$G$22,IF(AG637&lt;26.75,BMILMS!$D$23*AG637^3+BMILMS!$E$23*AG637^2+BMILMS!$F$23*AG637+BMILMS!$G$23,IF(AG637&lt;90,BMILMS!$D$24*AG637^3+BMILMS!$E$24*AG637^2+BMILMS!$F$24*AG637+BMILMS!$G$24,BMILMS!$D$25*AG637^3+BMILMS!$E$25*AG637^2+BMILMS!$F$25*AG637+BMILMS!$G$25))))),(IF(AG637&lt;2.5,BMILMS!$D$27*AG637^3+BMILMS!$E$27*AG637^2+BMILMS!$F$27*AG637+BMILMS!$G$27,IF(AG637&lt;9.5,BMILMS!$D$28*AG637^3+BMILMS!$E$28*AG637^2+BMILMS!$F$28*AG637+BMILMS!$G$28,IF(AG637&lt;26.75,BMILMS!$D$29*AG637^3+BMILMS!$E$29*AG637^2+BMILMS!$F$29*AG637+BMILMS!$G$29,IF(AG637&lt;90,BMILMS!$D$30*AG637^3+BMILMS!$E$30*AG637^2+BMILMS!$F$30*AG637+BMILMS!$G$30,IF(AG637&lt;150,BMILMS!$D$31*AG637^3+BMILMS!$E$31*AG637^2+BMILMS!$F$31*AG637+BMILMS!$G$31,BMILMS!$D$32*AG637^3+BMILMS!$E$32*AG637^2+BMILMS!$F$32*AG637+BMILMS!$G$32)))))))</f>
        <v>12.568967990000001</v>
      </c>
      <c r="AF637" s="24">
        <f>IF(D637="M",(IF(AG637&lt;90,BMILMS!$D$14*AG637^3+BMILMS!$E$14*AG637^2+BMILMS!$F$14*AG637+BMILMS!$G$14,BMILMS!$D$15*AG637^3+BMILMS!$E$15*AG637^2+BMILMS!$F$15*AG637+BMILMS!$G$15)),(IF(AG637&lt;90,BMILMS!$D$17*AG637^3+BMILMS!$E$17*AG637^2+BMILMS!$F$17*AG637+BMILMS!$G$17,BMILMS!$D$18*AG637^3+BMILMS!$E$18*AG637^2+BMILMS!$F$18*AG637+BMILMS!$G$18)))</f>
        <v>8.8969350000000003E-2</v>
      </c>
      <c r="AG637" s="24">
        <f t="shared" si="160"/>
        <v>0</v>
      </c>
      <c r="AI637" s="38">
        <f>IF(D637="M",WeightSDS!P$5*$AG637^7+WeightSDS!Q$5*$AG637^6+WeightSDS!R$5*$AG637^5+WeightSDS!S$5*$AG637^4+WeightSDS!T$5*$AG637^3+WeightSDS!U$5*$AG637^2+WeightSDS!V$5*$AG637+WeightSDS!W$5,IF($AG637&lt;186,WeightSDS!P$8*$AG637^7+WeightSDS!Q$8*$AG637^6+WeightSDS!R$8*$AG637^5+WeightSDS!S$8*$AG637^4+WeightSDS!T$8*$AG637^3+WeightSDS!U$8*$AG637^2+WeightSDS!V$8*$AG637+WeightSDS!W$8,WeightSDS!$U$9-WeightSDS!$V$9*($AG637-WeightSDS!$W$9)))</f>
        <v>0.75407122999999998</v>
      </c>
      <c r="AJ637" s="24">
        <f>IF(D637="M",IF($AG637&lt;45,WeightSDS!M$23*$AG637^10+WeightSDS!N$23*$AG637^9+WeightSDS!O$23*$AG637^8+WeightSDS!P$23*$AG637^7+WeightSDS!Q$23*$AG637^6+WeightSDS!R$23*$AG637^5+WeightSDS!S$23*$AG637^4+WeightSDS!T$23*$AG637^3+WeightSDS!U$23*$AG637^2+WeightSDS!V$23*$AG637+WeightSDS!W$23,IF($AG637&lt;153,WeightSDS!M$25*$AG637^10+WeightSDS!N$25*$AG637^9+WeightSDS!O$25*$AG637^8+WeightSDS!P$25*$AG637^7+WeightSDS!Q$25*$AG637^6+WeightSDS!R$25*$AG637^5+WeightSDS!S$25*$AG637^4+WeightSDS!T$25*$AG637^3+WeightSDS!U$25*$AG637^2+WeightSDS!V$25*$AG637+WeightSDS!W$25,WeightSDS!M$27+WeightSDS!N$27/(1+EXP(WeightSDS!O$27+WeightSDS!P$27*$AG637)))),IF($AG637&lt;43.8,WeightSDS!M$29*$AG637^10+WeightSDS!N$29*$AG637^9+WeightSDS!O$29*$AG637^8+WeightSDS!P$29*$AG637^7+WeightSDS!Q$29*$AG637^6+WeightSDS!R$29*$AG637^5+WeightSDS!S$29*$AG637^4+WeightSDS!T$29*$AG637^3+WeightSDS!U$29*$AG637^2+WeightSDS!V$29*$AG637+WeightSDS!W$29-0.010431*(1-$AG637/210),IF($AG637&lt;123,WeightSDS!M$30*$AG637^10+WeightSDS!N$30*$AG637^9+WeightSDS!O$30*$AG637^8+WeightSDS!P$30*$AG637^7+WeightSDS!Q$30*$AG637^6+WeightSDS!R$30*$AG637^5+WeightSDS!S$30*$AG637^4+WeightSDS!T$30*$AG637^3+WeightSDS!U$30*$AG637^2+WeightSDS!V$30*$AG637+WeightSDS!W$30-0.010431*(1-1/$AG637),WeightSDS!M$32+WeightSDS!N$32/(1+EXP(WeightSDS!O$32+WeightSDS!P$32*$AG637))-0.010431*(1-$AG637/210))))</f>
        <v>2.9500001032655536</v>
      </c>
      <c r="AK637" s="24">
        <f>IF(D637="M",IF($AG637&lt;162,WeightSDS!P$12*$AG637^7+WeightSDS!Q$12*$AG637^6+WeightSDS!R$12*$AG637^5+WeightSDS!S$12*$AG637^4+WeightSDS!T$12*$AG637^3+WeightSDS!U$12*$AG637^2+WeightSDS!V$12*$AG637+WeightSDS!W$12,WeightSDS!P$14*$AG637^7+WeightSDS!Q$14*$AG637^6+WeightSDS!R$14*$AG637^5+WeightSDS!S$14*$AG637^4+WeightSDS!T$14*$AG637^3+WeightSDS!U$14*$AG637^2+WeightSDS!V$14*$AG637+WeightSDS!W$14),IF($AG637&lt;156,WeightSDS!O$17*$AG637^8+WeightSDS!P$17*$AG637^7+WeightSDS!Q$17*$AG637^6+WeightSDS!R$17*$AG637^5+WeightSDS!S$17*$AG637^4+WeightSDS!T$17*$AG637^3+WeightSDS!U$17*$AG637^2+WeightSDS!V$17*$AG637+WeightSDS!W$17,IF($AG637&lt;186,WeightSDS!$U$18+(WeightSDS!$V$18-WeightSDS!$U$18)/24*($AG637-186)+WeightSDS!$W$18*(-$AG637+186)^2-0.005,WeightSDS!$U$18+(WeightSDS!$V$18-WeightSDS!$U$18)/24*($AG637-186)-0.005)))</f>
        <v>0.14604529399999999</v>
      </c>
    </row>
    <row r="638" spans="1:37">
      <c r="A638" s="4"/>
      <c r="B638" s="21"/>
      <c r="C638" s="21"/>
      <c r="D638" s="21"/>
      <c r="E638" s="22"/>
      <c r="F638" s="22"/>
      <c r="G638" s="23"/>
      <c r="H638" s="23"/>
      <c r="I638" s="8" t="str">
        <f t="shared" si="146"/>
        <v/>
      </c>
      <c r="J638" s="2" t="str">
        <f t="shared" si="153"/>
        <v/>
      </c>
      <c r="K638" s="2" t="str">
        <f t="shared" si="147"/>
        <v/>
      </c>
      <c r="L638" s="2" t="str">
        <f t="shared" si="154"/>
        <v/>
      </c>
      <c r="M638" s="2" t="str">
        <f t="shared" si="159"/>
        <v/>
      </c>
      <c r="N638" s="2" t="str">
        <f t="shared" si="155"/>
        <v/>
      </c>
      <c r="O638" s="8" t="str">
        <f t="shared" si="156"/>
        <v/>
      </c>
      <c r="P638" s="8" t="str">
        <f t="shared" si="157"/>
        <v/>
      </c>
      <c r="Q638" s="40" t="str">
        <f t="shared" si="148"/>
        <v/>
      </c>
      <c r="R638" s="48" t="str">
        <f t="shared" si="158"/>
        <v/>
      </c>
      <c r="S638" s="8"/>
      <c r="U638" s="35">
        <f t="shared" si="149"/>
        <v>0</v>
      </c>
      <c r="V638" s="24">
        <f t="shared" si="150"/>
        <v>0</v>
      </c>
      <c r="W638" s="41">
        <f t="shared" si="161"/>
        <v>0</v>
      </c>
      <c r="X638" s="31"/>
      <c r="Y638" s="31"/>
      <c r="Z638" s="31"/>
      <c r="AA638" s="25">
        <f t="shared" si="151"/>
        <v>9.0359999999999996</v>
      </c>
      <c r="AB638" s="25">
        <f t="shared" si="152"/>
        <v>-184.49199999999999</v>
      </c>
      <c r="AD638" s="24">
        <f>IF(D638="M",IF(AG638&lt;78,BMILMS!$D$5*AG638^3+BMILMS!$E$5*AG638^2+BMILMS!$F$5*AG638+BMILMS!$G$5,IF(AG638&lt;150,BMILMS!$D$6*AG638^3+BMILMS!$E$6*AG638^2+BMILMS!$F$6*AG638+BMILMS!$G$6,BMILMS!$D$7*AG638^3+BMILMS!$E$7*AG638^2+BMILMS!$F$7*AG638+BMILMS!$G$7)),IF(AG638&lt;69,BMILMS!$D$9*AG638^3+BMILMS!$E$9*AG638^2+BMILMS!$F$9*AG638+BMILMS!$G$9,IF(AG638&lt;150,BMILMS!$D$10*AG638^3+BMILMS!$E$10*AG638^2+BMILMS!$F$10*AG638+BMILMS!$G$10,BMILMS!$D$11*AG638^3+BMILMS!$E$11*AG638^2+BMILMS!$F$11*AG638+BMILMS!$G$11)))</f>
        <v>0.79584630099999998</v>
      </c>
      <c r="AE638" s="24">
        <f>IF(D638="M",(IF(AG638&lt;2.5,BMILMS!$D$21*AG638^3+BMILMS!$E$21*AG638^2+BMILMS!$F$21*AG638+BMILMS!$G$21,IF(AG638&lt;9.5,BMILMS!$D$22*AG638^3+BMILMS!$E$22*AG638^2+BMILMS!$F$22*AG638+BMILMS!$G$22,IF(AG638&lt;26.75,BMILMS!$D$23*AG638^3+BMILMS!$E$23*AG638^2+BMILMS!$F$23*AG638+BMILMS!$G$23,IF(AG638&lt;90,BMILMS!$D$24*AG638^3+BMILMS!$E$24*AG638^2+BMILMS!$F$24*AG638+BMILMS!$G$24,BMILMS!$D$25*AG638^3+BMILMS!$E$25*AG638^2+BMILMS!$F$25*AG638+BMILMS!$G$25))))),(IF(AG638&lt;2.5,BMILMS!$D$27*AG638^3+BMILMS!$E$27*AG638^2+BMILMS!$F$27*AG638+BMILMS!$G$27,IF(AG638&lt;9.5,BMILMS!$D$28*AG638^3+BMILMS!$E$28*AG638^2+BMILMS!$F$28*AG638+BMILMS!$G$28,IF(AG638&lt;26.75,BMILMS!$D$29*AG638^3+BMILMS!$E$29*AG638^2+BMILMS!$F$29*AG638+BMILMS!$G$29,IF(AG638&lt;90,BMILMS!$D$30*AG638^3+BMILMS!$E$30*AG638^2+BMILMS!$F$30*AG638+BMILMS!$G$30,IF(AG638&lt;150,BMILMS!$D$31*AG638^3+BMILMS!$E$31*AG638^2+BMILMS!$F$31*AG638+BMILMS!$G$31,BMILMS!$D$32*AG638^3+BMILMS!$E$32*AG638^2+BMILMS!$F$32*AG638+BMILMS!$G$32)))))))</f>
        <v>12.568967990000001</v>
      </c>
      <c r="AF638" s="24">
        <f>IF(D638="M",(IF(AG638&lt;90,BMILMS!$D$14*AG638^3+BMILMS!$E$14*AG638^2+BMILMS!$F$14*AG638+BMILMS!$G$14,BMILMS!$D$15*AG638^3+BMILMS!$E$15*AG638^2+BMILMS!$F$15*AG638+BMILMS!$G$15)),(IF(AG638&lt;90,BMILMS!$D$17*AG638^3+BMILMS!$E$17*AG638^2+BMILMS!$F$17*AG638+BMILMS!$G$17,BMILMS!$D$18*AG638^3+BMILMS!$E$18*AG638^2+BMILMS!$F$18*AG638+BMILMS!$G$18)))</f>
        <v>8.8969350000000003E-2</v>
      </c>
      <c r="AG638" s="24">
        <f t="shared" si="160"/>
        <v>0</v>
      </c>
      <c r="AI638" s="38">
        <f>IF(D638="M",WeightSDS!P$5*$AG638^7+WeightSDS!Q$5*$AG638^6+WeightSDS!R$5*$AG638^5+WeightSDS!S$5*$AG638^4+WeightSDS!T$5*$AG638^3+WeightSDS!U$5*$AG638^2+WeightSDS!V$5*$AG638+WeightSDS!W$5,IF($AG638&lt;186,WeightSDS!P$8*$AG638^7+WeightSDS!Q$8*$AG638^6+WeightSDS!R$8*$AG638^5+WeightSDS!S$8*$AG638^4+WeightSDS!T$8*$AG638^3+WeightSDS!U$8*$AG638^2+WeightSDS!V$8*$AG638+WeightSDS!W$8,WeightSDS!$U$9-WeightSDS!$V$9*($AG638-WeightSDS!$W$9)))</f>
        <v>0.75407122999999998</v>
      </c>
      <c r="AJ638" s="24">
        <f>IF(D638="M",IF($AG638&lt;45,WeightSDS!M$23*$AG638^10+WeightSDS!N$23*$AG638^9+WeightSDS!O$23*$AG638^8+WeightSDS!P$23*$AG638^7+WeightSDS!Q$23*$AG638^6+WeightSDS!R$23*$AG638^5+WeightSDS!S$23*$AG638^4+WeightSDS!T$23*$AG638^3+WeightSDS!U$23*$AG638^2+WeightSDS!V$23*$AG638+WeightSDS!W$23,IF($AG638&lt;153,WeightSDS!M$25*$AG638^10+WeightSDS!N$25*$AG638^9+WeightSDS!O$25*$AG638^8+WeightSDS!P$25*$AG638^7+WeightSDS!Q$25*$AG638^6+WeightSDS!R$25*$AG638^5+WeightSDS!S$25*$AG638^4+WeightSDS!T$25*$AG638^3+WeightSDS!U$25*$AG638^2+WeightSDS!V$25*$AG638+WeightSDS!W$25,WeightSDS!M$27+WeightSDS!N$27/(1+EXP(WeightSDS!O$27+WeightSDS!P$27*$AG638)))),IF($AG638&lt;43.8,WeightSDS!M$29*$AG638^10+WeightSDS!N$29*$AG638^9+WeightSDS!O$29*$AG638^8+WeightSDS!P$29*$AG638^7+WeightSDS!Q$29*$AG638^6+WeightSDS!R$29*$AG638^5+WeightSDS!S$29*$AG638^4+WeightSDS!T$29*$AG638^3+WeightSDS!U$29*$AG638^2+WeightSDS!V$29*$AG638+WeightSDS!W$29-0.010431*(1-$AG638/210),IF($AG638&lt;123,WeightSDS!M$30*$AG638^10+WeightSDS!N$30*$AG638^9+WeightSDS!O$30*$AG638^8+WeightSDS!P$30*$AG638^7+WeightSDS!Q$30*$AG638^6+WeightSDS!R$30*$AG638^5+WeightSDS!S$30*$AG638^4+WeightSDS!T$30*$AG638^3+WeightSDS!U$30*$AG638^2+WeightSDS!V$30*$AG638+WeightSDS!W$30-0.010431*(1-1/$AG638),WeightSDS!M$32+WeightSDS!N$32/(1+EXP(WeightSDS!O$32+WeightSDS!P$32*$AG638))-0.010431*(1-$AG638/210))))</f>
        <v>2.9500001032655536</v>
      </c>
      <c r="AK638" s="24">
        <f>IF(D638="M",IF($AG638&lt;162,WeightSDS!P$12*$AG638^7+WeightSDS!Q$12*$AG638^6+WeightSDS!R$12*$AG638^5+WeightSDS!S$12*$AG638^4+WeightSDS!T$12*$AG638^3+WeightSDS!U$12*$AG638^2+WeightSDS!V$12*$AG638+WeightSDS!W$12,WeightSDS!P$14*$AG638^7+WeightSDS!Q$14*$AG638^6+WeightSDS!R$14*$AG638^5+WeightSDS!S$14*$AG638^4+WeightSDS!T$14*$AG638^3+WeightSDS!U$14*$AG638^2+WeightSDS!V$14*$AG638+WeightSDS!W$14),IF($AG638&lt;156,WeightSDS!O$17*$AG638^8+WeightSDS!P$17*$AG638^7+WeightSDS!Q$17*$AG638^6+WeightSDS!R$17*$AG638^5+WeightSDS!S$17*$AG638^4+WeightSDS!T$17*$AG638^3+WeightSDS!U$17*$AG638^2+WeightSDS!V$17*$AG638+WeightSDS!W$17,IF($AG638&lt;186,WeightSDS!$U$18+(WeightSDS!$V$18-WeightSDS!$U$18)/24*($AG638-186)+WeightSDS!$W$18*(-$AG638+186)^2-0.005,WeightSDS!$U$18+(WeightSDS!$V$18-WeightSDS!$U$18)/24*($AG638-186)-0.005)))</f>
        <v>0.14604529399999999</v>
      </c>
    </row>
    <row r="639" spans="1:37">
      <c r="A639" s="4"/>
      <c r="B639" s="21"/>
      <c r="C639" s="21"/>
      <c r="D639" s="21"/>
      <c r="E639" s="22"/>
      <c r="F639" s="22"/>
      <c r="G639" s="23"/>
      <c r="H639" s="23"/>
      <c r="I639" s="8" t="str">
        <f t="shared" si="146"/>
        <v/>
      </c>
      <c r="J639" s="2" t="str">
        <f t="shared" si="153"/>
        <v/>
      </c>
      <c r="K639" s="2" t="str">
        <f t="shared" si="147"/>
        <v/>
      </c>
      <c r="L639" s="2" t="str">
        <f t="shared" si="154"/>
        <v/>
      </c>
      <c r="M639" s="2" t="str">
        <f t="shared" si="159"/>
        <v/>
      </c>
      <c r="N639" s="2" t="str">
        <f t="shared" si="155"/>
        <v/>
      </c>
      <c r="O639" s="8" t="str">
        <f t="shared" si="156"/>
        <v/>
      </c>
      <c r="P639" s="8" t="str">
        <f t="shared" si="157"/>
        <v/>
      </c>
      <c r="Q639" s="40" t="str">
        <f t="shared" si="148"/>
        <v/>
      </c>
      <c r="R639" s="48" t="str">
        <f t="shared" si="158"/>
        <v/>
      </c>
      <c r="S639" s="8"/>
      <c r="U639" s="35">
        <f t="shared" si="149"/>
        <v>0</v>
      </c>
      <c r="V639" s="24">
        <f t="shared" si="150"/>
        <v>0</v>
      </c>
      <c r="W639" s="41">
        <f t="shared" si="161"/>
        <v>0</v>
      </c>
      <c r="X639" s="31"/>
      <c r="Y639" s="31"/>
      <c r="Z639" s="31"/>
      <c r="AA639" s="25">
        <f t="shared" si="151"/>
        <v>9.0359999999999996</v>
      </c>
      <c r="AB639" s="25">
        <f t="shared" si="152"/>
        <v>-184.49199999999999</v>
      </c>
      <c r="AD639" s="24">
        <f>IF(D639="M",IF(AG639&lt;78,BMILMS!$D$5*AG639^3+BMILMS!$E$5*AG639^2+BMILMS!$F$5*AG639+BMILMS!$G$5,IF(AG639&lt;150,BMILMS!$D$6*AG639^3+BMILMS!$E$6*AG639^2+BMILMS!$F$6*AG639+BMILMS!$G$6,BMILMS!$D$7*AG639^3+BMILMS!$E$7*AG639^2+BMILMS!$F$7*AG639+BMILMS!$G$7)),IF(AG639&lt;69,BMILMS!$D$9*AG639^3+BMILMS!$E$9*AG639^2+BMILMS!$F$9*AG639+BMILMS!$G$9,IF(AG639&lt;150,BMILMS!$D$10*AG639^3+BMILMS!$E$10*AG639^2+BMILMS!$F$10*AG639+BMILMS!$G$10,BMILMS!$D$11*AG639^3+BMILMS!$E$11*AG639^2+BMILMS!$F$11*AG639+BMILMS!$G$11)))</f>
        <v>0.79584630099999998</v>
      </c>
      <c r="AE639" s="24">
        <f>IF(D639="M",(IF(AG639&lt;2.5,BMILMS!$D$21*AG639^3+BMILMS!$E$21*AG639^2+BMILMS!$F$21*AG639+BMILMS!$G$21,IF(AG639&lt;9.5,BMILMS!$D$22*AG639^3+BMILMS!$E$22*AG639^2+BMILMS!$F$22*AG639+BMILMS!$G$22,IF(AG639&lt;26.75,BMILMS!$D$23*AG639^3+BMILMS!$E$23*AG639^2+BMILMS!$F$23*AG639+BMILMS!$G$23,IF(AG639&lt;90,BMILMS!$D$24*AG639^3+BMILMS!$E$24*AG639^2+BMILMS!$F$24*AG639+BMILMS!$G$24,BMILMS!$D$25*AG639^3+BMILMS!$E$25*AG639^2+BMILMS!$F$25*AG639+BMILMS!$G$25))))),(IF(AG639&lt;2.5,BMILMS!$D$27*AG639^3+BMILMS!$E$27*AG639^2+BMILMS!$F$27*AG639+BMILMS!$G$27,IF(AG639&lt;9.5,BMILMS!$D$28*AG639^3+BMILMS!$E$28*AG639^2+BMILMS!$F$28*AG639+BMILMS!$G$28,IF(AG639&lt;26.75,BMILMS!$D$29*AG639^3+BMILMS!$E$29*AG639^2+BMILMS!$F$29*AG639+BMILMS!$G$29,IF(AG639&lt;90,BMILMS!$D$30*AG639^3+BMILMS!$E$30*AG639^2+BMILMS!$F$30*AG639+BMILMS!$G$30,IF(AG639&lt;150,BMILMS!$D$31*AG639^3+BMILMS!$E$31*AG639^2+BMILMS!$F$31*AG639+BMILMS!$G$31,BMILMS!$D$32*AG639^3+BMILMS!$E$32*AG639^2+BMILMS!$F$32*AG639+BMILMS!$G$32)))))))</f>
        <v>12.568967990000001</v>
      </c>
      <c r="AF639" s="24">
        <f>IF(D639="M",(IF(AG639&lt;90,BMILMS!$D$14*AG639^3+BMILMS!$E$14*AG639^2+BMILMS!$F$14*AG639+BMILMS!$G$14,BMILMS!$D$15*AG639^3+BMILMS!$E$15*AG639^2+BMILMS!$F$15*AG639+BMILMS!$G$15)),(IF(AG639&lt;90,BMILMS!$D$17*AG639^3+BMILMS!$E$17*AG639^2+BMILMS!$F$17*AG639+BMILMS!$G$17,BMILMS!$D$18*AG639^3+BMILMS!$E$18*AG639^2+BMILMS!$F$18*AG639+BMILMS!$G$18)))</f>
        <v>8.8969350000000003E-2</v>
      </c>
      <c r="AG639" s="24">
        <f t="shared" si="160"/>
        <v>0</v>
      </c>
      <c r="AI639" s="38">
        <f>IF(D639="M",WeightSDS!P$5*$AG639^7+WeightSDS!Q$5*$AG639^6+WeightSDS!R$5*$AG639^5+WeightSDS!S$5*$AG639^4+WeightSDS!T$5*$AG639^3+WeightSDS!U$5*$AG639^2+WeightSDS!V$5*$AG639+WeightSDS!W$5,IF($AG639&lt;186,WeightSDS!P$8*$AG639^7+WeightSDS!Q$8*$AG639^6+WeightSDS!R$8*$AG639^5+WeightSDS!S$8*$AG639^4+WeightSDS!T$8*$AG639^3+WeightSDS!U$8*$AG639^2+WeightSDS!V$8*$AG639+WeightSDS!W$8,WeightSDS!$U$9-WeightSDS!$V$9*($AG639-WeightSDS!$W$9)))</f>
        <v>0.75407122999999998</v>
      </c>
      <c r="AJ639" s="24">
        <f>IF(D639="M",IF($AG639&lt;45,WeightSDS!M$23*$AG639^10+WeightSDS!N$23*$AG639^9+WeightSDS!O$23*$AG639^8+WeightSDS!P$23*$AG639^7+WeightSDS!Q$23*$AG639^6+WeightSDS!R$23*$AG639^5+WeightSDS!S$23*$AG639^4+WeightSDS!T$23*$AG639^3+WeightSDS!U$23*$AG639^2+WeightSDS!V$23*$AG639+WeightSDS!W$23,IF($AG639&lt;153,WeightSDS!M$25*$AG639^10+WeightSDS!N$25*$AG639^9+WeightSDS!O$25*$AG639^8+WeightSDS!P$25*$AG639^7+WeightSDS!Q$25*$AG639^6+WeightSDS!R$25*$AG639^5+WeightSDS!S$25*$AG639^4+WeightSDS!T$25*$AG639^3+WeightSDS!U$25*$AG639^2+WeightSDS!V$25*$AG639+WeightSDS!W$25,WeightSDS!M$27+WeightSDS!N$27/(1+EXP(WeightSDS!O$27+WeightSDS!P$27*$AG639)))),IF($AG639&lt;43.8,WeightSDS!M$29*$AG639^10+WeightSDS!N$29*$AG639^9+WeightSDS!O$29*$AG639^8+WeightSDS!P$29*$AG639^7+WeightSDS!Q$29*$AG639^6+WeightSDS!R$29*$AG639^5+WeightSDS!S$29*$AG639^4+WeightSDS!T$29*$AG639^3+WeightSDS!U$29*$AG639^2+WeightSDS!V$29*$AG639+WeightSDS!W$29-0.010431*(1-$AG639/210),IF($AG639&lt;123,WeightSDS!M$30*$AG639^10+WeightSDS!N$30*$AG639^9+WeightSDS!O$30*$AG639^8+WeightSDS!P$30*$AG639^7+WeightSDS!Q$30*$AG639^6+WeightSDS!R$30*$AG639^5+WeightSDS!S$30*$AG639^4+WeightSDS!T$30*$AG639^3+WeightSDS!U$30*$AG639^2+WeightSDS!V$30*$AG639+WeightSDS!W$30-0.010431*(1-1/$AG639),WeightSDS!M$32+WeightSDS!N$32/(1+EXP(WeightSDS!O$32+WeightSDS!P$32*$AG639))-0.010431*(1-$AG639/210))))</f>
        <v>2.9500001032655536</v>
      </c>
      <c r="AK639" s="24">
        <f>IF(D639="M",IF($AG639&lt;162,WeightSDS!P$12*$AG639^7+WeightSDS!Q$12*$AG639^6+WeightSDS!R$12*$AG639^5+WeightSDS!S$12*$AG639^4+WeightSDS!T$12*$AG639^3+WeightSDS!U$12*$AG639^2+WeightSDS!V$12*$AG639+WeightSDS!W$12,WeightSDS!P$14*$AG639^7+WeightSDS!Q$14*$AG639^6+WeightSDS!R$14*$AG639^5+WeightSDS!S$14*$AG639^4+WeightSDS!T$14*$AG639^3+WeightSDS!U$14*$AG639^2+WeightSDS!V$14*$AG639+WeightSDS!W$14),IF($AG639&lt;156,WeightSDS!O$17*$AG639^8+WeightSDS!P$17*$AG639^7+WeightSDS!Q$17*$AG639^6+WeightSDS!R$17*$AG639^5+WeightSDS!S$17*$AG639^4+WeightSDS!T$17*$AG639^3+WeightSDS!U$17*$AG639^2+WeightSDS!V$17*$AG639+WeightSDS!W$17,IF($AG639&lt;186,WeightSDS!$U$18+(WeightSDS!$V$18-WeightSDS!$U$18)/24*($AG639-186)+WeightSDS!$W$18*(-$AG639+186)^2-0.005,WeightSDS!$U$18+(WeightSDS!$V$18-WeightSDS!$U$18)/24*($AG639-186)-0.005)))</f>
        <v>0.14604529399999999</v>
      </c>
    </row>
    <row r="640" spans="1:37">
      <c r="A640" s="4"/>
      <c r="B640" s="21"/>
      <c r="C640" s="21"/>
      <c r="D640" s="21"/>
      <c r="E640" s="22"/>
      <c r="F640" s="22"/>
      <c r="G640" s="23"/>
      <c r="H640" s="23"/>
      <c r="I640" s="8" t="str">
        <f t="shared" si="146"/>
        <v/>
      </c>
      <c r="J640" s="2" t="str">
        <f t="shared" si="153"/>
        <v/>
      </c>
      <c r="K640" s="2" t="str">
        <f t="shared" si="147"/>
        <v/>
      </c>
      <c r="L640" s="2" t="str">
        <f t="shared" si="154"/>
        <v/>
      </c>
      <c r="M640" s="2" t="str">
        <f t="shared" si="159"/>
        <v/>
      </c>
      <c r="N640" s="2" t="str">
        <f t="shared" si="155"/>
        <v/>
      </c>
      <c r="O640" s="8" t="str">
        <f t="shared" si="156"/>
        <v/>
      </c>
      <c r="P640" s="8" t="str">
        <f t="shared" si="157"/>
        <v/>
      </c>
      <c r="Q640" s="40" t="str">
        <f t="shared" si="148"/>
        <v/>
      </c>
      <c r="R640" s="48" t="str">
        <f t="shared" si="158"/>
        <v/>
      </c>
      <c r="S640" s="8"/>
      <c r="U640" s="35">
        <f t="shared" si="149"/>
        <v>0</v>
      </c>
      <c r="V640" s="24">
        <f t="shared" si="150"/>
        <v>0</v>
      </c>
      <c r="W640" s="41">
        <f t="shared" si="161"/>
        <v>0</v>
      </c>
      <c r="X640" s="31"/>
      <c r="Y640" s="31"/>
      <c r="Z640" s="31"/>
      <c r="AA640" s="25">
        <f t="shared" si="151"/>
        <v>9.0359999999999996</v>
      </c>
      <c r="AB640" s="25">
        <f t="shared" si="152"/>
        <v>-184.49199999999999</v>
      </c>
      <c r="AD640" s="24">
        <f>IF(D640="M",IF(AG640&lt;78,BMILMS!$D$5*AG640^3+BMILMS!$E$5*AG640^2+BMILMS!$F$5*AG640+BMILMS!$G$5,IF(AG640&lt;150,BMILMS!$D$6*AG640^3+BMILMS!$E$6*AG640^2+BMILMS!$F$6*AG640+BMILMS!$G$6,BMILMS!$D$7*AG640^3+BMILMS!$E$7*AG640^2+BMILMS!$F$7*AG640+BMILMS!$G$7)),IF(AG640&lt;69,BMILMS!$D$9*AG640^3+BMILMS!$E$9*AG640^2+BMILMS!$F$9*AG640+BMILMS!$G$9,IF(AG640&lt;150,BMILMS!$D$10*AG640^3+BMILMS!$E$10*AG640^2+BMILMS!$F$10*AG640+BMILMS!$G$10,BMILMS!$D$11*AG640^3+BMILMS!$E$11*AG640^2+BMILMS!$F$11*AG640+BMILMS!$G$11)))</f>
        <v>0.79584630099999998</v>
      </c>
      <c r="AE640" s="24">
        <f>IF(D640="M",(IF(AG640&lt;2.5,BMILMS!$D$21*AG640^3+BMILMS!$E$21*AG640^2+BMILMS!$F$21*AG640+BMILMS!$G$21,IF(AG640&lt;9.5,BMILMS!$D$22*AG640^3+BMILMS!$E$22*AG640^2+BMILMS!$F$22*AG640+BMILMS!$G$22,IF(AG640&lt;26.75,BMILMS!$D$23*AG640^3+BMILMS!$E$23*AG640^2+BMILMS!$F$23*AG640+BMILMS!$G$23,IF(AG640&lt;90,BMILMS!$D$24*AG640^3+BMILMS!$E$24*AG640^2+BMILMS!$F$24*AG640+BMILMS!$G$24,BMILMS!$D$25*AG640^3+BMILMS!$E$25*AG640^2+BMILMS!$F$25*AG640+BMILMS!$G$25))))),(IF(AG640&lt;2.5,BMILMS!$D$27*AG640^3+BMILMS!$E$27*AG640^2+BMILMS!$F$27*AG640+BMILMS!$G$27,IF(AG640&lt;9.5,BMILMS!$D$28*AG640^3+BMILMS!$E$28*AG640^2+BMILMS!$F$28*AG640+BMILMS!$G$28,IF(AG640&lt;26.75,BMILMS!$D$29*AG640^3+BMILMS!$E$29*AG640^2+BMILMS!$F$29*AG640+BMILMS!$G$29,IF(AG640&lt;90,BMILMS!$D$30*AG640^3+BMILMS!$E$30*AG640^2+BMILMS!$F$30*AG640+BMILMS!$G$30,IF(AG640&lt;150,BMILMS!$D$31*AG640^3+BMILMS!$E$31*AG640^2+BMILMS!$F$31*AG640+BMILMS!$G$31,BMILMS!$D$32*AG640^3+BMILMS!$E$32*AG640^2+BMILMS!$F$32*AG640+BMILMS!$G$32)))))))</f>
        <v>12.568967990000001</v>
      </c>
      <c r="AF640" s="24">
        <f>IF(D640="M",(IF(AG640&lt;90,BMILMS!$D$14*AG640^3+BMILMS!$E$14*AG640^2+BMILMS!$F$14*AG640+BMILMS!$G$14,BMILMS!$D$15*AG640^3+BMILMS!$E$15*AG640^2+BMILMS!$F$15*AG640+BMILMS!$G$15)),(IF(AG640&lt;90,BMILMS!$D$17*AG640^3+BMILMS!$E$17*AG640^2+BMILMS!$F$17*AG640+BMILMS!$G$17,BMILMS!$D$18*AG640^3+BMILMS!$E$18*AG640^2+BMILMS!$F$18*AG640+BMILMS!$G$18)))</f>
        <v>8.8969350000000003E-2</v>
      </c>
      <c r="AG640" s="24">
        <f t="shared" si="160"/>
        <v>0</v>
      </c>
      <c r="AI640" s="38">
        <f>IF(D640="M",WeightSDS!P$5*$AG640^7+WeightSDS!Q$5*$AG640^6+WeightSDS!R$5*$AG640^5+WeightSDS!S$5*$AG640^4+WeightSDS!T$5*$AG640^3+WeightSDS!U$5*$AG640^2+WeightSDS!V$5*$AG640+WeightSDS!W$5,IF($AG640&lt;186,WeightSDS!P$8*$AG640^7+WeightSDS!Q$8*$AG640^6+WeightSDS!R$8*$AG640^5+WeightSDS!S$8*$AG640^4+WeightSDS!T$8*$AG640^3+WeightSDS!U$8*$AG640^2+WeightSDS!V$8*$AG640+WeightSDS!W$8,WeightSDS!$U$9-WeightSDS!$V$9*($AG640-WeightSDS!$W$9)))</f>
        <v>0.75407122999999998</v>
      </c>
      <c r="AJ640" s="24">
        <f>IF(D640="M",IF($AG640&lt;45,WeightSDS!M$23*$AG640^10+WeightSDS!N$23*$AG640^9+WeightSDS!O$23*$AG640^8+WeightSDS!P$23*$AG640^7+WeightSDS!Q$23*$AG640^6+WeightSDS!R$23*$AG640^5+WeightSDS!S$23*$AG640^4+WeightSDS!T$23*$AG640^3+WeightSDS!U$23*$AG640^2+WeightSDS!V$23*$AG640+WeightSDS!W$23,IF($AG640&lt;153,WeightSDS!M$25*$AG640^10+WeightSDS!N$25*$AG640^9+WeightSDS!O$25*$AG640^8+WeightSDS!P$25*$AG640^7+WeightSDS!Q$25*$AG640^6+WeightSDS!R$25*$AG640^5+WeightSDS!S$25*$AG640^4+WeightSDS!T$25*$AG640^3+WeightSDS!U$25*$AG640^2+WeightSDS!V$25*$AG640+WeightSDS!W$25,WeightSDS!M$27+WeightSDS!N$27/(1+EXP(WeightSDS!O$27+WeightSDS!P$27*$AG640)))),IF($AG640&lt;43.8,WeightSDS!M$29*$AG640^10+WeightSDS!N$29*$AG640^9+WeightSDS!O$29*$AG640^8+WeightSDS!P$29*$AG640^7+WeightSDS!Q$29*$AG640^6+WeightSDS!R$29*$AG640^5+WeightSDS!S$29*$AG640^4+WeightSDS!T$29*$AG640^3+WeightSDS!U$29*$AG640^2+WeightSDS!V$29*$AG640+WeightSDS!W$29-0.010431*(1-$AG640/210),IF($AG640&lt;123,WeightSDS!M$30*$AG640^10+WeightSDS!N$30*$AG640^9+WeightSDS!O$30*$AG640^8+WeightSDS!P$30*$AG640^7+WeightSDS!Q$30*$AG640^6+WeightSDS!R$30*$AG640^5+WeightSDS!S$30*$AG640^4+WeightSDS!T$30*$AG640^3+WeightSDS!U$30*$AG640^2+WeightSDS!V$30*$AG640+WeightSDS!W$30-0.010431*(1-1/$AG640),WeightSDS!M$32+WeightSDS!N$32/(1+EXP(WeightSDS!O$32+WeightSDS!P$32*$AG640))-0.010431*(1-$AG640/210))))</f>
        <v>2.9500001032655536</v>
      </c>
      <c r="AK640" s="24">
        <f>IF(D640="M",IF($AG640&lt;162,WeightSDS!P$12*$AG640^7+WeightSDS!Q$12*$AG640^6+WeightSDS!R$12*$AG640^5+WeightSDS!S$12*$AG640^4+WeightSDS!T$12*$AG640^3+WeightSDS!U$12*$AG640^2+WeightSDS!V$12*$AG640+WeightSDS!W$12,WeightSDS!P$14*$AG640^7+WeightSDS!Q$14*$AG640^6+WeightSDS!R$14*$AG640^5+WeightSDS!S$14*$AG640^4+WeightSDS!T$14*$AG640^3+WeightSDS!U$14*$AG640^2+WeightSDS!V$14*$AG640+WeightSDS!W$14),IF($AG640&lt;156,WeightSDS!O$17*$AG640^8+WeightSDS!P$17*$AG640^7+WeightSDS!Q$17*$AG640^6+WeightSDS!R$17*$AG640^5+WeightSDS!S$17*$AG640^4+WeightSDS!T$17*$AG640^3+WeightSDS!U$17*$AG640^2+WeightSDS!V$17*$AG640+WeightSDS!W$17,IF($AG640&lt;186,WeightSDS!$U$18+(WeightSDS!$V$18-WeightSDS!$U$18)/24*($AG640-186)+WeightSDS!$W$18*(-$AG640+186)^2-0.005,WeightSDS!$U$18+(WeightSDS!$V$18-WeightSDS!$U$18)/24*($AG640-186)-0.005)))</f>
        <v>0.14604529399999999</v>
      </c>
    </row>
    <row r="641" spans="1:37">
      <c r="A641" s="4"/>
      <c r="B641" s="21"/>
      <c r="C641" s="21"/>
      <c r="D641" s="21"/>
      <c r="E641" s="22"/>
      <c r="F641" s="22"/>
      <c r="G641" s="23"/>
      <c r="H641" s="23"/>
      <c r="I641" s="8" t="str">
        <f t="shared" si="146"/>
        <v/>
      </c>
      <c r="J641" s="2" t="str">
        <f t="shared" si="153"/>
        <v/>
      </c>
      <c r="K641" s="2" t="str">
        <f t="shared" si="147"/>
        <v/>
      </c>
      <c r="L641" s="2" t="str">
        <f t="shared" si="154"/>
        <v/>
      </c>
      <c r="M641" s="2" t="str">
        <f t="shared" si="159"/>
        <v/>
      </c>
      <c r="N641" s="2" t="str">
        <f t="shared" si="155"/>
        <v/>
      </c>
      <c r="O641" s="8" t="str">
        <f t="shared" si="156"/>
        <v/>
      </c>
      <c r="P641" s="8" t="str">
        <f t="shared" si="157"/>
        <v/>
      </c>
      <c r="Q641" s="40" t="str">
        <f t="shared" si="148"/>
        <v/>
      </c>
      <c r="R641" s="48" t="str">
        <f t="shared" si="158"/>
        <v/>
      </c>
      <c r="S641" s="8"/>
      <c r="U641" s="35">
        <f t="shared" si="149"/>
        <v>0</v>
      </c>
      <c r="V641" s="24">
        <f t="shared" si="150"/>
        <v>0</v>
      </c>
      <c r="W641" s="41">
        <f t="shared" si="161"/>
        <v>0</v>
      </c>
      <c r="X641" s="31"/>
      <c r="Y641" s="31"/>
      <c r="Z641" s="31"/>
      <c r="AA641" s="25">
        <f t="shared" si="151"/>
        <v>9.0359999999999996</v>
      </c>
      <c r="AB641" s="25">
        <f t="shared" si="152"/>
        <v>-184.49199999999999</v>
      </c>
      <c r="AD641" s="24">
        <f>IF(D641="M",IF(AG641&lt;78,BMILMS!$D$5*AG641^3+BMILMS!$E$5*AG641^2+BMILMS!$F$5*AG641+BMILMS!$G$5,IF(AG641&lt;150,BMILMS!$D$6*AG641^3+BMILMS!$E$6*AG641^2+BMILMS!$F$6*AG641+BMILMS!$G$6,BMILMS!$D$7*AG641^3+BMILMS!$E$7*AG641^2+BMILMS!$F$7*AG641+BMILMS!$G$7)),IF(AG641&lt;69,BMILMS!$D$9*AG641^3+BMILMS!$E$9*AG641^2+BMILMS!$F$9*AG641+BMILMS!$G$9,IF(AG641&lt;150,BMILMS!$D$10*AG641^3+BMILMS!$E$10*AG641^2+BMILMS!$F$10*AG641+BMILMS!$G$10,BMILMS!$D$11*AG641^3+BMILMS!$E$11*AG641^2+BMILMS!$F$11*AG641+BMILMS!$G$11)))</f>
        <v>0.79584630099999998</v>
      </c>
      <c r="AE641" s="24">
        <f>IF(D641="M",(IF(AG641&lt;2.5,BMILMS!$D$21*AG641^3+BMILMS!$E$21*AG641^2+BMILMS!$F$21*AG641+BMILMS!$G$21,IF(AG641&lt;9.5,BMILMS!$D$22*AG641^3+BMILMS!$E$22*AG641^2+BMILMS!$F$22*AG641+BMILMS!$G$22,IF(AG641&lt;26.75,BMILMS!$D$23*AG641^3+BMILMS!$E$23*AG641^2+BMILMS!$F$23*AG641+BMILMS!$G$23,IF(AG641&lt;90,BMILMS!$D$24*AG641^3+BMILMS!$E$24*AG641^2+BMILMS!$F$24*AG641+BMILMS!$G$24,BMILMS!$D$25*AG641^3+BMILMS!$E$25*AG641^2+BMILMS!$F$25*AG641+BMILMS!$G$25))))),(IF(AG641&lt;2.5,BMILMS!$D$27*AG641^3+BMILMS!$E$27*AG641^2+BMILMS!$F$27*AG641+BMILMS!$G$27,IF(AG641&lt;9.5,BMILMS!$D$28*AG641^3+BMILMS!$E$28*AG641^2+BMILMS!$F$28*AG641+BMILMS!$G$28,IF(AG641&lt;26.75,BMILMS!$D$29*AG641^3+BMILMS!$E$29*AG641^2+BMILMS!$F$29*AG641+BMILMS!$G$29,IF(AG641&lt;90,BMILMS!$D$30*AG641^3+BMILMS!$E$30*AG641^2+BMILMS!$F$30*AG641+BMILMS!$G$30,IF(AG641&lt;150,BMILMS!$D$31*AG641^3+BMILMS!$E$31*AG641^2+BMILMS!$F$31*AG641+BMILMS!$G$31,BMILMS!$D$32*AG641^3+BMILMS!$E$32*AG641^2+BMILMS!$F$32*AG641+BMILMS!$G$32)))))))</f>
        <v>12.568967990000001</v>
      </c>
      <c r="AF641" s="24">
        <f>IF(D641="M",(IF(AG641&lt;90,BMILMS!$D$14*AG641^3+BMILMS!$E$14*AG641^2+BMILMS!$F$14*AG641+BMILMS!$G$14,BMILMS!$D$15*AG641^3+BMILMS!$E$15*AG641^2+BMILMS!$F$15*AG641+BMILMS!$G$15)),(IF(AG641&lt;90,BMILMS!$D$17*AG641^3+BMILMS!$E$17*AG641^2+BMILMS!$F$17*AG641+BMILMS!$G$17,BMILMS!$D$18*AG641^3+BMILMS!$E$18*AG641^2+BMILMS!$F$18*AG641+BMILMS!$G$18)))</f>
        <v>8.8969350000000003E-2</v>
      </c>
      <c r="AG641" s="24">
        <f t="shared" si="160"/>
        <v>0</v>
      </c>
      <c r="AI641" s="38">
        <f>IF(D641="M",WeightSDS!P$5*$AG641^7+WeightSDS!Q$5*$AG641^6+WeightSDS!R$5*$AG641^5+WeightSDS!S$5*$AG641^4+WeightSDS!T$5*$AG641^3+WeightSDS!U$5*$AG641^2+WeightSDS!V$5*$AG641+WeightSDS!W$5,IF($AG641&lt;186,WeightSDS!P$8*$AG641^7+WeightSDS!Q$8*$AG641^6+WeightSDS!R$8*$AG641^5+WeightSDS!S$8*$AG641^4+WeightSDS!T$8*$AG641^3+WeightSDS!U$8*$AG641^2+WeightSDS!V$8*$AG641+WeightSDS!W$8,WeightSDS!$U$9-WeightSDS!$V$9*($AG641-WeightSDS!$W$9)))</f>
        <v>0.75407122999999998</v>
      </c>
      <c r="AJ641" s="24">
        <f>IF(D641="M",IF($AG641&lt;45,WeightSDS!M$23*$AG641^10+WeightSDS!N$23*$AG641^9+WeightSDS!O$23*$AG641^8+WeightSDS!P$23*$AG641^7+WeightSDS!Q$23*$AG641^6+WeightSDS!R$23*$AG641^5+WeightSDS!S$23*$AG641^4+WeightSDS!T$23*$AG641^3+WeightSDS!U$23*$AG641^2+WeightSDS!V$23*$AG641+WeightSDS!W$23,IF($AG641&lt;153,WeightSDS!M$25*$AG641^10+WeightSDS!N$25*$AG641^9+WeightSDS!O$25*$AG641^8+WeightSDS!P$25*$AG641^7+WeightSDS!Q$25*$AG641^6+WeightSDS!R$25*$AG641^5+WeightSDS!S$25*$AG641^4+WeightSDS!T$25*$AG641^3+WeightSDS!U$25*$AG641^2+WeightSDS!V$25*$AG641+WeightSDS!W$25,WeightSDS!M$27+WeightSDS!N$27/(1+EXP(WeightSDS!O$27+WeightSDS!P$27*$AG641)))),IF($AG641&lt;43.8,WeightSDS!M$29*$AG641^10+WeightSDS!N$29*$AG641^9+WeightSDS!O$29*$AG641^8+WeightSDS!P$29*$AG641^7+WeightSDS!Q$29*$AG641^6+WeightSDS!R$29*$AG641^5+WeightSDS!S$29*$AG641^4+WeightSDS!T$29*$AG641^3+WeightSDS!U$29*$AG641^2+WeightSDS!V$29*$AG641+WeightSDS!W$29-0.010431*(1-$AG641/210),IF($AG641&lt;123,WeightSDS!M$30*$AG641^10+WeightSDS!N$30*$AG641^9+WeightSDS!O$30*$AG641^8+WeightSDS!P$30*$AG641^7+WeightSDS!Q$30*$AG641^6+WeightSDS!R$30*$AG641^5+WeightSDS!S$30*$AG641^4+WeightSDS!T$30*$AG641^3+WeightSDS!U$30*$AG641^2+WeightSDS!V$30*$AG641+WeightSDS!W$30-0.010431*(1-1/$AG641),WeightSDS!M$32+WeightSDS!N$32/(1+EXP(WeightSDS!O$32+WeightSDS!P$32*$AG641))-0.010431*(1-$AG641/210))))</f>
        <v>2.9500001032655536</v>
      </c>
      <c r="AK641" s="24">
        <f>IF(D641="M",IF($AG641&lt;162,WeightSDS!P$12*$AG641^7+WeightSDS!Q$12*$AG641^6+WeightSDS!R$12*$AG641^5+WeightSDS!S$12*$AG641^4+WeightSDS!T$12*$AG641^3+WeightSDS!U$12*$AG641^2+WeightSDS!V$12*$AG641+WeightSDS!W$12,WeightSDS!P$14*$AG641^7+WeightSDS!Q$14*$AG641^6+WeightSDS!R$14*$AG641^5+WeightSDS!S$14*$AG641^4+WeightSDS!T$14*$AG641^3+WeightSDS!U$14*$AG641^2+WeightSDS!V$14*$AG641+WeightSDS!W$14),IF($AG641&lt;156,WeightSDS!O$17*$AG641^8+WeightSDS!P$17*$AG641^7+WeightSDS!Q$17*$AG641^6+WeightSDS!R$17*$AG641^5+WeightSDS!S$17*$AG641^4+WeightSDS!T$17*$AG641^3+WeightSDS!U$17*$AG641^2+WeightSDS!V$17*$AG641+WeightSDS!W$17,IF($AG641&lt;186,WeightSDS!$U$18+(WeightSDS!$V$18-WeightSDS!$U$18)/24*($AG641-186)+WeightSDS!$W$18*(-$AG641+186)^2-0.005,WeightSDS!$U$18+(WeightSDS!$V$18-WeightSDS!$U$18)/24*($AG641-186)-0.005)))</f>
        <v>0.14604529399999999</v>
      </c>
    </row>
    <row r="642" spans="1:37">
      <c r="A642" s="4"/>
      <c r="B642" s="21"/>
      <c r="C642" s="21"/>
      <c r="D642" s="21"/>
      <c r="E642" s="22"/>
      <c r="F642" s="22"/>
      <c r="G642" s="23"/>
      <c r="H642" s="23"/>
      <c r="I642" s="8" t="str">
        <f t="shared" si="146"/>
        <v/>
      </c>
      <c r="J642" s="2" t="str">
        <f t="shared" si="153"/>
        <v/>
      </c>
      <c r="K642" s="2" t="str">
        <f t="shared" si="147"/>
        <v/>
      </c>
      <c r="L642" s="2" t="str">
        <f t="shared" si="154"/>
        <v/>
      </c>
      <c r="M642" s="2" t="str">
        <f t="shared" si="159"/>
        <v/>
      </c>
      <c r="N642" s="2" t="str">
        <f t="shared" si="155"/>
        <v/>
      </c>
      <c r="O642" s="8" t="str">
        <f t="shared" si="156"/>
        <v/>
      </c>
      <c r="P642" s="8" t="str">
        <f t="shared" si="157"/>
        <v/>
      </c>
      <c r="Q642" s="40" t="str">
        <f t="shared" si="148"/>
        <v/>
      </c>
      <c r="R642" s="48" t="str">
        <f t="shared" si="158"/>
        <v/>
      </c>
      <c r="S642" s="8"/>
      <c r="U642" s="35">
        <f t="shared" si="149"/>
        <v>0</v>
      </c>
      <c r="V642" s="24">
        <f t="shared" si="150"/>
        <v>0</v>
      </c>
      <c r="W642" s="41">
        <f t="shared" si="161"/>
        <v>0</v>
      </c>
      <c r="X642" s="31"/>
      <c r="Y642" s="31"/>
      <c r="Z642" s="31"/>
      <c r="AA642" s="25">
        <f t="shared" si="151"/>
        <v>9.0359999999999996</v>
      </c>
      <c r="AB642" s="25">
        <f t="shared" si="152"/>
        <v>-184.49199999999999</v>
      </c>
      <c r="AD642" s="24">
        <f>IF(D642="M",IF(AG642&lt;78,BMILMS!$D$5*AG642^3+BMILMS!$E$5*AG642^2+BMILMS!$F$5*AG642+BMILMS!$G$5,IF(AG642&lt;150,BMILMS!$D$6*AG642^3+BMILMS!$E$6*AG642^2+BMILMS!$F$6*AG642+BMILMS!$G$6,BMILMS!$D$7*AG642^3+BMILMS!$E$7*AG642^2+BMILMS!$F$7*AG642+BMILMS!$G$7)),IF(AG642&lt;69,BMILMS!$D$9*AG642^3+BMILMS!$E$9*AG642^2+BMILMS!$F$9*AG642+BMILMS!$G$9,IF(AG642&lt;150,BMILMS!$D$10*AG642^3+BMILMS!$E$10*AG642^2+BMILMS!$F$10*AG642+BMILMS!$G$10,BMILMS!$D$11*AG642^3+BMILMS!$E$11*AG642^2+BMILMS!$F$11*AG642+BMILMS!$G$11)))</f>
        <v>0.79584630099999998</v>
      </c>
      <c r="AE642" s="24">
        <f>IF(D642="M",(IF(AG642&lt;2.5,BMILMS!$D$21*AG642^3+BMILMS!$E$21*AG642^2+BMILMS!$F$21*AG642+BMILMS!$G$21,IF(AG642&lt;9.5,BMILMS!$D$22*AG642^3+BMILMS!$E$22*AG642^2+BMILMS!$F$22*AG642+BMILMS!$G$22,IF(AG642&lt;26.75,BMILMS!$D$23*AG642^3+BMILMS!$E$23*AG642^2+BMILMS!$F$23*AG642+BMILMS!$G$23,IF(AG642&lt;90,BMILMS!$D$24*AG642^3+BMILMS!$E$24*AG642^2+BMILMS!$F$24*AG642+BMILMS!$G$24,BMILMS!$D$25*AG642^3+BMILMS!$E$25*AG642^2+BMILMS!$F$25*AG642+BMILMS!$G$25))))),(IF(AG642&lt;2.5,BMILMS!$D$27*AG642^3+BMILMS!$E$27*AG642^2+BMILMS!$F$27*AG642+BMILMS!$G$27,IF(AG642&lt;9.5,BMILMS!$D$28*AG642^3+BMILMS!$E$28*AG642^2+BMILMS!$F$28*AG642+BMILMS!$G$28,IF(AG642&lt;26.75,BMILMS!$D$29*AG642^3+BMILMS!$E$29*AG642^2+BMILMS!$F$29*AG642+BMILMS!$G$29,IF(AG642&lt;90,BMILMS!$D$30*AG642^3+BMILMS!$E$30*AG642^2+BMILMS!$F$30*AG642+BMILMS!$G$30,IF(AG642&lt;150,BMILMS!$D$31*AG642^3+BMILMS!$E$31*AG642^2+BMILMS!$F$31*AG642+BMILMS!$G$31,BMILMS!$D$32*AG642^3+BMILMS!$E$32*AG642^2+BMILMS!$F$32*AG642+BMILMS!$G$32)))))))</f>
        <v>12.568967990000001</v>
      </c>
      <c r="AF642" s="24">
        <f>IF(D642="M",(IF(AG642&lt;90,BMILMS!$D$14*AG642^3+BMILMS!$E$14*AG642^2+BMILMS!$F$14*AG642+BMILMS!$G$14,BMILMS!$D$15*AG642^3+BMILMS!$E$15*AG642^2+BMILMS!$F$15*AG642+BMILMS!$G$15)),(IF(AG642&lt;90,BMILMS!$D$17*AG642^3+BMILMS!$E$17*AG642^2+BMILMS!$F$17*AG642+BMILMS!$G$17,BMILMS!$D$18*AG642^3+BMILMS!$E$18*AG642^2+BMILMS!$F$18*AG642+BMILMS!$G$18)))</f>
        <v>8.8969350000000003E-2</v>
      </c>
      <c r="AG642" s="24">
        <f t="shared" si="160"/>
        <v>0</v>
      </c>
      <c r="AI642" s="38">
        <f>IF(D642="M",WeightSDS!P$5*$AG642^7+WeightSDS!Q$5*$AG642^6+WeightSDS!R$5*$AG642^5+WeightSDS!S$5*$AG642^4+WeightSDS!T$5*$AG642^3+WeightSDS!U$5*$AG642^2+WeightSDS!V$5*$AG642+WeightSDS!W$5,IF($AG642&lt;186,WeightSDS!P$8*$AG642^7+WeightSDS!Q$8*$AG642^6+WeightSDS!R$8*$AG642^5+WeightSDS!S$8*$AG642^4+WeightSDS!T$8*$AG642^3+WeightSDS!U$8*$AG642^2+WeightSDS!V$8*$AG642+WeightSDS!W$8,WeightSDS!$U$9-WeightSDS!$V$9*($AG642-WeightSDS!$W$9)))</f>
        <v>0.75407122999999998</v>
      </c>
      <c r="AJ642" s="24">
        <f>IF(D642="M",IF($AG642&lt;45,WeightSDS!M$23*$AG642^10+WeightSDS!N$23*$AG642^9+WeightSDS!O$23*$AG642^8+WeightSDS!P$23*$AG642^7+WeightSDS!Q$23*$AG642^6+WeightSDS!R$23*$AG642^5+WeightSDS!S$23*$AG642^4+WeightSDS!T$23*$AG642^3+WeightSDS!U$23*$AG642^2+WeightSDS!V$23*$AG642+WeightSDS!W$23,IF($AG642&lt;153,WeightSDS!M$25*$AG642^10+WeightSDS!N$25*$AG642^9+WeightSDS!O$25*$AG642^8+WeightSDS!P$25*$AG642^7+WeightSDS!Q$25*$AG642^6+WeightSDS!R$25*$AG642^5+WeightSDS!S$25*$AG642^4+WeightSDS!T$25*$AG642^3+WeightSDS!U$25*$AG642^2+WeightSDS!V$25*$AG642+WeightSDS!W$25,WeightSDS!M$27+WeightSDS!N$27/(1+EXP(WeightSDS!O$27+WeightSDS!P$27*$AG642)))),IF($AG642&lt;43.8,WeightSDS!M$29*$AG642^10+WeightSDS!N$29*$AG642^9+WeightSDS!O$29*$AG642^8+WeightSDS!P$29*$AG642^7+WeightSDS!Q$29*$AG642^6+WeightSDS!R$29*$AG642^5+WeightSDS!S$29*$AG642^4+WeightSDS!T$29*$AG642^3+WeightSDS!U$29*$AG642^2+WeightSDS!V$29*$AG642+WeightSDS!W$29-0.010431*(1-$AG642/210),IF($AG642&lt;123,WeightSDS!M$30*$AG642^10+WeightSDS!N$30*$AG642^9+WeightSDS!O$30*$AG642^8+WeightSDS!P$30*$AG642^7+WeightSDS!Q$30*$AG642^6+WeightSDS!R$30*$AG642^5+WeightSDS!S$30*$AG642^4+WeightSDS!T$30*$AG642^3+WeightSDS!U$30*$AG642^2+WeightSDS!V$30*$AG642+WeightSDS!W$30-0.010431*(1-1/$AG642),WeightSDS!M$32+WeightSDS!N$32/(1+EXP(WeightSDS!O$32+WeightSDS!P$32*$AG642))-0.010431*(1-$AG642/210))))</f>
        <v>2.9500001032655536</v>
      </c>
      <c r="AK642" s="24">
        <f>IF(D642="M",IF($AG642&lt;162,WeightSDS!P$12*$AG642^7+WeightSDS!Q$12*$AG642^6+WeightSDS!R$12*$AG642^5+WeightSDS!S$12*$AG642^4+WeightSDS!T$12*$AG642^3+WeightSDS!U$12*$AG642^2+WeightSDS!V$12*$AG642+WeightSDS!W$12,WeightSDS!P$14*$AG642^7+WeightSDS!Q$14*$AG642^6+WeightSDS!R$14*$AG642^5+WeightSDS!S$14*$AG642^4+WeightSDS!T$14*$AG642^3+WeightSDS!U$14*$AG642^2+WeightSDS!V$14*$AG642+WeightSDS!W$14),IF($AG642&lt;156,WeightSDS!O$17*$AG642^8+WeightSDS!P$17*$AG642^7+WeightSDS!Q$17*$AG642^6+WeightSDS!R$17*$AG642^5+WeightSDS!S$17*$AG642^4+WeightSDS!T$17*$AG642^3+WeightSDS!U$17*$AG642^2+WeightSDS!V$17*$AG642+WeightSDS!W$17,IF($AG642&lt;186,WeightSDS!$U$18+(WeightSDS!$V$18-WeightSDS!$U$18)/24*($AG642-186)+WeightSDS!$W$18*(-$AG642+186)^2-0.005,WeightSDS!$U$18+(WeightSDS!$V$18-WeightSDS!$U$18)/24*($AG642-186)-0.005)))</f>
        <v>0.14604529399999999</v>
      </c>
    </row>
    <row r="643" spans="1:37">
      <c r="A643" s="4"/>
      <c r="B643" s="21"/>
      <c r="C643" s="21"/>
      <c r="D643" s="21"/>
      <c r="E643" s="22"/>
      <c r="F643" s="22"/>
      <c r="G643" s="23"/>
      <c r="H643" s="23"/>
      <c r="I643" s="8" t="str">
        <f t="shared" ref="I643:I706" si="162">IF(COUNTA(D643,E643,F643,G643,H643)=5,IF(Q643&gt;17.583,"       *",(G643-(INDEX(IF(D643="F",Hfemalemean,Hmalemean),V643+1,U643+1)))/(INDEX(IF(D643="F",Hfemalesd,Hmalesd),V643+1,U643+1))),"")</f>
        <v/>
      </c>
      <c r="J643" s="2" t="str">
        <f t="shared" si="153"/>
        <v/>
      </c>
      <c r="K643" s="2" t="str">
        <f t="shared" ref="K643:K706" si="163">IF(COUNTA(D643,E643,F643,G643,H643)&lt;5,"",IF(Q643&lt;6,"       *",IF(Q643&gt;=17.583,"       *",(H643-G643*INDEX(IF(D643="F",muratafemale,muratamale),U643-4,1)-INDEX(IF(D643="F",muratafemale,muratamale),U643-4,2))/(G643*INDEX(IF(D643="F",muratafemale,muratamale),U643-4,1)+INDEX(IF(D643="F",muratafemale,muratamale),U643-4,2))*100)))</f>
        <v/>
      </c>
      <c r="L643" s="2" t="str">
        <f t="shared" si="154"/>
        <v/>
      </c>
      <c r="M643" s="2" t="str">
        <f t="shared" si="159"/>
        <v/>
      </c>
      <c r="N643" s="2" t="str">
        <f t="shared" si="155"/>
        <v/>
      </c>
      <c r="O643" s="8" t="str">
        <f t="shared" si="156"/>
        <v/>
      </c>
      <c r="P643" s="8" t="str">
        <f t="shared" si="157"/>
        <v/>
      </c>
      <c r="Q643" s="40" t="str">
        <f t="shared" ref="Q643:Q706" si="164">IF(COUNTA(D643,E643,F643,G643,H643)=5,W643,"")</f>
        <v/>
      </c>
      <c r="R643" s="48" t="str">
        <f t="shared" si="158"/>
        <v/>
      </c>
      <c r="S643" s="8"/>
      <c r="U643" s="35">
        <f t="shared" ref="U643:U706" si="165">DATEDIF(E643,F643,"Y")</f>
        <v>0</v>
      </c>
      <c r="V643" s="24">
        <f t="shared" ref="V643:V706" si="166">DATEDIF(E643,F643,"YM")</f>
        <v>0</v>
      </c>
      <c r="W643" s="41">
        <f t="shared" si="161"/>
        <v>0</v>
      </c>
      <c r="X643" s="31"/>
      <c r="Y643" s="31"/>
      <c r="Z643" s="31"/>
      <c r="AA643" s="25">
        <f t="shared" ref="AA643:AA706" si="167">IF(D643="M",2.06*10^-3*G643^2-0.1166*G643+6.5273,2.49*10^-3*G643^2-0.1858*G643+9.036)</f>
        <v>9.0359999999999996</v>
      </c>
      <c r="AB643" s="25">
        <f t="shared" ref="AB643:AB706" si="168">((G643/100)^3*INDEX(itoOI,IF(D643="M",0,3)+IF(G643&lt;140,1,IF(G643&lt;=149,2,3)),1)+(G643/100)^2*INDEX(itoOI,IF(D643="M",0,3)+IF(G643&lt;140,1,IF(G643&lt;=149,2,3)),2)+(G643/100)*INDEX(itoOI,IF(D643="M",0,3)+IF(G643&lt;140,1,IF(G643&lt;=149,2,3)),3)+INDEX(itoOI,IF(D643="M",0,3)+IF(G643&lt;140,1,IF(G643&lt;=149,2,3)),4))</f>
        <v>-184.49199999999999</v>
      </c>
      <c r="AD643" s="24">
        <f>IF(D643="M",IF(AG643&lt;78,BMILMS!$D$5*AG643^3+BMILMS!$E$5*AG643^2+BMILMS!$F$5*AG643+BMILMS!$G$5,IF(AG643&lt;150,BMILMS!$D$6*AG643^3+BMILMS!$E$6*AG643^2+BMILMS!$F$6*AG643+BMILMS!$G$6,BMILMS!$D$7*AG643^3+BMILMS!$E$7*AG643^2+BMILMS!$F$7*AG643+BMILMS!$G$7)),IF(AG643&lt;69,BMILMS!$D$9*AG643^3+BMILMS!$E$9*AG643^2+BMILMS!$F$9*AG643+BMILMS!$G$9,IF(AG643&lt;150,BMILMS!$D$10*AG643^3+BMILMS!$E$10*AG643^2+BMILMS!$F$10*AG643+BMILMS!$G$10,BMILMS!$D$11*AG643^3+BMILMS!$E$11*AG643^2+BMILMS!$F$11*AG643+BMILMS!$G$11)))</f>
        <v>0.79584630099999998</v>
      </c>
      <c r="AE643" s="24">
        <f>IF(D643="M",(IF(AG643&lt;2.5,BMILMS!$D$21*AG643^3+BMILMS!$E$21*AG643^2+BMILMS!$F$21*AG643+BMILMS!$G$21,IF(AG643&lt;9.5,BMILMS!$D$22*AG643^3+BMILMS!$E$22*AG643^2+BMILMS!$F$22*AG643+BMILMS!$G$22,IF(AG643&lt;26.75,BMILMS!$D$23*AG643^3+BMILMS!$E$23*AG643^2+BMILMS!$F$23*AG643+BMILMS!$G$23,IF(AG643&lt;90,BMILMS!$D$24*AG643^3+BMILMS!$E$24*AG643^2+BMILMS!$F$24*AG643+BMILMS!$G$24,BMILMS!$D$25*AG643^3+BMILMS!$E$25*AG643^2+BMILMS!$F$25*AG643+BMILMS!$G$25))))),(IF(AG643&lt;2.5,BMILMS!$D$27*AG643^3+BMILMS!$E$27*AG643^2+BMILMS!$F$27*AG643+BMILMS!$G$27,IF(AG643&lt;9.5,BMILMS!$D$28*AG643^3+BMILMS!$E$28*AG643^2+BMILMS!$F$28*AG643+BMILMS!$G$28,IF(AG643&lt;26.75,BMILMS!$D$29*AG643^3+BMILMS!$E$29*AG643^2+BMILMS!$F$29*AG643+BMILMS!$G$29,IF(AG643&lt;90,BMILMS!$D$30*AG643^3+BMILMS!$E$30*AG643^2+BMILMS!$F$30*AG643+BMILMS!$G$30,IF(AG643&lt;150,BMILMS!$D$31*AG643^3+BMILMS!$E$31*AG643^2+BMILMS!$F$31*AG643+BMILMS!$G$31,BMILMS!$D$32*AG643^3+BMILMS!$E$32*AG643^2+BMILMS!$F$32*AG643+BMILMS!$G$32)))))))</f>
        <v>12.568967990000001</v>
      </c>
      <c r="AF643" s="24">
        <f>IF(D643="M",(IF(AG643&lt;90,BMILMS!$D$14*AG643^3+BMILMS!$E$14*AG643^2+BMILMS!$F$14*AG643+BMILMS!$G$14,BMILMS!$D$15*AG643^3+BMILMS!$E$15*AG643^2+BMILMS!$F$15*AG643+BMILMS!$G$15)),(IF(AG643&lt;90,BMILMS!$D$17*AG643^3+BMILMS!$E$17*AG643^2+BMILMS!$F$17*AG643+BMILMS!$G$17,BMILMS!$D$18*AG643^3+BMILMS!$E$18*AG643^2+BMILMS!$F$18*AG643+BMILMS!$G$18)))</f>
        <v>8.8969350000000003E-2</v>
      </c>
      <c r="AG643" s="24">
        <f t="shared" si="160"/>
        <v>0</v>
      </c>
      <c r="AI643" s="38">
        <f>IF(D643="M",WeightSDS!P$5*$AG643^7+WeightSDS!Q$5*$AG643^6+WeightSDS!R$5*$AG643^5+WeightSDS!S$5*$AG643^4+WeightSDS!T$5*$AG643^3+WeightSDS!U$5*$AG643^2+WeightSDS!V$5*$AG643+WeightSDS!W$5,IF($AG643&lt;186,WeightSDS!P$8*$AG643^7+WeightSDS!Q$8*$AG643^6+WeightSDS!R$8*$AG643^5+WeightSDS!S$8*$AG643^4+WeightSDS!T$8*$AG643^3+WeightSDS!U$8*$AG643^2+WeightSDS!V$8*$AG643+WeightSDS!W$8,WeightSDS!$U$9-WeightSDS!$V$9*($AG643-WeightSDS!$W$9)))</f>
        <v>0.75407122999999998</v>
      </c>
      <c r="AJ643" s="24">
        <f>IF(D643="M",IF($AG643&lt;45,WeightSDS!M$23*$AG643^10+WeightSDS!N$23*$AG643^9+WeightSDS!O$23*$AG643^8+WeightSDS!P$23*$AG643^7+WeightSDS!Q$23*$AG643^6+WeightSDS!R$23*$AG643^5+WeightSDS!S$23*$AG643^4+WeightSDS!T$23*$AG643^3+WeightSDS!U$23*$AG643^2+WeightSDS!V$23*$AG643+WeightSDS!W$23,IF($AG643&lt;153,WeightSDS!M$25*$AG643^10+WeightSDS!N$25*$AG643^9+WeightSDS!O$25*$AG643^8+WeightSDS!P$25*$AG643^7+WeightSDS!Q$25*$AG643^6+WeightSDS!R$25*$AG643^5+WeightSDS!S$25*$AG643^4+WeightSDS!T$25*$AG643^3+WeightSDS!U$25*$AG643^2+WeightSDS!V$25*$AG643+WeightSDS!W$25,WeightSDS!M$27+WeightSDS!N$27/(1+EXP(WeightSDS!O$27+WeightSDS!P$27*$AG643)))),IF($AG643&lt;43.8,WeightSDS!M$29*$AG643^10+WeightSDS!N$29*$AG643^9+WeightSDS!O$29*$AG643^8+WeightSDS!P$29*$AG643^7+WeightSDS!Q$29*$AG643^6+WeightSDS!R$29*$AG643^5+WeightSDS!S$29*$AG643^4+WeightSDS!T$29*$AG643^3+WeightSDS!U$29*$AG643^2+WeightSDS!V$29*$AG643+WeightSDS!W$29-0.010431*(1-$AG643/210),IF($AG643&lt;123,WeightSDS!M$30*$AG643^10+WeightSDS!N$30*$AG643^9+WeightSDS!O$30*$AG643^8+WeightSDS!P$30*$AG643^7+WeightSDS!Q$30*$AG643^6+WeightSDS!R$30*$AG643^5+WeightSDS!S$30*$AG643^4+WeightSDS!T$30*$AG643^3+WeightSDS!U$30*$AG643^2+WeightSDS!V$30*$AG643+WeightSDS!W$30-0.010431*(1-1/$AG643),WeightSDS!M$32+WeightSDS!N$32/(1+EXP(WeightSDS!O$32+WeightSDS!P$32*$AG643))-0.010431*(1-$AG643/210))))</f>
        <v>2.9500001032655536</v>
      </c>
      <c r="AK643" s="24">
        <f>IF(D643="M",IF($AG643&lt;162,WeightSDS!P$12*$AG643^7+WeightSDS!Q$12*$AG643^6+WeightSDS!R$12*$AG643^5+WeightSDS!S$12*$AG643^4+WeightSDS!T$12*$AG643^3+WeightSDS!U$12*$AG643^2+WeightSDS!V$12*$AG643+WeightSDS!W$12,WeightSDS!P$14*$AG643^7+WeightSDS!Q$14*$AG643^6+WeightSDS!R$14*$AG643^5+WeightSDS!S$14*$AG643^4+WeightSDS!T$14*$AG643^3+WeightSDS!U$14*$AG643^2+WeightSDS!V$14*$AG643+WeightSDS!W$14),IF($AG643&lt;156,WeightSDS!O$17*$AG643^8+WeightSDS!P$17*$AG643^7+WeightSDS!Q$17*$AG643^6+WeightSDS!R$17*$AG643^5+WeightSDS!S$17*$AG643^4+WeightSDS!T$17*$AG643^3+WeightSDS!U$17*$AG643^2+WeightSDS!V$17*$AG643+WeightSDS!W$17,IF($AG643&lt;186,WeightSDS!$U$18+(WeightSDS!$V$18-WeightSDS!$U$18)/24*($AG643-186)+WeightSDS!$W$18*(-$AG643+186)^2-0.005,WeightSDS!$U$18+(WeightSDS!$V$18-WeightSDS!$U$18)/24*($AG643-186)-0.005)))</f>
        <v>0.14604529399999999</v>
      </c>
    </row>
    <row r="644" spans="1:37">
      <c r="A644" s="4"/>
      <c r="B644" s="21"/>
      <c r="C644" s="21"/>
      <c r="D644" s="21"/>
      <c r="E644" s="22"/>
      <c r="F644" s="22"/>
      <c r="G644" s="23"/>
      <c r="H644" s="23"/>
      <c r="I644" s="8" t="str">
        <f t="shared" si="162"/>
        <v/>
      </c>
      <c r="J644" s="2" t="str">
        <f t="shared" ref="J644:J707" si="169">IF(COUNTA(D644,E644,F644,G644,H644)=5,IF(Q644&lt;1,"       *",IF(Q644&gt;=6,"       *",IF(G644&gt;=120,"       *",IF(G644&lt;70,"       *",(H644-AA644)/AA644*100)))),"")</f>
        <v/>
      </c>
      <c r="K644" s="2" t="str">
        <f t="shared" si="163"/>
        <v/>
      </c>
      <c r="L644" s="2" t="str">
        <f t="shared" ref="L644:L707" si="170">IF(COUNTA(D644,E644,F644,G644,H644)=5,IF(G644&gt;=IF(D644="M",181,174),"*",IF(G644&lt;101,"       *",IF(Q644&lt;6,"       *",IF(Q644&gt;=17.583,"*",(H644-AB644)/AB644*100)))),"")</f>
        <v/>
      </c>
      <c r="M644" s="2" t="str">
        <f t="shared" si="159"/>
        <v/>
      </c>
      <c r="N644" s="2" t="str">
        <f t="shared" ref="N644:N707" si="171">IF(COUNTA(D644,E644,F644,G644,H644)=5,IF(Q644&gt;17.583,"   *",NORMSDIST(((M644/AE644)^(AD644)-1)/AD644/AF644)*100),"")</f>
        <v/>
      </c>
      <c r="O644" s="8" t="str">
        <f t="shared" ref="O644:O707" si="172">IF(COUNTA(D644,E644,F644,G644,H644)=5,IF(Q644&gt;17.583,"   *",((M644/AE644)^(AD644)-1)/AD644/AF644),"")</f>
        <v/>
      </c>
      <c r="P644" s="8" t="str">
        <f t="shared" ref="P644:P707" si="173">IF(COUNTA(D644,E644,F644,G644,H644)=5,IF(Q644&gt;17.583,"   *",((H644/AJ644)^(AI644)-1)/AI644/AK644),"")</f>
        <v/>
      </c>
      <c r="Q644" s="40" t="str">
        <f t="shared" si="164"/>
        <v/>
      </c>
      <c r="R644" s="48" t="str">
        <f t="shared" ref="R644:R707" si="174">IF(COUNTA(D644,E644,F644,G644,H644)=5,U644&amp;"歳"&amp;V644&amp;"か月","")</f>
        <v/>
      </c>
      <c r="S644" s="8"/>
      <c r="U644" s="35">
        <f t="shared" si="165"/>
        <v>0</v>
      </c>
      <c r="V644" s="24">
        <f t="shared" si="166"/>
        <v>0</v>
      </c>
      <c r="W644" s="41">
        <f t="shared" si="161"/>
        <v>0</v>
      </c>
      <c r="X644" s="31"/>
      <c r="Y644" s="31"/>
      <c r="Z644" s="31"/>
      <c r="AA644" s="25">
        <f t="shared" si="167"/>
        <v>9.0359999999999996</v>
      </c>
      <c r="AB644" s="25">
        <f t="shared" si="168"/>
        <v>-184.49199999999999</v>
      </c>
      <c r="AD644" s="24">
        <f>IF(D644="M",IF(AG644&lt;78,BMILMS!$D$5*AG644^3+BMILMS!$E$5*AG644^2+BMILMS!$F$5*AG644+BMILMS!$G$5,IF(AG644&lt;150,BMILMS!$D$6*AG644^3+BMILMS!$E$6*AG644^2+BMILMS!$F$6*AG644+BMILMS!$G$6,BMILMS!$D$7*AG644^3+BMILMS!$E$7*AG644^2+BMILMS!$F$7*AG644+BMILMS!$G$7)),IF(AG644&lt;69,BMILMS!$D$9*AG644^3+BMILMS!$E$9*AG644^2+BMILMS!$F$9*AG644+BMILMS!$G$9,IF(AG644&lt;150,BMILMS!$D$10*AG644^3+BMILMS!$E$10*AG644^2+BMILMS!$F$10*AG644+BMILMS!$G$10,BMILMS!$D$11*AG644^3+BMILMS!$E$11*AG644^2+BMILMS!$F$11*AG644+BMILMS!$G$11)))</f>
        <v>0.79584630099999998</v>
      </c>
      <c r="AE644" s="24">
        <f>IF(D644="M",(IF(AG644&lt;2.5,BMILMS!$D$21*AG644^3+BMILMS!$E$21*AG644^2+BMILMS!$F$21*AG644+BMILMS!$G$21,IF(AG644&lt;9.5,BMILMS!$D$22*AG644^3+BMILMS!$E$22*AG644^2+BMILMS!$F$22*AG644+BMILMS!$G$22,IF(AG644&lt;26.75,BMILMS!$D$23*AG644^3+BMILMS!$E$23*AG644^2+BMILMS!$F$23*AG644+BMILMS!$G$23,IF(AG644&lt;90,BMILMS!$D$24*AG644^3+BMILMS!$E$24*AG644^2+BMILMS!$F$24*AG644+BMILMS!$G$24,BMILMS!$D$25*AG644^3+BMILMS!$E$25*AG644^2+BMILMS!$F$25*AG644+BMILMS!$G$25))))),(IF(AG644&lt;2.5,BMILMS!$D$27*AG644^3+BMILMS!$E$27*AG644^2+BMILMS!$F$27*AG644+BMILMS!$G$27,IF(AG644&lt;9.5,BMILMS!$D$28*AG644^3+BMILMS!$E$28*AG644^2+BMILMS!$F$28*AG644+BMILMS!$G$28,IF(AG644&lt;26.75,BMILMS!$D$29*AG644^3+BMILMS!$E$29*AG644^2+BMILMS!$F$29*AG644+BMILMS!$G$29,IF(AG644&lt;90,BMILMS!$D$30*AG644^3+BMILMS!$E$30*AG644^2+BMILMS!$F$30*AG644+BMILMS!$G$30,IF(AG644&lt;150,BMILMS!$D$31*AG644^3+BMILMS!$E$31*AG644^2+BMILMS!$F$31*AG644+BMILMS!$G$31,BMILMS!$D$32*AG644^3+BMILMS!$E$32*AG644^2+BMILMS!$F$32*AG644+BMILMS!$G$32)))))))</f>
        <v>12.568967990000001</v>
      </c>
      <c r="AF644" s="24">
        <f>IF(D644="M",(IF(AG644&lt;90,BMILMS!$D$14*AG644^3+BMILMS!$E$14*AG644^2+BMILMS!$F$14*AG644+BMILMS!$G$14,BMILMS!$D$15*AG644^3+BMILMS!$E$15*AG644^2+BMILMS!$F$15*AG644+BMILMS!$G$15)),(IF(AG644&lt;90,BMILMS!$D$17*AG644^3+BMILMS!$E$17*AG644^2+BMILMS!$F$17*AG644+BMILMS!$G$17,BMILMS!$D$18*AG644^3+BMILMS!$E$18*AG644^2+BMILMS!$F$18*AG644+BMILMS!$G$18)))</f>
        <v>8.8969350000000003E-2</v>
      </c>
      <c r="AG644" s="24">
        <f t="shared" si="160"/>
        <v>0</v>
      </c>
      <c r="AI644" s="38">
        <f>IF(D644="M",WeightSDS!P$5*$AG644^7+WeightSDS!Q$5*$AG644^6+WeightSDS!R$5*$AG644^5+WeightSDS!S$5*$AG644^4+WeightSDS!T$5*$AG644^3+WeightSDS!U$5*$AG644^2+WeightSDS!V$5*$AG644+WeightSDS!W$5,IF($AG644&lt;186,WeightSDS!P$8*$AG644^7+WeightSDS!Q$8*$AG644^6+WeightSDS!R$8*$AG644^5+WeightSDS!S$8*$AG644^4+WeightSDS!T$8*$AG644^3+WeightSDS!U$8*$AG644^2+WeightSDS!V$8*$AG644+WeightSDS!W$8,WeightSDS!$U$9-WeightSDS!$V$9*($AG644-WeightSDS!$W$9)))</f>
        <v>0.75407122999999998</v>
      </c>
      <c r="AJ644" s="24">
        <f>IF(D644="M",IF($AG644&lt;45,WeightSDS!M$23*$AG644^10+WeightSDS!N$23*$AG644^9+WeightSDS!O$23*$AG644^8+WeightSDS!P$23*$AG644^7+WeightSDS!Q$23*$AG644^6+WeightSDS!R$23*$AG644^5+WeightSDS!S$23*$AG644^4+WeightSDS!T$23*$AG644^3+WeightSDS!U$23*$AG644^2+WeightSDS!V$23*$AG644+WeightSDS!W$23,IF($AG644&lt;153,WeightSDS!M$25*$AG644^10+WeightSDS!N$25*$AG644^9+WeightSDS!O$25*$AG644^8+WeightSDS!P$25*$AG644^7+WeightSDS!Q$25*$AG644^6+WeightSDS!R$25*$AG644^5+WeightSDS!S$25*$AG644^4+WeightSDS!T$25*$AG644^3+WeightSDS!U$25*$AG644^2+WeightSDS!V$25*$AG644+WeightSDS!W$25,WeightSDS!M$27+WeightSDS!N$27/(1+EXP(WeightSDS!O$27+WeightSDS!P$27*$AG644)))),IF($AG644&lt;43.8,WeightSDS!M$29*$AG644^10+WeightSDS!N$29*$AG644^9+WeightSDS!O$29*$AG644^8+WeightSDS!P$29*$AG644^7+WeightSDS!Q$29*$AG644^6+WeightSDS!R$29*$AG644^5+WeightSDS!S$29*$AG644^4+WeightSDS!T$29*$AG644^3+WeightSDS!U$29*$AG644^2+WeightSDS!V$29*$AG644+WeightSDS!W$29-0.010431*(1-$AG644/210),IF($AG644&lt;123,WeightSDS!M$30*$AG644^10+WeightSDS!N$30*$AG644^9+WeightSDS!O$30*$AG644^8+WeightSDS!P$30*$AG644^7+WeightSDS!Q$30*$AG644^6+WeightSDS!R$30*$AG644^5+WeightSDS!S$30*$AG644^4+WeightSDS!T$30*$AG644^3+WeightSDS!U$30*$AG644^2+WeightSDS!V$30*$AG644+WeightSDS!W$30-0.010431*(1-1/$AG644),WeightSDS!M$32+WeightSDS!N$32/(1+EXP(WeightSDS!O$32+WeightSDS!P$32*$AG644))-0.010431*(1-$AG644/210))))</f>
        <v>2.9500001032655536</v>
      </c>
      <c r="AK644" s="24">
        <f>IF(D644="M",IF($AG644&lt;162,WeightSDS!P$12*$AG644^7+WeightSDS!Q$12*$AG644^6+WeightSDS!R$12*$AG644^5+WeightSDS!S$12*$AG644^4+WeightSDS!T$12*$AG644^3+WeightSDS!U$12*$AG644^2+WeightSDS!V$12*$AG644+WeightSDS!W$12,WeightSDS!P$14*$AG644^7+WeightSDS!Q$14*$AG644^6+WeightSDS!R$14*$AG644^5+WeightSDS!S$14*$AG644^4+WeightSDS!T$14*$AG644^3+WeightSDS!U$14*$AG644^2+WeightSDS!V$14*$AG644+WeightSDS!W$14),IF($AG644&lt;156,WeightSDS!O$17*$AG644^8+WeightSDS!P$17*$AG644^7+WeightSDS!Q$17*$AG644^6+WeightSDS!R$17*$AG644^5+WeightSDS!S$17*$AG644^4+WeightSDS!T$17*$AG644^3+WeightSDS!U$17*$AG644^2+WeightSDS!V$17*$AG644+WeightSDS!W$17,IF($AG644&lt;186,WeightSDS!$U$18+(WeightSDS!$V$18-WeightSDS!$U$18)/24*($AG644-186)+WeightSDS!$W$18*(-$AG644+186)^2-0.005,WeightSDS!$U$18+(WeightSDS!$V$18-WeightSDS!$U$18)/24*($AG644-186)-0.005)))</f>
        <v>0.14604529399999999</v>
      </c>
    </row>
    <row r="645" spans="1:37">
      <c r="A645" s="4"/>
      <c r="B645" s="21"/>
      <c r="C645" s="21"/>
      <c r="D645" s="21"/>
      <c r="E645" s="22"/>
      <c r="F645" s="22"/>
      <c r="G645" s="23"/>
      <c r="H645" s="23"/>
      <c r="I645" s="8" t="str">
        <f t="shared" si="162"/>
        <v/>
      </c>
      <c r="J645" s="2" t="str">
        <f t="shared" si="169"/>
        <v/>
      </c>
      <c r="K645" s="2" t="str">
        <f t="shared" si="163"/>
        <v/>
      </c>
      <c r="L645" s="2" t="str">
        <f t="shared" si="170"/>
        <v/>
      </c>
      <c r="M645" s="2" t="str">
        <f t="shared" si="159"/>
        <v/>
      </c>
      <c r="N645" s="2" t="str">
        <f t="shared" si="171"/>
        <v/>
      </c>
      <c r="O645" s="8" t="str">
        <f t="shared" si="172"/>
        <v/>
      </c>
      <c r="P645" s="8" t="str">
        <f t="shared" si="173"/>
        <v/>
      </c>
      <c r="Q645" s="40" t="str">
        <f t="shared" si="164"/>
        <v/>
      </c>
      <c r="R645" s="48" t="str">
        <f t="shared" si="174"/>
        <v/>
      </c>
      <c r="S645" s="8"/>
      <c r="U645" s="35">
        <f t="shared" si="165"/>
        <v>0</v>
      </c>
      <c r="V645" s="24">
        <f t="shared" si="166"/>
        <v>0</v>
      </c>
      <c r="W645" s="41">
        <f t="shared" si="161"/>
        <v>0</v>
      </c>
      <c r="X645" s="31"/>
      <c r="Y645" s="31"/>
      <c r="Z645" s="31"/>
      <c r="AA645" s="25">
        <f t="shared" si="167"/>
        <v>9.0359999999999996</v>
      </c>
      <c r="AB645" s="25">
        <f t="shared" si="168"/>
        <v>-184.49199999999999</v>
      </c>
      <c r="AD645" s="24">
        <f>IF(D645="M",IF(AG645&lt;78,BMILMS!$D$5*AG645^3+BMILMS!$E$5*AG645^2+BMILMS!$F$5*AG645+BMILMS!$G$5,IF(AG645&lt;150,BMILMS!$D$6*AG645^3+BMILMS!$E$6*AG645^2+BMILMS!$F$6*AG645+BMILMS!$G$6,BMILMS!$D$7*AG645^3+BMILMS!$E$7*AG645^2+BMILMS!$F$7*AG645+BMILMS!$G$7)),IF(AG645&lt;69,BMILMS!$D$9*AG645^3+BMILMS!$E$9*AG645^2+BMILMS!$F$9*AG645+BMILMS!$G$9,IF(AG645&lt;150,BMILMS!$D$10*AG645^3+BMILMS!$E$10*AG645^2+BMILMS!$F$10*AG645+BMILMS!$G$10,BMILMS!$D$11*AG645^3+BMILMS!$E$11*AG645^2+BMILMS!$F$11*AG645+BMILMS!$G$11)))</f>
        <v>0.79584630099999998</v>
      </c>
      <c r="AE645" s="24">
        <f>IF(D645="M",(IF(AG645&lt;2.5,BMILMS!$D$21*AG645^3+BMILMS!$E$21*AG645^2+BMILMS!$F$21*AG645+BMILMS!$G$21,IF(AG645&lt;9.5,BMILMS!$D$22*AG645^3+BMILMS!$E$22*AG645^2+BMILMS!$F$22*AG645+BMILMS!$G$22,IF(AG645&lt;26.75,BMILMS!$D$23*AG645^3+BMILMS!$E$23*AG645^2+BMILMS!$F$23*AG645+BMILMS!$G$23,IF(AG645&lt;90,BMILMS!$D$24*AG645^3+BMILMS!$E$24*AG645^2+BMILMS!$F$24*AG645+BMILMS!$G$24,BMILMS!$D$25*AG645^3+BMILMS!$E$25*AG645^2+BMILMS!$F$25*AG645+BMILMS!$G$25))))),(IF(AG645&lt;2.5,BMILMS!$D$27*AG645^3+BMILMS!$E$27*AG645^2+BMILMS!$F$27*AG645+BMILMS!$G$27,IF(AG645&lt;9.5,BMILMS!$D$28*AG645^3+BMILMS!$E$28*AG645^2+BMILMS!$F$28*AG645+BMILMS!$G$28,IF(AG645&lt;26.75,BMILMS!$D$29*AG645^3+BMILMS!$E$29*AG645^2+BMILMS!$F$29*AG645+BMILMS!$G$29,IF(AG645&lt;90,BMILMS!$D$30*AG645^3+BMILMS!$E$30*AG645^2+BMILMS!$F$30*AG645+BMILMS!$G$30,IF(AG645&lt;150,BMILMS!$D$31*AG645^3+BMILMS!$E$31*AG645^2+BMILMS!$F$31*AG645+BMILMS!$G$31,BMILMS!$D$32*AG645^3+BMILMS!$E$32*AG645^2+BMILMS!$F$32*AG645+BMILMS!$G$32)))))))</f>
        <v>12.568967990000001</v>
      </c>
      <c r="AF645" s="24">
        <f>IF(D645="M",(IF(AG645&lt;90,BMILMS!$D$14*AG645^3+BMILMS!$E$14*AG645^2+BMILMS!$F$14*AG645+BMILMS!$G$14,BMILMS!$D$15*AG645^3+BMILMS!$E$15*AG645^2+BMILMS!$F$15*AG645+BMILMS!$G$15)),(IF(AG645&lt;90,BMILMS!$D$17*AG645^3+BMILMS!$E$17*AG645^2+BMILMS!$F$17*AG645+BMILMS!$G$17,BMILMS!$D$18*AG645^3+BMILMS!$E$18*AG645^2+BMILMS!$F$18*AG645+BMILMS!$G$18)))</f>
        <v>8.8969350000000003E-2</v>
      </c>
      <c r="AG645" s="24">
        <f t="shared" si="160"/>
        <v>0</v>
      </c>
      <c r="AI645" s="38">
        <f>IF(D645="M",WeightSDS!P$5*$AG645^7+WeightSDS!Q$5*$AG645^6+WeightSDS!R$5*$AG645^5+WeightSDS!S$5*$AG645^4+WeightSDS!T$5*$AG645^3+WeightSDS!U$5*$AG645^2+WeightSDS!V$5*$AG645+WeightSDS!W$5,IF($AG645&lt;186,WeightSDS!P$8*$AG645^7+WeightSDS!Q$8*$AG645^6+WeightSDS!R$8*$AG645^5+WeightSDS!S$8*$AG645^4+WeightSDS!T$8*$AG645^3+WeightSDS!U$8*$AG645^2+WeightSDS!V$8*$AG645+WeightSDS!W$8,WeightSDS!$U$9-WeightSDS!$V$9*($AG645-WeightSDS!$W$9)))</f>
        <v>0.75407122999999998</v>
      </c>
      <c r="AJ645" s="24">
        <f>IF(D645="M",IF($AG645&lt;45,WeightSDS!M$23*$AG645^10+WeightSDS!N$23*$AG645^9+WeightSDS!O$23*$AG645^8+WeightSDS!P$23*$AG645^7+WeightSDS!Q$23*$AG645^6+WeightSDS!R$23*$AG645^5+WeightSDS!S$23*$AG645^4+WeightSDS!T$23*$AG645^3+WeightSDS!U$23*$AG645^2+WeightSDS!V$23*$AG645+WeightSDS!W$23,IF($AG645&lt;153,WeightSDS!M$25*$AG645^10+WeightSDS!N$25*$AG645^9+WeightSDS!O$25*$AG645^8+WeightSDS!P$25*$AG645^7+WeightSDS!Q$25*$AG645^6+WeightSDS!R$25*$AG645^5+WeightSDS!S$25*$AG645^4+WeightSDS!T$25*$AG645^3+WeightSDS!U$25*$AG645^2+WeightSDS!V$25*$AG645+WeightSDS!W$25,WeightSDS!M$27+WeightSDS!N$27/(1+EXP(WeightSDS!O$27+WeightSDS!P$27*$AG645)))),IF($AG645&lt;43.8,WeightSDS!M$29*$AG645^10+WeightSDS!N$29*$AG645^9+WeightSDS!O$29*$AG645^8+WeightSDS!P$29*$AG645^7+WeightSDS!Q$29*$AG645^6+WeightSDS!R$29*$AG645^5+WeightSDS!S$29*$AG645^4+WeightSDS!T$29*$AG645^3+WeightSDS!U$29*$AG645^2+WeightSDS!V$29*$AG645+WeightSDS!W$29-0.010431*(1-$AG645/210),IF($AG645&lt;123,WeightSDS!M$30*$AG645^10+WeightSDS!N$30*$AG645^9+WeightSDS!O$30*$AG645^8+WeightSDS!P$30*$AG645^7+WeightSDS!Q$30*$AG645^6+WeightSDS!R$30*$AG645^5+WeightSDS!S$30*$AG645^4+WeightSDS!T$30*$AG645^3+WeightSDS!U$30*$AG645^2+WeightSDS!V$30*$AG645+WeightSDS!W$30-0.010431*(1-1/$AG645),WeightSDS!M$32+WeightSDS!N$32/(1+EXP(WeightSDS!O$32+WeightSDS!P$32*$AG645))-0.010431*(1-$AG645/210))))</f>
        <v>2.9500001032655536</v>
      </c>
      <c r="AK645" s="24">
        <f>IF(D645="M",IF($AG645&lt;162,WeightSDS!P$12*$AG645^7+WeightSDS!Q$12*$AG645^6+WeightSDS!R$12*$AG645^5+WeightSDS!S$12*$AG645^4+WeightSDS!T$12*$AG645^3+WeightSDS!U$12*$AG645^2+WeightSDS!V$12*$AG645+WeightSDS!W$12,WeightSDS!P$14*$AG645^7+WeightSDS!Q$14*$AG645^6+WeightSDS!R$14*$AG645^5+WeightSDS!S$14*$AG645^4+WeightSDS!T$14*$AG645^3+WeightSDS!U$14*$AG645^2+WeightSDS!V$14*$AG645+WeightSDS!W$14),IF($AG645&lt;156,WeightSDS!O$17*$AG645^8+WeightSDS!P$17*$AG645^7+WeightSDS!Q$17*$AG645^6+WeightSDS!R$17*$AG645^5+WeightSDS!S$17*$AG645^4+WeightSDS!T$17*$AG645^3+WeightSDS!U$17*$AG645^2+WeightSDS!V$17*$AG645+WeightSDS!W$17,IF($AG645&lt;186,WeightSDS!$U$18+(WeightSDS!$V$18-WeightSDS!$U$18)/24*($AG645-186)+WeightSDS!$W$18*(-$AG645+186)^2-0.005,WeightSDS!$U$18+(WeightSDS!$V$18-WeightSDS!$U$18)/24*($AG645-186)-0.005)))</f>
        <v>0.14604529399999999</v>
      </c>
    </row>
    <row r="646" spans="1:37">
      <c r="A646" s="4"/>
      <c r="B646" s="21"/>
      <c r="C646" s="21"/>
      <c r="D646" s="21"/>
      <c r="E646" s="22"/>
      <c r="F646" s="22"/>
      <c r="G646" s="23"/>
      <c r="H646" s="23"/>
      <c r="I646" s="8" t="str">
        <f t="shared" si="162"/>
        <v/>
      </c>
      <c r="J646" s="2" t="str">
        <f t="shared" si="169"/>
        <v/>
      </c>
      <c r="K646" s="2" t="str">
        <f t="shared" si="163"/>
        <v/>
      </c>
      <c r="L646" s="2" t="str">
        <f t="shared" si="170"/>
        <v/>
      </c>
      <c r="M646" s="2" t="str">
        <f t="shared" si="159"/>
        <v/>
      </c>
      <c r="N646" s="2" t="str">
        <f t="shared" si="171"/>
        <v/>
      </c>
      <c r="O646" s="8" t="str">
        <f t="shared" si="172"/>
        <v/>
      </c>
      <c r="P646" s="8" t="str">
        <f t="shared" si="173"/>
        <v/>
      </c>
      <c r="Q646" s="40" t="str">
        <f t="shared" si="164"/>
        <v/>
      </c>
      <c r="R646" s="48" t="str">
        <f t="shared" si="174"/>
        <v/>
      </c>
      <c r="S646" s="8"/>
      <c r="U646" s="35">
        <f t="shared" si="165"/>
        <v>0</v>
      </c>
      <c r="V646" s="24">
        <f t="shared" si="166"/>
        <v>0</v>
      </c>
      <c r="W646" s="41">
        <f t="shared" si="161"/>
        <v>0</v>
      </c>
      <c r="X646" s="31"/>
      <c r="Y646" s="31"/>
      <c r="Z646" s="31"/>
      <c r="AA646" s="25">
        <f t="shared" si="167"/>
        <v>9.0359999999999996</v>
      </c>
      <c r="AB646" s="25">
        <f t="shared" si="168"/>
        <v>-184.49199999999999</v>
      </c>
      <c r="AD646" s="24">
        <f>IF(D646="M",IF(AG646&lt;78,BMILMS!$D$5*AG646^3+BMILMS!$E$5*AG646^2+BMILMS!$F$5*AG646+BMILMS!$G$5,IF(AG646&lt;150,BMILMS!$D$6*AG646^3+BMILMS!$E$6*AG646^2+BMILMS!$F$6*AG646+BMILMS!$G$6,BMILMS!$D$7*AG646^3+BMILMS!$E$7*AG646^2+BMILMS!$F$7*AG646+BMILMS!$G$7)),IF(AG646&lt;69,BMILMS!$D$9*AG646^3+BMILMS!$E$9*AG646^2+BMILMS!$F$9*AG646+BMILMS!$G$9,IF(AG646&lt;150,BMILMS!$D$10*AG646^3+BMILMS!$E$10*AG646^2+BMILMS!$F$10*AG646+BMILMS!$G$10,BMILMS!$D$11*AG646^3+BMILMS!$E$11*AG646^2+BMILMS!$F$11*AG646+BMILMS!$G$11)))</f>
        <v>0.79584630099999998</v>
      </c>
      <c r="AE646" s="24">
        <f>IF(D646="M",(IF(AG646&lt;2.5,BMILMS!$D$21*AG646^3+BMILMS!$E$21*AG646^2+BMILMS!$F$21*AG646+BMILMS!$G$21,IF(AG646&lt;9.5,BMILMS!$D$22*AG646^3+BMILMS!$E$22*AG646^2+BMILMS!$F$22*AG646+BMILMS!$G$22,IF(AG646&lt;26.75,BMILMS!$D$23*AG646^3+BMILMS!$E$23*AG646^2+BMILMS!$F$23*AG646+BMILMS!$G$23,IF(AG646&lt;90,BMILMS!$D$24*AG646^3+BMILMS!$E$24*AG646^2+BMILMS!$F$24*AG646+BMILMS!$G$24,BMILMS!$D$25*AG646^3+BMILMS!$E$25*AG646^2+BMILMS!$F$25*AG646+BMILMS!$G$25))))),(IF(AG646&lt;2.5,BMILMS!$D$27*AG646^3+BMILMS!$E$27*AG646^2+BMILMS!$F$27*AG646+BMILMS!$G$27,IF(AG646&lt;9.5,BMILMS!$D$28*AG646^3+BMILMS!$E$28*AG646^2+BMILMS!$F$28*AG646+BMILMS!$G$28,IF(AG646&lt;26.75,BMILMS!$D$29*AG646^3+BMILMS!$E$29*AG646^2+BMILMS!$F$29*AG646+BMILMS!$G$29,IF(AG646&lt;90,BMILMS!$D$30*AG646^3+BMILMS!$E$30*AG646^2+BMILMS!$F$30*AG646+BMILMS!$G$30,IF(AG646&lt;150,BMILMS!$D$31*AG646^3+BMILMS!$E$31*AG646^2+BMILMS!$F$31*AG646+BMILMS!$G$31,BMILMS!$D$32*AG646^3+BMILMS!$E$32*AG646^2+BMILMS!$F$32*AG646+BMILMS!$G$32)))))))</f>
        <v>12.568967990000001</v>
      </c>
      <c r="AF646" s="24">
        <f>IF(D646="M",(IF(AG646&lt;90,BMILMS!$D$14*AG646^3+BMILMS!$E$14*AG646^2+BMILMS!$F$14*AG646+BMILMS!$G$14,BMILMS!$D$15*AG646^3+BMILMS!$E$15*AG646^2+BMILMS!$F$15*AG646+BMILMS!$G$15)),(IF(AG646&lt;90,BMILMS!$D$17*AG646^3+BMILMS!$E$17*AG646^2+BMILMS!$F$17*AG646+BMILMS!$G$17,BMILMS!$D$18*AG646^3+BMILMS!$E$18*AG646^2+BMILMS!$F$18*AG646+BMILMS!$G$18)))</f>
        <v>8.8969350000000003E-2</v>
      </c>
      <c r="AG646" s="24">
        <f t="shared" si="160"/>
        <v>0</v>
      </c>
      <c r="AI646" s="38">
        <f>IF(D646="M",WeightSDS!P$5*$AG646^7+WeightSDS!Q$5*$AG646^6+WeightSDS!R$5*$AG646^5+WeightSDS!S$5*$AG646^4+WeightSDS!T$5*$AG646^3+WeightSDS!U$5*$AG646^2+WeightSDS!V$5*$AG646+WeightSDS!W$5,IF($AG646&lt;186,WeightSDS!P$8*$AG646^7+WeightSDS!Q$8*$AG646^6+WeightSDS!R$8*$AG646^5+WeightSDS!S$8*$AG646^4+WeightSDS!T$8*$AG646^3+WeightSDS!U$8*$AG646^2+WeightSDS!V$8*$AG646+WeightSDS!W$8,WeightSDS!$U$9-WeightSDS!$V$9*($AG646-WeightSDS!$W$9)))</f>
        <v>0.75407122999999998</v>
      </c>
      <c r="AJ646" s="24">
        <f>IF(D646="M",IF($AG646&lt;45,WeightSDS!M$23*$AG646^10+WeightSDS!N$23*$AG646^9+WeightSDS!O$23*$AG646^8+WeightSDS!P$23*$AG646^7+WeightSDS!Q$23*$AG646^6+WeightSDS!R$23*$AG646^5+WeightSDS!S$23*$AG646^4+WeightSDS!T$23*$AG646^3+WeightSDS!U$23*$AG646^2+WeightSDS!V$23*$AG646+WeightSDS!W$23,IF($AG646&lt;153,WeightSDS!M$25*$AG646^10+WeightSDS!N$25*$AG646^9+WeightSDS!O$25*$AG646^8+WeightSDS!P$25*$AG646^7+WeightSDS!Q$25*$AG646^6+WeightSDS!R$25*$AG646^5+WeightSDS!S$25*$AG646^4+WeightSDS!T$25*$AG646^3+WeightSDS!U$25*$AG646^2+WeightSDS!V$25*$AG646+WeightSDS!W$25,WeightSDS!M$27+WeightSDS!N$27/(1+EXP(WeightSDS!O$27+WeightSDS!P$27*$AG646)))),IF($AG646&lt;43.8,WeightSDS!M$29*$AG646^10+WeightSDS!N$29*$AG646^9+WeightSDS!O$29*$AG646^8+WeightSDS!P$29*$AG646^7+WeightSDS!Q$29*$AG646^6+WeightSDS!R$29*$AG646^5+WeightSDS!S$29*$AG646^4+WeightSDS!T$29*$AG646^3+WeightSDS!U$29*$AG646^2+WeightSDS!V$29*$AG646+WeightSDS!W$29-0.010431*(1-$AG646/210),IF($AG646&lt;123,WeightSDS!M$30*$AG646^10+WeightSDS!N$30*$AG646^9+WeightSDS!O$30*$AG646^8+WeightSDS!P$30*$AG646^7+WeightSDS!Q$30*$AG646^6+WeightSDS!R$30*$AG646^5+WeightSDS!S$30*$AG646^4+WeightSDS!T$30*$AG646^3+WeightSDS!U$30*$AG646^2+WeightSDS!V$30*$AG646+WeightSDS!W$30-0.010431*(1-1/$AG646),WeightSDS!M$32+WeightSDS!N$32/(1+EXP(WeightSDS!O$32+WeightSDS!P$32*$AG646))-0.010431*(1-$AG646/210))))</f>
        <v>2.9500001032655536</v>
      </c>
      <c r="AK646" s="24">
        <f>IF(D646="M",IF($AG646&lt;162,WeightSDS!P$12*$AG646^7+WeightSDS!Q$12*$AG646^6+WeightSDS!R$12*$AG646^5+WeightSDS!S$12*$AG646^4+WeightSDS!T$12*$AG646^3+WeightSDS!U$12*$AG646^2+WeightSDS!V$12*$AG646+WeightSDS!W$12,WeightSDS!P$14*$AG646^7+WeightSDS!Q$14*$AG646^6+WeightSDS!R$14*$AG646^5+WeightSDS!S$14*$AG646^4+WeightSDS!T$14*$AG646^3+WeightSDS!U$14*$AG646^2+WeightSDS!V$14*$AG646+WeightSDS!W$14),IF($AG646&lt;156,WeightSDS!O$17*$AG646^8+WeightSDS!P$17*$AG646^7+WeightSDS!Q$17*$AG646^6+WeightSDS!R$17*$AG646^5+WeightSDS!S$17*$AG646^4+WeightSDS!T$17*$AG646^3+WeightSDS!U$17*$AG646^2+WeightSDS!V$17*$AG646+WeightSDS!W$17,IF($AG646&lt;186,WeightSDS!$U$18+(WeightSDS!$V$18-WeightSDS!$U$18)/24*($AG646-186)+WeightSDS!$W$18*(-$AG646+186)^2-0.005,WeightSDS!$U$18+(WeightSDS!$V$18-WeightSDS!$U$18)/24*($AG646-186)-0.005)))</f>
        <v>0.14604529399999999</v>
      </c>
    </row>
    <row r="647" spans="1:37">
      <c r="A647" s="4"/>
      <c r="B647" s="21"/>
      <c r="C647" s="21"/>
      <c r="D647" s="21"/>
      <c r="E647" s="22"/>
      <c r="F647" s="22"/>
      <c r="G647" s="23"/>
      <c r="H647" s="23"/>
      <c r="I647" s="8" t="str">
        <f t="shared" si="162"/>
        <v/>
      </c>
      <c r="J647" s="2" t="str">
        <f t="shared" si="169"/>
        <v/>
      </c>
      <c r="K647" s="2" t="str">
        <f t="shared" si="163"/>
        <v/>
      </c>
      <c r="L647" s="2" t="str">
        <f t="shared" si="170"/>
        <v/>
      </c>
      <c r="M647" s="2" t="str">
        <f t="shared" si="159"/>
        <v/>
      </c>
      <c r="N647" s="2" t="str">
        <f t="shared" si="171"/>
        <v/>
      </c>
      <c r="O647" s="8" t="str">
        <f t="shared" si="172"/>
        <v/>
      </c>
      <c r="P647" s="8" t="str">
        <f t="shared" si="173"/>
        <v/>
      </c>
      <c r="Q647" s="40" t="str">
        <f t="shared" si="164"/>
        <v/>
      </c>
      <c r="R647" s="48" t="str">
        <f t="shared" si="174"/>
        <v/>
      </c>
      <c r="S647" s="8"/>
      <c r="U647" s="35">
        <f t="shared" si="165"/>
        <v>0</v>
      </c>
      <c r="V647" s="24">
        <f t="shared" si="166"/>
        <v>0</v>
      </c>
      <c r="W647" s="41">
        <f t="shared" si="161"/>
        <v>0</v>
      </c>
      <c r="X647" s="31"/>
      <c r="Y647" s="31"/>
      <c r="Z647" s="31"/>
      <c r="AA647" s="25">
        <f t="shared" si="167"/>
        <v>9.0359999999999996</v>
      </c>
      <c r="AB647" s="25">
        <f t="shared" si="168"/>
        <v>-184.49199999999999</v>
      </c>
      <c r="AD647" s="24">
        <f>IF(D647="M",IF(AG647&lt;78,BMILMS!$D$5*AG647^3+BMILMS!$E$5*AG647^2+BMILMS!$F$5*AG647+BMILMS!$G$5,IF(AG647&lt;150,BMILMS!$D$6*AG647^3+BMILMS!$E$6*AG647^2+BMILMS!$F$6*AG647+BMILMS!$G$6,BMILMS!$D$7*AG647^3+BMILMS!$E$7*AG647^2+BMILMS!$F$7*AG647+BMILMS!$G$7)),IF(AG647&lt;69,BMILMS!$D$9*AG647^3+BMILMS!$E$9*AG647^2+BMILMS!$F$9*AG647+BMILMS!$G$9,IF(AG647&lt;150,BMILMS!$D$10*AG647^3+BMILMS!$E$10*AG647^2+BMILMS!$F$10*AG647+BMILMS!$G$10,BMILMS!$D$11*AG647^3+BMILMS!$E$11*AG647^2+BMILMS!$F$11*AG647+BMILMS!$G$11)))</f>
        <v>0.79584630099999998</v>
      </c>
      <c r="AE647" s="24">
        <f>IF(D647="M",(IF(AG647&lt;2.5,BMILMS!$D$21*AG647^3+BMILMS!$E$21*AG647^2+BMILMS!$F$21*AG647+BMILMS!$G$21,IF(AG647&lt;9.5,BMILMS!$D$22*AG647^3+BMILMS!$E$22*AG647^2+BMILMS!$F$22*AG647+BMILMS!$G$22,IF(AG647&lt;26.75,BMILMS!$D$23*AG647^3+BMILMS!$E$23*AG647^2+BMILMS!$F$23*AG647+BMILMS!$G$23,IF(AG647&lt;90,BMILMS!$D$24*AG647^3+BMILMS!$E$24*AG647^2+BMILMS!$F$24*AG647+BMILMS!$G$24,BMILMS!$D$25*AG647^3+BMILMS!$E$25*AG647^2+BMILMS!$F$25*AG647+BMILMS!$G$25))))),(IF(AG647&lt;2.5,BMILMS!$D$27*AG647^3+BMILMS!$E$27*AG647^2+BMILMS!$F$27*AG647+BMILMS!$G$27,IF(AG647&lt;9.5,BMILMS!$D$28*AG647^3+BMILMS!$E$28*AG647^2+BMILMS!$F$28*AG647+BMILMS!$G$28,IF(AG647&lt;26.75,BMILMS!$D$29*AG647^3+BMILMS!$E$29*AG647^2+BMILMS!$F$29*AG647+BMILMS!$G$29,IF(AG647&lt;90,BMILMS!$D$30*AG647^3+BMILMS!$E$30*AG647^2+BMILMS!$F$30*AG647+BMILMS!$G$30,IF(AG647&lt;150,BMILMS!$D$31*AG647^3+BMILMS!$E$31*AG647^2+BMILMS!$F$31*AG647+BMILMS!$G$31,BMILMS!$D$32*AG647^3+BMILMS!$E$32*AG647^2+BMILMS!$F$32*AG647+BMILMS!$G$32)))))))</f>
        <v>12.568967990000001</v>
      </c>
      <c r="AF647" s="24">
        <f>IF(D647="M",(IF(AG647&lt;90,BMILMS!$D$14*AG647^3+BMILMS!$E$14*AG647^2+BMILMS!$F$14*AG647+BMILMS!$G$14,BMILMS!$D$15*AG647^3+BMILMS!$E$15*AG647^2+BMILMS!$F$15*AG647+BMILMS!$G$15)),(IF(AG647&lt;90,BMILMS!$D$17*AG647^3+BMILMS!$E$17*AG647^2+BMILMS!$F$17*AG647+BMILMS!$G$17,BMILMS!$D$18*AG647^3+BMILMS!$E$18*AG647^2+BMILMS!$F$18*AG647+BMILMS!$G$18)))</f>
        <v>8.8969350000000003E-2</v>
      </c>
      <c r="AG647" s="24">
        <f t="shared" si="160"/>
        <v>0</v>
      </c>
      <c r="AI647" s="38">
        <f>IF(D647="M",WeightSDS!P$5*$AG647^7+WeightSDS!Q$5*$AG647^6+WeightSDS!R$5*$AG647^5+WeightSDS!S$5*$AG647^4+WeightSDS!T$5*$AG647^3+WeightSDS!U$5*$AG647^2+WeightSDS!V$5*$AG647+WeightSDS!W$5,IF($AG647&lt;186,WeightSDS!P$8*$AG647^7+WeightSDS!Q$8*$AG647^6+WeightSDS!R$8*$AG647^5+WeightSDS!S$8*$AG647^4+WeightSDS!T$8*$AG647^3+WeightSDS!U$8*$AG647^2+WeightSDS!V$8*$AG647+WeightSDS!W$8,WeightSDS!$U$9-WeightSDS!$V$9*($AG647-WeightSDS!$W$9)))</f>
        <v>0.75407122999999998</v>
      </c>
      <c r="AJ647" s="24">
        <f>IF(D647="M",IF($AG647&lt;45,WeightSDS!M$23*$AG647^10+WeightSDS!N$23*$AG647^9+WeightSDS!O$23*$AG647^8+WeightSDS!P$23*$AG647^7+WeightSDS!Q$23*$AG647^6+WeightSDS!R$23*$AG647^5+WeightSDS!S$23*$AG647^4+WeightSDS!T$23*$AG647^3+WeightSDS!U$23*$AG647^2+WeightSDS!V$23*$AG647+WeightSDS!W$23,IF($AG647&lt;153,WeightSDS!M$25*$AG647^10+WeightSDS!N$25*$AG647^9+WeightSDS!O$25*$AG647^8+WeightSDS!P$25*$AG647^7+WeightSDS!Q$25*$AG647^6+WeightSDS!R$25*$AG647^5+WeightSDS!S$25*$AG647^4+WeightSDS!T$25*$AG647^3+WeightSDS!U$25*$AG647^2+WeightSDS!V$25*$AG647+WeightSDS!W$25,WeightSDS!M$27+WeightSDS!N$27/(1+EXP(WeightSDS!O$27+WeightSDS!P$27*$AG647)))),IF($AG647&lt;43.8,WeightSDS!M$29*$AG647^10+WeightSDS!N$29*$AG647^9+WeightSDS!O$29*$AG647^8+WeightSDS!P$29*$AG647^7+WeightSDS!Q$29*$AG647^6+WeightSDS!R$29*$AG647^5+WeightSDS!S$29*$AG647^4+WeightSDS!T$29*$AG647^3+WeightSDS!U$29*$AG647^2+WeightSDS!V$29*$AG647+WeightSDS!W$29-0.010431*(1-$AG647/210),IF($AG647&lt;123,WeightSDS!M$30*$AG647^10+WeightSDS!N$30*$AG647^9+WeightSDS!O$30*$AG647^8+WeightSDS!P$30*$AG647^7+WeightSDS!Q$30*$AG647^6+WeightSDS!R$30*$AG647^5+WeightSDS!S$30*$AG647^4+WeightSDS!T$30*$AG647^3+WeightSDS!U$30*$AG647^2+WeightSDS!V$30*$AG647+WeightSDS!W$30-0.010431*(1-1/$AG647),WeightSDS!M$32+WeightSDS!N$32/(1+EXP(WeightSDS!O$32+WeightSDS!P$32*$AG647))-0.010431*(1-$AG647/210))))</f>
        <v>2.9500001032655536</v>
      </c>
      <c r="AK647" s="24">
        <f>IF(D647="M",IF($AG647&lt;162,WeightSDS!P$12*$AG647^7+WeightSDS!Q$12*$AG647^6+WeightSDS!R$12*$AG647^5+WeightSDS!S$12*$AG647^4+WeightSDS!T$12*$AG647^3+WeightSDS!U$12*$AG647^2+WeightSDS!V$12*$AG647+WeightSDS!W$12,WeightSDS!P$14*$AG647^7+WeightSDS!Q$14*$AG647^6+WeightSDS!R$14*$AG647^5+WeightSDS!S$14*$AG647^4+WeightSDS!T$14*$AG647^3+WeightSDS!U$14*$AG647^2+WeightSDS!V$14*$AG647+WeightSDS!W$14),IF($AG647&lt;156,WeightSDS!O$17*$AG647^8+WeightSDS!P$17*$AG647^7+WeightSDS!Q$17*$AG647^6+WeightSDS!R$17*$AG647^5+WeightSDS!S$17*$AG647^4+WeightSDS!T$17*$AG647^3+WeightSDS!U$17*$AG647^2+WeightSDS!V$17*$AG647+WeightSDS!W$17,IF($AG647&lt;186,WeightSDS!$U$18+(WeightSDS!$V$18-WeightSDS!$U$18)/24*($AG647-186)+WeightSDS!$W$18*(-$AG647+186)^2-0.005,WeightSDS!$U$18+(WeightSDS!$V$18-WeightSDS!$U$18)/24*($AG647-186)-0.005)))</f>
        <v>0.14604529399999999</v>
      </c>
    </row>
    <row r="648" spans="1:37">
      <c r="A648" s="4"/>
      <c r="B648" s="21"/>
      <c r="C648" s="21"/>
      <c r="D648" s="21"/>
      <c r="E648" s="22"/>
      <c r="F648" s="22"/>
      <c r="G648" s="23"/>
      <c r="H648" s="23"/>
      <c r="I648" s="8" t="str">
        <f t="shared" si="162"/>
        <v/>
      </c>
      <c r="J648" s="2" t="str">
        <f t="shared" si="169"/>
        <v/>
      </c>
      <c r="K648" s="2" t="str">
        <f t="shared" si="163"/>
        <v/>
      </c>
      <c r="L648" s="2" t="str">
        <f t="shared" si="170"/>
        <v/>
      </c>
      <c r="M648" s="2" t="str">
        <f t="shared" ref="M648:M711" si="175">IF(COUNTA(D648,E648,F648,G648,H648)=5,H648/G648^2*10000,"")</f>
        <v/>
      </c>
      <c r="N648" s="2" t="str">
        <f t="shared" si="171"/>
        <v/>
      </c>
      <c r="O648" s="8" t="str">
        <f t="shared" si="172"/>
        <v/>
      </c>
      <c r="P648" s="8" t="str">
        <f t="shared" si="173"/>
        <v/>
      </c>
      <c r="Q648" s="40" t="str">
        <f t="shared" si="164"/>
        <v/>
      </c>
      <c r="R648" s="48" t="str">
        <f t="shared" si="174"/>
        <v/>
      </c>
      <c r="S648" s="8"/>
      <c r="U648" s="35">
        <f t="shared" si="165"/>
        <v>0</v>
      </c>
      <c r="V648" s="24">
        <f t="shared" si="166"/>
        <v>0</v>
      </c>
      <c r="W648" s="41">
        <f t="shared" si="161"/>
        <v>0</v>
      </c>
      <c r="X648" s="31"/>
      <c r="Y648" s="31"/>
      <c r="Z648" s="31"/>
      <c r="AA648" s="25">
        <f t="shared" si="167"/>
        <v>9.0359999999999996</v>
      </c>
      <c r="AB648" s="25">
        <f t="shared" si="168"/>
        <v>-184.49199999999999</v>
      </c>
      <c r="AD648" s="24">
        <f>IF(D648="M",IF(AG648&lt;78,BMILMS!$D$5*AG648^3+BMILMS!$E$5*AG648^2+BMILMS!$F$5*AG648+BMILMS!$G$5,IF(AG648&lt;150,BMILMS!$D$6*AG648^3+BMILMS!$E$6*AG648^2+BMILMS!$F$6*AG648+BMILMS!$G$6,BMILMS!$D$7*AG648^3+BMILMS!$E$7*AG648^2+BMILMS!$F$7*AG648+BMILMS!$G$7)),IF(AG648&lt;69,BMILMS!$D$9*AG648^3+BMILMS!$E$9*AG648^2+BMILMS!$F$9*AG648+BMILMS!$G$9,IF(AG648&lt;150,BMILMS!$D$10*AG648^3+BMILMS!$E$10*AG648^2+BMILMS!$F$10*AG648+BMILMS!$G$10,BMILMS!$D$11*AG648^3+BMILMS!$E$11*AG648^2+BMILMS!$F$11*AG648+BMILMS!$G$11)))</f>
        <v>0.79584630099999998</v>
      </c>
      <c r="AE648" s="24">
        <f>IF(D648="M",(IF(AG648&lt;2.5,BMILMS!$D$21*AG648^3+BMILMS!$E$21*AG648^2+BMILMS!$F$21*AG648+BMILMS!$G$21,IF(AG648&lt;9.5,BMILMS!$D$22*AG648^3+BMILMS!$E$22*AG648^2+BMILMS!$F$22*AG648+BMILMS!$G$22,IF(AG648&lt;26.75,BMILMS!$D$23*AG648^3+BMILMS!$E$23*AG648^2+BMILMS!$F$23*AG648+BMILMS!$G$23,IF(AG648&lt;90,BMILMS!$D$24*AG648^3+BMILMS!$E$24*AG648^2+BMILMS!$F$24*AG648+BMILMS!$G$24,BMILMS!$D$25*AG648^3+BMILMS!$E$25*AG648^2+BMILMS!$F$25*AG648+BMILMS!$G$25))))),(IF(AG648&lt;2.5,BMILMS!$D$27*AG648^3+BMILMS!$E$27*AG648^2+BMILMS!$F$27*AG648+BMILMS!$G$27,IF(AG648&lt;9.5,BMILMS!$D$28*AG648^3+BMILMS!$E$28*AG648^2+BMILMS!$F$28*AG648+BMILMS!$G$28,IF(AG648&lt;26.75,BMILMS!$D$29*AG648^3+BMILMS!$E$29*AG648^2+BMILMS!$F$29*AG648+BMILMS!$G$29,IF(AG648&lt;90,BMILMS!$D$30*AG648^3+BMILMS!$E$30*AG648^2+BMILMS!$F$30*AG648+BMILMS!$G$30,IF(AG648&lt;150,BMILMS!$D$31*AG648^3+BMILMS!$E$31*AG648^2+BMILMS!$F$31*AG648+BMILMS!$G$31,BMILMS!$D$32*AG648^3+BMILMS!$E$32*AG648^2+BMILMS!$F$32*AG648+BMILMS!$G$32)))))))</f>
        <v>12.568967990000001</v>
      </c>
      <c r="AF648" s="24">
        <f>IF(D648="M",(IF(AG648&lt;90,BMILMS!$D$14*AG648^3+BMILMS!$E$14*AG648^2+BMILMS!$F$14*AG648+BMILMS!$G$14,BMILMS!$D$15*AG648^3+BMILMS!$E$15*AG648^2+BMILMS!$F$15*AG648+BMILMS!$G$15)),(IF(AG648&lt;90,BMILMS!$D$17*AG648^3+BMILMS!$E$17*AG648^2+BMILMS!$F$17*AG648+BMILMS!$G$17,BMILMS!$D$18*AG648^3+BMILMS!$E$18*AG648^2+BMILMS!$F$18*AG648+BMILMS!$G$18)))</f>
        <v>8.8969350000000003E-2</v>
      </c>
      <c r="AG648" s="24">
        <f t="shared" ref="AG648:AG711" si="176">U648*12+V648</f>
        <v>0</v>
      </c>
      <c r="AI648" s="38">
        <f>IF(D648="M",WeightSDS!P$5*$AG648^7+WeightSDS!Q$5*$AG648^6+WeightSDS!R$5*$AG648^5+WeightSDS!S$5*$AG648^4+WeightSDS!T$5*$AG648^3+WeightSDS!U$5*$AG648^2+WeightSDS!V$5*$AG648+WeightSDS!W$5,IF($AG648&lt;186,WeightSDS!P$8*$AG648^7+WeightSDS!Q$8*$AG648^6+WeightSDS!R$8*$AG648^5+WeightSDS!S$8*$AG648^4+WeightSDS!T$8*$AG648^3+WeightSDS!U$8*$AG648^2+WeightSDS!V$8*$AG648+WeightSDS!W$8,WeightSDS!$U$9-WeightSDS!$V$9*($AG648-WeightSDS!$W$9)))</f>
        <v>0.75407122999999998</v>
      </c>
      <c r="AJ648" s="24">
        <f>IF(D648="M",IF($AG648&lt;45,WeightSDS!M$23*$AG648^10+WeightSDS!N$23*$AG648^9+WeightSDS!O$23*$AG648^8+WeightSDS!P$23*$AG648^7+WeightSDS!Q$23*$AG648^6+WeightSDS!R$23*$AG648^5+WeightSDS!S$23*$AG648^4+WeightSDS!T$23*$AG648^3+WeightSDS!U$23*$AG648^2+WeightSDS!V$23*$AG648+WeightSDS!W$23,IF($AG648&lt;153,WeightSDS!M$25*$AG648^10+WeightSDS!N$25*$AG648^9+WeightSDS!O$25*$AG648^8+WeightSDS!P$25*$AG648^7+WeightSDS!Q$25*$AG648^6+WeightSDS!R$25*$AG648^5+WeightSDS!S$25*$AG648^4+WeightSDS!T$25*$AG648^3+WeightSDS!U$25*$AG648^2+WeightSDS!V$25*$AG648+WeightSDS!W$25,WeightSDS!M$27+WeightSDS!N$27/(1+EXP(WeightSDS!O$27+WeightSDS!P$27*$AG648)))),IF($AG648&lt;43.8,WeightSDS!M$29*$AG648^10+WeightSDS!N$29*$AG648^9+WeightSDS!O$29*$AG648^8+WeightSDS!P$29*$AG648^7+WeightSDS!Q$29*$AG648^6+WeightSDS!R$29*$AG648^5+WeightSDS!S$29*$AG648^4+WeightSDS!T$29*$AG648^3+WeightSDS!U$29*$AG648^2+WeightSDS!V$29*$AG648+WeightSDS!W$29-0.010431*(1-$AG648/210),IF($AG648&lt;123,WeightSDS!M$30*$AG648^10+WeightSDS!N$30*$AG648^9+WeightSDS!O$30*$AG648^8+WeightSDS!P$30*$AG648^7+WeightSDS!Q$30*$AG648^6+WeightSDS!R$30*$AG648^5+WeightSDS!S$30*$AG648^4+WeightSDS!T$30*$AG648^3+WeightSDS!U$30*$AG648^2+WeightSDS!V$30*$AG648+WeightSDS!W$30-0.010431*(1-1/$AG648),WeightSDS!M$32+WeightSDS!N$32/(1+EXP(WeightSDS!O$32+WeightSDS!P$32*$AG648))-0.010431*(1-$AG648/210))))</f>
        <v>2.9500001032655536</v>
      </c>
      <c r="AK648" s="24">
        <f>IF(D648="M",IF($AG648&lt;162,WeightSDS!P$12*$AG648^7+WeightSDS!Q$12*$AG648^6+WeightSDS!R$12*$AG648^5+WeightSDS!S$12*$AG648^4+WeightSDS!T$12*$AG648^3+WeightSDS!U$12*$AG648^2+WeightSDS!V$12*$AG648+WeightSDS!W$12,WeightSDS!P$14*$AG648^7+WeightSDS!Q$14*$AG648^6+WeightSDS!R$14*$AG648^5+WeightSDS!S$14*$AG648^4+WeightSDS!T$14*$AG648^3+WeightSDS!U$14*$AG648^2+WeightSDS!V$14*$AG648+WeightSDS!W$14),IF($AG648&lt;156,WeightSDS!O$17*$AG648^8+WeightSDS!P$17*$AG648^7+WeightSDS!Q$17*$AG648^6+WeightSDS!R$17*$AG648^5+WeightSDS!S$17*$AG648^4+WeightSDS!T$17*$AG648^3+WeightSDS!U$17*$AG648^2+WeightSDS!V$17*$AG648+WeightSDS!W$17,IF($AG648&lt;186,WeightSDS!$U$18+(WeightSDS!$V$18-WeightSDS!$U$18)/24*($AG648-186)+WeightSDS!$W$18*(-$AG648+186)^2-0.005,WeightSDS!$U$18+(WeightSDS!$V$18-WeightSDS!$U$18)/24*($AG648-186)-0.005)))</f>
        <v>0.14604529399999999</v>
      </c>
    </row>
    <row r="649" spans="1:37">
      <c r="A649" s="4"/>
      <c r="B649" s="21"/>
      <c r="C649" s="21"/>
      <c r="D649" s="21"/>
      <c r="E649" s="22"/>
      <c r="F649" s="22"/>
      <c r="G649" s="23"/>
      <c r="H649" s="23"/>
      <c r="I649" s="8" t="str">
        <f t="shared" si="162"/>
        <v/>
      </c>
      <c r="J649" s="2" t="str">
        <f t="shared" si="169"/>
        <v/>
      </c>
      <c r="K649" s="2" t="str">
        <f t="shared" si="163"/>
        <v/>
      </c>
      <c r="L649" s="2" t="str">
        <f t="shared" si="170"/>
        <v/>
      </c>
      <c r="M649" s="2" t="str">
        <f t="shared" si="175"/>
        <v/>
      </c>
      <c r="N649" s="2" t="str">
        <f t="shared" si="171"/>
        <v/>
      </c>
      <c r="O649" s="8" t="str">
        <f t="shared" si="172"/>
        <v/>
      </c>
      <c r="P649" s="8" t="str">
        <f t="shared" si="173"/>
        <v/>
      </c>
      <c r="Q649" s="40" t="str">
        <f t="shared" si="164"/>
        <v/>
      </c>
      <c r="R649" s="48" t="str">
        <f t="shared" si="174"/>
        <v/>
      </c>
      <c r="S649" s="8"/>
      <c r="U649" s="35">
        <f t="shared" si="165"/>
        <v>0</v>
      </c>
      <c r="V649" s="24">
        <f t="shared" si="166"/>
        <v>0</v>
      </c>
      <c r="W649" s="41">
        <f t="shared" si="161"/>
        <v>0</v>
      </c>
      <c r="X649" s="31"/>
      <c r="Y649" s="31"/>
      <c r="Z649" s="31"/>
      <c r="AA649" s="25">
        <f t="shared" si="167"/>
        <v>9.0359999999999996</v>
      </c>
      <c r="AB649" s="25">
        <f t="shared" si="168"/>
        <v>-184.49199999999999</v>
      </c>
      <c r="AD649" s="24">
        <f>IF(D649="M",IF(AG649&lt;78,BMILMS!$D$5*AG649^3+BMILMS!$E$5*AG649^2+BMILMS!$F$5*AG649+BMILMS!$G$5,IF(AG649&lt;150,BMILMS!$D$6*AG649^3+BMILMS!$E$6*AG649^2+BMILMS!$F$6*AG649+BMILMS!$G$6,BMILMS!$D$7*AG649^3+BMILMS!$E$7*AG649^2+BMILMS!$F$7*AG649+BMILMS!$G$7)),IF(AG649&lt;69,BMILMS!$D$9*AG649^3+BMILMS!$E$9*AG649^2+BMILMS!$F$9*AG649+BMILMS!$G$9,IF(AG649&lt;150,BMILMS!$D$10*AG649^3+BMILMS!$E$10*AG649^2+BMILMS!$F$10*AG649+BMILMS!$G$10,BMILMS!$D$11*AG649^3+BMILMS!$E$11*AG649^2+BMILMS!$F$11*AG649+BMILMS!$G$11)))</f>
        <v>0.79584630099999998</v>
      </c>
      <c r="AE649" s="24">
        <f>IF(D649="M",(IF(AG649&lt;2.5,BMILMS!$D$21*AG649^3+BMILMS!$E$21*AG649^2+BMILMS!$F$21*AG649+BMILMS!$G$21,IF(AG649&lt;9.5,BMILMS!$D$22*AG649^3+BMILMS!$E$22*AG649^2+BMILMS!$F$22*AG649+BMILMS!$G$22,IF(AG649&lt;26.75,BMILMS!$D$23*AG649^3+BMILMS!$E$23*AG649^2+BMILMS!$F$23*AG649+BMILMS!$G$23,IF(AG649&lt;90,BMILMS!$D$24*AG649^3+BMILMS!$E$24*AG649^2+BMILMS!$F$24*AG649+BMILMS!$G$24,BMILMS!$D$25*AG649^3+BMILMS!$E$25*AG649^2+BMILMS!$F$25*AG649+BMILMS!$G$25))))),(IF(AG649&lt;2.5,BMILMS!$D$27*AG649^3+BMILMS!$E$27*AG649^2+BMILMS!$F$27*AG649+BMILMS!$G$27,IF(AG649&lt;9.5,BMILMS!$D$28*AG649^3+BMILMS!$E$28*AG649^2+BMILMS!$F$28*AG649+BMILMS!$G$28,IF(AG649&lt;26.75,BMILMS!$D$29*AG649^3+BMILMS!$E$29*AG649^2+BMILMS!$F$29*AG649+BMILMS!$G$29,IF(AG649&lt;90,BMILMS!$D$30*AG649^3+BMILMS!$E$30*AG649^2+BMILMS!$F$30*AG649+BMILMS!$G$30,IF(AG649&lt;150,BMILMS!$D$31*AG649^3+BMILMS!$E$31*AG649^2+BMILMS!$F$31*AG649+BMILMS!$G$31,BMILMS!$D$32*AG649^3+BMILMS!$E$32*AG649^2+BMILMS!$F$32*AG649+BMILMS!$G$32)))))))</f>
        <v>12.568967990000001</v>
      </c>
      <c r="AF649" s="24">
        <f>IF(D649="M",(IF(AG649&lt;90,BMILMS!$D$14*AG649^3+BMILMS!$E$14*AG649^2+BMILMS!$F$14*AG649+BMILMS!$G$14,BMILMS!$D$15*AG649^3+BMILMS!$E$15*AG649^2+BMILMS!$F$15*AG649+BMILMS!$G$15)),(IF(AG649&lt;90,BMILMS!$D$17*AG649^3+BMILMS!$E$17*AG649^2+BMILMS!$F$17*AG649+BMILMS!$G$17,BMILMS!$D$18*AG649^3+BMILMS!$E$18*AG649^2+BMILMS!$F$18*AG649+BMILMS!$G$18)))</f>
        <v>8.8969350000000003E-2</v>
      </c>
      <c r="AG649" s="24">
        <f t="shared" si="176"/>
        <v>0</v>
      </c>
      <c r="AI649" s="38">
        <f>IF(D649="M",WeightSDS!P$5*$AG649^7+WeightSDS!Q$5*$AG649^6+WeightSDS!R$5*$AG649^5+WeightSDS!S$5*$AG649^4+WeightSDS!T$5*$AG649^3+WeightSDS!U$5*$AG649^2+WeightSDS!V$5*$AG649+WeightSDS!W$5,IF($AG649&lt;186,WeightSDS!P$8*$AG649^7+WeightSDS!Q$8*$AG649^6+WeightSDS!R$8*$AG649^5+WeightSDS!S$8*$AG649^4+WeightSDS!T$8*$AG649^3+WeightSDS!U$8*$AG649^2+WeightSDS!V$8*$AG649+WeightSDS!W$8,WeightSDS!$U$9-WeightSDS!$V$9*($AG649-WeightSDS!$W$9)))</f>
        <v>0.75407122999999998</v>
      </c>
      <c r="AJ649" s="24">
        <f>IF(D649="M",IF($AG649&lt;45,WeightSDS!M$23*$AG649^10+WeightSDS!N$23*$AG649^9+WeightSDS!O$23*$AG649^8+WeightSDS!P$23*$AG649^7+WeightSDS!Q$23*$AG649^6+WeightSDS!R$23*$AG649^5+WeightSDS!S$23*$AG649^4+WeightSDS!T$23*$AG649^3+WeightSDS!U$23*$AG649^2+WeightSDS!V$23*$AG649+WeightSDS!W$23,IF($AG649&lt;153,WeightSDS!M$25*$AG649^10+WeightSDS!N$25*$AG649^9+WeightSDS!O$25*$AG649^8+WeightSDS!P$25*$AG649^7+WeightSDS!Q$25*$AG649^6+WeightSDS!R$25*$AG649^5+WeightSDS!S$25*$AG649^4+WeightSDS!T$25*$AG649^3+WeightSDS!U$25*$AG649^2+WeightSDS!V$25*$AG649+WeightSDS!W$25,WeightSDS!M$27+WeightSDS!N$27/(1+EXP(WeightSDS!O$27+WeightSDS!P$27*$AG649)))),IF($AG649&lt;43.8,WeightSDS!M$29*$AG649^10+WeightSDS!N$29*$AG649^9+WeightSDS!O$29*$AG649^8+WeightSDS!P$29*$AG649^7+WeightSDS!Q$29*$AG649^6+WeightSDS!R$29*$AG649^5+WeightSDS!S$29*$AG649^4+WeightSDS!T$29*$AG649^3+WeightSDS!U$29*$AG649^2+WeightSDS!V$29*$AG649+WeightSDS!W$29-0.010431*(1-$AG649/210),IF($AG649&lt;123,WeightSDS!M$30*$AG649^10+WeightSDS!N$30*$AG649^9+WeightSDS!O$30*$AG649^8+WeightSDS!P$30*$AG649^7+WeightSDS!Q$30*$AG649^6+WeightSDS!R$30*$AG649^5+WeightSDS!S$30*$AG649^4+WeightSDS!T$30*$AG649^3+WeightSDS!U$30*$AG649^2+WeightSDS!V$30*$AG649+WeightSDS!W$30-0.010431*(1-1/$AG649),WeightSDS!M$32+WeightSDS!N$32/(1+EXP(WeightSDS!O$32+WeightSDS!P$32*$AG649))-0.010431*(1-$AG649/210))))</f>
        <v>2.9500001032655536</v>
      </c>
      <c r="AK649" s="24">
        <f>IF(D649="M",IF($AG649&lt;162,WeightSDS!P$12*$AG649^7+WeightSDS!Q$12*$AG649^6+WeightSDS!R$12*$AG649^5+WeightSDS!S$12*$AG649^4+WeightSDS!T$12*$AG649^3+WeightSDS!U$12*$AG649^2+WeightSDS!V$12*$AG649+WeightSDS!W$12,WeightSDS!P$14*$AG649^7+WeightSDS!Q$14*$AG649^6+WeightSDS!R$14*$AG649^5+WeightSDS!S$14*$AG649^4+WeightSDS!T$14*$AG649^3+WeightSDS!U$14*$AG649^2+WeightSDS!V$14*$AG649+WeightSDS!W$14),IF($AG649&lt;156,WeightSDS!O$17*$AG649^8+WeightSDS!P$17*$AG649^7+WeightSDS!Q$17*$AG649^6+WeightSDS!R$17*$AG649^5+WeightSDS!S$17*$AG649^4+WeightSDS!T$17*$AG649^3+WeightSDS!U$17*$AG649^2+WeightSDS!V$17*$AG649+WeightSDS!W$17,IF($AG649&lt;186,WeightSDS!$U$18+(WeightSDS!$V$18-WeightSDS!$U$18)/24*($AG649-186)+WeightSDS!$W$18*(-$AG649+186)^2-0.005,WeightSDS!$U$18+(WeightSDS!$V$18-WeightSDS!$U$18)/24*($AG649-186)-0.005)))</f>
        <v>0.14604529399999999</v>
      </c>
    </row>
    <row r="650" spans="1:37">
      <c r="A650" s="4"/>
      <c r="B650" s="21"/>
      <c r="C650" s="21"/>
      <c r="D650" s="21"/>
      <c r="E650" s="22"/>
      <c r="F650" s="22"/>
      <c r="G650" s="23"/>
      <c r="H650" s="23"/>
      <c r="I650" s="8" t="str">
        <f t="shared" si="162"/>
        <v/>
      </c>
      <c r="J650" s="2" t="str">
        <f t="shared" si="169"/>
        <v/>
      </c>
      <c r="K650" s="2" t="str">
        <f t="shared" si="163"/>
        <v/>
      </c>
      <c r="L650" s="2" t="str">
        <f t="shared" si="170"/>
        <v/>
      </c>
      <c r="M650" s="2" t="str">
        <f t="shared" si="175"/>
        <v/>
      </c>
      <c r="N650" s="2" t="str">
        <f t="shared" si="171"/>
        <v/>
      </c>
      <c r="O650" s="8" t="str">
        <f t="shared" si="172"/>
        <v/>
      </c>
      <c r="P650" s="8" t="str">
        <f t="shared" si="173"/>
        <v/>
      </c>
      <c r="Q650" s="40" t="str">
        <f t="shared" si="164"/>
        <v/>
      </c>
      <c r="R650" s="48" t="str">
        <f t="shared" si="174"/>
        <v/>
      </c>
      <c r="S650" s="8"/>
      <c r="U650" s="35">
        <f t="shared" si="165"/>
        <v>0</v>
      </c>
      <c r="V650" s="24">
        <f t="shared" si="166"/>
        <v>0</v>
      </c>
      <c r="W650" s="41">
        <f t="shared" si="161"/>
        <v>0</v>
      </c>
      <c r="X650" s="31"/>
      <c r="Y650" s="31"/>
      <c r="Z650" s="31"/>
      <c r="AA650" s="25">
        <f t="shared" si="167"/>
        <v>9.0359999999999996</v>
      </c>
      <c r="AB650" s="25">
        <f t="shared" si="168"/>
        <v>-184.49199999999999</v>
      </c>
      <c r="AD650" s="24">
        <f>IF(D650="M",IF(AG650&lt;78,BMILMS!$D$5*AG650^3+BMILMS!$E$5*AG650^2+BMILMS!$F$5*AG650+BMILMS!$G$5,IF(AG650&lt;150,BMILMS!$D$6*AG650^3+BMILMS!$E$6*AG650^2+BMILMS!$F$6*AG650+BMILMS!$G$6,BMILMS!$D$7*AG650^3+BMILMS!$E$7*AG650^2+BMILMS!$F$7*AG650+BMILMS!$G$7)),IF(AG650&lt;69,BMILMS!$D$9*AG650^3+BMILMS!$E$9*AG650^2+BMILMS!$F$9*AG650+BMILMS!$G$9,IF(AG650&lt;150,BMILMS!$D$10*AG650^3+BMILMS!$E$10*AG650^2+BMILMS!$F$10*AG650+BMILMS!$G$10,BMILMS!$D$11*AG650^3+BMILMS!$E$11*AG650^2+BMILMS!$F$11*AG650+BMILMS!$G$11)))</f>
        <v>0.79584630099999998</v>
      </c>
      <c r="AE650" s="24">
        <f>IF(D650="M",(IF(AG650&lt;2.5,BMILMS!$D$21*AG650^3+BMILMS!$E$21*AG650^2+BMILMS!$F$21*AG650+BMILMS!$G$21,IF(AG650&lt;9.5,BMILMS!$D$22*AG650^3+BMILMS!$E$22*AG650^2+BMILMS!$F$22*AG650+BMILMS!$G$22,IF(AG650&lt;26.75,BMILMS!$D$23*AG650^3+BMILMS!$E$23*AG650^2+BMILMS!$F$23*AG650+BMILMS!$G$23,IF(AG650&lt;90,BMILMS!$D$24*AG650^3+BMILMS!$E$24*AG650^2+BMILMS!$F$24*AG650+BMILMS!$G$24,BMILMS!$D$25*AG650^3+BMILMS!$E$25*AG650^2+BMILMS!$F$25*AG650+BMILMS!$G$25))))),(IF(AG650&lt;2.5,BMILMS!$D$27*AG650^3+BMILMS!$E$27*AG650^2+BMILMS!$F$27*AG650+BMILMS!$G$27,IF(AG650&lt;9.5,BMILMS!$D$28*AG650^3+BMILMS!$E$28*AG650^2+BMILMS!$F$28*AG650+BMILMS!$G$28,IF(AG650&lt;26.75,BMILMS!$D$29*AG650^3+BMILMS!$E$29*AG650^2+BMILMS!$F$29*AG650+BMILMS!$G$29,IF(AG650&lt;90,BMILMS!$D$30*AG650^3+BMILMS!$E$30*AG650^2+BMILMS!$F$30*AG650+BMILMS!$G$30,IF(AG650&lt;150,BMILMS!$D$31*AG650^3+BMILMS!$E$31*AG650^2+BMILMS!$F$31*AG650+BMILMS!$G$31,BMILMS!$D$32*AG650^3+BMILMS!$E$32*AG650^2+BMILMS!$F$32*AG650+BMILMS!$G$32)))))))</f>
        <v>12.568967990000001</v>
      </c>
      <c r="AF650" s="24">
        <f>IF(D650="M",(IF(AG650&lt;90,BMILMS!$D$14*AG650^3+BMILMS!$E$14*AG650^2+BMILMS!$F$14*AG650+BMILMS!$G$14,BMILMS!$D$15*AG650^3+BMILMS!$E$15*AG650^2+BMILMS!$F$15*AG650+BMILMS!$G$15)),(IF(AG650&lt;90,BMILMS!$D$17*AG650^3+BMILMS!$E$17*AG650^2+BMILMS!$F$17*AG650+BMILMS!$G$17,BMILMS!$D$18*AG650^3+BMILMS!$E$18*AG650^2+BMILMS!$F$18*AG650+BMILMS!$G$18)))</f>
        <v>8.8969350000000003E-2</v>
      </c>
      <c r="AG650" s="24">
        <f t="shared" si="176"/>
        <v>0</v>
      </c>
      <c r="AI650" s="38">
        <f>IF(D650="M",WeightSDS!P$5*$AG650^7+WeightSDS!Q$5*$AG650^6+WeightSDS!R$5*$AG650^5+WeightSDS!S$5*$AG650^4+WeightSDS!T$5*$AG650^3+WeightSDS!U$5*$AG650^2+WeightSDS!V$5*$AG650+WeightSDS!W$5,IF($AG650&lt;186,WeightSDS!P$8*$AG650^7+WeightSDS!Q$8*$AG650^6+WeightSDS!R$8*$AG650^5+WeightSDS!S$8*$AG650^4+WeightSDS!T$8*$AG650^3+WeightSDS!U$8*$AG650^2+WeightSDS!V$8*$AG650+WeightSDS!W$8,WeightSDS!$U$9-WeightSDS!$V$9*($AG650-WeightSDS!$W$9)))</f>
        <v>0.75407122999999998</v>
      </c>
      <c r="AJ650" s="24">
        <f>IF(D650="M",IF($AG650&lt;45,WeightSDS!M$23*$AG650^10+WeightSDS!N$23*$AG650^9+WeightSDS!O$23*$AG650^8+WeightSDS!P$23*$AG650^7+WeightSDS!Q$23*$AG650^6+WeightSDS!R$23*$AG650^5+WeightSDS!S$23*$AG650^4+WeightSDS!T$23*$AG650^3+WeightSDS!U$23*$AG650^2+WeightSDS!V$23*$AG650+WeightSDS!W$23,IF($AG650&lt;153,WeightSDS!M$25*$AG650^10+WeightSDS!N$25*$AG650^9+WeightSDS!O$25*$AG650^8+WeightSDS!P$25*$AG650^7+WeightSDS!Q$25*$AG650^6+WeightSDS!R$25*$AG650^5+WeightSDS!S$25*$AG650^4+WeightSDS!T$25*$AG650^3+WeightSDS!U$25*$AG650^2+WeightSDS!V$25*$AG650+WeightSDS!W$25,WeightSDS!M$27+WeightSDS!N$27/(1+EXP(WeightSDS!O$27+WeightSDS!P$27*$AG650)))),IF($AG650&lt;43.8,WeightSDS!M$29*$AG650^10+WeightSDS!N$29*$AG650^9+WeightSDS!O$29*$AG650^8+WeightSDS!P$29*$AG650^7+WeightSDS!Q$29*$AG650^6+WeightSDS!R$29*$AG650^5+WeightSDS!S$29*$AG650^4+WeightSDS!T$29*$AG650^3+WeightSDS!U$29*$AG650^2+WeightSDS!V$29*$AG650+WeightSDS!W$29-0.010431*(1-$AG650/210),IF($AG650&lt;123,WeightSDS!M$30*$AG650^10+WeightSDS!N$30*$AG650^9+WeightSDS!O$30*$AG650^8+WeightSDS!P$30*$AG650^7+WeightSDS!Q$30*$AG650^6+WeightSDS!R$30*$AG650^5+WeightSDS!S$30*$AG650^4+WeightSDS!T$30*$AG650^3+WeightSDS!U$30*$AG650^2+WeightSDS!V$30*$AG650+WeightSDS!W$30-0.010431*(1-1/$AG650),WeightSDS!M$32+WeightSDS!N$32/(1+EXP(WeightSDS!O$32+WeightSDS!P$32*$AG650))-0.010431*(1-$AG650/210))))</f>
        <v>2.9500001032655536</v>
      </c>
      <c r="AK650" s="24">
        <f>IF(D650="M",IF($AG650&lt;162,WeightSDS!P$12*$AG650^7+WeightSDS!Q$12*$AG650^6+WeightSDS!R$12*$AG650^5+WeightSDS!S$12*$AG650^4+WeightSDS!T$12*$AG650^3+WeightSDS!U$12*$AG650^2+WeightSDS!V$12*$AG650+WeightSDS!W$12,WeightSDS!P$14*$AG650^7+WeightSDS!Q$14*$AG650^6+WeightSDS!R$14*$AG650^5+WeightSDS!S$14*$AG650^4+WeightSDS!T$14*$AG650^3+WeightSDS!U$14*$AG650^2+WeightSDS!V$14*$AG650+WeightSDS!W$14),IF($AG650&lt;156,WeightSDS!O$17*$AG650^8+WeightSDS!P$17*$AG650^7+WeightSDS!Q$17*$AG650^6+WeightSDS!R$17*$AG650^5+WeightSDS!S$17*$AG650^4+WeightSDS!T$17*$AG650^3+WeightSDS!U$17*$AG650^2+WeightSDS!V$17*$AG650+WeightSDS!W$17,IF($AG650&lt;186,WeightSDS!$U$18+(WeightSDS!$V$18-WeightSDS!$U$18)/24*($AG650-186)+WeightSDS!$W$18*(-$AG650+186)^2-0.005,WeightSDS!$U$18+(WeightSDS!$V$18-WeightSDS!$U$18)/24*($AG650-186)-0.005)))</f>
        <v>0.14604529399999999</v>
      </c>
    </row>
    <row r="651" spans="1:37">
      <c r="A651" s="4"/>
      <c r="B651" s="21"/>
      <c r="C651" s="21"/>
      <c r="D651" s="21"/>
      <c r="E651" s="22"/>
      <c r="F651" s="22"/>
      <c r="G651" s="23"/>
      <c r="H651" s="23"/>
      <c r="I651" s="8" t="str">
        <f t="shared" si="162"/>
        <v/>
      </c>
      <c r="J651" s="2" t="str">
        <f t="shared" si="169"/>
        <v/>
      </c>
      <c r="K651" s="2" t="str">
        <f t="shared" si="163"/>
        <v/>
      </c>
      <c r="L651" s="2" t="str">
        <f t="shared" si="170"/>
        <v/>
      </c>
      <c r="M651" s="2" t="str">
        <f t="shared" si="175"/>
        <v/>
      </c>
      <c r="N651" s="2" t="str">
        <f t="shared" si="171"/>
        <v/>
      </c>
      <c r="O651" s="8" t="str">
        <f t="shared" si="172"/>
        <v/>
      </c>
      <c r="P651" s="8" t="str">
        <f t="shared" si="173"/>
        <v/>
      </c>
      <c r="Q651" s="40" t="str">
        <f t="shared" si="164"/>
        <v/>
      </c>
      <c r="R651" s="48" t="str">
        <f t="shared" si="174"/>
        <v/>
      </c>
      <c r="S651" s="8"/>
      <c r="U651" s="35">
        <f t="shared" si="165"/>
        <v>0</v>
      </c>
      <c r="V651" s="24">
        <f t="shared" si="166"/>
        <v>0</v>
      </c>
      <c r="W651" s="41">
        <f t="shared" si="161"/>
        <v>0</v>
      </c>
      <c r="X651" s="31"/>
      <c r="Y651" s="31"/>
      <c r="Z651" s="31"/>
      <c r="AA651" s="25">
        <f t="shared" si="167"/>
        <v>9.0359999999999996</v>
      </c>
      <c r="AB651" s="25">
        <f t="shared" si="168"/>
        <v>-184.49199999999999</v>
      </c>
      <c r="AD651" s="24">
        <f>IF(D651="M",IF(AG651&lt;78,BMILMS!$D$5*AG651^3+BMILMS!$E$5*AG651^2+BMILMS!$F$5*AG651+BMILMS!$G$5,IF(AG651&lt;150,BMILMS!$D$6*AG651^3+BMILMS!$E$6*AG651^2+BMILMS!$F$6*AG651+BMILMS!$G$6,BMILMS!$D$7*AG651^3+BMILMS!$E$7*AG651^2+BMILMS!$F$7*AG651+BMILMS!$G$7)),IF(AG651&lt;69,BMILMS!$D$9*AG651^3+BMILMS!$E$9*AG651^2+BMILMS!$F$9*AG651+BMILMS!$G$9,IF(AG651&lt;150,BMILMS!$D$10*AG651^3+BMILMS!$E$10*AG651^2+BMILMS!$F$10*AG651+BMILMS!$G$10,BMILMS!$D$11*AG651^3+BMILMS!$E$11*AG651^2+BMILMS!$F$11*AG651+BMILMS!$G$11)))</f>
        <v>0.79584630099999998</v>
      </c>
      <c r="AE651" s="24">
        <f>IF(D651="M",(IF(AG651&lt;2.5,BMILMS!$D$21*AG651^3+BMILMS!$E$21*AG651^2+BMILMS!$F$21*AG651+BMILMS!$G$21,IF(AG651&lt;9.5,BMILMS!$D$22*AG651^3+BMILMS!$E$22*AG651^2+BMILMS!$F$22*AG651+BMILMS!$G$22,IF(AG651&lt;26.75,BMILMS!$D$23*AG651^3+BMILMS!$E$23*AG651^2+BMILMS!$F$23*AG651+BMILMS!$G$23,IF(AG651&lt;90,BMILMS!$D$24*AG651^3+BMILMS!$E$24*AG651^2+BMILMS!$F$24*AG651+BMILMS!$G$24,BMILMS!$D$25*AG651^3+BMILMS!$E$25*AG651^2+BMILMS!$F$25*AG651+BMILMS!$G$25))))),(IF(AG651&lt;2.5,BMILMS!$D$27*AG651^3+BMILMS!$E$27*AG651^2+BMILMS!$F$27*AG651+BMILMS!$G$27,IF(AG651&lt;9.5,BMILMS!$D$28*AG651^3+BMILMS!$E$28*AG651^2+BMILMS!$F$28*AG651+BMILMS!$G$28,IF(AG651&lt;26.75,BMILMS!$D$29*AG651^3+BMILMS!$E$29*AG651^2+BMILMS!$F$29*AG651+BMILMS!$G$29,IF(AG651&lt;90,BMILMS!$D$30*AG651^3+BMILMS!$E$30*AG651^2+BMILMS!$F$30*AG651+BMILMS!$G$30,IF(AG651&lt;150,BMILMS!$D$31*AG651^3+BMILMS!$E$31*AG651^2+BMILMS!$F$31*AG651+BMILMS!$G$31,BMILMS!$D$32*AG651^3+BMILMS!$E$32*AG651^2+BMILMS!$F$32*AG651+BMILMS!$G$32)))))))</f>
        <v>12.568967990000001</v>
      </c>
      <c r="AF651" s="24">
        <f>IF(D651="M",(IF(AG651&lt;90,BMILMS!$D$14*AG651^3+BMILMS!$E$14*AG651^2+BMILMS!$F$14*AG651+BMILMS!$G$14,BMILMS!$D$15*AG651^3+BMILMS!$E$15*AG651^2+BMILMS!$F$15*AG651+BMILMS!$G$15)),(IF(AG651&lt;90,BMILMS!$D$17*AG651^3+BMILMS!$E$17*AG651^2+BMILMS!$F$17*AG651+BMILMS!$G$17,BMILMS!$D$18*AG651^3+BMILMS!$E$18*AG651^2+BMILMS!$F$18*AG651+BMILMS!$G$18)))</f>
        <v>8.8969350000000003E-2</v>
      </c>
      <c r="AG651" s="24">
        <f t="shared" si="176"/>
        <v>0</v>
      </c>
      <c r="AI651" s="38">
        <f>IF(D651="M",WeightSDS!P$5*$AG651^7+WeightSDS!Q$5*$AG651^6+WeightSDS!R$5*$AG651^5+WeightSDS!S$5*$AG651^4+WeightSDS!T$5*$AG651^3+WeightSDS!U$5*$AG651^2+WeightSDS!V$5*$AG651+WeightSDS!W$5,IF($AG651&lt;186,WeightSDS!P$8*$AG651^7+WeightSDS!Q$8*$AG651^6+WeightSDS!R$8*$AG651^5+WeightSDS!S$8*$AG651^4+WeightSDS!T$8*$AG651^3+WeightSDS!U$8*$AG651^2+WeightSDS!V$8*$AG651+WeightSDS!W$8,WeightSDS!$U$9-WeightSDS!$V$9*($AG651-WeightSDS!$W$9)))</f>
        <v>0.75407122999999998</v>
      </c>
      <c r="AJ651" s="24">
        <f>IF(D651="M",IF($AG651&lt;45,WeightSDS!M$23*$AG651^10+WeightSDS!N$23*$AG651^9+WeightSDS!O$23*$AG651^8+WeightSDS!P$23*$AG651^7+WeightSDS!Q$23*$AG651^6+WeightSDS!R$23*$AG651^5+WeightSDS!S$23*$AG651^4+WeightSDS!T$23*$AG651^3+WeightSDS!U$23*$AG651^2+WeightSDS!V$23*$AG651+WeightSDS!W$23,IF($AG651&lt;153,WeightSDS!M$25*$AG651^10+WeightSDS!N$25*$AG651^9+WeightSDS!O$25*$AG651^8+WeightSDS!P$25*$AG651^7+WeightSDS!Q$25*$AG651^6+WeightSDS!R$25*$AG651^5+WeightSDS!S$25*$AG651^4+WeightSDS!T$25*$AG651^3+WeightSDS!U$25*$AG651^2+WeightSDS!V$25*$AG651+WeightSDS!W$25,WeightSDS!M$27+WeightSDS!N$27/(1+EXP(WeightSDS!O$27+WeightSDS!P$27*$AG651)))),IF($AG651&lt;43.8,WeightSDS!M$29*$AG651^10+WeightSDS!N$29*$AG651^9+WeightSDS!O$29*$AG651^8+WeightSDS!P$29*$AG651^7+WeightSDS!Q$29*$AG651^6+WeightSDS!R$29*$AG651^5+WeightSDS!S$29*$AG651^4+WeightSDS!T$29*$AG651^3+WeightSDS!U$29*$AG651^2+WeightSDS!V$29*$AG651+WeightSDS!W$29-0.010431*(1-$AG651/210),IF($AG651&lt;123,WeightSDS!M$30*$AG651^10+WeightSDS!N$30*$AG651^9+WeightSDS!O$30*$AG651^8+WeightSDS!P$30*$AG651^7+WeightSDS!Q$30*$AG651^6+WeightSDS!R$30*$AG651^5+WeightSDS!S$30*$AG651^4+WeightSDS!T$30*$AG651^3+WeightSDS!U$30*$AG651^2+WeightSDS!V$30*$AG651+WeightSDS!W$30-0.010431*(1-1/$AG651),WeightSDS!M$32+WeightSDS!N$32/(1+EXP(WeightSDS!O$32+WeightSDS!P$32*$AG651))-0.010431*(1-$AG651/210))))</f>
        <v>2.9500001032655536</v>
      </c>
      <c r="AK651" s="24">
        <f>IF(D651="M",IF($AG651&lt;162,WeightSDS!P$12*$AG651^7+WeightSDS!Q$12*$AG651^6+WeightSDS!R$12*$AG651^5+WeightSDS!S$12*$AG651^4+WeightSDS!T$12*$AG651^3+WeightSDS!U$12*$AG651^2+WeightSDS!V$12*$AG651+WeightSDS!W$12,WeightSDS!P$14*$AG651^7+WeightSDS!Q$14*$AG651^6+WeightSDS!R$14*$AG651^5+WeightSDS!S$14*$AG651^4+WeightSDS!T$14*$AG651^3+WeightSDS!U$14*$AG651^2+WeightSDS!V$14*$AG651+WeightSDS!W$14),IF($AG651&lt;156,WeightSDS!O$17*$AG651^8+WeightSDS!P$17*$AG651^7+WeightSDS!Q$17*$AG651^6+WeightSDS!R$17*$AG651^5+WeightSDS!S$17*$AG651^4+WeightSDS!T$17*$AG651^3+WeightSDS!U$17*$AG651^2+WeightSDS!V$17*$AG651+WeightSDS!W$17,IF($AG651&lt;186,WeightSDS!$U$18+(WeightSDS!$V$18-WeightSDS!$U$18)/24*($AG651-186)+WeightSDS!$W$18*(-$AG651+186)^2-0.005,WeightSDS!$U$18+(WeightSDS!$V$18-WeightSDS!$U$18)/24*($AG651-186)-0.005)))</f>
        <v>0.14604529399999999</v>
      </c>
    </row>
    <row r="652" spans="1:37">
      <c r="A652" s="4"/>
      <c r="B652" s="21"/>
      <c r="C652" s="21"/>
      <c r="D652" s="21"/>
      <c r="E652" s="22"/>
      <c r="F652" s="22"/>
      <c r="G652" s="23"/>
      <c r="H652" s="23"/>
      <c r="I652" s="8" t="str">
        <f t="shared" si="162"/>
        <v/>
      </c>
      <c r="J652" s="2" t="str">
        <f t="shared" si="169"/>
        <v/>
      </c>
      <c r="K652" s="2" t="str">
        <f t="shared" si="163"/>
        <v/>
      </c>
      <c r="L652" s="2" t="str">
        <f t="shared" si="170"/>
        <v/>
      </c>
      <c r="M652" s="2" t="str">
        <f t="shared" si="175"/>
        <v/>
      </c>
      <c r="N652" s="2" t="str">
        <f t="shared" si="171"/>
        <v/>
      </c>
      <c r="O652" s="8" t="str">
        <f t="shared" si="172"/>
        <v/>
      </c>
      <c r="P652" s="8" t="str">
        <f t="shared" si="173"/>
        <v/>
      </c>
      <c r="Q652" s="40" t="str">
        <f t="shared" si="164"/>
        <v/>
      </c>
      <c r="R652" s="48" t="str">
        <f t="shared" si="174"/>
        <v/>
      </c>
      <c r="S652" s="8"/>
      <c r="U652" s="35">
        <f t="shared" si="165"/>
        <v>0</v>
      </c>
      <c r="V652" s="24">
        <f t="shared" si="166"/>
        <v>0</v>
      </c>
      <c r="W652" s="41">
        <f t="shared" si="161"/>
        <v>0</v>
      </c>
      <c r="X652" s="31"/>
      <c r="Y652" s="31"/>
      <c r="Z652" s="31"/>
      <c r="AA652" s="25">
        <f t="shared" si="167"/>
        <v>9.0359999999999996</v>
      </c>
      <c r="AB652" s="25">
        <f t="shared" si="168"/>
        <v>-184.49199999999999</v>
      </c>
      <c r="AD652" s="24">
        <f>IF(D652="M",IF(AG652&lt;78,BMILMS!$D$5*AG652^3+BMILMS!$E$5*AG652^2+BMILMS!$F$5*AG652+BMILMS!$G$5,IF(AG652&lt;150,BMILMS!$D$6*AG652^3+BMILMS!$E$6*AG652^2+BMILMS!$F$6*AG652+BMILMS!$G$6,BMILMS!$D$7*AG652^3+BMILMS!$E$7*AG652^2+BMILMS!$F$7*AG652+BMILMS!$G$7)),IF(AG652&lt;69,BMILMS!$D$9*AG652^3+BMILMS!$E$9*AG652^2+BMILMS!$F$9*AG652+BMILMS!$G$9,IF(AG652&lt;150,BMILMS!$D$10*AG652^3+BMILMS!$E$10*AG652^2+BMILMS!$F$10*AG652+BMILMS!$G$10,BMILMS!$D$11*AG652^3+BMILMS!$E$11*AG652^2+BMILMS!$F$11*AG652+BMILMS!$G$11)))</f>
        <v>0.79584630099999998</v>
      </c>
      <c r="AE652" s="24">
        <f>IF(D652="M",(IF(AG652&lt;2.5,BMILMS!$D$21*AG652^3+BMILMS!$E$21*AG652^2+BMILMS!$F$21*AG652+BMILMS!$G$21,IF(AG652&lt;9.5,BMILMS!$D$22*AG652^3+BMILMS!$E$22*AG652^2+BMILMS!$F$22*AG652+BMILMS!$G$22,IF(AG652&lt;26.75,BMILMS!$D$23*AG652^3+BMILMS!$E$23*AG652^2+BMILMS!$F$23*AG652+BMILMS!$G$23,IF(AG652&lt;90,BMILMS!$D$24*AG652^3+BMILMS!$E$24*AG652^2+BMILMS!$F$24*AG652+BMILMS!$G$24,BMILMS!$D$25*AG652^3+BMILMS!$E$25*AG652^2+BMILMS!$F$25*AG652+BMILMS!$G$25))))),(IF(AG652&lt;2.5,BMILMS!$D$27*AG652^3+BMILMS!$E$27*AG652^2+BMILMS!$F$27*AG652+BMILMS!$G$27,IF(AG652&lt;9.5,BMILMS!$D$28*AG652^3+BMILMS!$E$28*AG652^2+BMILMS!$F$28*AG652+BMILMS!$G$28,IF(AG652&lt;26.75,BMILMS!$D$29*AG652^3+BMILMS!$E$29*AG652^2+BMILMS!$F$29*AG652+BMILMS!$G$29,IF(AG652&lt;90,BMILMS!$D$30*AG652^3+BMILMS!$E$30*AG652^2+BMILMS!$F$30*AG652+BMILMS!$G$30,IF(AG652&lt;150,BMILMS!$D$31*AG652^3+BMILMS!$E$31*AG652^2+BMILMS!$F$31*AG652+BMILMS!$G$31,BMILMS!$D$32*AG652^3+BMILMS!$E$32*AG652^2+BMILMS!$F$32*AG652+BMILMS!$G$32)))))))</f>
        <v>12.568967990000001</v>
      </c>
      <c r="AF652" s="24">
        <f>IF(D652="M",(IF(AG652&lt;90,BMILMS!$D$14*AG652^3+BMILMS!$E$14*AG652^2+BMILMS!$F$14*AG652+BMILMS!$G$14,BMILMS!$D$15*AG652^3+BMILMS!$E$15*AG652^2+BMILMS!$F$15*AG652+BMILMS!$G$15)),(IF(AG652&lt;90,BMILMS!$D$17*AG652^3+BMILMS!$E$17*AG652^2+BMILMS!$F$17*AG652+BMILMS!$G$17,BMILMS!$D$18*AG652^3+BMILMS!$E$18*AG652^2+BMILMS!$F$18*AG652+BMILMS!$G$18)))</f>
        <v>8.8969350000000003E-2</v>
      </c>
      <c r="AG652" s="24">
        <f t="shared" si="176"/>
        <v>0</v>
      </c>
      <c r="AI652" s="38">
        <f>IF(D652="M",WeightSDS!P$5*$AG652^7+WeightSDS!Q$5*$AG652^6+WeightSDS!R$5*$AG652^5+WeightSDS!S$5*$AG652^4+WeightSDS!T$5*$AG652^3+WeightSDS!U$5*$AG652^2+WeightSDS!V$5*$AG652+WeightSDS!W$5,IF($AG652&lt;186,WeightSDS!P$8*$AG652^7+WeightSDS!Q$8*$AG652^6+WeightSDS!R$8*$AG652^5+WeightSDS!S$8*$AG652^4+WeightSDS!T$8*$AG652^3+WeightSDS!U$8*$AG652^2+WeightSDS!V$8*$AG652+WeightSDS!W$8,WeightSDS!$U$9-WeightSDS!$V$9*($AG652-WeightSDS!$W$9)))</f>
        <v>0.75407122999999998</v>
      </c>
      <c r="AJ652" s="24">
        <f>IF(D652="M",IF($AG652&lt;45,WeightSDS!M$23*$AG652^10+WeightSDS!N$23*$AG652^9+WeightSDS!O$23*$AG652^8+WeightSDS!P$23*$AG652^7+WeightSDS!Q$23*$AG652^6+WeightSDS!R$23*$AG652^5+WeightSDS!S$23*$AG652^4+WeightSDS!T$23*$AG652^3+WeightSDS!U$23*$AG652^2+WeightSDS!V$23*$AG652+WeightSDS!W$23,IF($AG652&lt;153,WeightSDS!M$25*$AG652^10+WeightSDS!N$25*$AG652^9+WeightSDS!O$25*$AG652^8+WeightSDS!P$25*$AG652^7+WeightSDS!Q$25*$AG652^6+WeightSDS!R$25*$AG652^5+WeightSDS!S$25*$AG652^4+WeightSDS!T$25*$AG652^3+WeightSDS!U$25*$AG652^2+WeightSDS!V$25*$AG652+WeightSDS!W$25,WeightSDS!M$27+WeightSDS!N$27/(1+EXP(WeightSDS!O$27+WeightSDS!P$27*$AG652)))),IF($AG652&lt;43.8,WeightSDS!M$29*$AG652^10+WeightSDS!N$29*$AG652^9+WeightSDS!O$29*$AG652^8+WeightSDS!P$29*$AG652^7+WeightSDS!Q$29*$AG652^6+WeightSDS!R$29*$AG652^5+WeightSDS!S$29*$AG652^4+WeightSDS!T$29*$AG652^3+WeightSDS!U$29*$AG652^2+WeightSDS!V$29*$AG652+WeightSDS!W$29-0.010431*(1-$AG652/210),IF($AG652&lt;123,WeightSDS!M$30*$AG652^10+WeightSDS!N$30*$AG652^9+WeightSDS!O$30*$AG652^8+WeightSDS!P$30*$AG652^7+WeightSDS!Q$30*$AG652^6+WeightSDS!R$30*$AG652^5+WeightSDS!S$30*$AG652^4+WeightSDS!T$30*$AG652^3+WeightSDS!U$30*$AG652^2+WeightSDS!V$30*$AG652+WeightSDS!W$30-0.010431*(1-1/$AG652),WeightSDS!M$32+WeightSDS!N$32/(1+EXP(WeightSDS!O$32+WeightSDS!P$32*$AG652))-0.010431*(1-$AG652/210))))</f>
        <v>2.9500001032655536</v>
      </c>
      <c r="AK652" s="24">
        <f>IF(D652="M",IF($AG652&lt;162,WeightSDS!P$12*$AG652^7+WeightSDS!Q$12*$AG652^6+WeightSDS!R$12*$AG652^5+WeightSDS!S$12*$AG652^4+WeightSDS!T$12*$AG652^3+WeightSDS!U$12*$AG652^2+WeightSDS!V$12*$AG652+WeightSDS!W$12,WeightSDS!P$14*$AG652^7+WeightSDS!Q$14*$AG652^6+WeightSDS!R$14*$AG652^5+WeightSDS!S$14*$AG652^4+WeightSDS!T$14*$AG652^3+WeightSDS!U$14*$AG652^2+WeightSDS!V$14*$AG652+WeightSDS!W$14),IF($AG652&lt;156,WeightSDS!O$17*$AG652^8+WeightSDS!P$17*$AG652^7+WeightSDS!Q$17*$AG652^6+WeightSDS!R$17*$AG652^5+WeightSDS!S$17*$AG652^4+WeightSDS!T$17*$AG652^3+WeightSDS!U$17*$AG652^2+WeightSDS!V$17*$AG652+WeightSDS!W$17,IF($AG652&lt;186,WeightSDS!$U$18+(WeightSDS!$V$18-WeightSDS!$U$18)/24*($AG652-186)+WeightSDS!$W$18*(-$AG652+186)^2-0.005,WeightSDS!$U$18+(WeightSDS!$V$18-WeightSDS!$U$18)/24*($AG652-186)-0.005)))</f>
        <v>0.14604529399999999</v>
      </c>
    </row>
    <row r="653" spans="1:37">
      <c r="A653" s="4"/>
      <c r="B653" s="21"/>
      <c r="C653" s="21"/>
      <c r="D653" s="21"/>
      <c r="E653" s="22"/>
      <c r="F653" s="22"/>
      <c r="G653" s="23"/>
      <c r="H653" s="23"/>
      <c r="I653" s="8" t="str">
        <f t="shared" si="162"/>
        <v/>
      </c>
      <c r="J653" s="2" t="str">
        <f t="shared" si="169"/>
        <v/>
      </c>
      <c r="K653" s="2" t="str">
        <f t="shared" si="163"/>
        <v/>
      </c>
      <c r="L653" s="2" t="str">
        <f t="shared" si="170"/>
        <v/>
      </c>
      <c r="M653" s="2" t="str">
        <f t="shared" si="175"/>
        <v/>
      </c>
      <c r="N653" s="2" t="str">
        <f t="shared" si="171"/>
        <v/>
      </c>
      <c r="O653" s="8" t="str">
        <f t="shared" si="172"/>
        <v/>
      </c>
      <c r="P653" s="8" t="str">
        <f t="shared" si="173"/>
        <v/>
      </c>
      <c r="Q653" s="40" t="str">
        <f t="shared" si="164"/>
        <v/>
      </c>
      <c r="R653" s="48" t="str">
        <f t="shared" si="174"/>
        <v/>
      </c>
      <c r="S653" s="8"/>
      <c r="U653" s="35">
        <f t="shared" si="165"/>
        <v>0</v>
      </c>
      <c r="V653" s="24">
        <f t="shared" si="166"/>
        <v>0</v>
      </c>
      <c r="W653" s="41">
        <f t="shared" si="161"/>
        <v>0</v>
      </c>
      <c r="X653" s="31"/>
      <c r="Y653" s="31"/>
      <c r="Z653" s="31"/>
      <c r="AA653" s="25">
        <f t="shared" si="167"/>
        <v>9.0359999999999996</v>
      </c>
      <c r="AB653" s="25">
        <f t="shared" si="168"/>
        <v>-184.49199999999999</v>
      </c>
      <c r="AD653" s="24">
        <f>IF(D653="M",IF(AG653&lt;78,BMILMS!$D$5*AG653^3+BMILMS!$E$5*AG653^2+BMILMS!$F$5*AG653+BMILMS!$G$5,IF(AG653&lt;150,BMILMS!$D$6*AG653^3+BMILMS!$E$6*AG653^2+BMILMS!$F$6*AG653+BMILMS!$G$6,BMILMS!$D$7*AG653^3+BMILMS!$E$7*AG653^2+BMILMS!$F$7*AG653+BMILMS!$G$7)),IF(AG653&lt;69,BMILMS!$D$9*AG653^3+BMILMS!$E$9*AG653^2+BMILMS!$F$9*AG653+BMILMS!$G$9,IF(AG653&lt;150,BMILMS!$D$10*AG653^3+BMILMS!$E$10*AG653^2+BMILMS!$F$10*AG653+BMILMS!$G$10,BMILMS!$D$11*AG653^3+BMILMS!$E$11*AG653^2+BMILMS!$F$11*AG653+BMILMS!$G$11)))</f>
        <v>0.79584630099999998</v>
      </c>
      <c r="AE653" s="24">
        <f>IF(D653="M",(IF(AG653&lt;2.5,BMILMS!$D$21*AG653^3+BMILMS!$E$21*AG653^2+BMILMS!$F$21*AG653+BMILMS!$G$21,IF(AG653&lt;9.5,BMILMS!$D$22*AG653^3+BMILMS!$E$22*AG653^2+BMILMS!$F$22*AG653+BMILMS!$G$22,IF(AG653&lt;26.75,BMILMS!$D$23*AG653^3+BMILMS!$E$23*AG653^2+BMILMS!$F$23*AG653+BMILMS!$G$23,IF(AG653&lt;90,BMILMS!$D$24*AG653^3+BMILMS!$E$24*AG653^2+BMILMS!$F$24*AG653+BMILMS!$G$24,BMILMS!$D$25*AG653^3+BMILMS!$E$25*AG653^2+BMILMS!$F$25*AG653+BMILMS!$G$25))))),(IF(AG653&lt;2.5,BMILMS!$D$27*AG653^3+BMILMS!$E$27*AG653^2+BMILMS!$F$27*AG653+BMILMS!$G$27,IF(AG653&lt;9.5,BMILMS!$D$28*AG653^3+BMILMS!$E$28*AG653^2+BMILMS!$F$28*AG653+BMILMS!$G$28,IF(AG653&lt;26.75,BMILMS!$D$29*AG653^3+BMILMS!$E$29*AG653^2+BMILMS!$F$29*AG653+BMILMS!$G$29,IF(AG653&lt;90,BMILMS!$D$30*AG653^3+BMILMS!$E$30*AG653^2+BMILMS!$F$30*AG653+BMILMS!$G$30,IF(AG653&lt;150,BMILMS!$D$31*AG653^3+BMILMS!$E$31*AG653^2+BMILMS!$F$31*AG653+BMILMS!$G$31,BMILMS!$D$32*AG653^3+BMILMS!$E$32*AG653^2+BMILMS!$F$32*AG653+BMILMS!$G$32)))))))</f>
        <v>12.568967990000001</v>
      </c>
      <c r="AF653" s="24">
        <f>IF(D653="M",(IF(AG653&lt;90,BMILMS!$D$14*AG653^3+BMILMS!$E$14*AG653^2+BMILMS!$F$14*AG653+BMILMS!$G$14,BMILMS!$D$15*AG653^3+BMILMS!$E$15*AG653^2+BMILMS!$F$15*AG653+BMILMS!$G$15)),(IF(AG653&lt;90,BMILMS!$D$17*AG653^3+BMILMS!$E$17*AG653^2+BMILMS!$F$17*AG653+BMILMS!$G$17,BMILMS!$D$18*AG653^3+BMILMS!$E$18*AG653^2+BMILMS!$F$18*AG653+BMILMS!$G$18)))</f>
        <v>8.8969350000000003E-2</v>
      </c>
      <c r="AG653" s="24">
        <f t="shared" si="176"/>
        <v>0</v>
      </c>
      <c r="AI653" s="38">
        <f>IF(D653="M",WeightSDS!P$5*$AG653^7+WeightSDS!Q$5*$AG653^6+WeightSDS!R$5*$AG653^5+WeightSDS!S$5*$AG653^4+WeightSDS!T$5*$AG653^3+WeightSDS!U$5*$AG653^2+WeightSDS!V$5*$AG653+WeightSDS!W$5,IF($AG653&lt;186,WeightSDS!P$8*$AG653^7+WeightSDS!Q$8*$AG653^6+WeightSDS!R$8*$AG653^5+WeightSDS!S$8*$AG653^4+WeightSDS!T$8*$AG653^3+WeightSDS!U$8*$AG653^2+WeightSDS!V$8*$AG653+WeightSDS!W$8,WeightSDS!$U$9-WeightSDS!$V$9*($AG653-WeightSDS!$W$9)))</f>
        <v>0.75407122999999998</v>
      </c>
      <c r="AJ653" s="24">
        <f>IF(D653="M",IF($AG653&lt;45,WeightSDS!M$23*$AG653^10+WeightSDS!N$23*$AG653^9+WeightSDS!O$23*$AG653^8+WeightSDS!P$23*$AG653^7+WeightSDS!Q$23*$AG653^6+WeightSDS!R$23*$AG653^5+WeightSDS!S$23*$AG653^4+WeightSDS!T$23*$AG653^3+WeightSDS!U$23*$AG653^2+WeightSDS!V$23*$AG653+WeightSDS!W$23,IF($AG653&lt;153,WeightSDS!M$25*$AG653^10+WeightSDS!N$25*$AG653^9+WeightSDS!O$25*$AG653^8+WeightSDS!P$25*$AG653^7+WeightSDS!Q$25*$AG653^6+WeightSDS!R$25*$AG653^5+WeightSDS!S$25*$AG653^4+WeightSDS!T$25*$AG653^3+WeightSDS!U$25*$AG653^2+WeightSDS!V$25*$AG653+WeightSDS!W$25,WeightSDS!M$27+WeightSDS!N$27/(1+EXP(WeightSDS!O$27+WeightSDS!P$27*$AG653)))),IF($AG653&lt;43.8,WeightSDS!M$29*$AG653^10+WeightSDS!N$29*$AG653^9+WeightSDS!O$29*$AG653^8+WeightSDS!P$29*$AG653^7+WeightSDS!Q$29*$AG653^6+WeightSDS!R$29*$AG653^5+WeightSDS!S$29*$AG653^4+WeightSDS!T$29*$AG653^3+WeightSDS!U$29*$AG653^2+WeightSDS!V$29*$AG653+WeightSDS!W$29-0.010431*(1-$AG653/210),IF($AG653&lt;123,WeightSDS!M$30*$AG653^10+WeightSDS!N$30*$AG653^9+WeightSDS!O$30*$AG653^8+WeightSDS!P$30*$AG653^7+WeightSDS!Q$30*$AG653^6+WeightSDS!R$30*$AG653^5+WeightSDS!S$30*$AG653^4+WeightSDS!T$30*$AG653^3+WeightSDS!U$30*$AG653^2+WeightSDS!V$30*$AG653+WeightSDS!W$30-0.010431*(1-1/$AG653),WeightSDS!M$32+WeightSDS!N$32/(1+EXP(WeightSDS!O$32+WeightSDS!P$32*$AG653))-0.010431*(1-$AG653/210))))</f>
        <v>2.9500001032655536</v>
      </c>
      <c r="AK653" s="24">
        <f>IF(D653="M",IF($AG653&lt;162,WeightSDS!P$12*$AG653^7+WeightSDS!Q$12*$AG653^6+WeightSDS!R$12*$AG653^5+WeightSDS!S$12*$AG653^4+WeightSDS!T$12*$AG653^3+WeightSDS!U$12*$AG653^2+WeightSDS!V$12*$AG653+WeightSDS!W$12,WeightSDS!P$14*$AG653^7+WeightSDS!Q$14*$AG653^6+WeightSDS!R$14*$AG653^5+WeightSDS!S$14*$AG653^4+WeightSDS!T$14*$AG653^3+WeightSDS!U$14*$AG653^2+WeightSDS!V$14*$AG653+WeightSDS!W$14),IF($AG653&lt;156,WeightSDS!O$17*$AG653^8+WeightSDS!P$17*$AG653^7+WeightSDS!Q$17*$AG653^6+WeightSDS!R$17*$AG653^5+WeightSDS!S$17*$AG653^4+WeightSDS!T$17*$AG653^3+WeightSDS!U$17*$AG653^2+WeightSDS!V$17*$AG653+WeightSDS!W$17,IF($AG653&lt;186,WeightSDS!$U$18+(WeightSDS!$V$18-WeightSDS!$U$18)/24*($AG653-186)+WeightSDS!$W$18*(-$AG653+186)^2-0.005,WeightSDS!$U$18+(WeightSDS!$V$18-WeightSDS!$U$18)/24*($AG653-186)-0.005)))</f>
        <v>0.14604529399999999</v>
      </c>
    </row>
    <row r="654" spans="1:37">
      <c r="A654" s="4"/>
      <c r="B654" s="21"/>
      <c r="C654" s="21"/>
      <c r="D654" s="21"/>
      <c r="E654" s="22"/>
      <c r="F654" s="22"/>
      <c r="G654" s="23"/>
      <c r="H654" s="23"/>
      <c r="I654" s="8" t="str">
        <f t="shared" si="162"/>
        <v/>
      </c>
      <c r="J654" s="2" t="str">
        <f t="shared" si="169"/>
        <v/>
      </c>
      <c r="K654" s="2" t="str">
        <f t="shared" si="163"/>
        <v/>
      </c>
      <c r="L654" s="2" t="str">
        <f t="shared" si="170"/>
        <v/>
      </c>
      <c r="M654" s="2" t="str">
        <f t="shared" si="175"/>
        <v/>
      </c>
      <c r="N654" s="2" t="str">
        <f t="shared" si="171"/>
        <v/>
      </c>
      <c r="O654" s="8" t="str">
        <f t="shared" si="172"/>
        <v/>
      </c>
      <c r="P654" s="8" t="str">
        <f t="shared" si="173"/>
        <v/>
      </c>
      <c r="Q654" s="40" t="str">
        <f t="shared" si="164"/>
        <v/>
      </c>
      <c r="R654" s="48" t="str">
        <f t="shared" si="174"/>
        <v/>
      </c>
      <c r="S654" s="8"/>
      <c r="U654" s="35">
        <f t="shared" si="165"/>
        <v>0</v>
      </c>
      <c r="V654" s="24">
        <f t="shared" si="166"/>
        <v>0</v>
      </c>
      <c r="W654" s="41">
        <f t="shared" si="161"/>
        <v>0</v>
      </c>
      <c r="X654" s="31"/>
      <c r="Y654" s="31"/>
      <c r="Z654" s="31"/>
      <c r="AA654" s="25">
        <f t="shared" si="167"/>
        <v>9.0359999999999996</v>
      </c>
      <c r="AB654" s="25">
        <f t="shared" si="168"/>
        <v>-184.49199999999999</v>
      </c>
      <c r="AD654" s="24">
        <f>IF(D654="M",IF(AG654&lt;78,BMILMS!$D$5*AG654^3+BMILMS!$E$5*AG654^2+BMILMS!$F$5*AG654+BMILMS!$G$5,IF(AG654&lt;150,BMILMS!$D$6*AG654^3+BMILMS!$E$6*AG654^2+BMILMS!$F$6*AG654+BMILMS!$G$6,BMILMS!$D$7*AG654^3+BMILMS!$E$7*AG654^2+BMILMS!$F$7*AG654+BMILMS!$G$7)),IF(AG654&lt;69,BMILMS!$D$9*AG654^3+BMILMS!$E$9*AG654^2+BMILMS!$F$9*AG654+BMILMS!$G$9,IF(AG654&lt;150,BMILMS!$D$10*AG654^3+BMILMS!$E$10*AG654^2+BMILMS!$F$10*AG654+BMILMS!$G$10,BMILMS!$D$11*AG654^3+BMILMS!$E$11*AG654^2+BMILMS!$F$11*AG654+BMILMS!$G$11)))</f>
        <v>0.79584630099999998</v>
      </c>
      <c r="AE654" s="24">
        <f>IF(D654="M",(IF(AG654&lt;2.5,BMILMS!$D$21*AG654^3+BMILMS!$E$21*AG654^2+BMILMS!$F$21*AG654+BMILMS!$G$21,IF(AG654&lt;9.5,BMILMS!$D$22*AG654^3+BMILMS!$E$22*AG654^2+BMILMS!$F$22*AG654+BMILMS!$G$22,IF(AG654&lt;26.75,BMILMS!$D$23*AG654^3+BMILMS!$E$23*AG654^2+BMILMS!$F$23*AG654+BMILMS!$G$23,IF(AG654&lt;90,BMILMS!$D$24*AG654^3+BMILMS!$E$24*AG654^2+BMILMS!$F$24*AG654+BMILMS!$G$24,BMILMS!$D$25*AG654^3+BMILMS!$E$25*AG654^2+BMILMS!$F$25*AG654+BMILMS!$G$25))))),(IF(AG654&lt;2.5,BMILMS!$D$27*AG654^3+BMILMS!$E$27*AG654^2+BMILMS!$F$27*AG654+BMILMS!$G$27,IF(AG654&lt;9.5,BMILMS!$D$28*AG654^3+BMILMS!$E$28*AG654^2+BMILMS!$F$28*AG654+BMILMS!$G$28,IF(AG654&lt;26.75,BMILMS!$D$29*AG654^3+BMILMS!$E$29*AG654^2+BMILMS!$F$29*AG654+BMILMS!$G$29,IF(AG654&lt;90,BMILMS!$D$30*AG654^3+BMILMS!$E$30*AG654^2+BMILMS!$F$30*AG654+BMILMS!$G$30,IF(AG654&lt;150,BMILMS!$D$31*AG654^3+BMILMS!$E$31*AG654^2+BMILMS!$F$31*AG654+BMILMS!$G$31,BMILMS!$D$32*AG654^3+BMILMS!$E$32*AG654^2+BMILMS!$F$32*AG654+BMILMS!$G$32)))))))</f>
        <v>12.568967990000001</v>
      </c>
      <c r="AF654" s="24">
        <f>IF(D654="M",(IF(AG654&lt;90,BMILMS!$D$14*AG654^3+BMILMS!$E$14*AG654^2+BMILMS!$F$14*AG654+BMILMS!$G$14,BMILMS!$D$15*AG654^3+BMILMS!$E$15*AG654^2+BMILMS!$F$15*AG654+BMILMS!$G$15)),(IF(AG654&lt;90,BMILMS!$D$17*AG654^3+BMILMS!$E$17*AG654^2+BMILMS!$F$17*AG654+BMILMS!$G$17,BMILMS!$D$18*AG654^3+BMILMS!$E$18*AG654^2+BMILMS!$F$18*AG654+BMILMS!$G$18)))</f>
        <v>8.8969350000000003E-2</v>
      </c>
      <c r="AG654" s="24">
        <f t="shared" si="176"/>
        <v>0</v>
      </c>
      <c r="AI654" s="38">
        <f>IF(D654="M",WeightSDS!P$5*$AG654^7+WeightSDS!Q$5*$AG654^6+WeightSDS!R$5*$AG654^5+WeightSDS!S$5*$AG654^4+WeightSDS!T$5*$AG654^3+WeightSDS!U$5*$AG654^2+WeightSDS!V$5*$AG654+WeightSDS!W$5,IF($AG654&lt;186,WeightSDS!P$8*$AG654^7+WeightSDS!Q$8*$AG654^6+WeightSDS!R$8*$AG654^5+WeightSDS!S$8*$AG654^4+WeightSDS!T$8*$AG654^3+WeightSDS!U$8*$AG654^2+WeightSDS!V$8*$AG654+WeightSDS!W$8,WeightSDS!$U$9-WeightSDS!$V$9*($AG654-WeightSDS!$W$9)))</f>
        <v>0.75407122999999998</v>
      </c>
      <c r="AJ654" s="24">
        <f>IF(D654="M",IF($AG654&lt;45,WeightSDS!M$23*$AG654^10+WeightSDS!N$23*$AG654^9+WeightSDS!O$23*$AG654^8+WeightSDS!P$23*$AG654^7+WeightSDS!Q$23*$AG654^6+WeightSDS!R$23*$AG654^5+WeightSDS!S$23*$AG654^4+WeightSDS!T$23*$AG654^3+WeightSDS!U$23*$AG654^2+WeightSDS!V$23*$AG654+WeightSDS!W$23,IF($AG654&lt;153,WeightSDS!M$25*$AG654^10+WeightSDS!N$25*$AG654^9+WeightSDS!O$25*$AG654^8+WeightSDS!P$25*$AG654^7+WeightSDS!Q$25*$AG654^6+WeightSDS!R$25*$AG654^5+WeightSDS!S$25*$AG654^4+WeightSDS!T$25*$AG654^3+WeightSDS!U$25*$AG654^2+WeightSDS!V$25*$AG654+WeightSDS!W$25,WeightSDS!M$27+WeightSDS!N$27/(1+EXP(WeightSDS!O$27+WeightSDS!P$27*$AG654)))),IF($AG654&lt;43.8,WeightSDS!M$29*$AG654^10+WeightSDS!N$29*$AG654^9+WeightSDS!O$29*$AG654^8+WeightSDS!P$29*$AG654^7+WeightSDS!Q$29*$AG654^6+WeightSDS!R$29*$AG654^5+WeightSDS!S$29*$AG654^4+WeightSDS!T$29*$AG654^3+WeightSDS!U$29*$AG654^2+WeightSDS!V$29*$AG654+WeightSDS!W$29-0.010431*(1-$AG654/210),IF($AG654&lt;123,WeightSDS!M$30*$AG654^10+WeightSDS!N$30*$AG654^9+WeightSDS!O$30*$AG654^8+WeightSDS!P$30*$AG654^7+WeightSDS!Q$30*$AG654^6+WeightSDS!R$30*$AG654^5+WeightSDS!S$30*$AG654^4+WeightSDS!T$30*$AG654^3+WeightSDS!U$30*$AG654^2+WeightSDS!V$30*$AG654+WeightSDS!W$30-0.010431*(1-1/$AG654),WeightSDS!M$32+WeightSDS!N$32/(1+EXP(WeightSDS!O$32+WeightSDS!P$32*$AG654))-0.010431*(1-$AG654/210))))</f>
        <v>2.9500001032655536</v>
      </c>
      <c r="AK654" s="24">
        <f>IF(D654="M",IF($AG654&lt;162,WeightSDS!P$12*$AG654^7+WeightSDS!Q$12*$AG654^6+WeightSDS!R$12*$AG654^5+WeightSDS!S$12*$AG654^4+WeightSDS!T$12*$AG654^3+WeightSDS!U$12*$AG654^2+WeightSDS!V$12*$AG654+WeightSDS!W$12,WeightSDS!P$14*$AG654^7+WeightSDS!Q$14*$AG654^6+WeightSDS!R$14*$AG654^5+WeightSDS!S$14*$AG654^4+WeightSDS!T$14*$AG654^3+WeightSDS!U$14*$AG654^2+WeightSDS!V$14*$AG654+WeightSDS!W$14),IF($AG654&lt;156,WeightSDS!O$17*$AG654^8+WeightSDS!P$17*$AG654^7+WeightSDS!Q$17*$AG654^6+WeightSDS!R$17*$AG654^5+WeightSDS!S$17*$AG654^4+WeightSDS!T$17*$AG654^3+WeightSDS!U$17*$AG654^2+WeightSDS!V$17*$AG654+WeightSDS!W$17,IF($AG654&lt;186,WeightSDS!$U$18+(WeightSDS!$V$18-WeightSDS!$U$18)/24*($AG654-186)+WeightSDS!$W$18*(-$AG654+186)^2-0.005,WeightSDS!$U$18+(WeightSDS!$V$18-WeightSDS!$U$18)/24*($AG654-186)-0.005)))</f>
        <v>0.14604529399999999</v>
      </c>
    </row>
    <row r="655" spans="1:37">
      <c r="A655" s="4"/>
      <c r="B655" s="21"/>
      <c r="C655" s="21"/>
      <c r="D655" s="21"/>
      <c r="E655" s="22"/>
      <c r="F655" s="22"/>
      <c r="G655" s="23"/>
      <c r="H655" s="23"/>
      <c r="I655" s="8" t="str">
        <f t="shared" si="162"/>
        <v/>
      </c>
      <c r="J655" s="2" t="str">
        <f t="shared" si="169"/>
        <v/>
      </c>
      <c r="K655" s="2" t="str">
        <f t="shared" si="163"/>
        <v/>
      </c>
      <c r="L655" s="2" t="str">
        <f t="shared" si="170"/>
        <v/>
      </c>
      <c r="M655" s="2" t="str">
        <f t="shared" si="175"/>
        <v/>
      </c>
      <c r="N655" s="2" t="str">
        <f t="shared" si="171"/>
        <v/>
      </c>
      <c r="O655" s="8" t="str">
        <f t="shared" si="172"/>
        <v/>
      </c>
      <c r="P655" s="8" t="str">
        <f t="shared" si="173"/>
        <v/>
      </c>
      <c r="Q655" s="40" t="str">
        <f t="shared" si="164"/>
        <v/>
      </c>
      <c r="R655" s="48" t="str">
        <f t="shared" si="174"/>
        <v/>
      </c>
      <c r="S655" s="8"/>
      <c r="U655" s="35">
        <f t="shared" si="165"/>
        <v>0</v>
      </c>
      <c r="V655" s="24">
        <f t="shared" si="166"/>
        <v>0</v>
      </c>
      <c r="W655" s="41">
        <f t="shared" si="161"/>
        <v>0</v>
      </c>
      <c r="X655" s="31"/>
      <c r="Y655" s="31"/>
      <c r="Z655" s="31"/>
      <c r="AA655" s="25">
        <f t="shared" si="167"/>
        <v>9.0359999999999996</v>
      </c>
      <c r="AB655" s="25">
        <f t="shared" si="168"/>
        <v>-184.49199999999999</v>
      </c>
      <c r="AD655" s="24">
        <f>IF(D655="M",IF(AG655&lt;78,BMILMS!$D$5*AG655^3+BMILMS!$E$5*AG655^2+BMILMS!$F$5*AG655+BMILMS!$G$5,IF(AG655&lt;150,BMILMS!$D$6*AG655^3+BMILMS!$E$6*AG655^2+BMILMS!$F$6*AG655+BMILMS!$G$6,BMILMS!$D$7*AG655^3+BMILMS!$E$7*AG655^2+BMILMS!$F$7*AG655+BMILMS!$G$7)),IF(AG655&lt;69,BMILMS!$D$9*AG655^3+BMILMS!$E$9*AG655^2+BMILMS!$F$9*AG655+BMILMS!$G$9,IF(AG655&lt;150,BMILMS!$D$10*AG655^3+BMILMS!$E$10*AG655^2+BMILMS!$F$10*AG655+BMILMS!$G$10,BMILMS!$D$11*AG655^3+BMILMS!$E$11*AG655^2+BMILMS!$F$11*AG655+BMILMS!$G$11)))</f>
        <v>0.79584630099999998</v>
      </c>
      <c r="AE655" s="24">
        <f>IF(D655="M",(IF(AG655&lt;2.5,BMILMS!$D$21*AG655^3+BMILMS!$E$21*AG655^2+BMILMS!$F$21*AG655+BMILMS!$G$21,IF(AG655&lt;9.5,BMILMS!$D$22*AG655^3+BMILMS!$E$22*AG655^2+BMILMS!$F$22*AG655+BMILMS!$G$22,IF(AG655&lt;26.75,BMILMS!$D$23*AG655^3+BMILMS!$E$23*AG655^2+BMILMS!$F$23*AG655+BMILMS!$G$23,IF(AG655&lt;90,BMILMS!$D$24*AG655^3+BMILMS!$E$24*AG655^2+BMILMS!$F$24*AG655+BMILMS!$G$24,BMILMS!$D$25*AG655^3+BMILMS!$E$25*AG655^2+BMILMS!$F$25*AG655+BMILMS!$G$25))))),(IF(AG655&lt;2.5,BMILMS!$D$27*AG655^3+BMILMS!$E$27*AG655^2+BMILMS!$F$27*AG655+BMILMS!$G$27,IF(AG655&lt;9.5,BMILMS!$D$28*AG655^3+BMILMS!$E$28*AG655^2+BMILMS!$F$28*AG655+BMILMS!$G$28,IF(AG655&lt;26.75,BMILMS!$D$29*AG655^3+BMILMS!$E$29*AG655^2+BMILMS!$F$29*AG655+BMILMS!$G$29,IF(AG655&lt;90,BMILMS!$D$30*AG655^3+BMILMS!$E$30*AG655^2+BMILMS!$F$30*AG655+BMILMS!$G$30,IF(AG655&lt;150,BMILMS!$D$31*AG655^3+BMILMS!$E$31*AG655^2+BMILMS!$F$31*AG655+BMILMS!$G$31,BMILMS!$D$32*AG655^3+BMILMS!$E$32*AG655^2+BMILMS!$F$32*AG655+BMILMS!$G$32)))))))</f>
        <v>12.568967990000001</v>
      </c>
      <c r="AF655" s="24">
        <f>IF(D655="M",(IF(AG655&lt;90,BMILMS!$D$14*AG655^3+BMILMS!$E$14*AG655^2+BMILMS!$F$14*AG655+BMILMS!$G$14,BMILMS!$D$15*AG655^3+BMILMS!$E$15*AG655^2+BMILMS!$F$15*AG655+BMILMS!$G$15)),(IF(AG655&lt;90,BMILMS!$D$17*AG655^3+BMILMS!$E$17*AG655^2+BMILMS!$F$17*AG655+BMILMS!$G$17,BMILMS!$D$18*AG655^3+BMILMS!$E$18*AG655^2+BMILMS!$F$18*AG655+BMILMS!$G$18)))</f>
        <v>8.8969350000000003E-2</v>
      </c>
      <c r="AG655" s="24">
        <f t="shared" si="176"/>
        <v>0</v>
      </c>
      <c r="AI655" s="38">
        <f>IF(D655="M",WeightSDS!P$5*$AG655^7+WeightSDS!Q$5*$AG655^6+WeightSDS!R$5*$AG655^5+WeightSDS!S$5*$AG655^4+WeightSDS!T$5*$AG655^3+WeightSDS!U$5*$AG655^2+WeightSDS!V$5*$AG655+WeightSDS!W$5,IF($AG655&lt;186,WeightSDS!P$8*$AG655^7+WeightSDS!Q$8*$AG655^6+WeightSDS!R$8*$AG655^5+WeightSDS!S$8*$AG655^4+WeightSDS!T$8*$AG655^3+WeightSDS!U$8*$AG655^2+WeightSDS!V$8*$AG655+WeightSDS!W$8,WeightSDS!$U$9-WeightSDS!$V$9*($AG655-WeightSDS!$W$9)))</f>
        <v>0.75407122999999998</v>
      </c>
      <c r="AJ655" s="24">
        <f>IF(D655="M",IF($AG655&lt;45,WeightSDS!M$23*$AG655^10+WeightSDS!N$23*$AG655^9+WeightSDS!O$23*$AG655^8+WeightSDS!P$23*$AG655^7+WeightSDS!Q$23*$AG655^6+WeightSDS!R$23*$AG655^5+WeightSDS!S$23*$AG655^4+WeightSDS!T$23*$AG655^3+WeightSDS!U$23*$AG655^2+WeightSDS!V$23*$AG655+WeightSDS!W$23,IF($AG655&lt;153,WeightSDS!M$25*$AG655^10+WeightSDS!N$25*$AG655^9+WeightSDS!O$25*$AG655^8+WeightSDS!P$25*$AG655^7+WeightSDS!Q$25*$AG655^6+WeightSDS!R$25*$AG655^5+WeightSDS!S$25*$AG655^4+WeightSDS!T$25*$AG655^3+WeightSDS!U$25*$AG655^2+WeightSDS!V$25*$AG655+WeightSDS!W$25,WeightSDS!M$27+WeightSDS!N$27/(1+EXP(WeightSDS!O$27+WeightSDS!P$27*$AG655)))),IF($AG655&lt;43.8,WeightSDS!M$29*$AG655^10+WeightSDS!N$29*$AG655^9+WeightSDS!O$29*$AG655^8+WeightSDS!P$29*$AG655^7+WeightSDS!Q$29*$AG655^6+WeightSDS!R$29*$AG655^5+WeightSDS!S$29*$AG655^4+WeightSDS!T$29*$AG655^3+WeightSDS!U$29*$AG655^2+WeightSDS!V$29*$AG655+WeightSDS!W$29-0.010431*(1-$AG655/210),IF($AG655&lt;123,WeightSDS!M$30*$AG655^10+WeightSDS!N$30*$AG655^9+WeightSDS!O$30*$AG655^8+WeightSDS!P$30*$AG655^7+WeightSDS!Q$30*$AG655^6+WeightSDS!R$30*$AG655^5+WeightSDS!S$30*$AG655^4+WeightSDS!T$30*$AG655^3+WeightSDS!U$30*$AG655^2+WeightSDS!V$30*$AG655+WeightSDS!W$30-0.010431*(1-1/$AG655),WeightSDS!M$32+WeightSDS!N$32/(1+EXP(WeightSDS!O$32+WeightSDS!P$32*$AG655))-0.010431*(1-$AG655/210))))</f>
        <v>2.9500001032655536</v>
      </c>
      <c r="AK655" s="24">
        <f>IF(D655="M",IF($AG655&lt;162,WeightSDS!P$12*$AG655^7+WeightSDS!Q$12*$AG655^6+WeightSDS!R$12*$AG655^5+WeightSDS!S$12*$AG655^4+WeightSDS!T$12*$AG655^3+WeightSDS!U$12*$AG655^2+WeightSDS!V$12*$AG655+WeightSDS!W$12,WeightSDS!P$14*$AG655^7+WeightSDS!Q$14*$AG655^6+WeightSDS!R$14*$AG655^5+WeightSDS!S$14*$AG655^4+WeightSDS!T$14*$AG655^3+WeightSDS!U$14*$AG655^2+WeightSDS!V$14*$AG655+WeightSDS!W$14),IF($AG655&lt;156,WeightSDS!O$17*$AG655^8+WeightSDS!P$17*$AG655^7+WeightSDS!Q$17*$AG655^6+WeightSDS!R$17*$AG655^5+WeightSDS!S$17*$AG655^4+WeightSDS!T$17*$AG655^3+WeightSDS!U$17*$AG655^2+WeightSDS!V$17*$AG655+WeightSDS!W$17,IF($AG655&lt;186,WeightSDS!$U$18+(WeightSDS!$V$18-WeightSDS!$U$18)/24*($AG655-186)+WeightSDS!$W$18*(-$AG655+186)^2-0.005,WeightSDS!$U$18+(WeightSDS!$V$18-WeightSDS!$U$18)/24*($AG655-186)-0.005)))</f>
        <v>0.14604529399999999</v>
      </c>
    </row>
    <row r="656" spans="1:37">
      <c r="A656" s="4"/>
      <c r="B656" s="21"/>
      <c r="C656" s="21"/>
      <c r="D656" s="21"/>
      <c r="E656" s="22"/>
      <c r="F656" s="22"/>
      <c r="G656" s="23"/>
      <c r="H656" s="23"/>
      <c r="I656" s="8" t="str">
        <f t="shared" si="162"/>
        <v/>
      </c>
      <c r="J656" s="2" t="str">
        <f t="shared" si="169"/>
        <v/>
      </c>
      <c r="K656" s="2" t="str">
        <f t="shared" si="163"/>
        <v/>
      </c>
      <c r="L656" s="2" t="str">
        <f t="shared" si="170"/>
        <v/>
      </c>
      <c r="M656" s="2" t="str">
        <f t="shared" si="175"/>
        <v/>
      </c>
      <c r="N656" s="2" t="str">
        <f t="shared" si="171"/>
        <v/>
      </c>
      <c r="O656" s="8" t="str">
        <f t="shared" si="172"/>
        <v/>
      </c>
      <c r="P656" s="8" t="str">
        <f t="shared" si="173"/>
        <v/>
      </c>
      <c r="Q656" s="40" t="str">
        <f t="shared" si="164"/>
        <v/>
      </c>
      <c r="R656" s="48" t="str">
        <f t="shared" si="174"/>
        <v/>
      </c>
      <c r="S656" s="8"/>
      <c r="U656" s="35">
        <f t="shared" si="165"/>
        <v>0</v>
      </c>
      <c r="V656" s="24">
        <f t="shared" si="166"/>
        <v>0</v>
      </c>
      <c r="W656" s="41">
        <f t="shared" si="161"/>
        <v>0</v>
      </c>
      <c r="X656" s="31"/>
      <c r="Y656" s="31"/>
      <c r="Z656" s="31"/>
      <c r="AA656" s="25">
        <f t="shared" si="167"/>
        <v>9.0359999999999996</v>
      </c>
      <c r="AB656" s="25">
        <f t="shared" si="168"/>
        <v>-184.49199999999999</v>
      </c>
      <c r="AD656" s="24">
        <f>IF(D656="M",IF(AG656&lt;78,BMILMS!$D$5*AG656^3+BMILMS!$E$5*AG656^2+BMILMS!$F$5*AG656+BMILMS!$G$5,IF(AG656&lt;150,BMILMS!$D$6*AG656^3+BMILMS!$E$6*AG656^2+BMILMS!$F$6*AG656+BMILMS!$G$6,BMILMS!$D$7*AG656^3+BMILMS!$E$7*AG656^2+BMILMS!$F$7*AG656+BMILMS!$G$7)),IF(AG656&lt;69,BMILMS!$D$9*AG656^3+BMILMS!$E$9*AG656^2+BMILMS!$F$9*AG656+BMILMS!$G$9,IF(AG656&lt;150,BMILMS!$D$10*AG656^3+BMILMS!$E$10*AG656^2+BMILMS!$F$10*AG656+BMILMS!$G$10,BMILMS!$D$11*AG656^3+BMILMS!$E$11*AG656^2+BMILMS!$F$11*AG656+BMILMS!$G$11)))</f>
        <v>0.79584630099999998</v>
      </c>
      <c r="AE656" s="24">
        <f>IF(D656="M",(IF(AG656&lt;2.5,BMILMS!$D$21*AG656^3+BMILMS!$E$21*AG656^2+BMILMS!$F$21*AG656+BMILMS!$G$21,IF(AG656&lt;9.5,BMILMS!$D$22*AG656^3+BMILMS!$E$22*AG656^2+BMILMS!$F$22*AG656+BMILMS!$G$22,IF(AG656&lt;26.75,BMILMS!$D$23*AG656^3+BMILMS!$E$23*AG656^2+BMILMS!$F$23*AG656+BMILMS!$G$23,IF(AG656&lt;90,BMILMS!$D$24*AG656^3+BMILMS!$E$24*AG656^2+BMILMS!$F$24*AG656+BMILMS!$G$24,BMILMS!$D$25*AG656^3+BMILMS!$E$25*AG656^2+BMILMS!$F$25*AG656+BMILMS!$G$25))))),(IF(AG656&lt;2.5,BMILMS!$D$27*AG656^3+BMILMS!$E$27*AG656^2+BMILMS!$F$27*AG656+BMILMS!$G$27,IF(AG656&lt;9.5,BMILMS!$D$28*AG656^3+BMILMS!$E$28*AG656^2+BMILMS!$F$28*AG656+BMILMS!$G$28,IF(AG656&lt;26.75,BMILMS!$D$29*AG656^3+BMILMS!$E$29*AG656^2+BMILMS!$F$29*AG656+BMILMS!$G$29,IF(AG656&lt;90,BMILMS!$D$30*AG656^3+BMILMS!$E$30*AG656^2+BMILMS!$F$30*AG656+BMILMS!$G$30,IF(AG656&lt;150,BMILMS!$D$31*AG656^3+BMILMS!$E$31*AG656^2+BMILMS!$F$31*AG656+BMILMS!$G$31,BMILMS!$D$32*AG656^3+BMILMS!$E$32*AG656^2+BMILMS!$F$32*AG656+BMILMS!$G$32)))))))</f>
        <v>12.568967990000001</v>
      </c>
      <c r="AF656" s="24">
        <f>IF(D656="M",(IF(AG656&lt;90,BMILMS!$D$14*AG656^3+BMILMS!$E$14*AG656^2+BMILMS!$F$14*AG656+BMILMS!$G$14,BMILMS!$D$15*AG656^3+BMILMS!$E$15*AG656^2+BMILMS!$F$15*AG656+BMILMS!$G$15)),(IF(AG656&lt;90,BMILMS!$D$17*AG656^3+BMILMS!$E$17*AG656^2+BMILMS!$F$17*AG656+BMILMS!$G$17,BMILMS!$D$18*AG656^3+BMILMS!$E$18*AG656^2+BMILMS!$F$18*AG656+BMILMS!$G$18)))</f>
        <v>8.8969350000000003E-2</v>
      </c>
      <c r="AG656" s="24">
        <f t="shared" si="176"/>
        <v>0</v>
      </c>
      <c r="AI656" s="38">
        <f>IF(D656="M",WeightSDS!P$5*$AG656^7+WeightSDS!Q$5*$AG656^6+WeightSDS!R$5*$AG656^5+WeightSDS!S$5*$AG656^4+WeightSDS!T$5*$AG656^3+WeightSDS!U$5*$AG656^2+WeightSDS!V$5*$AG656+WeightSDS!W$5,IF($AG656&lt;186,WeightSDS!P$8*$AG656^7+WeightSDS!Q$8*$AG656^6+WeightSDS!R$8*$AG656^5+WeightSDS!S$8*$AG656^4+WeightSDS!T$8*$AG656^3+WeightSDS!U$8*$AG656^2+WeightSDS!V$8*$AG656+WeightSDS!W$8,WeightSDS!$U$9-WeightSDS!$V$9*($AG656-WeightSDS!$W$9)))</f>
        <v>0.75407122999999998</v>
      </c>
      <c r="AJ656" s="24">
        <f>IF(D656="M",IF($AG656&lt;45,WeightSDS!M$23*$AG656^10+WeightSDS!N$23*$AG656^9+WeightSDS!O$23*$AG656^8+WeightSDS!P$23*$AG656^7+WeightSDS!Q$23*$AG656^6+WeightSDS!R$23*$AG656^5+WeightSDS!S$23*$AG656^4+WeightSDS!T$23*$AG656^3+WeightSDS!U$23*$AG656^2+WeightSDS!V$23*$AG656+WeightSDS!W$23,IF($AG656&lt;153,WeightSDS!M$25*$AG656^10+WeightSDS!N$25*$AG656^9+WeightSDS!O$25*$AG656^8+WeightSDS!P$25*$AG656^7+WeightSDS!Q$25*$AG656^6+WeightSDS!R$25*$AG656^5+WeightSDS!S$25*$AG656^4+WeightSDS!T$25*$AG656^3+WeightSDS!U$25*$AG656^2+WeightSDS!V$25*$AG656+WeightSDS!W$25,WeightSDS!M$27+WeightSDS!N$27/(1+EXP(WeightSDS!O$27+WeightSDS!P$27*$AG656)))),IF($AG656&lt;43.8,WeightSDS!M$29*$AG656^10+WeightSDS!N$29*$AG656^9+WeightSDS!O$29*$AG656^8+WeightSDS!P$29*$AG656^7+WeightSDS!Q$29*$AG656^6+WeightSDS!R$29*$AG656^5+WeightSDS!S$29*$AG656^4+WeightSDS!T$29*$AG656^3+WeightSDS!U$29*$AG656^2+WeightSDS!V$29*$AG656+WeightSDS!W$29-0.010431*(1-$AG656/210),IF($AG656&lt;123,WeightSDS!M$30*$AG656^10+WeightSDS!N$30*$AG656^9+WeightSDS!O$30*$AG656^8+WeightSDS!P$30*$AG656^7+WeightSDS!Q$30*$AG656^6+WeightSDS!R$30*$AG656^5+WeightSDS!S$30*$AG656^4+WeightSDS!T$30*$AG656^3+WeightSDS!U$30*$AG656^2+WeightSDS!V$30*$AG656+WeightSDS!W$30-0.010431*(1-1/$AG656),WeightSDS!M$32+WeightSDS!N$32/(1+EXP(WeightSDS!O$32+WeightSDS!P$32*$AG656))-0.010431*(1-$AG656/210))))</f>
        <v>2.9500001032655536</v>
      </c>
      <c r="AK656" s="24">
        <f>IF(D656="M",IF($AG656&lt;162,WeightSDS!P$12*$AG656^7+WeightSDS!Q$12*$AG656^6+WeightSDS!R$12*$AG656^5+WeightSDS!S$12*$AG656^4+WeightSDS!T$12*$AG656^3+WeightSDS!U$12*$AG656^2+WeightSDS!V$12*$AG656+WeightSDS!W$12,WeightSDS!P$14*$AG656^7+WeightSDS!Q$14*$AG656^6+WeightSDS!R$14*$AG656^5+WeightSDS!S$14*$AG656^4+WeightSDS!T$14*$AG656^3+WeightSDS!U$14*$AG656^2+WeightSDS!V$14*$AG656+WeightSDS!W$14),IF($AG656&lt;156,WeightSDS!O$17*$AG656^8+WeightSDS!P$17*$AG656^7+WeightSDS!Q$17*$AG656^6+WeightSDS!R$17*$AG656^5+WeightSDS!S$17*$AG656^4+WeightSDS!T$17*$AG656^3+WeightSDS!U$17*$AG656^2+WeightSDS!V$17*$AG656+WeightSDS!W$17,IF($AG656&lt;186,WeightSDS!$U$18+(WeightSDS!$V$18-WeightSDS!$U$18)/24*($AG656-186)+WeightSDS!$W$18*(-$AG656+186)^2-0.005,WeightSDS!$U$18+(WeightSDS!$V$18-WeightSDS!$U$18)/24*($AG656-186)-0.005)))</f>
        <v>0.14604529399999999</v>
      </c>
    </row>
    <row r="657" spans="1:37">
      <c r="A657" s="4"/>
      <c r="B657" s="21"/>
      <c r="C657" s="21"/>
      <c r="D657" s="21"/>
      <c r="E657" s="22"/>
      <c r="F657" s="22"/>
      <c r="G657" s="23"/>
      <c r="H657" s="23"/>
      <c r="I657" s="8" t="str">
        <f t="shared" si="162"/>
        <v/>
      </c>
      <c r="J657" s="2" t="str">
        <f t="shared" si="169"/>
        <v/>
      </c>
      <c r="K657" s="2" t="str">
        <f t="shared" si="163"/>
        <v/>
      </c>
      <c r="L657" s="2" t="str">
        <f t="shared" si="170"/>
        <v/>
      </c>
      <c r="M657" s="2" t="str">
        <f t="shared" si="175"/>
        <v/>
      </c>
      <c r="N657" s="2" t="str">
        <f t="shared" si="171"/>
        <v/>
      </c>
      <c r="O657" s="8" t="str">
        <f t="shared" si="172"/>
        <v/>
      </c>
      <c r="P657" s="8" t="str">
        <f t="shared" si="173"/>
        <v/>
      </c>
      <c r="Q657" s="40" t="str">
        <f t="shared" si="164"/>
        <v/>
      </c>
      <c r="R657" s="48" t="str">
        <f t="shared" si="174"/>
        <v/>
      </c>
      <c r="S657" s="8"/>
      <c r="U657" s="35">
        <f t="shared" si="165"/>
        <v>0</v>
      </c>
      <c r="V657" s="24">
        <f t="shared" si="166"/>
        <v>0</v>
      </c>
      <c r="W657" s="41">
        <f t="shared" si="161"/>
        <v>0</v>
      </c>
      <c r="X657" s="31"/>
      <c r="Y657" s="31"/>
      <c r="Z657" s="31"/>
      <c r="AA657" s="25">
        <f t="shared" si="167"/>
        <v>9.0359999999999996</v>
      </c>
      <c r="AB657" s="25">
        <f t="shared" si="168"/>
        <v>-184.49199999999999</v>
      </c>
      <c r="AD657" s="24">
        <f>IF(D657="M",IF(AG657&lt;78,BMILMS!$D$5*AG657^3+BMILMS!$E$5*AG657^2+BMILMS!$F$5*AG657+BMILMS!$G$5,IF(AG657&lt;150,BMILMS!$D$6*AG657^3+BMILMS!$E$6*AG657^2+BMILMS!$F$6*AG657+BMILMS!$G$6,BMILMS!$D$7*AG657^3+BMILMS!$E$7*AG657^2+BMILMS!$F$7*AG657+BMILMS!$G$7)),IF(AG657&lt;69,BMILMS!$D$9*AG657^3+BMILMS!$E$9*AG657^2+BMILMS!$F$9*AG657+BMILMS!$G$9,IF(AG657&lt;150,BMILMS!$D$10*AG657^3+BMILMS!$E$10*AG657^2+BMILMS!$F$10*AG657+BMILMS!$G$10,BMILMS!$D$11*AG657^3+BMILMS!$E$11*AG657^2+BMILMS!$F$11*AG657+BMILMS!$G$11)))</f>
        <v>0.79584630099999998</v>
      </c>
      <c r="AE657" s="24">
        <f>IF(D657="M",(IF(AG657&lt;2.5,BMILMS!$D$21*AG657^3+BMILMS!$E$21*AG657^2+BMILMS!$F$21*AG657+BMILMS!$G$21,IF(AG657&lt;9.5,BMILMS!$D$22*AG657^3+BMILMS!$E$22*AG657^2+BMILMS!$F$22*AG657+BMILMS!$G$22,IF(AG657&lt;26.75,BMILMS!$D$23*AG657^3+BMILMS!$E$23*AG657^2+BMILMS!$F$23*AG657+BMILMS!$G$23,IF(AG657&lt;90,BMILMS!$D$24*AG657^3+BMILMS!$E$24*AG657^2+BMILMS!$F$24*AG657+BMILMS!$G$24,BMILMS!$D$25*AG657^3+BMILMS!$E$25*AG657^2+BMILMS!$F$25*AG657+BMILMS!$G$25))))),(IF(AG657&lt;2.5,BMILMS!$D$27*AG657^3+BMILMS!$E$27*AG657^2+BMILMS!$F$27*AG657+BMILMS!$G$27,IF(AG657&lt;9.5,BMILMS!$D$28*AG657^3+BMILMS!$E$28*AG657^2+BMILMS!$F$28*AG657+BMILMS!$G$28,IF(AG657&lt;26.75,BMILMS!$D$29*AG657^3+BMILMS!$E$29*AG657^2+BMILMS!$F$29*AG657+BMILMS!$G$29,IF(AG657&lt;90,BMILMS!$D$30*AG657^3+BMILMS!$E$30*AG657^2+BMILMS!$F$30*AG657+BMILMS!$G$30,IF(AG657&lt;150,BMILMS!$D$31*AG657^3+BMILMS!$E$31*AG657^2+BMILMS!$F$31*AG657+BMILMS!$G$31,BMILMS!$D$32*AG657^3+BMILMS!$E$32*AG657^2+BMILMS!$F$32*AG657+BMILMS!$G$32)))))))</f>
        <v>12.568967990000001</v>
      </c>
      <c r="AF657" s="24">
        <f>IF(D657="M",(IF(AG657&lt;90,BMILMS!$D$14*AG657^3+BMILMS!$E$14*AG657^2+BMILMS!$F$14*AG657+BMILMS!$G$14,BMILMS!$D$15*AG657^3+BMILMS!$E$15*AG657^2+BMILMS!$F$15*AG657+BMILMS!$G$15)),(IF(AG657&lt;90,BMILMS!$D$17*AG657^3+BMILMS!$E$17*AG657^2+BMILMS!$F$17*AG657+BMILMS!$G$17,BMILMS!$D$18*AG657^3+BMILMS!$E$18*AG657^2+BMILMS!$F$18*AG657+BMILMS!$G$18)))</f>
        <v>8.8969350000000003E-2</v>
      </c>
      <c r="AG657" s="24">
        <f t="shared" si="176"/>
        <v>0</v>
      </c>
      <c r="AI657" s="38">
        <f>IF(D657="M",WeightSDS!P$5*$AG657^7+WeightSDS!Q$5*$AG657^6+WeightSDS!R$5*$AG657^5+WeightSDS!S$5*$AG657^4+WeightSDS!T$5*$AG657^3+WeightSDS!U$5*$AG657^2+WeightSDS!V$5*$AG657+WeightSDS!W$5,IF($AG657&lt;186,WeightSDS!P$8*$AG657^7+WeightSDS!Q$8*$AG657^6+WeightSDS!R$8*$AG657^5+WeightSDS!S$8*$AG657^4+WeightSDS!T$8*$AG657^3+WeightSDS!U$8*$AG657^2+WeightSDS!V$8*$AG657+WeightSDS!W$8,WeightSDS!$U$9-WeightSDS!$V$9*($AG657-WeightSDS!$W$9)))</f>
        <v>0.75407122999999998</v>
      </c>
      <c r="AJ657" s="24">
        <f>IF(D657="M",IF($AG657&lt;45,WeightSDS!M$23*$AG657^10+WeightSDS!N$23*$AG657^9+WeightSDS!O$23*$AG657^8+WeightSDS!P$23*$AG657^7+WeightSDS!Q$23*$AG657^6+WeightSDS!R$23*$AG657^5+WeightSDS!S$23*$AG657^4+WeightSDS!T$23*$AG657^3+WeightSDS!U$23*$AG657^2+WeightSDS!V$23*$AG657+WeightSDS!W$23,IF($AG657&lt;153,WeightSDS!M$25*$AG657^10+WeightSDS!N$25*$AG657^9+WeightSDS!O$25*$AG657^8+WeightSDS!P$25*$AG657^7+WeightSDS!Q$25*$AG657^6+WeightSDS!R$25*$AG657^5+WeightSDS!S$25*$AG657^4+WeightSDS!T$25*$AG657^3+WeightSDS!U$25*$AG657^2+WeightSDS!V$25*$AG657+WeightSDS!W$25,WeightSDS!M$27+WeightSDS!N$27/(1+EXP(WeightSDS!O$27+WeightSDS!P$27*$AG657)))),IF($AG657&lt;43.8,WeightSDS!M$29*$AG657^10+WeightSDS!N$29*$AG657^9+WeightSDS!O$29*$AG657^8+WeightSDS!P$29*$AG657^7+WeightSDS!Q$29*$AG657^6+WeightSDS!R$29*$AG657^5+WeightSDS!S$29*$AG657^4+WeightSDS!T$29*$AG657^3+WeightSDS!U$29*$AG657^2+WeightSDS!V$29*$AG657+WeightSDS!W$29-0.010431*(1-$AG657/210),IF($AG657&lt;123,WeightSDS!M$30*$AG657^10+WeightSDS!N$30*$AG657^9+WeightSDS!O$30*$AG657^8+WeightSDS!P$30*$AG657^7+WeightSDS!Q$30*$AG657^6+WeightSDS!R$30*$AG657^5+WeightSDS!S$30*$AG657^4+WeightSDS!T$30*$AG657^3+WeightSDS!U$30*$AG657^2+WeightSDS!V$30*$AG657+WeightSDS!W$30-0.010431*(1-1/$AG657),WeightSDS!M$32+WeightSDS!N$32/(1+EXP(WeightSDS!O$32+WeightSDS!P$32*$AG657))-0.010431*(1-$AG657/210))))</f>
        <v>2.9500001032655536</v>
      </c>
      <c r="AK657" s="24">
        <f>IF(D657="M",IF($AG657&lt;162,WeightSDS!P$12*$AG657^7+WeightSDS!Q$12*$AG657^6+WeightSDS!R$12*$AG657^5+WeightSDS!S$12*$AG657^4+WeightSDS!T$12*$AG657^3+WeightSDS!U$12*$AG657^2+WeightSDS!V$12*$AG657+WeightSDS!W$12,WeightSDS!P$14*$AG657^7+WeightSDS!Q$14*$AG657^6+WeightSDS!R$14*$AG657^5+WeightSDS!S$14*$AG657^4+WeightSDS!T$14*$AG657^3+WeightSDS!U$14*$AG657^2+WeightSDS!V$14*$AG657+WeightSDS!W$14),IF($AG657&lt;156,WeightSDS!O$17*$AG657^8+WeightSDS!P$17*$AG657^7+WeightSDS!Q$17*$AG657^6+WeightSDS!R$17*$AG657^5+WeightSDS!S$17*$AG657^4+WeightSDS!T$17*$AG657^3+WeightSDS!U$17*$AG657^2+WeightSDS!V$17*$AG657+WeightSDS!W$17,IF($AG657&lt;186,WeightSDS!$U$18+(WeightSDS!$V$18-WeightSDS!$U$18)/24*($AG657-186)+WeightSDS!$W$18*(-$AG657+186)^2-0.005,WeightSDS!$U$18+(WeightSDS!$V$18-WeightSDS!$U$18)/24*($AG657-186)-0.005)))</f>
        <v>0.14604529399999999</v>
      </c>
    </row>
    <row r="658" spans="1:37">
      <c r="A658" s="4"/>
      <c r="B658" s="21"/>
      <c r="C658" s="21"/>
      <c r="D658" s="21"/>
      <c r="E658" s="22"/>
      <c r="F658" s="22"/>
      <c r="G658" s="23"/>
      <c r="H658" s="23"/>
      <c r="I658" s="8" t="str">
        <f t="shared" si="162"/>
        <v/>
      </c>
      <c r="J658" s="2" t="str">
        <f t="shared" si="169"/>
        <v/>
      </c>
      <c r="K658" s="2" t="str">
        <f t="shared" si="163"/>
        <v/>
      </c>
      <c r="L658" s="2" t="str">
        <f t="shared" si="170"/>
        <v/>
      </c>
      <c r="M658" s="2" t="str">
        <f t="shared" si="175"/>
        <v/>
      </c>
      <c r="N658" s="2" t="str">
        <f t="shared" si="171"/>
        <v/>
      </c>
      <c r="O658" s="8" t="str">
        <f t="shared" si="172"/>
        <v/>
      </c>
      <c r="P658" s="8" t="str">
        <f t="shared" si="173"/>
        <v/>
      </c>
      <c r="Q658" s="40" t="str">
        <f t="shared" si="164"/>
        <v/>
      </c>
      <c r="R658" s="48" t="str">
        <f t="shared" si="174"/>
        <v/>
      </c>
      <c r="S658" s="8"/>
      <c r="U658" s="35">
        <f t="shared" si="165"/>
        <v>0</v>
      </c>
      <c r="V658" s="24">
        <f t="shared" si="166"/>
        <v>0</v>
      </c>
      <c r="W658" s="41">
        <f t="shared" si="161"/>
        <v>0</v>
      </c>
      <c r="X658" s="31"/>
      <c r="Y658" s="31"/>
      <c r="Z658" s="31"/>
      <c r="AA658" s="25">
        <f t="shared" si="167"/>
        <v>9.0359999999999996</v>
      </c>
      <c r="AB658" s="25">
        <f t="shared" si="168"/>
        <v>-184.49199999999999</v>
      </c>
      <c r="AD658" s="24">
        <f>IF(D658="M",IF(AG658&lt;78,BMILMS!$D$5*AG658^3+BMILMS!$E$5*AG658^2+BMILMS!$F$5*AG658+BMILMS!$G$5,IF(AG658&lt;150,BMILMS!$D$6*AG658^3+BMILMS!$E$6*AG658^2+BMILMS!$F$6*AG658+BMILMS!$G$6,BMILMS!$D$7*AG658^3+BMILMS!$E$7*AG658^2+BMILMS!$F$7*AG658+BMILMS!$G$7)),IF(AG658&lt;69,BMILMS!$D$9*AG658^3+BMILMS!$E$9*AG658^2+BMILMS!$F$9*AG658+BMILMS!$G$9,IF(AG658&lt;150,BMILMS!$D$10*AG658^3+BMILMS!$E$10*AG658^2+BMILMS!$F$10*AG658+BMILMS!$G$10,BMILMS!$D$11*AG658^3+BMILMS!$E$11*AG658^2+BMILMS!$F$11*AG658+BMILMS!$G$11)))</f>
        <v>0.79584630099999998</v>
      </c>
      <c r="AE658" s="24">
        <f>IF(D658="M",(IF(AG658&lt;2.5,BMILMS!$D$21*AG658^3+BMILMS!$E$21*AG658^2+BMILMS!$F$21*AG658+BMILMS!$G$21,IF(AG658&lt;9.5,BMILMS!$D$22*AG658^3+BMILMS!$E$22*AG658^2+BMILMS!$F$22*AG658+BMILMS!$G$22,IF(AG658&lt;26.75,BMILMS!$D$23*AG658^3+BMILMS!$E$23*AG658^2+BMILMS!$F$23*AG658+BMILMS!$G$23,IF(AG658&lt;90,BMILMS!$D$24*AG658^3+BMILMS!$E$24*AG658^2+BMILMS!$F$24*AG658+BMILMS!$G$24,BMILMS!$D$25*AG658^3+BMILMS!$E$25*AG658^2+BMILMS!$F$25*AG658+BMILMS!$G$25))))),(IF(AG658&lt;2.5,BMILMS!$D$27*AG658^3+BMILMS!$E$27*AG658^2+BMILMS!$F$27*AG658+BMILMS!$G$27,IF(AG658&lt;9.5,BMILMS!$D$28*AG658^3+BMILMS!$E$28*AG658^2+BMILMS!$F$28*AG658+BMILMS!$G$28,IF(AG658&lt;26.75,BMILMS!$D$29*AG658^3+BMILMS!$E$29*AG658^2+BMILMS!$F$29*AG658+BMILMS!$G$29,IF(AG658&lt;90,BMILMS!$D$30*AG658^3+BMILMS!$E$30*AG658^2+BMILMS!$F$30*AG658+BMILMS!$G$30,IF(AG658&lt;150,BMILMS!$D$31*AG658^3+BMILMS!$E$31*AG658^2+BMILMS!$F$31*AG658+BMILMS!$G$31,BMILMS!$D$32*AG658^3+BMILMS!$E$32*AG658^2+BMILMS!$F$32*AG658+BMILMS!$G$32)))))))</f>
        <v>12.568967990000001</v>
      </c>
      <c r="AF658" s="24">
        <f>IF(D658="M",(IF(AG658&lt;90,BMILMS!$D$14*AG658^3+BMILMS!$E$14*AG658^2+BMILMS!$F$14*AG658+BMILMS!$G$14,BMILMS!$D$15*AG658^3+BMILMS!$E$15*AG658^2+BMILMS!$F$15*AG658+BMILMS!$G$15)),(IF(AG658&lt;90,BMILMS!$D$17*AG658^3+BMILMS!$E$17*AG658^2+BMILMS!$F$17*AG658+BMILMS!$G$17,BMILMS!$D$18*AG658^3+BMILMS!$E$18*AG658^2+BMILMS!$F$18*AG658+BMILMS!$G$18)))</f>
        <v>8.8969350000000003E-2</v>
      </c>
      <c r="AG658" s="24">
        <f t="shared" si="176"/>
        <v>0</v>
      </c>
      <c r="AI658" s="38">
        <f>IF(D658="M",WeightSDS!P$5*$AG658^7+WeightSDS!Q$5*$AG658^6+WeightSDS!R$5*$AG658^5+WeightSDS!S$5*$AG658^4+WeightSDS!T$5*$AG658^3+WeightSDS!U$5*$AG658^2+WeightSDS!V$5*$AG658+WeightSDS!W$5,IF($AG658&lt;186,WeightSDS!P$8*$AG658^7+WeightSDS!Q$8*$AG658^6+WeightSDS!R$8*$AG658^5+WeightSDS!S$8*$AG658^4+WeightSDS!T$8*$AG658^3+WeightSDS!U$8*$AG658^2+WeightSDS!V$8*$AG658+WeightSDS!W$8,WeightSDS!$U$9-WeightSDS!$V$9*($AG658-WeightSDS!$W$9)))</f>
        <v>0.75407122999999998</v>
      </c>
      <c r="AJ658" s="24">
        <f>IF(D658="M",IF($AG658&lt;45,WeightSDS!M$23*$AG658^10+WeightSDS!N$23*$AG658^9+WeightSDS!O$23*$AG658^8+WeightSDS!P$23*$AG658^7+WeightSDS!Q$23*$AG658^6+WeightSDS!R$23*$AG658^5+WeightSDS!S$23*$AG658^4+WeightSDS!T$23*$AG658^3+WeightSDS!U$23*$AG658^2+WeightSDS!V$23*$AG658+WeightSDS!W$23,IF($AG658&lt;153,WeightSDS!M$25*$AG658^10+WeightSDS!N$25*$AG658^9+WeightSDS!O$25*$AG658^8+WeightSDS!P$25*$AG658^7+WeightSDS!Q$25*$AG658^6+WeightSDS!R$25*$AG658^5+WeightSDS!S$25*$AG658^4+WeightSDS!T$25*$AG658^3+WeightSDS!U$25*$AG658^2+WeightSDS!V$25*$AG658+WeightSDS!W$25,WeightSDS!M$27+WeightSDS!N$27/(1+EXP(WeightSDS!O$27+WeightSDS!P$27*$AG658)))),IF($AG658&lt;43.8,WeightSDS!M$29*$AG658^10+WeightSDS!N$29*$AG658^9+WeightSDS!O$29*$AG658^8+WeightSDS!P$29*$AG658^7+WeightSDS!Q$29*$AG658^6+WeightSDS!R$29*$AG658^5+WeightSDS!S$29*$AG658^4+WeightSDS!T$29*$AG658^3+WeightSDS!U$29*$AG658^2+WeightSDS!V$29*$AG658+WeightSDS!W$29-0.010431*(1-$AG658/210),IF($AG658&lt;123,WeightSDS!M$30*$AG658^10+WeightSDS!N$30*$AG658^9+WeightSDS!O$30*$AG658^8+WeightSDS!P$30*$AG658^7+WeightSDS!Q$30*$AG658^6+WeightSDS!R$30*$AG658^5+WeightSDS!S$30*$AG658^4+WeightSDS!T$30*$AG658^3+WeightSDS!U$30*$AG658^2+WeightSDS!V$30*$AG658+WeightSDS!W$30-0.010431*(1-1/$AG658),WeightSDS!M$32+WeightSDS!N$32/(1+EXP(WeightSDS!O$32+WeightSDS!P$32*$AG658))-0.010431*(1-$AG658/210))))</f>
        <v>2.9500001032655536</v>
      </c>
      <c r="AK658" s="24">
        <f>IF(D658="M",IF($AG658&lt;162,WeightSDS!P$12*$AG658^7+WeightSDS!Q$12*$AG658^6+WeightSDS!R$12*$AG658^5+WeightSDS!S$12*$AG658^4+WeightSDS!T$12*$AG658^3+WeightSDS!U$12*$AG658^2+WeightSDS!V$12*$AG658+WeightSDS!W$12,WeightSDS!P$14*$AG658^7+WeightSDS!Q$14*$AG658^6+WeightSDS!R$14*$AG658^5+WeightSDS!S$14*$AG658^4+WeightSDS!T$14*$AG658^3+WeightSDS!U$14*$AG658^2+WeightSDS!V$14*$AG658+WeightSDS!W$14),IF($AG658&lt;156,WeightSDS!O$17*$AG658^8+WeightSDS!P$17*$AG658^7+WeightSDS!Q$17*$AG658^6+WeightSDS!R$17*$AG658^5+WeightSDS!S$17*$AG658^4+WeightSDS!T$17*$AG658^3+WeightSDS!U$17*$AG658^2+WeightSDS!V$17*$AG658+WeightSDS!W$17,IF($AG658&lt;186,WeightSDS!$U$18+(WeightSDS!$V$18-WeightSDS!$U$18)/24*($AG658-186)+WeightSDS!$W$18*(-$AG658+186)^2-0.005,WeightSDS!$U$18+(WeightSDS!$V$18-WeightSDS!$U$18)/24*($AG658-186)-0.005)))</f>
        <v>0.14604529399999999</v>
      </c>
    </row>
    <row r="659" spans="1:37">
      <c r="A659" s="4"/>
      <c r="B659" s="21"/>
      <c r="C659" s="21"/>
      <c r="D659" s="21"/>
      <c r="E659" s="22"/>
      <c r="F659" s="22"/>
      <c r="G659" s="23"/>
      <c r="H659" s="23"/>
      <c r="I659" s="8" t="str">
        <f t="shared" si="162"/>
        <v/>
      </c>
      <c r="J659" s="2" t="str">
        <f t="shared" si="169"/>
        <v/>
      </c>
      <c r="K659" s="2" t="str">
        <f t="shared" si="163"/>
        <v/>
      </c>
      <c r="L659" s="2" t="str">
        <f t="shared" si="170"/>
        <v/>
      </c>
      <c r="M659" s="2" t="str">
        <f t="shared" si="175"/>
        <v/>
      </c>
      <c r="N659" s="2" t="str">
        <f t="shared" si="171"/>
        <v/>
      </c>
      <c r="O659" s="8" t="str">
        <f t="shared" si="172"/>
        <v/>
      </c>
      <c r="P659" s="8" t="str">
        <f t="shared" si="173"/>
        <v/>
      </c>
      <c r="Q659" s="40" t="str">
        <f t="shared" si="164"/>
        <v/>
      </c>
      <c r="R659" s="48" t="str">
        <f t="shared" si="174"/>
        <v/>
      </c>
      <c r="S659" s="8"/>
      <c r="U659" s="35">
        <f t="shared" si="165"/>
        <v>0</v>
      </c>
      <c r="V659" s="24">
        <f t="shared" si="166"/>
        <v>0</v>
      </c>
      <c r="W659" s="41">
        <f t="shared" si="161"/>
        <v>0</v>
      </c>
      <c r="X659" s="31"/>
      <c r="Y659" s="31"/>
      <c r="Z659" s="31"/>
      <c r="AA659" s="25">
        <f t="shared" si="167"/>
        <v>9.0359999999999996</v>
      </c>
      <c r="AB659" s="25">
        <f t="shared" si="168"/>
        <v>-184.49199999999999</v>
      </c>
      <c r="AD659" s="24">
        <f>IF(D659="M",IF(AG659&lt;78,BMILMS!$D$5*AG659^3+BMILMS!$E$5*AG659^2+BMILMS!$F$5*AG659+BMILMS!$G$5,IF(AG659&lt;150,BMILMS!$D$6*AG659^3+BMILMS!$E$6*AG659^2+BMILMS!$F$6*AG659+BMILMS!$G$6,BMILMS!$D$7*AG659^3+BMILMS!$E$7*AG659^2+BMILMS!$F$7*AG659+BMILMS!$G$7)),IF(AG659&lt;69,BMILMS!$D$9*AG659^3+BMILMS!$E$9*AG659^2+BMILMS!$F$9*AG659+BMILMS!$G$9,IF(AG659&lt;150,BMILMS!$D$10*AG659^3+BMILMS!$E$10*AG659^2+BMILMS!$F$10*AG659+BMILMS!$G$10,BMILMS!$D$11*AG659^3+BMILMS!$E$11*AG659^2+BMILMS!$F$11*AG659+BMILMS!$G$11)))</f>
        <v>0.79584630099999998</v>
      </c>
      <c r="AE659" s="24">
        <f>IF(D659="M",(IF(AG659&lt;2.5,BMILMS!$D$21*AG659^3+BMILMS!$E$21*AG659^2+BMILMS!$F$21*AG659+BMILMS!$G$21,IF(AG659&lt;9.5,BMILMS!$D$22*AG659^3+BMILMS!$E$22*AG659^2+BMILMS!$F$22*AG659+BMILMS!$G$22,IF(AG659&lt;26.75,BMILMS!$D$23*AG659^3+BMILMS!$E$23*AG659^2+BMILMS!$F$23*AG659+BMILMS!$G$23,IF(AG659&lt;90,BMILMS!$D$24*AG659^3+BMILMS!$E$24*AG659^2+BMILMS!$F$24*AG659+BMILMS!$G$24,BMILMS!$D$25*AG659^3+BMILMS!$E$25*AG659^2+BMILMS!$F$25*AG659+BMILMS!$G$25))))),(IF(AG659&lt;2.5,BMILMS!$D$27*AG659^3+BMILMS!$E$27*AG659^2+BMILMS!$F$27*AG659+BMILMS!$G$27,IF(AG659&lt;9.5,BMILMS!$D$28*AG659^3+BMILMS!$E$28*AG659^2+BMILMS!$F$28*AG659+BMILMS!$G$28,IF(AG659&lt;26.75,BMILMS!$D$29*AG659^3+BMILMS!$E$29*AG659^2+BMILMS!$F$29*AG659+BMILMS!$G$29,IF(AG659&lt;90,BMILMS!$D$30*AG659^3+BMILMS!$E$30*AG659^2+BMILMS!$F$30*AG659+BMILMS!$G$30,IF(AG659&lt;150,BMILMS!$D$31*AG659^3+BMILMS!$E$31*AG659^2+BMILMS!$F$31*AG659+BMILMS!$G$31,BMILMS!$D$32*AG659^3+BMILMS!$E$32*AG659^2+BMILMS!$F$32*AG659+BMILMS!$G$32)))))))</f>
        <v>12.568967990000001</v>
      </c>
      <c r="AF659" s="24">
        <f>IF(D659="M",(IF(AG659&lt;90,BMILMS!$D$14*AG659^3+BMILMS!$E$14*AG659^2+BMILMS!$F$14*AG659+BMILMS!$G$14,BMILMS!$D$15*AG659^3+BMILMS!$E$15*AG659^2+BMILMS!$F$15*AG659+BMILMS!$G$15)),(IF(AG659&lt;90,BMILMS!$D$17*AG659^3+BMILMS!$E$17*AG659^2+BMILMS!$F$17*AG659+BMILMS!$G$17,BMILMS!$D$18*AG659^3+BMILMS!$E$18*AG659^2+BMILMS!$F$18*AG659+BMILMS!$G$18)))</f>
        <v>8.8969350000000003E-2</v>
      </c>
      <c r="AG659" s="24">
        <f t="shared" si="176"/>
        <v>0</v>
      </c>
      <c r="AI659" s="38">
        <f>IF(D659="M",WeightSDS!P$5*$AG659^7+WeightSDS!Q$5*$AG659^6+WeightSDS!R$5*$AG659^5+WeightSDS!S$5*$AG659^4+WeightSDS!T$5*$AG659^3+WeightSDS!U$5*$AG659^2+WeightSDS!V$5*$AG659+WeightSDS!W$5,IF($AG659&lt;186,WeightSDS!P$8*$AG659^7+WeightSDS!Q$8*$AG659^6+WeightSDS!R$8*$AG659^5+WeightSDS!S$8*$AG659^4+WeightSDS!T$8*$AG659^3+WeightSDS!U$8*$AG659^2+WeightSDS!V$8*$AG659+WeightSDS!W$8,WeightSDS!$U$9-WeightSDS!$V$9*($AG659-WeightSDS!$W$9)))</f>
        <v>0.75407122999999998</v>
      </c>
      <c r="AJ659" s="24">
        <f>IF(D659="M",IF($AG659&lt;45,WeightSDS!M$23*$AG659^10+WeightSDS!N$23*$AG659^9+WeightSDS!O$23*$AG659^8+WeightSDS!P$23*$AG659^7+WeightSDS!Q$23*$AG659^6+WeightSDS!R$23*$AG659^5+WeightSDS!S$23*$AG659^4+WeightSDS!T$23*$AG659^3+WeightSDS!U$23*$AG659^2+WeightSDS!V$23*$AG659+WeightSDS!W$23,IF($AG659&lt;153,WeightSDS!M$25*$AG659^10+WeightSDS!N$25*$AG659^9+WeightSDS!O$25*$AG659^8+WeightSDS!P$25*$AG659^7+WeightSDS!Q$25*$AG659^6+WeightSDS!R$25*$AG659^5+WeightSDS!S$25*$AG659^4+WeightSDS!T$25*$AG659^3+WeightSDS!U$25*$AG659^2+WeightSDS!V$25*$AG659+WeightSDS!W$25,WeightSDS!M$27+WeightSDS!N$27/(1+EXP(WeightSDS!O$27+WeightSDS!P$27*$AG659)))),IF($AG659&lt;43.8,WeightSDS!M$29*$AG659^10+WeightSDS!N$29*$AG659^9+WeightSDS!O$29*$AG659^8+WeightSDS!P$29*$AG659^7+WeightSDS!Q$29*$AG659^6+WeightSDS!R$29*$AG659^5+WeightSDS!S$29*$AG659^4+WeightSDS!T$29*$AG659^3+WeightSDS!U$29*$AG659^2+WeightSDS!V$29*$AG659+WeightSDS!W$29-0.010431*(1-$AG659/210),IF($AG659&lt;123,WeightSDS!M$30*$AG659^10+WeightSDS!N$30*$AG659^9+WeightSDS!O$30*$AG659^8+WeightSDS!P$30*$AG659^7+WeightSDS!Q$30*$AG659^6+WeightSDS!R$30*$AG659^5+WeightSDS!S$30*$AG659^4+WeightSDS!T$30*$AG659^3+WeightSDS!U$30*$AG659^2+WeightSDS!V$30*$AG659+WeightSDS!W$30-0.010431*(1-1/$AG659),WeightSDS!M$32+WeightSDS!N$32/(1+EXP(WeightSDS!O$32+WeightSDS!P$32*$AG659))-0.010431*(1-$AG659/210))))</f>
        <v>2.9500001032655536</v>
      </c>
      <c r="AK659" s="24">
        <f>IF(D659="M",IF($AG659&lt;162,WeightSDS!P$12*$AG659^7+WeightSDS!Q$12*$AG659^6+WeightSDS!R$12*$AG659^5+WeightSDS!S$12*$AG659^4+WeightSDS!T$12*$AG659^3+WeightSDS!U$12*$AG659^2+WeightSDS!V$12*$AG659+WeightSDS!W$12,WeightSDS!P$14*$AG659^7+WeightSDS!Q$14*$AG659^6+WeightSDS!R$14*$AG659^5+WeightSDS!S$14*$AG659^4+WeightSDS!T$14*$AG659^3+WeightSDS!U$14*$AG659^2+WeightSDS!V$14*$AG659+WeightSDS!W$14),IF($AG659&lt;156,WeightSDS!O$17*$AG659^8+WeightSDS!P$17*$AG659^7+WeightSDS!Q$17*$AG659^6+WeightSDS!R$17*$AG659^5+WeightSDS!S$17*$AG659^4+WeightSDS!T$17*$AG659^3+WeightSDS!U$17*$AG659^2+WeightSDS!V$17*$AG659+WeightSDS!W$17,IF($AG659&lt;186,WeightSDS!$U$18+(WeightSDS!$V$18-WeightSDS!$U$18)/24*($AG659-186)+WeightSDS!$W$18*(-$AG659+186)^2-0.005,WeightSDS!$U$18+(WeightSDS!$V$18-WeightSDS!$U$18)/24*($AG659-186)-0.005)))</f>
        <v>0.14604529399999999</v>
      </c>
    </row>
    <row r="660" spans="1:37">
      <c r="A660" s="4"/>
      <c r="B660" s="21"/>
      <c r="C660" s="21"/>
      <c r="D660" s="21"/>
      <c r="E660" s="22"/>
      <c r="F660" s="22"/>
      <c r="G660" s="23"/>
      <c r="H660" s="23"/>
      <c r="I660" s="8" t="str">
        <f t="shared" si="162"/>
        <v/>
      </c>
      <c r="J660" s="2" t="str">
        <f t="shared" si="169"/>
        <v/>
      </c>
      <c r="K660" s="2" t="str">
        <f t="shared" si="163"/>
        <v/>
      </c>
      <c r="L660" s="2" t="str">
        <f t="shared" si="170"/>
        <v/>
      </c>
      <c r="M660" s="2" t="str">
        <f t="shared" si="175"/>
        <v/>
      </c>
      <c r="N660" s="2" t="str">
        <f t="shared" si="171"/>
        <v/>
      </c>
      <c r="O660" s="8" t="str">
        <f t="shared" si="172"/>
        <v/>
      </c>
      <c r="P660" s="8" t="str">
        <f t="shared" si="173"/>
        <v/>
      </c>
      <c r="Q660" s="40" t="str">
        <f t="shared" si="164"/>
        <v/>
      </c>
      <c r="R660" s="48" t="str">
        <f t="shared" si="174"/>
        <v/>
      </c>
      <c r="S660" s="8"/>
      <c r="U660" s="35">
        <f t="shared" si="165"/>
        <v>0</v>
      </c>
      <c r="V660" s="24">
        <f t="shared" si="166"/>
        <v>0</v>
      </c>
      <c r="W660" s="41">
        <f t="shared" si="161"/>
        <v>0</v>
      </c>
      <c r="X660" s="31"/>
      <c r="Y660" s="31"/>
      <c r="Z660" s="31"/>
      <c r="AA660" s="25">
        <f t="shared" si="167"/>
        <v>9.0359999999999996</v>
      </c>
      <c r="AB660" s="25">
        <f t="shared" si="168"/>
        <v>-184.49199999999999</v>
      </c>
      <c r="AD660" s="24">
        <f>IF(D660="M",IF(AG660&lt;78,BMILMS!$D$5*AG660^3+BMILMS!$E$5*AG660^2+BMILMS!$F$5*AG660+BMILMS!$G$5,IF(AG660&lt;150,BMILMS!$D$6*AG660^3+BMILMS!$E$6*AG660^2+BMILMS!$F$6*AG660+BMILMS!$G$6,BMILMS!$D$7*AG660^3+BMILMS!$E$7*AG660^2+BMILMS!$F$7*AG660+BMILMS!$G$7)),IF(AG660&lt;69,BMILMS!$D$9*AG660^3+BMILMS!$E$9*AG660^2+BMILMS!$F$9*AG660+BMILMS!$G$9,IF(AG660&lt;150,BMILMS!$D$10*AG660^3+BMILMS!$E$10*AG660^2+BMILMS!$F$10*AG660+BMILMS!$G$10,BMILMS!$D$11*AG660^3+BMILMS!$E$11*AG660^2+BMILMS!$F$11*AG660+BMILMS!$G$11)))</f>
        <v>0.79584630099999998</v>
      </c>
      <c r="AE660" s="24">
        <f>IF(D660="M",(IF(AG660&lt;2.5,BMILMS!$D$21*AG660^3+BMILMS!$E$21*AG660^2+BMILMS!$F$21*AG660+BMILMS!$G$21,IF(AG660&lt;9.5,BMILMS!$D$22*AG660^3+BMILMS!$E$22*AG660^2+BMILMS!$F$22*AG660+BMILMS!$G$22,IF(AG660&lt;26.75,BMILMS!$D$23*AG660^3+BMILMS!$E$23*AG660^2+BMILMS!$F$23*AG660+BMILMS!$G$23,IF(AG660&lt;90,BMILMS!$D$24*AG660^3+BMILMS!$E$24*AG660^2+BMILMS!$F$24*AG660+BMILMS!$G$24,BMILMS!$D$25*AG660^3+BMILMS!$E$25*AG660^2+BMILMS!$F$25*AG660+BMILMS!$G$25))))),(IF(AG660&lt;2.5,BMILMS!$D$27*AG660^3+BMILMS!$E$27*AG660^2+BMILMS!$F$27*AG660+BMILMS!$G$27,IF(AG660&lt;9.5,BMILMS!$D$28*AG660^3+BMILMS!$E$28*AG660^2+BMILMS!$F$28*AG660+BMILMS!$G$28,IF(AG660&lt;26.75,BMILMS!$D$29*AG660^3+BMILMS!$E$29*AG660^2+BMILMS!$F$29*AG660+BMILMS!$G$29,IF(AG660&lt;90,BMILMS!$D$30*AG660^3+BMILMS!$E$30*AG660^2+BMILMS!$F$30*AG660+BMILMS!$G$30,IF(AG660&lt;150,BMILMS!$D$31*AG660^3+BMILMS!$E$31*AG660^2+BMILMS!$F$31*AG660+BMILMS!$G$31,BMILMS!$D$32*AG660^3+BMILMS!$E$32*AG660^2+BMILMS!$F$32*AG660+BMILMS!$G$32)))))))</f>
        <v>12.568967990000001</v>
      </c>
      <c r="AF660" s="24">
        <f>IF(D660="M",(IF(AG660&lt;90,BMILMS!$D$14*AG660^3+BMILMS!$E$14*AG660^2+BMILMS!$F$14*AG660+BMILMS!$G$14,BMILMS!$D$15*AG660^3+BMILMS!$E$15*AG660^2+BMILMS!$F$15*AG660+BMILMS!$G$15)),(IF(AG660&lt;90,BMILMS!$D$17*AG660^3+BMILMS!$E$17*AG660^2+BMILMS!$F$17*AG660+BMILMS!$G$17,BMILMS!$D$18*AG660^3+BMILMS!$E$18*AG660^2+BMILMS!$F$18*AG660+BMILMS!$G$18)))</f>
        <v>8.8969350000000003E-2</v>
      </c>
      <c r="AG660" s="24">
        <f t="shared" si="176"/>
        <v>0</v>
      </c>
      <c r="AI660" s="38">
        <f>IF(D660="M",WeightSDS!P$5*$AG660^7+WeightSDS!Q$5*$AG660^6+WeightSDS!R$5*$AG660^5+WeightSDS!S$5*$AG660^4+WeightSDS!T$5*$AG660^3+WeightSDS!U$5*$AG660^2+WeightSDS!V$5*$AG660+WeightSDS!W$5,IF($AG660&lt;186,WeightSDS!P$8*$AG660^7+WeightSDS!Q$8*$AG660^6+WeightSDS!R$8*$AG660^5+WeightSDS!S$8*$AG660^4+WeightSDS!T$8*$AG660^3+WeightSDS!U$8*$AG660^2+WeightSDS!V$8*$AG660+WeightSDS!W$8,WeightSDS!$U$9-WeightSDS!$V$9*($AG660-WeightSDS!$W$9)))</f>
        <v>0.75407122999999998</v>
      </c>
      <c r="AJ660" s="24">
        <f>IF(D660="M",IF($AG660&lt;45,WeightSDS!M$23*$AG660^10+WeightSDS!N$23*$AG660^9+WeightSDS!O$23*$AG660^8+WeightSDS!P$23*$AG660^7+WeightSDS!Q$23*$AG660^6+WeightSDS!R$23*$AG660^5+WeightSDS!S$23*$AG660^4+WeightSDS!T$23*$AG660^3+WeightSDS!U$23*$AG660^2+WeightSDS!V$23*$AG660+WeightSDS!W$23,IF($AG660&lt;153,WeightSDS!M$25*$AG660^10+WeightSDS!N$25*$AG660^9+WeightSDS!O$25*$AG660^8+WeightSDS!P$25*$AG660^7+WeightSDS!Q$25*$AG660^6+WeightSDS!R$25*$AG660^5+WeightSDS!S$25*$AG660^4+WeightSDS!T$25*$AG660^3+WeightSDS!U$25*$AG660^2+WeightSDS!V$25*$AG660+WeightSDS!W$25,WeightSDS!M$27+WeightSDS!N$27/(1+EXP(WeightSDS!O$27+WeightSDS!P$27*$AG660)))),IF($AG660&lt;43.8,WeightSDS!M$29*$AG660^10+WeightSDS!N$29*$AG660^9+WeightSDS!O$29*$AG660^8+WeightSDS!P$29*$AG660^7+WeightSDS!Q$29*$AG660^6+WeightSDS!R$29*$AG660^5+WeightSDS!S$29*$AG660^4+WeightSDS!T$29*$AG660^3+WeightSDS!U$29*$AG660^2+WeightSDS!V$29*$AG660+WeightSDS!W$29-0.010431*(1-$AG660/210),IF($AG660&lt;123,WeightSDS!M$30*$AG660^10+WeightSDS!N$30*$AG660^9+WeightSDS!O$30*$AG660^8+WeightSDS!P$30*$AG660^7+WeightSDS!Q$30*$AG660^6+WeightSDS!R$30*$AG660^5+WeightSDS!S$30*$AG660^4+WeightSDS!T$30*$AG660^3+WeightSDS!U$30*$AG660^2+WeightSDS!V$30*$AG660+WeightSDS!W$30-0.010431*(1-1/$AG660),WeightSDS!M$32+WeightSDS!N$32/(1+EXP(WeightSDS!O$32+WeightSDS!P$32*$AG660))-0.010431*(1-$AG660/210))))</f>
        <v>2.9500001032655536</v>
      </c>
      <c r="AK660" s="24">
        <f>IF(D660="M",IF($AG660&lt;162,WeightSDS!P$12*$AG660^7+WeightSDS!Q$12*$AG660^6+WeightSDS!R$12*$AG660^5+WeightSDS!S$12*$AG660^4+WeightSDS!T$12*$AG660^3+WeightSDS!U$12*$AG660^2+WeightSDS!V$12*$AG660+WeightSDS!W$12,WeightSDS!P$14*$AG660^7+WeightSDS!Q$14*$AG660^6+WeightSDS!R$14*$AG660^5+WeightSDS!S$14*$AG660^4+WeightSDS!T$14*$AG660^3+WeightSDS!U$14*$AG660^2+WeightSDS!V$14*$AG660+WeightSDS!W$14),IF($AG660&lt;156,WeightSDS!O$17*$AG660^8+WeightSDS!P$17*$AG660^7+WeightSDS!Q$17*$AG660^6+WeightSDS!R$17*$AG660^5+WeightSDS!S$17*$AG660^4+WeightSDS!T$17*$AG660^3+WeightSDS!U$17*$AG660^2+WeightSDS!V$17*$AG660+WeightSDS!W$17,IF($AG660&lt;186,WeightSDS!$U$18+(WeightSDS!$V$18-WeightSDS!$U$18)/24*($AG660-186)+WeightSDS!$W$18*(-$AG660+186)^2-0.005,WeightSDS!$U$18+(WeightSDS!$V$18-WeightSDS!$U$18)/24*($AG660-186)-0.005)))</f>
        <v>0.14604529399999999</v>
      </c>
    </row>
    <row r="661" spans="1:37">
      <c r="A661" s="4"/>
      <c r="B661" s="21"/>
      <c r="C661" s="21"/>
      <c r="D661" s="21"/>
      <c r="E661" s="22"/>
      <c r="F661" s="22"/>
      <c r="G661" s="23"/>
      <c r="H661" s="23"/>
      <c r="I661" s="8" t="str">
        <f t="shared" si="162"/>
        <v/>
      </c>
      <c r="J661" s="2" t="str">
        <f t="shared" si="169"/>
        <v/>
      </c>
      <c r="K661" s="2" t="str">
        <f t="shared" si="163"/>
        <v/>
      </c>
      <c r="L661" s="2" t="str">
        <f t="shared" si="170"/>
        <v/>
      </c>
      <c r="M661" s="2" t="str">
        <f t="shared" si="175"/>
        <v/>
      </c>
      <c r="N661" s="2" t="str">
        <f t="shared" si="171"/>
        <v/>
      </c>
      <c r="O661" s="8" t="str">
        <f t="shared" si="172"/>
        <v/>
      </c>
      <c r="P661" s="8" t="str">
        <f t="shared" si="173"/>
        <v/>
      </c>
      <c r="Q661" s="40" t="str">
        <f t="shared" si="164"/>
        <v/>
      </c>
      <c r="R661" s="48" t="str">
        <f t="shared" si="174"/>
        <v/>
      </c>
      <c r="S661" s="8"/>
      <c r="U661" s="35">
        <f t="shared" si="165"/>
        <v>0</v>
      </c>
      <c r="V661" s="24">
        <f t="shared" si="166"/>
        <v>0</v>
      </c>
      <c r="W661" s="41">
        <f t="shared" si="161"/>
        <v>0</v>
      </c>
      <c r="X661" s="31"/>
      <c r="Y661" s="31"/>
      <c r="Z661" s="31"/>
      <c r="AA661" s="25">
        <f t="shared" si="167"/>
        <v>9.0359999999999996</v>
      </c>
      <c r="AB661" s="25">
        <f t="shared" si="168"/>
        <v>-184.49199999999999</v>
      </c>
      <c r="AD661" s="24">
        <f>IF(D661="M",IF(AG661&lt;78,BMILMS!$D$5*AG661^3+BMILMS!$E$5*AG661^2+BMILMS!$F$5*AG661+BMILMS!$G$5,IF(AG661&lt;150,BMILMS!$D$6*AG661^3+BMILMS!$E$6*AG661^2+BMILMS!$F$6*AG661+BMILMS!$G$6,BMILMS!$D$7*AG661^3+BMILMS!$E$7*AG661^2+BMILMS!$F$7*AG661+BMILMS!$G$7)),IF(AG661&lt;69,BMILMS!$D$9*AG661^3+BMILMS!$E$9*AG661^2+BMILMS!$F$9*AG661+BMILMS!$G$9,IF(AG661&lt;150,BMILMS!$D$10*AG661^3+BMILMS!$E$10*AG661^2+BMILMS!$F$10*AG661+BMILMS!$G$10,BMILMS!$D$11*AG661^3+BMILMS!$E$11*AG661^2+BMILMS!$F$11*AG661+BMILMS!$G$11)))</f>
        <v>0.79584630099999998</v>
      </c>
      <c r="AE661" s="24">
        <f>IF(D661="M",(IF(AG661&lt;2.5,BMILMS!$D$21*AG661^3+BMILMS!$E$21*AG661^2+BMILMS!$F$21*AG661+BMILMS!$G$21,IF(AG661&lt;9.5,BMILMS!$D$22*AG661^3+BMILMS!$E$22*AG661^2+BMILMS!$F$22*AG661+BMILMS!$G$22,IF(AG661&lt;26.75,BMILMS!$D$23*AG661^3+BMILMS!$E$23*AG661^2+BMILMS!$F$23*AG661+BMILMS!$G$23,IF(AG661&lt;90,BMILMS!$D$24*AG661^3+BMILMS!$E$24*AG661^2+BMILMS!$F$24*AG661+BMILMS!$G$24,BMILMS!$D$25*AG661^3+BMILMS!$E$25*AG661^2+BMILMS!$F$25*AG661+BMILMS!$G$25))))),(IF(AG661&lt;2.5,BMILMS!$D$27*AG661^3+BMILMS!$E$27*AG661^2+BMILMS!$F$27*AG661+BMILMS!$G$27,IF(AG661&lt;9.5,BMILMS!$D$28*AG661^3+BMILMS!$E$28*AG661^2+BMILMS!$F$28*AG661+BMILMS!$G$28,IF(AG661&lt;26.75,BMILMS!$D$29*AG661^3+BMILMS!$E$29*AG661^2+BMILMS!$F$29*AG661+BMILMS!$G$29,IF(AG661&lt;90,BMILMS!$D$30*AG661^3+BMILMS!$E$30*AG661^2+BMILMS!$F$30*AG661+BMILMS!$G$30,IF(AG661&lt;150,BMILMS!$D$31*AG661^3+BMILMS!$E$31*AG661^2+BMILMS!$F$31*AG661+BMILMS!$G$31,BMILMS!$D$32*AG661^3+BMILMS!$E$32*AG661^2+BMILMS!$F$32*AG661+BMILMS!$G$32)))))))</f>
        <v>12.568967990000001</v>
      </c>
      <c r="AF661" s="24">
        <f>IF(D661="M",(IF(AG661&lt;90,BMILMS!$D$14*AG661^3+BMILMS!$E$14*AG661^2+BMILMS!$F$14*AG661+BMILMS!$G$14,BMILMS!$D$15*AG661^3+BMILMS!$E$15*AG661^2+BMILMS!$F$15*AG661+BMILMS!$G$15)),(IF(AG661&lt;90,BMILMS!$D$17*AG661^3+BMILMS!$E$17*AG661^2+BMILMS!$F$17*AG661+BMILMS!$G$17,BMILMS!$D$18*AG661^3+BMILMS!$E$18*AG661^2+BMILMS!$F$18*AG661+BMILMS!$G$18)))</f>
        <v>8.8969350000000003E-2</v>
      </c>
      <c r="AG661" s="24">
        <f t="shared" si="176"/>
        <v>0</v>
      </c>
      <c r="AI661" s="38">
        <f>IF(D661="M",WeightSDS!P$5*$AG661^7+WeightSDS!Q$5*$AG661^6+WeightSDS!R$5*$AG661^5+WeightSDS!S$5*$AG661^4+WeightSDS!T$5*$AG661^3+WeightSDS!U$5*$AG661^2+WeightSDS!V$5*$AG661+WeightSDS!W$5,IF($AG661&lt;186,WeightSDS!P$8*$AG661^7+WeightSDS!Q$8*$AG661^6+WeightSDS!R$8*$AG661^5+WeightSDS!S$8*$AG661^4+WeightSDS!T$8*$AG661^3+WeightSDS!U$8*$AG661^2+WeightSDS!V$8*$AG661+WeightSDS!W$8,WeightSDS!$U$9-WeightSDS!$V$9*($AG661-WeightSDS!$W$9)))</f>
        <v>0.75407122999999998</v>
      </c>
      <c r="AJ661" s="24">
        <f>IF(D661="M",IF($AG661&lt;45,WeightSDS!M$23*$AG661^10+WeightSDS!N$23*$AG661^9+WeightSDS!O$23*$AG661^8+WeightSDS!P$23*$AG661^7+WeightSDS!Q$23*$AG661^6+WeightSDS!R$23*$AG661^5+WeightSDS!S$23*$AG661^4+WeightSDS!T$23*$AG661^3+WeightSDS!U$23*$AG661^2+WeightSDS!V$23*$AG661+WeightSDS!W$23,IF($AG661&lt;153,WeightSDS!M$25*$AG661^10+WeightSDS!N$25*$AG661^9+WeightSDS!O$25*$AG661^8+WeightSDS!P$25*$AG661^7+WeightSDS!Q$25*$AG661^6+WeightSDS!R$25*$AG661^5+WeightSDS!S$25*$AG661^4+WeightSDS!T$25*$AG661^3+WeightSDS!U$25*$AG661^2+WeightSDS!V$25*$AG661+WeightSDS!W$25,WeightSDS!M$27+WeightSDS!N$27/(1+EXP(WeightSDS!O$27+WeightSDS!P$27*$AG661)))),IF($AG661&lt;43.8,WeightSDS!M$29*$AG661^10+WeightSDS!N$29*$AG661^9+WeightSDS!O$29*$AG661^8+WeightSDS!P$29*$AG661^7+WeightSDS!Q$29*$AG661^6+WeightSDS!R$29*$AG661^5+WeightSDS!S$29*$AG661^4+WeightSDS!T$29*$AG661^3+WeightSDS!U$29*$AG661^2+WeightSDS!V$29*$AG661+WeightSDS!W$29-0.010431*(1-$AG661/210),IF($AG661&lt;123,WeightSDS!M$30*$AG661^10+WeightSDS!N$30*$AG661^9+WeightSDS!O$30*$AG661^8+WeightSDS!P$30*$AG661^7+WeightSDS!Q$30*$AG661^6+WeightSDS!R$30*$AG661^5+WeightSDS!S$30*$AG661^4+WeightSDS!T$30*$AG661^3+WeightSDS!U$30*$AG661^2+WeightSDS!V$30*$AG661+WeightSDS!W$30-0.010431*(1-1/$AG661),WeightSDS!M$32+WeightSDS!N$32/(1+EXP(WeightSDS!O$32+WeightSDS!P$32*$AG661))-0.010431*(1-$AG661/210))))</f>
        <v>2.9500001032655536</v>
      </c>
      <c r="AK661" s="24">
        <f>IF(D661="M",IF($AG661&lt;162,WeightSDS!P$12*$AG661^7+WeightSDS!Q$12*$AG661^6+WeightSDS!R$12*$AG661^5+WeightSDS!S$12*$AG661^4+WeightSDS!T$12*$AG661^3+WeightSDS!U$12*$AG661^2+WeightSDS!V$12*$AG661+WeightSDS!W$12,WeightSDS!P$14*$AG661^7+WeightSDS!Q$14*$AG661^6+WeightSDS!R$14*$AG661^5+WeightSDS!S$14*$AG661^4+WeightSDS!T$14*$AG661^3+WeightSDS!U$14*$AG661^2+WeightSDS!V$14*$AG661+WeightSDS!W$14),IF($AG661&lt;156,WeightSDS!O$17*$AG661^8+WeightSDS!P$17*$AG661^7+WeightSDS!Q$17*$AG661^6+WeightSDS!R$17*$AG661^5+WeightSDS!S$17*$AG661^4+WeightSDS!T$17*$AG661^3+WeightSDS!U$17*$AG661^2+WeightSDS!V$17*$AG661+WeightSDS!W$17,IF($AG661&lt;186,WeightSDS!$U$18+(WeightSDS!$V$18-WeightSDS!$U$18)/24*($AG661-186)+WeightSDS!$W$18*(-$AG661+186)^2-0.005,WeightSDS!$U$18+(WeightSDS!$V$18-WeightSDS!$U$18)/24*($AG661-186)-0.005)))</f>
        <v>0.14604529399999999</v>
      </c>
    </row>
    <row r="662" spans="1:37">
      <c r="A662" s="4"/>
      <c r="B662" s="21"/>
      <c r="C662" s="21"/>
      <c r="D662" s="21"/>
      <c r="E662" s="22"/>
      <c r="F662" s="22"/>
      <c r="G662" s="23"/>
      <c r="H662" s="23"/>
      <c r="I662" s="8" t="str">
        <f t="shared" si="162"/>
        <v/>
      </c>
      <c r="J662" s="2" t="str">
        <f t="shared" si="169"/>
        <v/>
      </c>
      <c r="K662" s="2" t="str">
        <f t="shared" si="163"/>
        <v/>
      </c>
      <c r="L662" s="2" t="str">
        <f t="shared" si="170"/>
        <v/>
      </c>
      <c r="M662" s="2" t="str">
        <f t="shared" si="175"/>
        <v/>
      </c>
      <c r="N662" s="2" t="str">
        <f t="shared" si="171"/>
        <v/>
      </c>
      <c r="O662" s="8" t="str">
        <f t="shared" si="172"/>
        <v/>
      </c>
      <c r="P662" s="8" t="str">
        <f t="shared" si="173"/>
        <v/>
      </c>
      <c r="Q662" s="40" t="str">
        <f t="shared" si="164"/>
        <v/>
      </c>
      <c r="R662" s="48" t="str">
        <f t="shared" si="174"/>
        <v/>
      </c>
      <c r="S662" s="8"/>
      <c r="U662" s="35">
        <f t="shared" si="165"/>
        <v>0</v>
      </c>
      <c r="V662" s="24">
        <f t="shared" si="166"/>
        <v>0</v>
      </c>
      <c r="W662" s="41">
        <f t="shared" si="161"/>
        <v>0</v>
      </c>
      <c r="X662" s="31"/>
      <c r="Y662" s="31"/>
      <c r="Z662" s="31"/>
      <c r="AA662" s="25">
        <f t="shared" si="167"/>
        <v>9.0359999999999996</v>
      </c>
      <c r="AB662" s="25">
        <f t="shared" si="168"/>
        <v>-184.49199999999999</v>
      </c>
      <c r="AD662" s="24">
        <f>IF(D662="M",IF(AG662&lt;78,BMILMS!$D$5*AG662^3+BMILMS!$E$5*AG662^2+BMILMS!$F$5*AG662+BMILMS!$G$5,IF(AG662&lt;150,BMILMS!$D$6*AG662^3+BMILMS!$E$6*AG662^2+BMILMS!$F$6*AG662+BMILMS!$G$6,BMILMS!$D$7*AG662^3+BMILMS!$E$7*AG662^2+BMILMS!$F$7*AG662+BMILMS!$G$7)),IF(AG662&lt;69,BMILMS!$D$9*AG662^3+BMILMS!$E$9*AG662^2+BMILMS!$F$9*AG662+BMILMS!$G$9,IF(AG662&lt;150,BMILMS!$D$10*AG662^3+BMILMS!$E$10*AG662^2+BMILMS!$F$10*AG662+BMILMS!$G$10,BMILMS!$D$11*AG662^3+BMILMS!$E$11*AG662^2+BMILMS!$F$11*AG662+BMILMS!$G$11)))</f>
        <v>0.79584630099999998</v>
      </c>
      <c r="AE662" s="24">
        <f>IF(D662="M",(IF(AG662&lt;2.5,BMILMS!$D$21*AG662^3+BMILMS!$E$21*AG662^2+BMILMS!$F$21*AG662+BMILMS!$G$21,IF(AG662&lt;9.5,BMILMS!$D$22*AG662^3+BMILMS!$E$22*AG662^2+BMILMS!$F$22*AG662+BMILMS!$G$22,IF(AG662&lt;26.75,BMILMS!$D$23*AG662^3+BMILMS!$E$23*AG662^2+BMILMS!$F$23*AG662+BMILMS!$G$23,IF(AG662&lt;90,BMILMS!$D$24*AG662^3+BMILMS!$E$24*AG662^2+BMILMS!$F$24*AG662+BMILMS!$G$24,BMILMS!$D$25*AG662^3+BMILMS!$E$25*AG662^2+BMILMS!$F$25*AG662+BMILMS!$G$25))))),(IF(AG662&lt;2.5,BMILMS!$D$27*AG662^3+BMILMS!$E$27*AG662^2+BMILMS!$F$27*AG662+BMILMS!$G$27,IF(AG662&lt;9.5,BMILMS!$D$28*AG662^3+BMILMS!$E$28*AG662^2+BMILMS!$F$28*AG662+BMILMS!$G$28,IF(AG662&lt;26.75,BMILMS!$D$29*AG662^3+BMILMS!$E$29*AG662^2+BMILMS!$F$29*AG662+BMILMS!$G$29,IF(AG662&lt;90,BMILMS!$D$30*AG662^3+BMILMS!$E$30*AG662^2+BMILMS!$F$30*AG662+BMILMS!$G$30,IF(AG662&lt;150,BMILMS!$D$31*AG662^3+BMILMS!$E$31*AG662^2+BMILMS!$F$31*AG662+BMILMS!$G$31,BMILMS!$D$32*AG662^3+BMILMS!$E$32*AG662^2+BMILMS!$F$32*AG662+BMILMS!$G$32)))))))</f>
        <v>12.568967990000001</v>
      </c>
      <c r="AF662" s="24">
        <f>IF(D662="M",(IF(AG662&lt;90,BMILMS!$D$14*AG662^3+BMILMS!$E$14*AG662^2+BMILMS!$F$14*AG662+BMILMS!$G$14,BMILMS!$D$15*AG662^3+BMILMS!$E$15*AG662^2+BMILMS!$F$15*AG662+BMILMS!$G$15)),(IF(AG662&lt;90,BMILMS!$D$17*AG662^3+BMILMS!$E$17*AG662^2+BMILMS!$F$17*AG662+BMILMS!$G$17,BMILMS!$D$18*AG662^3+BMILMS!$E$18*AG662^2+BMILMS!$F$18*AG662+BMILMS!$G$18)))</f>
        <v>8.8969350000000003E-2</v>
      </c>
      <c r="AG662" s="24">
        <f t="shared" si="176"/>
        <v>0</v>
      </c>
      <c r="AI662" s="38">
        <f>IF(D662="M",WeightSDS!P$5*$AG662^7+WeightSDS!Q$5*$AG662^6+WeightSDS!R$5*$AG662^5+WeightSDS!S$5*$AG662^4+WeightSDS!T$5*$AG662^3+WeightSDS!U$5*$AG662^2+WeightSDS!V$5*$AG662+WeightSDS!W$5,IF($AG662&lt;186,WeightSDS!P$8*$AG662^7+WeightSDS!Q$8*$AG662^6+WeightSDS!R$8*$AG662^5+WeightSDS!S$8*$AG662^4+WeightSDS!T$8*$AG662^3+WeightSDS!U$8*$AG662^2+WeightSDS!V$8*$AG662+WeightSDS!W$8,WeightSDS!$U$9-WeightSDS!$V$9*($AG662-WeightSDS!$W$9)))</f>
        <v>0.75407122999999998</v>
      </c>
      <c r="AJ662" s="24">
        <f>IF(D662="M",IF($AG662&lt;45,WeightSDS!M$23*$AG662^10+WeightSDS!N$23*$AG662^9+WeightSDS!O$23*$AG662^8+WeightSDS!P$23*$AG662^7+WeightSDS!Q$23*$AG662^6+WeightSDS!R$23*$AG662^5+WeightSDS!S$23*$AG662^4+WeightSDS!T$23*$AG662^3+WeightSDS!U$23*$AG662^2+WeightSDS!V$23*$AG662+WeightSDS!W$23,IF($AG662&lt;153,WeightSDS!M$25*$AG662^10+WeightSDS!N$25*$AG662^9+WeightSDS!O$25*$AG662^8+WeightSDS!P$25*$AG662^7+WeightSDS!Q$25*$AG662^6+WeightSDS!R$25*$AG662^5+WeightSDS!S$25*$AG662^4+WeightSDS!T$25*$AG662^3+WeightSDS!U$25*$AG662^2+WeightSDS!V$25*$AG662+WeightSDS!W$25,WeightSDS!M$27+WeightSDS!N$27/(1+EXP(WeightSDS!O$27+WeightSDS!P$27*$AG662)))),IF($AG662&lt;43.8,WeightSDS!M$29*$AG662^10+WeightSDS!N$29*$AG662^9+WeightSDS!O$29*$AG662^8+WeightSDS!P$29*$AG662^7+WeightSDS!Q$29*$AG662^6+WeightSDS!R$29*$AG662^5+WeightSDS!S$29*$AG662^4+WeightSDS!T$29*$AG662^3+WeightSDS!U$29*$AG662^2+WeightSDS!V$29*$AG662+WeightSDS!W$29-0.010431*(1-$AG662/210),IF($AG662&lt;123,WeightSDS!M$30*$AG662^10+WeightSDS!N$30*$AG662^9+WeightSDS!O$30*$AG662^8+WeightSDS!P$30*$AG662^7+WeightSDS!Q$30*$AG662^6+WeightSDS!R$30*$AG662^5+WeightSDS!S$30*$AG662^4+WeightSDS!T$30*$AG662^3+WeightSDS!U$30*$AG662^2+WeightSDS!V$30*$AG662+WeightSDS!W$30-0.010431*(1-1/$AG662),WeightSDS!M$32+WeightSDS!N$32/(1+EXP(WeightSDS!O$32+WeightSDS!P$32*$AG662))-0.010431*(1-$AG662/210))))</f>
        <v>2.9500001032655536</v>
      </c>
      <c r="AK662" s="24">
        <f>IF(D662="M",IF($AG662&lt;162,WeightSDS!P$12*$AG662^7+WeightSDS!Q$12*$AG662^6+WeightSDS!R$12*$AG662^5+WeightSDS!S$12*$AG662^4+WeightSDS!T$12*$AG662^3+WeightSDS!U$12*$AG662^2+WeightSDS!V$12*$AG662+WeightSDS!W$12,WeightSDS!P$14*$AG662^7+WeightSDS!Q$14*$AG662^6+WeightSDS!R$14*$AG662^5+WeightSDS!S$14*$AG662^4+WeightSDS!T$14*$AG662^3+WeightSDS!U$14*$AG662^2+WeightSDS!V$14*$AG662+WeightSDS!W$14),IF($AG662&lt;156,WeightSDS!O$17*$AG662^8+WeightSDS!P$17*$AG662^7+WeightSDS!Q$17*$AG662^6+WeightSDS!R$17*$AG662^5+WeightSDS!S$17*$AG662^4+WeightSDS!T$17*$AG662^3+WeightSDS!U$17*$AG662^2+WeightSDS!V$17*$AG662+WeightSDS!W$17,IF($AG662&lt;186,WeightSDS!$U$18+(WeightSDS!$V$18-WeightSDS!$U$18)/24*($AG662-186)+WeightSDS!$W$18*(-$AG662+186)^2-0.005,WeightSDS!$U$18+(WeightSDS!$V$18-WeightSDS!$U$18)/24*($AG662-186)-0.005)))</f>
        <v>0.14604529399999999</v>
      </c>
    </row>
    <row r="663" spans="1:37">
      <c r="A663" s="4"/>
      <c r="B663" s="21"/>
      <c r="C663" s="21"/>
      <c r="D663" s="21"/>
      <c r="E663" s="22"/>
      <c r="F663" s="22"/>
      <c r="G663" s="23"/>
      <c r="H663" s="23"/>
      <c r="I663" s="8" t="str">
        <f t="shared" si="162"/>
        <v/>
      </c>
      <c r="J663" s="2" t="str">
        <f t="shared" si="169"/>
        <v/>
      </c>
      <c r="K663" s="2" t="str">
        <f t="shared" si="163"/>
        <v/>
      </c>
      <c r="L663" s="2" t="str">
        <f t="shared" si="170"/>
        <v/>
      </c>
      <c r="M663" s="2" t="str">
        <f t="shared" si="175"/>
        <v/>
      </c>
      <c r="N663" s="2" t="str">
        <f t="shared" si="171"/>
        <v/>
      </c>
      <c r="O663" s="8" t="str">
        <f t="shared" si="172"/>
        <v/>
      </c>
      <c r="P663" s="8" t="str">
        <f t="shared" si="173"/>
        <v/>
      </c>
      <c r="Q663" s="40" t="str">
        <f t="shared" si="164"/>
        <v/>
      </c>
      <c r="R663" s="48" t="str">
        <f t="shared" si="174"/>
        <v/>
      </c>
      <c r="S663" s="8"/>
      <c r="U663" s="35">
        <f t="shared" si="165"/>
        <v>0</v>
      </c>
      <c r="V663" s="24">
        <f t="shared" si="166"/>
        <v>0</v>
      </c>
      <c r="W663" s="41">
        <f t="shared" si="161"/>
        <v>0</v>
      </c>
      <c r="X663" s="31"/>
      <c r="Y663" s="31"/>
      <c r="Z663" s="31"/>
      <c r="AA663" s="25">
        <f t="shared" si="167"/>
        <v>9.0359999999999996</v>
      </c>
      <c r="AB663" s="25">
        <f t="shared" si="168"/>
        <v>-184.49199999999999</v>
      </c>
      <c r="AD663" s="24">
        <f>IF(D663="M",IF(AG663&lt;78,BMILMS!$D$5*AG663^3+BMILMS!$E$5*AG663^2+BMILMS!$F$5*AG663+BMILMS!$G$5,IF(AG663&lt;150,BMILMS!$D$6*AG663^3+BMILMS!$E$6*AG663^2+BMILMS!$F$6*AG663+BMILMS!$G$6,BMILMS!$D$7*AG663^3+BMILMS!$E$7*AG663^2+BMILMS!$F$7*AG663+BMILMS!$G$7)),IF(AG663&lt;69,BMILMS!$D$9*AG663^3+BMILMS!$E$9*AG663^2+BMILMS!$F$9*AG663+BMILMS!$G$9,IF(AG663&lt;150,BMILMS!$D$10*AG663^3+BMILMS!$E$10*AG663^2+BMILMS!$F$10*AG663+BMILMS!$G$10,BMILMS!$D$11*AG663^3+BMILMS!$E$11*AG663^2+BMILMS!$F$11*AG663+BMILMS!$G$11)))</f>
        <v>0.79584630099999998</v>
      </c>
      <c r="AE663" s="24">
        <f>IF(D663="M",(IF(AG663&lt;2.5,BMILMS!$D$21*AG663^3+BMILMS!$E$21*AG663^2+BMILMS!$F$21*AG663+BMILMS!$G$21,IF(AG663&lt;9.5,BMILMS!$D$22*AG663^3+BMILMS!$E$22*AG663^2+BMILMS!$F$22*AG663+BMILMS!$G$22,IF(AG663&lt;26.75,BMILMS!$D$23*AG663^3+BMILMS!$E$23*AG663^2+BMILMS!$F$23*AG663+BMILMS!$G$23,IF(AG663&lt;90,BMILMS!$D$24*AG663^3+BMILMS!$E$24*AG663^2+BMILMS!$F$24*AG663+BMILMS!$G$24,BMILMS!$D$25*AG663^3+BMILMS!$E$25*AG663^2+BMILMS!$F$25*AG663+BMILMS!$G$25))))),(IF(AG663&lt;2.5,BMILMS!$D$27*AG663^3+BMILMS!$E$27*AG663^2+BMILMS!$F$27*AG663+BMILMS!$G$27,IF(AG663&lt;9.5,BMILMS!$D$28*AG663^3+BMILMS!$E$28*AG663^2+BMILMS!$F$28*AG663+BMILMS!$G$28,IF(AG663&lt;26.75,BMILMS!$D$29*AG663^3+BMILMS!$E$29*AG663^2+BMILMS!$F$29*AG663+BMILMS!$G$29,IF(AG663&lt;90,BMILMS!$D$30*AG663^3+BMILMS!$E$30*AG663^2+BMILMS!$F$30*AG663+BMILMS!$G$30,IF(AG663&lt;150,BMILMS!$D$31*AG663^3+BMILMS!$E$31*AG663^2+BMILMS!$F$31*AG663+BMILMS!$G$31,BMILMS!$D$32*AG663^3+BMILMS!$E$32*AG663^2+BMILMS!$F$32*AG663+BMILMS!$G$32)))))))</f>
        <v>12.568967990000001</v>
      </c>
      <c r="AF663" s="24">
        <f>IF(D663="M",(IF(AG663&lt;90,BMILMS!$D$14*AG663^3+BMILMS!$E$14*AG663^2+BMILMS!$F$14*AG663+BMILMS!$G$14,BMILMS!$D$15*AG663^3+BMILMS!$E$15*AG663^2+BMILMS!$F$15*AG663+BMILMS!$G$15)),(IF(AG663&lt;90,BMILMS!$D$17*AG663^3+BMILMS!$E$17*AG663^2+BMILMS!$F$17*AG663+BMILMS!$G$17,BMILMS!$D$18*AG663^3+BMILMS!$E$18*AG663^2+BMILMS!$F$18*AG663+BMILMS!$G$18)))</f>
        <v>8.8969350000000003E-2</v>
      </c>
      <c r="AG663" s="24">
        <f t="shared" si="176"/>
        <v>0</v>
      </c>
      <c r="AI663" s="38">
        <f>IF(D663="M",WeightSDS!P$5*$AG663^7+WeightSDS!Q$5*$AG663^6+WeightSDS!R$5*$AG663^5+WeightSDS!S$5*$AG663^4+WeightSDS!T$5*$AG663^3+WeightSDS!U$5*$AG663^2+WeightSDS!V$5*$AG663+WeightSDS!W$5,IF($AG663&lt;186,WeightSDS!P$8*$AG663^7+WeightSDS!Q$8*$AG663^6+WeightSDS!R$8*$AG663^5+WeightSDS!S$8*$AG663^4+WeightSDS!T$8*$AG663^3+WeightSDS!U$8*$AG663^2+WeightSDS!V$8*$AG663+WeightSDS!W$8,WeightSDS!$U$9-WeightSDS!$V$9*($AG663-WeightSDS!$W$9)))</f>
        <v>0.75407122999999998</v>
      </c>
      <c r="AJ663" s="24">
        <f>IF(D663="M",IF($AG663&lt;45,WeightSDS!M$23*$AG663^10+WeightSDS!N$23*$AG663^9+WeightSDS!O$23*$AG663^8+WeightSDS!P$23*$AG663^7+WeightSDS!Q$23*$AG663^6+WeightSDS!R$23*$AG663^5+WeightSDS!S$23*$AG663^4+WeightSDS!T$23*$AG663^3+WeightSDS!U$23*$AG663^2+WeightSDS!V$23*$AG663+WeightSDS!W$23,IF($AG663&lt;153,WeightSDS!M$25*$AG663^10+WeightSDS!N$25*$AG663^9+WeightSDS!O$25*$AG663^8+WeightSDS!P$25*$AG663^7+WeightSDS!Q$25*$AG663^6+WeightSDS!R$25*$AG663^5+WeightSDS!S$25*$AG663^4+WeightSDS!T$25*$AG663^3+WeightSDS!U$25*$AG663^2+WeightSDS!V$25*$AG663+WeightSDS!W$25,WeightSDS!M$27+WeightSDS!N$27/(1+EXP(WeightSDS!O$27+WeightSDS!P$27*$AG663)))),IF($AG663&lt;43.8,WeightSDS!M$29*$AG663^10+WeightSDS!N$29*$AG663^9+WeightSDS!O$29*$AG663^8+WeightSDS!P$29*$AG663^7+WeightSDS!Q$29*$AG663^6+WeightSDS!R$29*$AG663^5+WeightSDS!S$29*$AG663^4+WeightSDS!T$29*$AG663^3+WeightSDS!U$29*$AG663^2+WeightSDS!V$29*$AG663+WeightSDS!W$29-0.010431*(1-$AG663/210),IF($AG663&lt;123,WeightSDS!M$30*$AG663^10+WeightSDS!N$30*$AG663^9+WeightSDS!O$30*$AG663^8+WeightSDS!P$30*$AG663^7+WeightSDS!Q$30*$AG663^6+WeightSDS!R$30*$AG663^5+WeightSDS!S$30*$AG663^4+WeightSDS!T$30*$AG663^3+WeightSDS!U$30*$AG663^2+WeightSDS!V$30*$AG663+WeightSDS!W$30-0.010431*(1-1/$AG663),WeightSDS!M$32+WeightSDS!N$32/(1+EXP(WeightSDS!O$32+WeightSDS!P$32*$AG663))-0.010431*(1-$AG663/210))))</f>
        <v>2.9500001032655536</v>
      </c>
      <c r="AK663" s="24">
        <f>IF(D663="M",IF($AG663&lt;162,WeightSDS!P$12*$AG663^7+WeightSDS!Q$12*$AG663^6+WeightSDS!R$12*$AG663^5+WeightSDS!S$12*$AG663^4+WeightSDS!T$12*$AG663^3+WeightSDS!U$12*$AG663^2+WeightSDS!V$12*$AG663+WeightSDS!W$12,WeightSDS!P$14*$AG663^7+WeightSDS!Q$14*$AG663^6+WeightSDS!R$14*$AG663^5+WeightSDS!S$14*$AG663^4+WeightSDS!T$14*$AG663^3+WeightSDS!U$14*$AG663^2+WeightSDS!V$14*$AG663+WeightSDS!W$14),IF($AG663&lt;156,WeightSDS!O$17*$AG663^8+WeightSDS!P$17*$AG663^7+WeightSDS!Q$17*$AG663^6+WeightSDS!R$17*$AG663^5+WeightSDS!S$17*$AG663^4+WeightSDS!T$17*$AG663^3+WeightSDS!U$17*$AG663^2+WeightSDS!V$17*$AG663+WeightSDS!W$17,IF($AG663&lt;186,WeightSDS!$U$18+(WeightSDS!$V$18-WeightSDS!$U$18)/24*($AG663-186)+WeightSDS!$W$18*(-$AG663+186)^2-0.005,WeightSDS!$U$18+(WeightSDS!$V$18-WeightSDS!$U$18)/24*($AG663-186)-0.005)))</f>
        <v>0.14604529399999999</v>
      </c>
    </row>
    <row r="664" spans="1:37">
      <c r="A664" s="4"/>
      <c r="B664" s="21"/>
      <c r="C664" s="21"/>
      <c r="D664" s="21"/>
      <c r="E664" s="22"/>
      <c r="F664" s="22"/>
      <c r="G664" s="23"/>
      <c r="H664" s="23"/>
      <c r="I664" s="8" t="str">
        <f t="shared" si="162"/>
        <v/>
      </c>
      <c r="J664" s="2" t="str">
        <f t="shared" si="169"/>
        <v/>
      </c>
      <c r="K664" s="2" t="str">
        <f t="shared" si="163"/>
        <v/>
      </c>
      <c r="L664" s="2" t="str">
        <f t="shared" si="170"/>
        <v/>
      </c>
      <c r="M664" s="2" t="str">
        <f t="shared" si="175"/>
        <v/>
      </c>
      <c r="N664" s="2" t="str">
        <f t="shared" si="171"/>
        <v/>
      </c>
      <c r="O664" s="8" t="str">
        <f t="shared" si="172"/>
        <v/>
      </c>
      <c r="P664" s="8" t="str">
        <f t="shared" si="173"/>
        <v/>
      </c>
      <c r="Q664" s="40" t="str">
        <f t="shared" si="164"/>
        <v/>
      </c>
      <c r="R664" s="48" t="str">
        <f t="shared" si="174"/>
        <v/>
      </c>
      <c r="S664" s="8"/>
      <c r="U664" s="35">
        <f t="shared" si="165"/>
        <v>0</v>
      </c>
      <c r="V664" s="24">
        <f t="shared" si="166"/>
        <v>0</v>
      </c>
      <c r="W664" s="41">
        <f t="shared" si="161"/>
        <v>0</v>
      </c>
      <c r="X664" s="31"/>
      <c r="Y664" s="31"/>
      <c r="Z664" s="31"/>
      <c r="AA664" s="25">
        <f t="shared" si="167"/>
        <v>9.0359999999999996</v>
      </c>
      <c r="AB664" s="25">
        <f t="shared" si="168"/>
        <v>-184.49199999999999</v>
      </c>
      <c r="AD664" s="24">
        <f>IF(D664="M",IF(AG664&lt;78,BMILMS!$D$5*AG664^3+BMILMS!$E$5*AG664^2+BMILMS!$F$5*AG664+BMILMS!$G$5,IF(AG664&lt;150,BMILMS!$D$6*AG664^3+BMILMS!$E$6*AG664^2+BMILMS!$F$6*AG664+BMILMS!$G$6,BMILMS!$D$7*AG664^3+BMILMS!$E$7*AG664^2+BMILMS!$F$7*AG664+BMILMS!$G$7)),IF(AG664&lt;69,BMILMS!$D$9*AG664^3+BMILMS!$E$9*AG664^2+BMILMS!$F$9*AG664+BMILMS!$G$9,IF(AG664&lt;150,BMILMS!$D$10*AG664^3+BMILMS!$E$10*AG664^2+BMILMS!$F$10*AG664+BMILMS!$G$10,BMILMS!$D$11*AG664^3+BMILMS!$E$11*AG664^2+BMILMS!$F$11*AG664+BMILMS!$G$11)))</f>
        <v>0.79584630099999998</v>
      </c>
      <c r="AE664" s="24">
        <f>IF(D664="M",(IF(AG664&lt;2.5,BMILMS!$D$21*AG664^3+BMILMS!$E$21*AG664^2+BMILMS!$F$21*AG664+BMILMS!$G$21,IF(AG664&lt;9.5,BMILMS!$D$22*AG664^3+BMILMS!$E$22*AG664^2+BMILMS!$F$22*AG664+BMILMS!$G$22,IF(AG664&lt;26.75,BMILMS!$D$23*AG664^3+BMILMS!$E$23*AG664^2+BMILMS!$F$23*AG664+BMILMS!$G$23,IF(AG664&lt;90,BMILMS!$D$24*AG664^3+BMILMS!$E$24*AG664^2+BMILMS!$F$24*AG664+BMILMS!$G$24,BMILMS!$D$25*AG664^3+BMILMS!$E$25*AG664^2+BMILMS!$F$25*AG664+BMILMS!$G$25))))),(IF(AG664&lt;2.5,BMILMS!$D$27*AG664^3+BMILMS!$E$27*AG664^2+BMILMS!$F$27*AG664+BMILMS!$G$27,IF(AG664&lt;9.5,BMILMS!$D$28*AG664^3+BMILMS!$E$28*AG664^2+BMILMS!$F$28*AG664+BMILMS!$G$28,IF(AG664&lt;26.75,BMILMS!$D$29*AG664^3+BMILMS!$E$29*AG664^2+BMILMS!$F$29*AG664+BMILMS!$G$29,IF(AG664&lt;90,BMILMS!$D$30*AG664^3+BMILMS!$E$30*AG664^2+BMILMS!$F$30*AG664+BMILMS!$G$30,IF(AG664&lt;150,BMILMS!$D$31*AG664^3+BMILMS!$E$31*AG664^2+BMILMS!$F$31*AG664+BMILMS!$G$31,BMILMS!$D$32*AG664^3+BMILMS!$E$32*AG664^2+BMILMS!$F$32*AG664+BMILMS!$G$32)))))))</f>
        <v>12.568967990000001</v>
      </c>
      <c r="AF664" s="24">
        <f>IF(D664="M",(IF(AG664&lt;90,BMILMS!$D$14*AG664^3+BMILMS!$E$14*AG664^2+BMILMS!$F$14*AG664+BMILMS!$G$14,BMILMS!$D$15*AG664^3+BMILMS!$E$15*AG664^2+BMILMS!$F$15*AG664+BMILMS!$G$15)),(IF(AG664&lt;90,BMILMS!$D$17*AG664^3+BMILMS!$E$17*AG664^2+BMILMS!$F$17*AG664+BMILMS!$G$17,BMILMS!$D$18*AG664^3+BMILMS!$E$18*AG664^2+BMILMS!$F$18*AG664+BMILMS!$G$18)))</f>
        <v>8.8969350000000003E-2</v>
      </c>
      <c r="AG664" s="24">
        <f t="shared" si="176"/>
        <v>0</v>
      </c>
      <c r="AI664" s="38">
        <f>IF(D664="M",WeightSDS!P$5*$AG664^7+WeightSDS!Q$5*$AG664^6+WeightSDS!R$5*$AG664^5+WeightSDS!S$5*$AG664^4+WeightSDS!T$5*$AG664^3+WeightSDS!U$5*$AG664^2+WeightSDS!V$5*$AG664+WeightSDS!W$5,IF($AG664&lt;186,WeightSDS!P$8*$AG664^7+WeightSDS!Q$8*$AG664^6+WeightSDS!R$8*$AG664^5+WeightSDS!S$8*$AG664^4+WeightSDS!T$8*$AG664^3+WeightSDS!U$8*$AG664^2+WeightSDS!V$8*$AG664+WeightSDS!W$8,WeightSDS!$U$9-WeightSDS!$V$9*($AG664-WeightSDS!$W$9)))</f>
        <v>0.75407122999999998</v>
      </c>
      <c r="AJ664" s="24">
        <f>IF(D664="M",IF($AG664&lt;45,WeightSDS!M$23*$AG664^10+WeightSDS!N$23*$AG664^9+WeightSDS!O$23*$AG664^8+WeightSDS!P$23*$AG664^7+WeightSDS!Q$23*$AG664^6+WeightSDS!R$23*$AG664^5+WeightSDS!S$23*$AG664^4+WeightSDS!T$23*$AG664^3+WeightSDS!U$23*$AG664^2+WeightSDS!V$23*$AG664+WeightSDS!W$23,IF($AG664&lt;153,WeightSDS!M$25*$AG664^10+WeightSDS!N$25*$AG664^9+WeightSDS!O$25*$AG664^8+WeightSDS!P$25*$AG664^7+WeightSDS!Q$25*$AG664^6+WeightSDS!R$25*$AG664^5+WeightSDS!S$25*$AG664^4+WeightSDS!T$25*$AG664^3+WeightSDS!U$25*$AG664^2+WeightSDS!V$25*$AG664+WeightSDS!W$25,WeightSDS!M$27+WeightSDS!N$27/(1+EXP(WeightSDS!O$27+WeightSDS!P$27*$AG664)))),IF($AG664&lt;43.8,WeightSDS!M$29*$AG664^10+WeightSDS!N$29*$AG664^9+WeightSDS!O$29*$AG664^8+WeightSDS!P$29*$AG664^7+WeightSDS!Q$29*$AG664^6+WeightSDS!R$29*$AG664^5+WeightSDS!S$29*$AG664^4+WeightSDS!T$29*$AG664^3+WeightSDS!U$29*$AG664^2+WeightSDS!V$29*$AG664+WeightSDS!W$29-0.010431*(1-$AG664/210),IF($AG664&lt;123,WeightSDS!M$30*$AG664^10+WeightSDS!N$30*$AG664^9+WeightSDS!O$30*$AG664^8+WeightSDS!P$30*$AG664^7+WeightSDS!Q$30*$AG664^6+WeightSDS!R$30*$AG664^5+WeightSDS!S$30*$AG664^4+WeightSDS!T$30*$AG664^3+WeightSDS!U$30*$AG664^2+WeightSDS!V$30*$AG664+WeightSDS!W$30-0.010431*(1-1/$AG664),WeightSDS!M$32+WeightSDS!N$32/(1+EXP(WeightSDS!O$32+WeightSDS!P$32*$AG664))-0.010431*(1-$AG664/210))))</f>
        <v>2.9500001032655536</v>
      </c>
      <c r="AK664" s="24">
        <f>IF(D664="M",IF($AG664&lt;162,WeightSDS!P$12*$AG664^7+WeightSDS!Q$12*$AG664^6+WeightSDS!R$12*$AG664^5+WeightSDS!S$12*$AG664^4+WeightSDS!T$12*$AG664^3+WeightSDS!U$12*$AG664^2+WeightSDS!V$12*$AG664+WeightSDS!W$12,WeightSDS!P$14*$AG664^7+WeightSDS!Q$14*$AG664^6+WeightSDS!R$14*$AG664^5+WeightSDS!S$14*$AG664^4+WeightSDS!T$14*$AG664^3+WeightSDS!U$14*$AG664^2+WeightSDS!V$14*$AG664+WeightSDS!W$14),IF($AG664&lt;156,WeightSDS!O$17*$AG664^8+WeightSDS!P$17*$AG664^7+WeightSDS!Q$17*$AG664^6+WeightSDS!R$17*$AG664^5+WeightSDS!S$17*$AG664^4+WeightSDS!T$17*$AG664^3+WeightSDS!U$17*$AG664^2+WeightSDS!V$17*$AG664+WeightSDS!W$17,IF($AG664&lt;186,WeightSDS!$U$18+(WeightSDS!$V$18-WeightSDS!$U$18)/24*($AG664-186)+WeightSDS!$W$18*(-$AG664+186)^2-0.005,WeightSDS!$U$18+(WeightSDS!$V$18-WeightSDS!$U$18)/24*($AG664-186)-0.005)))</f>
        <v>0.14604529399999999</v>
      </c>
    </row>
    <row r="665" spans="1:37">
      <c r="A665" s="4"/>
      <c r="B665" s="21"/>
      <c r="C665" s="21"/>
      <c r="D665" s="21"/>
      <c r="E665" s="22"/>
      <c r="F665" s="22"/>
      <c r="G665" s="23"/>
      <c r="H665" s="23"/>
      <c r="I665" s="8" t="str">
        <f t="shared" si="162"/>
        <v/>
      </c>
      <c r="J665" s="2" t="str">
        <f t="shared" si="169"/>
        <v/>
      </c>
      <c r="K665" s="2" t="str">
        <f t="shared" si="163"/>
        <v/>
      </c>
      <c r="L665" s="2" t="str">
        <f t="shared" si="170"/>
        <v/>
      </c>
      <c r="M665" s="2" t="str">
        <f t="shared" si="175"/>
        <v/>
      </c>
      <c r="N665" s="2" t="str">
        <f t="shared" si="171"/>
        <v/>
      </c>
      <c r="O665" s="8" t="str">
        <f t="shared" si="172"/>
        <v/>
      </c>
      <c r="P665" s="8" t="str">
        <f t="shared" si="173"/>
        <v/>
      </c>
      <c r="Q665" s="40" t="str">
        <f t="shared" si="164"/>
        <v/>
      </c>
      <c r="R665" s="48" t="str">
        <f t="shared" si="174"/>
        <v/>
      </c>
      <c r="S665" s="8"/>
      <c r="U665" s="35">
        <f t="shared" si="165"/>
        <v>0</v>
      </c>
      <c r="V665" s="24">
        <f t="shared" si="166"/>
        <v>0</v>
      </c>
      <c r="W665" s="41">
        <f t="shared" si="161"/>
        <v>0</v>
      </c>
      <c r="X665" s="31"/>
      <c r="Y665" s="31"/>
      <c r="Z665" s="31"/>
      <c r="AA665" s="25">
        <f t="shared" si="167"/>
        <v>9.0359999999999996</v>
      </c>
      <c r="AB665" s="25">
        <f t="shared" si="168"/>
        <v>-184.49199999999999</v>
      </c>
      <c r="AD665" s="24">
        <f>IF(D665="M",IF(AG665&lt;78,BMILMS!$D$5*AG665^3+BMILMS!$E$5*AG665^2+BMILMS!$F$5*AG665+BMILMS!$G$5,IF(AG665&lt;150,BMILMS!$D$6*AG665^3+BMILMS!$E$6*AG665^2+BMILMS!$F$6*AG665+BMILMS!$G$6,BMILMS!$D$7*AG665^3+BMILMS!$E$7*AG665^2+BMILMS!$F$7*AG665+BMILMS!$G$7)),IF(AG665&lt;69,BMILMS!$D$9*AG665^3+BMILMS!$E$9*AG665^2+BMILMS!$F$9*AG665+BMILMS!$G$9,IF(AG665&lt;150,BMILMS!$D$10*AG665^3+BMILMS!$E$10*AG665^2+BMILMS!$F$10*AG665+BMILMS!$G$10,BMILMS!$D$11*AG665^3+BMILMS!$E$11*AG665^2+BMILMS!$F$11*AG665+BMILMS!$G$11)))</f>
        <v>0.79584630099999998</v>
      </c>
      <c r="AE665" s="24">
        <f>IF(D665="M",(IF(AG665&lt;2.5,BMILMS!$D$21*AG665^3+BMILMS!$E$21*AG665^2+BMILMS!$F$21*AG665+BMILMS!$G$21,IF(AG665&lt;9.5,BMILMS!$D$22*AG665^3+BMILMS!$E$22*AG665^2+BMILMS!$F$22*AG665+BMILMS!$G$22,IF(AG665&lt;26.75,BMILMS!$D$23*AG665^3+BMILMS!$E$23*AG665^2+BMILMS!$F$23*AG665+BMILMS!$G$23,IF(AG665&lt;90,BMILMS!$D$24*AG665^3+BMILMS!$E$24*AG665^2+BMILMS!$F$24*AG665+BMILMS!$G$24,BMILMS!$D$25*AG665^3+BMILMS!$E$25*AG665^2+BMILMS!$F$25*AG665+BMILMS!$G$25))))),(IF(AG665&lt;2.5,BMILMS!$D$27*AG665^3+BMILMS!$E$27*AG665^2+BMILMS!$F$27*AG665+BMILMS!$G$27,IF(AG665&lt;9.5,BMILMS!$D$28*AG665^3+BMILMS!$E$28*AG665^2+BMILMS!$F$28*AG665+BMILMS!$G$28,IF(AG665&lt;26.75,BMILMS!$D$29*AG665^3+BMILMS!$E$29*AG665^2+BMILMS!$F$29*AG665+BMILMS!$G$29,IF(AG665&lt;90,BMILMS!$D$30*AG665^3+BMILMS!$E$30*AG665^2+BMILMS!$F$30*AG665+BMILMS!$G$30,IF(AG665&lt;150,BMILMS!$D$31*AG665^3+BMILMS!$E$31*AG665^2+BMILMS!$F$31*AG665+BMILMS!$G$31,BMILMS!$D$32*AG665^3+BMILMS!$E$32*AG665^2+BMILMS!$F$32*AG665+BMILMS!$G$32)))))))</f>
        <v>12.568967990000001</v>
      </c>
      <c r="AF665" s="24">
        <f>IF(D665="M",(IF(AG665&lt;90,BMILMS!$D$14*AG665^3+BMILMS!$E$14*AG665^2+BMILMS!$F$14*AG665+BMILMS!$G$14,BMILMS!$D$15*AG665^3+BMILMS!$E$15*AG665^2+BMILMS!$F$15*AG665+BMILMS!$G$15)),(IF(AG665&lt;90,BMILMS!$D$17*AG665^3+BMILMS!$E$17*AG665^2+BMILMS!$F$17*AG665+BMILMS!$G$17,BMILMS!$D$18*AG665^3+BMILMS!$E$18*AG665^2+BMILMS!$F$18*AG665+BMILMS!$G$18)))</f>
        <v>8.8969350000000003E-2</v>
      </c>
      <c r="AG665" s="24">
        <f t="shared" si="176"/>
        <v>0</v>
      </c>
      <c r="AI665" s="38">
        <f>IF(D665="M",WeightSDS!P$5*$AG665^7+WeightSDS!Q$5*$AG665^6+WeightSDS!R$5*$AG665^5+WeightSDS!S$5*$AG665^4+WeightSDS!T$5*$AG665^3+WeightSDS!U$5*$AG665^2+WeightSDS!V$5*$AG665+WeightSDS!W$5,IF($AG665&lt;186,WeightSDS!P$8*$AG665^7+WeightSDS!Q$8*$AG665^6+WeightSDS!R$8*$AG665^5+WeightSDS!S$8*$AG665^4+WeightSDS!T$8*$AG665^3+WeightSDS!U$8*$AG665^2+WeightSDS!V$8*$AG665+WeightSDS!W$8,WeightSDS!$U$9-WeightSDS!$V$9*($AG665-WeightSDS!$W$9)))</f>
        <v>0.75407122999999998</v>
      </c>
      <c r="AJ665" s="24">
        <f>IF(D665="M",IF($AG665&lt;45,WeightSDS!M$23*$AG665^10+WeightSDS!N$23*$AG665^9+WeightSDS!O$23*$AG665^8+WeightSDS!P$23*$AG665^7+WeightSDS!Q$23*$AG665^6+WeightSDS!R$23*$AG665^5+WeightSDS!S$23*$AG665^4+WeightSDS!T$23*$AG665^3+WeightSDS!U$23*$AG665^2+WeightSDS!V$23*$AG665+WeightSDS!W$23,IF($AG665&lt;153,WeightSDS!M$25*$AG665^10+WeightSDS!N$25*$AG665^9+WeightSDS!O$25*$AG665^8+WeightSDS!P$25*$AG665^7+WeightSDS!Q$25*$AG665^6+WeightSDS!R$25*$AG665^5+WeightSDS!S$25*$AG665^4+WeightSDS!T$25*$AG665^3+WeightSDS!U$25*$AG665^2+WeightSDS!V$25*$AG665+WeightSDS!W$25,WeightSDS!M$27+WeightSDS!N$27/(1+EXP(WeightSDS!O$27+WeightSDS!P$27*$AG665)))),IF($AG665&lt;43.8,WeightSDS!M$29*$AG665^10+WeightSDS!N$29*$AG665^9+WeightSDS!O$29*$AG665^8+WeightSDS!P$29*$AG665^7+WeightSDS!Q$29*$AG665^6+WeightSDS!R$29*$AG665^5+WeightSDS!S$29*$AG665^4+WeightSDS!T$29*$AG665^3+WeightSDS!U$29*$AG665^2+WeightSDS!V$29*$AG665+WeightSDS!W$29-0.010431*(1-$AG665/210),IF($AG665&lt;123,WeightSDS!M$30*$AG665^10+WeightSDS!N$30*$AG665^9+WeightSDS!O$30*$AG665^8+WeightSDS!P$30*$AG665^7+WeightSDS!Q$30*$AG665^6+WeightSDS!R$30*$AG665^5+WeightSDS!S$30*$AG665^4+WeightSDS!T$30*$AG665^3+WeightSDS!U$30*$AG665^2+WeightSDS!V$30*$AG665+WeightSDS!W$30-0.010431*(1-1/$AG665),WeightSDS!M$32+WeightSDS!N$32/(1+EXP(WeightSDS!O$32+WeightSDS!P$32*$AG665))-0.010431*(1-$AG665/210))))</f>
        <v>2.9500001032655536</v>
      </c>
      <c r="AK665" s="24">
        <f>IF(D665="M",IF($AG665&lt;162,WeightSDS!P$12*$AG665^7+WeightSDS!Q$12*$AG665^6+WeightSDS!R$12*$AG665^5+WeightSDS!S$12*$AG665^4+WeightSDS!T$12*$AG665^3+WeightSDS!U$12*$AG665^2+WeightSDS!V$12*$AG665+WeightSDS!W$12,WeightSDS!P$14*$AG665^7+WeightSDS!Q$14*$AG665^6+WeightSDS!R$14*$AG665^5+WeightSDS!S$14*$AG665^4+WeightSDS!T$14*$AG665^3+WeightSDS!U$14*$AG665^2+WeightSDS!V$14*$AG665+WeightSDS!W$14),IF($AG665&lt;156,WeightSDS!O$17*$AG665^8+WeightSDS!P$17*$AG665^7+WeightSDS!Q$17*$AG665^6+WeightSDS!R$17*$AG665^5+WeightSDS!S$17*$AG665^4+WeightSDS!T$17*$AG665^3+WeightSDS!U$17*$AG665^2+WeightSDS!V$17*$AG665+WeightSDS!W$17,IF($AG665&lt;186,WeightSDS!$U$18+(WeightSDS!$V$18-WeightSDS!$U$18)/24*($AG665-186)+WeightSDS!$W$18*(-$AG665+186)^2-0.005,WeightSDS!$U$18+(WeightSDS!$V$18-WeightSDS!$U$18)/24*($AG665-186)-0.005)))</f>
        <v>0.14604529399999999</v>
      </c>
    </row>
    <row r="666" spans="1:37">
      <c r="A666" s="4"/>
      <c r="B666" s="21"/>
      <c r="C666" s="21"/>
      <c r="D666" s="21"/>
      <c r="E666" s="22"/>
      <c r="F666" s="22"/>
      <c r="G666" s="23"/>
      <c r="H666" s="23"/>
      <c r="I666" s="8" t="str">
        <f t="shared" si="162"/>
        <v/>
      </c>
      <c r="J666" s="2" t="str">
        <f t="shared" si="169"/>
        <v/>
      </c>
      <c r="K666" s="2" t="str">
        <f t="shared" si="163"/>
        <v/>
      </c>
      <c r="L666" s="2" t="str">
        <f t="shared" si="170"/>
        <v/>
      </c>
      <c r="M666" s="2" t="str">
        <f t="shared" si="175"/>
        <v/>
      </c>
      <c r="N666" s="2" t="str">
        <f t="shared" si="171"/>
        <v/>
      </c>
      <c r="O666" s="8" t="str">
        <f t="shared" si="172"/>
        <v/>
      </c>
      <c r="P666" s="8" t="str">
        <f t="shared" si="173"/>
        <v/>
      </c>
      <c r="Q666" s="40" t="str">
        <f t="shared" si="164"/>
        <v/>
      </c>
      <c r="R666" s="48" t="str">
        <f t="shared" si="174"/>
        <v/>
      </c>
      <c r="S666" s="8"/>
      <c r="U666" s="35">
        <f t="shared" si="165"/>
        <v>0</v>
      </c>
      <c r="V666" s="24">
        <f t="shared" si="166"/>
        <v>0</v>
      </c>
      <c r="W666" s="41">
        <f t="shared" si="161"/>
        <v>0</v>
      </c>
      <c r="X666" s="31"/>
      <c r="Y666" s="31"/>
      <c r="Z666" s="31"/>
      <c r="AA666" s="25">
        <f t="shared" si="167"/>
        <v>9.0359999999999996</v>
      </c>
      <c r="AB666" s="25">
        <f t="shared" si="168"/>
        <v>-184.49199999999999</v>
      </c>
      <c r="AD666" s="24">
        <f>IF(D666="M",IF(AG666&lt;78,BMILMS!$D$5*AG666^3+BMILMS!$E$5*AG666^2+BMILMS!$F$5*AG666+BMILMS!$G$5,IF(AG666&lt;150,BMILMS!$D$6*AG666^3+BMILMS!$E$6*AG666^2+BMILMS!$F$6*AG666+BMILMS!$G$6,BMILMS!$D$7*AG666^3+BMILMS!$E$7*AG666^2+BMILMS!$F$7*AG666+BMILMS!$G$7)),IF(AG666&lt;69,BMILMS!$D$9*AG666^3+BMILMS!$E$9*AG666^2+BMILMS!$F$9*AG666+BMILMS!$G$9,IF(AG666&lt;150,BMILMS!$D$10*AG666^3+BMILMS!$E$10*AG666^2+BMILMS!$F$10*AG666+BMILMS!$G$10,BMILMS!$D$11*AG666^3+BMILMS!$E$11*AG666^2+BMILMS!$F$11*AG666+BMILMS!$G$11)))</f>
        <v>0.79584630099999998</v>
      </c>
      <c r="AE666" s="24">
        <f>IF(D666="M",(IF(AG666&lt;2.5,BMILMS!$D$21*AG666^3+BMILMS!$E$21*AG666^2+BMILMS!$F$21*AG666+BMILMS!$G$21,IF(AG666&lt;9.5,BMILMS!$D$22*AG666^3+BMILMS!$E$22*AG666^2+BMILMS!$F$22*AG666+BMILMS!$G$22,IF(AG666&lt;26.75,BMILMS!$D$23*AG666^3+BMILMS!$E$23*AG666^2+BMILMS!$F$23*AG666+BMILMS!$G$23,IF(AG666&lt;90,BMILMS!$D$24*AG666^3+BMILMS!$E$24*AG666^2+BMILMS!$F$24*AG666+BMILMS!$G$24,BMILMS!$D$25*AG666^3+BMILMS!$E$25*AG666^2+BMILMS!$F$25*AG666+BMILMS!$G$25))))),(IF(AG666&lt;2.5,BMILMS!$D$27*AG666^3+BMILMS!$E$27*AG666^2+BMILMS!$F$27*AG666+BMILMS!$G$27,IF(AG666&lt;9.5,BMILMS!$D$28*AG666^3+BMILMS!$E$28*AG666^2+BMILMS!$F$28*AG666+BMILMS!$G$28,IF(AG666&lt;26.75,BMILMS!$D$29*AG666^3+BMILMS!$E$29*AG666^2+BMILMS!$F$29*AG666+BMILMS!$G$29,IF(AG666&lt;90,BMILMS!$D$30*AG666^3+BMILMS!$E$30*AG666^2+BMILMS!$F$30*AG666+BMILMS!$G$30,IF(AG666&lt;150,BMILMS!$D$31*AG666^3+BMILMS!$E$31*AG666^2+BMILMS!$F$31*AG666+BMILMS!$G$31,BMILMS!$D$32*AG666^3+BMILMS!$E$32*AG666^2+BMILMS!$F$32*AG666+BMILMS!$G$32)))))))</f>
        <v>12.568967990000001</v>
      </c>
      <c r="AF666" s="24">
        <f>IF(D666="M",(IF(AG666&lt;90,BMILMS!$D$14*AG666^3+BMILMS!$E$14*AG666^2+BMILMS!$F$14*AG666+BMILMS!$G$14,BMILMS!$D$15*AG666^3+BMILMS!$E$15*AG666^2+BMILMS!$F$15*AG666+BMILMS!$G$15)),(IF(AG666&lt;90,BMILMS!$D$17*AG666^3+BMILMS!$E$17*AG666^2+BMILMS!$F$17*AG666+BMILMS!$G$17,BMILMS!$D$18*AG666^3+BMILMS!$E$18*AG666^2+BMILMS!$F$18*AG666+BMILMS!$G$18)))</f>
        <v>8.8969350000000003E-2</v>
      </c>
      <c r="AG666" s="24">
        <f t="shared" si="176"/>
        <v>0</v>
      </c>
      <c r="AI666" s="38">
        <f>IF(D666="M",WeightSDS!P$5*$AG666^7+WeightSDS!Q$5*$AG666^6+WeightSDS!R$5*$AG666^5+WeightSDS!S$5*$AG666^4+WeightSDS!T$5*$AG666^3+WeightSDS!U$5*$AG666^2+WeightSDS!V$5*$AG666+WeightSDS!W$5,IF($AG666&lt;186,WeightSDS!P$8*$AG666^7+WeightSDS!Q$8*$AG666^6+WeightSDS!R$8*$AG666^5+WeightSDS!S$8*$AG666^4+WeightSDS!T$8*$AG666^3+WeightSDS!U$8*$AG666^2+WeightSDS!V$8*$AG666+WeightSDS!W$8,WeightSDS!$U$9-WeightSDS!$V$9*($AG666-WeightSDS!$W$9)))</f>
        <v>0.75407122999999998</v>
      </c>
      <c r="AJ666" s="24">
        <f>IF(D666="M",IF($AG666&lt;45,WeightSDS!M$23*$AG666^10+WeightSDS!N$23*$AG666^9+WeightSDS!O$23*$AG666^8+WeightSDS!P$23*$AG666^7+WeightSDS!Q$23*$AG666^6+WeightSDS!R$23*$AG666^5+WeightSDS!S$23*$AG666^4+WeightSDS!T$23*$AG666^3+WeightSDS!U$23*$AG666^2+WeightSDS!V$23*$AG666+WeightSDS!W$23,IF($AG666&lt;153,WeightSDS!M$25*$AG666^10+WeightSDS!N$25*$AG666^9+WeightSDS!O$25*$AG666^8+WeightSDS!P$25*$AG666^7+WeightSDS!Q$25*$AG666^6+WeightSDS!R$25*$AG666^5+WeightSDS!S$25*$AG666^4+WeightSDS!T$25*$AG666^3+WeightSDS!U$25*$AG666^2+WeightSDS!V$25*$AG666+WeightSDS!W$25,WeightSDS!M$27+WeightSDS!N$27/(1+EXP(WeightSDS!O$27+WeightSDS!P$27*$AG666)))),IF($AG666&lt;43.8,WeightSDS!M$29*$AG666^10+WeightSDS!N$29*$AG666^9+WeightSDS!O$29*$AG666^8+WeightSDS!P$29*$AG666^7+WeightSDS!Q$29*$AG666^6+WeightSDS!R$29*$AG666^5+WeightSDS!S$29*$AG666^4+WeightSDS!T$29*$AG666^3+WeightSDS!U$29*$AG666^2+WeightSDS!V$29*$AG666+WeightSDS!W$29-0.010431*(1-$AG666/210),IF($AG666&lt;123,WeightSDS!M$30*$AG666^10+WeightSDS!N$30*$AG666^9+WeightSDS!O$30*$AG666^8+WeightSDS!P$30*$AG666^7+WeightSDS!Q$30*$AG666^6+WeightSDS!R$30*$AG666^5+WeightSDS!S$30*$AG666^4+WeightSDS!T$30*$AG666^3+WeightSDS!U$30*$AG666^2+WeightSDS!V$30*$AG666+WeightSDS!W$30-0.010431*(1-1/$AG666),WeightSDS!M$32+WeightSDS!N$32/(1+EXP(WeightSDS!O$32+WeightSDS!P$32*$AG666))-0.010431*(1-$AG666/210))))</f>
        <v>2.9500001032655536</v>
      </c>
      <c r="AK666" s="24">
        <f>IF(D666="M",IF($AG666&lt;162,WeightSDS!P$12*$AG666^7+WeightSDS!Q$12*$AG666^6+WeightSDS!R$12*$AG666^5+WeightSDS!S$12*$AG666^4+WeightSDS!T$12*$AG666^3+WeightSDS!U$12*$AG666^2+WeightSDS!V$12*$AG666+WeightSDS!W$12,WeightSDS!P$14*$AG666^7+WeightSDS!Q$14*$AG666^6+WeightSDS!R$14*$AG666^5+WeightSDS!S$14*$AG666^4+WeightSDS!T$14*$AG666^3+WeightSDS!U$14*$AG666^2+WeightSDS!V$14*$AG666+WeightSDS!W$14),IF($AG666&lt;156,WeightSDS!O$17*$AG666^8+WeightSDS!P$17*$AG666^7+WeightSDS!Q$17*$AG666^6+WeightSDS!R$17*$AG666^5+WeightSDS!S$17*$AG666^4+WeightSDS!T$17*$AG666^3+WeightSDS!U$17*$AG666^2+WeightSDS!V$17*$AG666+WeightSDS!W$17,IF($AG666&lt;186,WeightSDS!$U$18+(WeightSDS!$V$18-WeightSDS!$U$18)/24*($AG666-186)+WeightSDS!$W$18*(-$AG666+186)^2-0.005,WeightSDS!$U$18+(WeightSDS!$V$18-WeightSDS!$U$18)/24*($AG666-186)-0.005)))</f>
        <v>0.14604529399999999</v>
      </c>
    </row>
    <row r="667" spans="1:37">
      <c r="A667" s="4"/>
      <c r="B667" s="21"/>
      <c r="C667" s="21"/>
      <c r="D667" s="21"/>
      <c r="E667" s="22"/>
      <c r="F667" s="22"/>
      <c r="G667" s="23"/>
      <c r="H667" s="23"/>
      <c r="I667" s="8" t="str">
        <f t="shared" si="162"/>
        <v/>
      </c>
      <c r="J667" s="2" t="str">
        <f t="shared" si="169"/>
        <v/>
      </c>
      <c r="K667" s="2" t="str">
        <f t="shared" si="163"/>
        <v/>
      </c>
      <c r="L667" s="2" t="str">
        <f t="shared" si="170"/>
        <v/>
      </c>
      <c r="M667" s="2" t="str">
        <f t="shared" si="175"/>
        <v/>
      </c>
      <c r="N667" s="2" t="str">
        <f t="shared" si="171"/>
        <v/>
      </c>
      <c r="O667" s="8" t="str">
        <f t="shared" si="172"/>
        <v/>
      </c>
      <c r="P667" s="8" t="str">
        <f t="shared" si="173"/>
        <v/>
      </c>
      <c r="Q667" s="40" t="str">
        <f t="shared" si="164"/>
        <v/>
      </c>
      <c r="R667" s="48" t="str">
        <f t="shared" si="174"/>
        <v/>
      </c>
      <c r="S667" s="8"/>
      <c r="U667" s="35">
        <f t="shared" si="165"/>
        <v>0</v>
      </c>
      <c r="V667" s="24">
        <f t="shared" si="166"/>
        <v>0</v>
      </c>
      <c r="W667" s="41">
        <f t="shared" si="161"/>
        <v>0</v>
      </c>
      <c r="X667" s="31"/>
      <c r="Y667" s="31"/>
      <c r="Z667" s="31"/>
      <c r="AA667" s="25">
        <f t="shared" si="167"/>
        <v>9.0359999999999996</v>
      </c>
      <c r="AB667" s="25">
        <f t="shared" si="168"/>
        <v>-184.49199999999999</v>
      </c>
      <c r="AD667" s="24">
        <f>IF(D667="M",IF(AG667&lt;78,BMILMS!$D$5*AG667^3+BMILMS!$E$5*AG667^2+BMILMS!$F$5*AG667+BMILMS!$G$5,IF(AG667&lt;150,BMILMS!$D$6*AG667^3+BMILMS!$E$6*AG667^2+BMILMS!$F$6*AG667+BMILMS!$G$6,BMILMS!$D$7*AG667^3+BMILMS!$E$7*AG667^2+BMILMS!$F$7*AG667+BMILMS!$G$7)),IF(AG667&lt;69,BMILMS!$D$9*AG667^3+BMILMS!$E$9*AG667^2+BMILMS!$F$9*AG667+BMILMS!$G$9,IF(AG667&lt;150,BMILMS!$D$10*AG667^3+BMILMS!$E$10*AG667^2+BMILMS!$F$10*AG667+BMILMS!$G$10,BMILMS!$D$11*AG667^3+BMILMS!$E$11*AG667^2+BMILMS!$F$11*AG667+BMILMS!$G$11)))</f>
        <v>0.79584630099999998</v>
      </c>
      <c r="AE667" s="24">
        <f>IF(D667="M",(IF(AG667&lt;2.5,BMILMS!$D$21*AG667^3+BMILMS!$E$21*AG667^2+BMILMS!$F$21*AG667+BMILMS!$G$21,IF(AG667&lt;9.5,BMILMS!$D$22*AG667^3+BMILMS!$E$22*AG667^2+BMILMS!$F$22*AG667+BMILMS!$G$22,IF(AG667&lt;26.75,BMILMS!$D$23*AG667^3+BMILMS!$E$23*AG667^2+BMILMS!$F$23*AG667+BMILMS!$G$23,IF(AG667&lt;90,BMILMS!$D$24*AG667^3+BMILMS!$E$24*AG667^2+BMILMS!$F$24*AG667+BMILMS!$G$24,BMILMS!$D$25*AG667^3+BMILMS!$E$25*AG667^2+BMILMS!$F$25*AG667+BMILMS!$G$25))))),(IF(AG667&lt;2.5,BMILMS!$D$27*AG667^3+BMILMS!$E$27*AG667^2+BMILMS!$F$27*AG667+BMILMS!$G$27,IF(AG667&lt;9.5,BMILMS!$D$28*AG667^3+BMILMS!$E$28*AG667^2+BMILMS!$F$28*AG667+BMILMS!$G$28,IF(AG667&lt;26.75,BMILMS!$D$29*AG667^3+BMILMS!$E$29*AG667^2+BMILMS!$F$29*AG667+BMILMS!$G$29,IF(AG667&lt;90,BMILMS!$D$30*AG667^3+BMILMS!$E$30*AG667^2+BMILMS!$F$30*AG667+BMILMS!$G$30,IF(AG667&lt;150,BMILMS!$D$31*AG667^3+BMILMS!$E$31*AG667^2+BMILMS!$F$31*AG667+BMILMS!$G$31,BMILMS!$D$32*AG667^3+BMILMS!$E$32*AG667^2+BMILMS!$F$32*AG667+BMILMS!$G$32)))))))</f>
        <v>12.568967990000001</v>
      </c>
      <c r="AF667" s="24">
        <f>IF(D667="M",(IF(AG667&lt;90,BMILMS!$D$14*AG667^3+BMILMS!$E$14*AG667^2+BMILMS!$F$14*AG667+BMILMS!$G$14,BMILMS!$D$15*AG667^3+BMILMS!$E$15*AG667^2+BMILMS!$F$15*AG667+BMILMS!$G$15)),(IF(AG667&lt;90,BMILMS!$D$17*AG667^3+BMILMS!$E$17*AG667^2+BMILMS!$F$17*AG667+BMILMS!$G$17,BMILMS!$D$18*AG667^3+BMILMS!$E$18*AG667^2+BMILMS!$F$18*AG667+BMILMS!$G$18)))</f>
        <v>8.8969350000000003E-2</v>
      </c>
      <c r="AG667" s="24">
        <f t="shared" si="176"/>
        <v>0</v>
      </c>
      <c r="AI667" s="38">
        <f>IF(D667="M",WeightSDS!P$5*$AG667^7+WeightSDS!Q$5*$AG667^6+WeightSDS!R$5*$AG667^5+WeightSDS!S$5*$AG667^4+WeightSDS!T$5*$AG667^3+WeightSDS!U$5*$AG667^2+WeightSDS!V$5*$AG667+WeightSDS!W$5,IF($AG667&lt;186,WeightSDS!P$8*$AG667^7+WeightSDS!Q$8*$AG667^6+WeightSDS!R$8*$AG667^5+WeightSDS!S$8*$AG667^4+WeightSDS!T$8*$AG667^3+WeightSDS!U$8*$AG667^2+WeightSDS!V$8*$AG667+WeightSDS!W$8,WeightSDS!$U$9-WeightSDS!$V$9*($AG667-WeightSDS!$W$9)))</f>
        <v>0.75407122999999998</v>
      </c>
      <c r="AJ667" s="24">
        <f>IF(D667="M",IF($AG667&lt;45,WeightSDS!M$23*$AG667^10+WeightSDS!N$23*$AG667^9+WeightSDS!O$23*$AG667^8+WeightSDS!P$23*$AG667^7+WeightSDS!Q$23*$AG667^6+WeightSDS!R$23*$AG667^5+WeightSDS!S$23*$AG667^4+WeightSDS!T$23*$AG667^3+WeightSDS!U$23*$AG667^2+WeightSDS!V$23*$AG667+WeightSDS!W$23,IF($AG667&lt;153,WeightSDS!M$25*$AG667^10+WeightSDS!N$25*$AG667^9+WeightSDS!O$25*$AG667^8+WeightSDS!P$25*$AG667^7+WeightSDS!Q$25*$AG667^6+WeightSDS!R$25*$AG667^5+WeightSDS!S$25*$AG667^4+WeightSDS!T$25*$AG667^3+WeightSDS!U$25*$AG667^2+WeightSDS!V$25*$AG667+WeightSDS!W$25,WeightSDS!M$27+WeightSDS!N$27/(1+EXP(WeightSDS!O$27+WeightSDS!P$27*$AG667)))),IF($AG667&lt;43.8,WeightSDS!M$29*$AG667^10+WeightSDS!N$29*$AG667^9+WeightSDS!O$29*$AG667^8+WeightSDS!P$29*$AG667^7+WeightSDS!Q$29*$AG667^6+WeightSDS!R$29*$AG667^5+WeightSDS!S$29*$AG667^4+WeightSDS!T$29*$AG667^3+WeightSDS!U$29*$AG667^2+WeightSDS!V$29*$AG667+WeightSDS!W$29-0.010431*(1-$AG667/210),IF($AG667&lt;123,WeightSDS!M$30*$AG667^10+WeightSDS!N$30*$AG667^9+WeightSDS!O$30*$AG667^8+WeightSDS!P$30*$AG667^7+WeightSDS!Q$30*$AG667^6+WeightSDS!R$30*$AG667^5+WeightSDS!S$30*$AG667^4+WeightSDS!T$30*$AG667^3+WeightSDS!U$30*$AG667^2+WeightSDS!V$30*$AG667+WeightSDS!W$30-0.010431*(1-1/$AG667),WeightSDS!M$32+WeightSDS!N$32/(1+EXP(WeightSDS!O$32+WeightSDS!P$32*$AG667))-0.010431*(1-$AG667/210))))</f>
        <v>2.9500001032655536</v>
      </c>
      <c r="AK667" s="24">
        <f>IF(D667="M",IF($AG667&lt;162,WeightSDS!P$12*$AG667^7+WeightSDS!Q$12*$AG667^6+WeightSDS!R$12*$AG667^5+WeightSDS!S$12*$AG667^4+WeightSDS!T$12*$AG667^3+WeightSDS!U$12*$AG667^2+WeightSDS!V$12*$AG667+WeightSDS!W$12,WeightSDS!P$14*$AG667^7+WeightSDS!Q$14*$AG667^6+WeightSDS!R$14*$AG667^5+WeightSDS!S$14*$AG667^4+WeightSDS!T$14*$AG667^3+WeightSDS!U$14*$AG667^2+WeightSDS!V$14*$AG667+WeightSDS!W$14),IF($AG667&lt;156,WeightSDS!O$17*$AG667^8+WeightSDS!P$17*$AG667^7+WeightSDS!Q$17*$AG667^6+WeightSDS!R$17*$AG667^5+WeightSDS!S$17*$AG667^4+WeightSDS!T$17*$AG667^3+WeightSDS!U$17*$AG667^2+WeightSDS!V$17*$AG667+WeightSDS!W$17,IF($AG667&lt;186,WeightSDS!$U$18+(WeightSDS!$V$18-WeightSDS!$U$18)/24*($AG667-186)+WeightSDS!$W$18*(-$AG667+186)^2-0.005,WeightSDS!$U$18+(WeightSDS!$V$18-WeightSDS!$U$18)/24*($AG667-186)-0.005)))</f>
        <v>0.14604529399999999</v>
      </c>
    </row>
    <row r="668" spans="1:37">
      <c r="A668" s="4"/>
      <c r="B668" s="21"/>
      <c r="C668" s="21"/>
      <c r="D668" s="21"/>
      <c r="E668" s="22"/>
      <c r="F668" s="22"/>
      <c r="G668" s="23"/>
      <c r="H668" s="23"/>
      <c r="I668" s="8" t="str">
        <f t="shared" si="162"/>
        <v/>
      </c>
      <c r="J668" s="2" t="str">
        <f t="shared" si="169"/>
        <v/>
      </c>
      <c r="K668" s="2" t="str">
        <f t="shared" si="163"/>
        <v/>
      </c>
      <c r="L668" s="2" t="str">
        <f t="shared" si="170"/>
        <v/>
      </c>
      <c r="M668" s="2" t="str">
        <f t="shared" si="175"/>
        <v/>
      </c>
      <c r="N668" s="2" t="str">
        <f t="shared" si="171"/>
        <v/>
      </c>
      <c r="O668" s="8" t="str">
        <f t="shared" si="172"/>
        <v/>
      </c>
      <c r="P668" s="8" t="str">
        <f t="shared" si="173"/>
        <v/>
      </c>
      <c r="Q668" s="40" t="str">
        <f t="shared" si="164"/>
        <v/>
      </c>
      <c r="R668" s="48" t="str">
        <f t="shared" si="174"/>
        <v/>
      </c>
      <c r="S668" s="8"/>
      <c r="U668" s="35">
        <f t="shared" si="165"/>
        <v>0</v>
      </c>
      <c r="V668" s="24">
        <f t="shared" si="166"/>
        <v>0</v>
      </c>
      <c r="W668" s="41">
        <f t="shared" si="161"/>
        <v>0</v>
      </c>
      <c r="X668" s="31"/>
      <c r="Y668" s="31"/>
      <c r="Z668" s="31"/>
      <c r="AA668" s="25">
        <f t="shared" si="167"/>
        <v>9.0359999999999996</v>
      </c>
      <c r="AB668" s="25">
        <f t="shared" si="168"/>
        <v>-184.49199999999999</v>
      </c>
      <c r="AD668" s="24">
        <f>IF(D668="M",IF(AG668&lt;78,BMILMS!$D$5*AG668^3+BMILMS!$E$5*AG668^2+BMILMS!$F$5*AG668+BMILMS!$G$5,IF(AG668&lt;150,BMILMS!$D$6*AG668^3+BMILMS!$E$6*AG668^2+BMILMS!$F$6*AG668+BMILMS!$G$6,BMILMS!$D$7*AG668^3+BMILMS!$E$7*AG668^2+BMILMS!$F$7*AG668+BMILMS!$G$7)),IF(AG668&lt;69,BMILMS!$D$9*AG668^3+BMILMS!$E$9*AG668^2+BMILMS!$F$9*AG668+BMILMS!$G$9,IF(AG668&lt;150,BMILMS!$D$10*AG668^3+BMILMS!$E$10*AG668^2+BMILMS!$F$10*AG668+BMILMS!$G$10,BMILMS!$D$11*AG668^3+BMILMS!$E$11*AG668^2+BMILMS!$F$11*AG668+BMILMS!$G$11)))</f>
        <v>0.79584630099999998</v>
      </c>
      <c r="AE668" s="24">
        <f>IF(D668="M",(IF(AG668&lt;2.5,BMILMS!$D$21*AG668^3+BMILMS!$E$21*AG668^2+BMILMS!$F$21*AG668+BMILMS!$G$21,IF(AG668&lt;9.5,BMILMS!$D$22*AG668^3+BMILMS!$E$22*AG668^2+BMILMS!$F$22*AG668+BMILMS!$G$22,IF(AG668&lt;26.75,BMILMS!$D$23*AG668^3+BMILMS!$E$23*AG668^2+BMILMS!$F$23*AG668+BMILMS!$G$23,IF(AG668&lt;90,BMILMS!$D$24*AG668^3+BMILMS!$E$24*AG668^2+BMILMS!$F$24*AG668+BMILMS!$G$24,BMILMS!$D$25*AG668^3+BMILMS!$E$25*AG668^2+BMILMS!$F$25*AG668+BMILMS!$G$25))))),(IF(AG668&lt;2.5,BMILMS!$D$27*AG668^3+BMILMS!$E$27*AG668^2+BMILMS!$F$27*AG668+BMILMS!$G$27,IF(AG668&lt;9.5,BMILMS!$D$28*AG668^3+BMILMS!$E$28*AG668^2+BMILMS!$F$28*AG668+BMILMS!$G$28,IF(AG668&lt;26.75,BMILMS!$D$29*AG668^3+BMILMS!$E$29*AG668^2+BMILMS!$F$29*AG668+BMILMS!$G$29,IF(AG668&lt;90,BMILMS!$D$30*AG668^3+BMILMS!$E$30*AG668^2+BMILMS!$F$30*AG668+BMILMS!$G$30,IF(AG668&lt;150,BMILMS!$D$31*AG668^3+BMILMS!$E$31*AG668^2+BMILMS!$F$31*AG668+BMILMS!$G$31,BMILMS!$D$32*AG668^3+BMILMS!$E$32*AG668^2+BMILMS!$F$32*AG668+BMILMS!$G$32)))))))</f>
        <v>12.568967990000001</v>
      </c>
      <c r="AF668" s="24">
        <f>IF(D668="M",(IF(AG668&lt;90,BMILMS!$D$14*AG668^3+BMILMS!$E$14*AG668^2+BMILMS!$F$14*AG668+BMILMS!$G$14,BMILMS!$D$15*AG668^3+BMILMS!$E$15*AG668^2+BMILMS!$F$15*AG668+BMILMS!$G$15)),(IF(AG668&lt;90,BMILMS!$D$17*AG668^3+BMILMS!$E$17*AG668^2+BMILMS!$F$17*AG668+BMILMS!$G$17,BMILMS!$D$18*AG668^3+BMILMS!$E$18*AG668^2+BMILMS!$F$18*AG668+BMILMS!$G$18)))</f>
        <v>8.8969350000000003E-2</v>
      </c>
      <c r="AG668" s="24">
        <f t="shared" si="176"/>
        <v>0</v>
      </c>
      <c r="AI668" s="38">
        <f>IF(D668="M",WeightSDS!P$5*$AG668^7+WeightSDS!Q$5*$AG668^6+WeightSDS!R$5*$AG668^5+WeightSDS!S$5*$AG668^4+WeightSDS!T$5*$AG668^3+WeightSDS!U$5*$AG668^2+WeightSDS!V$5*$AG668+WeightSDS!W$5,IF($AG668&lt;186,WeightSDS!P$8*$AG668^7+WeightSDS!Q$8*$AG668^6+WeightSDS!R$8*$AG668^5+WeightSDS!S$8*$AG668^4+WeightSDS!T$8*$AG668^3+WeightSDS!U$8*$AG668^2+WeightSDS!V$8*$AG668+WeightSDS!W$8,WeightSDS!$U$9-WeightSDS!$V$9*($AG668-WeightSDS!$W$9)))</f>
        <v>0.75407122999999998</v>
      </c>
      <c r="AJ668" s="24">
        <f>IF(D668="M",IF($AG668&lt;45,WeightSDS!M$23*$AG668^10+WeightSDS!N$23*$AG668^9+WeightSDS!O$23*$AG668^8+WeightSDS!P$23*$AG668^7+WeightSDS!Q$23*$AG668^6+WeightSDS!R$23*$AG668^5+WeightSDS!S$23*$AG668^4+WeightSDS!T$23*$AG668^3+WeightSDS!U$23*$AG668^2+WeightSDS!V$23*$AG668+WeightSDS!W$23,IF($AG668&lt;153,WeightSDS!M$25*$AG668^10+WeightSDS!N$25*$AG668^9+WeightSDS!O$25*$AG668^8+WeightSDS!P$25*$AG668^7+WeightSDS!Q$25*$AG668^6+WeightSDS!R$25*$AG668^5+WeightSDS!S$25*$AG668^4+WeightSDS!T$25*$AG668^3+WeightSDS!U$25*$AG668^2+WeightSDS!V$25*$AG668+WeightSDS!W$25,WeightSDS!M$27+WeightSDS!N$27/(1+EXP(WeightSDS!O$27+WeightSDS!P$27*$AG668)))),IF($AG668&lt;43.8,WeightSDS!M$29*$AG668^10+WeightSDS!N$29*$AG668^9+WeightSDS!O$29*$AG668^8+WeightSDS!P$29*$AG668^7+WeightSDS!Q$29*$AG668^6+WeightSDS!R$29*$AG668^5+WeightSDS!S$29*$AG668^4+WeightSDS!T$29*$AG668^3+WeightSDS!U$29*$AG668^2+WeightSDS!V$29*$AG668+WeightSDS!W$29-0.010431*(1-$AG668/210),IF($AG668&lt;123,WeightSDS!M$30*$AG668^10+WeightSDS!N$30*$AG668^9+WeightSDS!O$30*$AG668^8+WeightSDS!P$30*$AG668^7+WeightSDS!Q$30*$AG668^6+WeightSDS!R$30*$AG668^5+WeightSDS!S$30*$AG668^4+WeightSDS!T$30*$AG668^3+WeightSDS!U$30*$AG668^2+WeightSDS!V$30*$AG668+WeightSDS!W$30-0.010431*(1-1/$AG668),WeightSDS!M$32+WeightSDS!N$32/(1+EXP(WeightSDS!O$32+WeightSDS!P$32*$AG668))-0.010431*(1-$AG668/210))))</f>
        <v>2.9500001032655536</v>
      </c>
      <c r="AK668" s="24">
        <f>IF(D668="M",IF($AG668&lt;162,WeightSDS!P$12*$AG668^7+WeightSDS!Q$12*$AG668^6+WeightSDS!R$12*$AG668^5+WeightSDS!S$12*$AG668^4+WeightSDS!T$12*$AG668^3+WeightSDS!U$12*$AG668^2+WeightSDS!V$12*$AG668+WeightSDS!W$12,WeightSDS!P$14*$AG668^7+WeightSDS!Q$14*$AG668^6+WeightSDS!R$14*$AG668^5+WeightSDS!S$14*$AG668^4+WeightSDS!T$14*$AG668^3+WeightSDS!U$14*$AG668^2+WeightSDS!V$14*$AG668+WeightSDS!W$14),IF($AG668&lt;156,WeightSDS!O$17*$AG668^8+WeightSDS!P$17*$AG668^7+WeightSDS!Q$17*$AG668^6+WeightSDS!R$17*$AG668^5+WeightSDS!S$17*$AG668^4+WeightSDS!T$17*$AG668^3+WeightSDS!U$17*$AG668^2+WeightSDS!V$17*$AG668+WeightSDS!W$17,IF($AG668&lt;186,WeightSDS!$U$18+(WeightSDS!$V$18-WeightSDS!$U$18)/24*($AG668-186)+WeightSDS!$W$18*(-$AG668+186)^2-0.005,WeightSDS!$U$18+(WeightSDS!$V$18-WeightSDS!$U$18)/24*($AG668-186)-0.005)))</f>
        <v>0.14604529399999999</v>
      </c>
    </row>
    <row r="669" spans="1:37">
      <c r="A669" s="4"/>
      <c r="B669" s="21"/>
      <c r="C669" s="21"/>
      <c r="D669" s="21"/>
      <c r="E669" s="22"/>
      <c r="F669" s="22"/>
      <c r="G669" s="23"/>
      <c r="H669" s="23"/>
      <c r="I669" s="8" t="str">
        <f t="shared" si="162"/>
        <v/>
      </c>
      <c r="J669" s="2" t="str">
        <f t="shared" si="169"/>
        <v/>
      </c>
      <c r="K669" s="2" t="str">
        <f t="shared" si="163"/>
        <v/>
      </c>
      <c r="L669" s="2" t="str">
        <f t="shared" si="170"/>
        <v/>
      </c>
      <c r="M669" s="2" t="str">
        <f t="shared" si="175"/>
        <v/>
      </c>
      <c r="N669" s="2" t="str">
        <f t="shared" si="171"/>
        <v/>
      </c>
      <c r="O669" s="8" t="str">
        <f t="shared" si="172"/>
        <v/>
      </c>
      <c r="P669" s="8" t="str">
        <f t="shared" si="173"/>
        <v/>
      </c>
      <c r="Q669" s="40" t="str">
        <f t="shared" si="164"/>
        <v/>
      </c>
      <c r="R669" s="48" t="str">
        <f t="shared" si="174"/>
        <v/>
      </c>
      <c r="S669" s="8"/>
      <c r="U669" s="35">
        <f t="shared" si="165"/>
        <v>0</v>
      </c>
      <c r="V669" s="24">
        <f t="shared" si="166"/>
        <v>0</v>
      </c>
      <c r="W669" s="41">
        <f t="shared" si="161"/>
        <v>0</v>
      </c>
      <c r="X669" s="31"/>
      <c r="Y669" s="31"/>
      <c r="Z669" s="31"/>
      <c r="AA669" s="25">
        <f t="shared" si="167"/>
        <v>9.0359999999999996</v>
      </c>
      <c r="AB669" s="25">
        <f t="shared" si="168"/>
        <v>-184.49199999999999</v>
      </c>
      <c r="AD669" s="24">
        <f>IF(D669="M",IF(AG669&lt;78,BMILMS!$D$5*AG669^3+BMILMS!$E$5*AG669^2+BMILMS!$F$5*AG669+BMILMS!$G$5,IF(AG669&lt;150,BMILMS!$D$6*AG669^3+BMILMS!$E$6*AG669^2+BMILMS!$F$6*AG669+BMILMS!$G$6,BMILMS!$D$7*AG669^3+BMILMS!$E$7*AG669^2+BMILMS!$F$7*AG669+BMILMS!$G$7)),IF(AG669&lt;69,BMILMS!$D$9*AG669^3+BMILMS!$E$9*AG669^2+BMILMS!$F$9*AG669+BMILMS!$G$9,IF(AG669&lt;150,BMILMS!$D$10*AG669^3+BMILMS!$E$10*AG669^2+BMILMS!$F$10*AG669+BMILMS!$G$10,BMILMS!$D$11*AG669^3+BMILMS!$E$11*AG669^2+BMILMS!$F$11*AG669+BMILMS!$G$11)))</f>
        <v>0.79584630099999998</v>
      </c>
      <c r="AE669" s="24">
        <f>IF(D669="M",(IF(AG669&lt;2.5,BMILMS!$D$21*AG669^3+BMILMS!$E$21*AG669^2+BMILMS!$F$21*AG669+BMILMS!$G$21,IF(AG669&lt;9.5,BMILMS!$D$22*AG669^3+BMILMS!$E$22*AG669^2+BMILMS!$F$22*AG669+BMILMS!$G$22,IF(AG669&lt;26.75,BMILMS!$D$23*AG669^3+BMILMS!$E$23*AG669^2+BMILMS!$F$23*AG669+BMILMS!$G$23,IF(AG669&lt;90,BMILMS!$D$24*AG669^3+BMILMS!$E$24*AG669^2+BMILMS!$F$24*AG669+BMILMS!$G$24,BMILMS!$D$25*AG669^3+BMILMS!$E$25*AG669^2+BMILMS!$F$25*AG669+BMILMS!$G$25))))),(IF(AG669&lt;2.5,BMILMS!$D$27*AG669^3+BMILMS!$E$27*AG669^2+BMILMS!$F$27*AG669+BMILMS!$G$27,IF(AG669&lt;9.5,BMILMS!$D$28*AG669^3+BMILMS!$E$28*AG669^2+BMILMS!$F$28*AG669+BMILMS!$G$28,IF(AG669&lt;26.75,BMILMS!$D$29*AG669^3+BMILMS!$E$29*AG669^2+BMILMS!$F$29*AG669+BMILMS!$G$29,IF(AG669&lt;90,BMILMS!$D$30*AG669^3+BMILMS!$E$30*AG669^2+BMILMS!$F$30*AG669+BMILMS!$G$30,IF(AG669&lt;150,BMILMS!$D$31*AG669^3+BMILMS!$E$31*AG669^2+BMILMS!$F$31*AG669+BMILMS!$G$31,BMILMS!$D$32*AG669^3+BMILMS!$E$32*AG669^2+BMILMS!$F$32*AG669+BMILMS!$G$32)))))))</f>
        <v>12.568967990000001</v>
      </c>
      <c r="AF669" s="24">
        <f>IF(D669="M",(IF(AG669&lt;90,BMILMS!$D$14*AG669^3+BMILMS!$E$14*AG669^2+BMILMS!$F$14*AG669+BMILMS!$G$14,BMILMS!$D$15*AG669^3+BMILMS!$E$15*AG669^2+BMILMS!$F$15*AG669+BMILMS!$G$15)),(IF(AG669&lt;90,BMILMS!$D$17*AG669^3+BMILMS!$E$17*AG669^2+BMILMS!$F$17*AG669+BMILMS!$G$17,BMILMS!$D$18*AG669^3+BMILMS!$E$18*AG669^2+BMILMS!$F$18*AG669+BMILMS!$G$18)))</f>
        <v>8.8969350000000003E-2</v>
      </c>
      <c r="AG669" s="24">
        <f t="shared" si="176"/>
        <v>0</v>
      </c>
      <c r="AI669" s="38">
        <f>IF(D669="M",WeightSDS!P$5*$AG669^7+WeightSDS!Q$5*$AG669^6+WeightSDS!R$5*$AG669^5+WeightSDS!S$5*$AG669^4+WeightSDS!T$5*$AG669^3+WeightSDS!U$5*$AG669^2+WeightSDS!V$5*$AG669+WeightSDS!W$5,IF($AG669&lt;186,WeightSDS!P$8*$AG669^7+WeightSDS!Q$8*$AG669^6+WeightSDS!R$8*$AG669^5+WeightSDS!S$8*$AG669^4+WeightSDS!T$8*$AG669^3+WeightSDS!U$8*$AG669^2+WeightSDS!V$8*$AG669+WeightSDS!W$8,WeightSDS!$U$9-WeightSDS!$V$9*($AG669-WeightSDS!$W$9)))</f>
        <v>0.75407122999999998</v>
      </c>
      <c r="AJ669" s="24">
        <f>IF(D669="M",IF($AG669&lt;45,WeightSDS!M$23*$AG669^10+WeightSDS!N$23*$AG669^9+WeightSDS!O$23*$AG669^8+WeightSDS!P$23*$AG669^7+WeightSDS!Q$23*$AG669^6+WeightSDS!R$23*$AG669^5+WeightSDS!S$23*$AG669^4+WeightSDS!T$23*$AG669^3+WeightSDS!U$23*$AG669^2+WeightSDS!V$23*$AG669+WeightSDS!W$23,IF($AG669&lt;153,WeightSDS!M$25*$AG669^10+WeightSDS!N$25*$AG669^9+WeightSDS!O$25*$AG669^8+WeightSDS!P$25*$AG669^7+WeightSDS!Q$25*$AG669^6+WeightSDS!R$25*$AG669^5+WeightSDS!S$25*$AG669^4+WeightSDS!T$25*$AG669^3+WeightSDS!U$25*$AG669^2+WeightSDS!V$25*$AG669+WeightSDS!W$25,WeightSDS!M$27+WeightSDS!N$27/(1+EXP(WeightSDS!O$27+WeightSDS!P$27*$AG669)))),IF($AG669&lt;43.8,WeightSDS!M$29*$AG669^10+WeightSDS!N$29*$AG669^9+WeightSDS!O$29*$AG669^8+WeightSDS!P$29*$AG669^7+WeightSDS!Q$29*$AG669^6+WeightSDS!R$29*$AG669^5+WeightSDS!S$29*$AG669^4+WeightSDS!T$29*$AG669^3+WeightSDS!U$29*$AG669^2+WeightSDS!V$29*$AG669+WeightSDS!W$29-0.010431*(1-$AG669/210),IF($AG669&lt;123,WeightSDS!M$30*$AG669^10+WeightSDS!N$30*$AG669^9+WeightSDS!O$30*$AG669^8+WeightSDS!P$30*$AG669^7+WeightSDS!Q$30*$AG669^6+WeightSDS!R$30*$AG669^5+WeightSDS!S$30*$AG669^4+WeightSDS!T$30*$AG669^3+WeightSDS!U$30*$AG669^2+WeightSDS!V$30*$AG669+WeightSDS!W$30-0.010431*(1-1/$AG669),WeightSDS!M$32+WeightSDS!N$32/(1+EXP(WeightSDS!O$32+WeightSDS!P$32*$AG669))-0.010431*(1-$AG669/210))))</f>
        <v>2.9500001032655536</v>
      </c>
      <c r="AK669" s="24">
        <f>IF(D669="M",IF($AG669&lt;162,WeightSDS!P$12*$AG669^7+WeightSDS!Q$12*$AG669^6+WeightSDS!R$12*$AG669^5+WeightSDS!S$12*$AG669^4+WeightSDS!T$12*$AG669^3+WeightSDS!U$12*$AG669^2+WeightSDS!V$12*$AG669+WeightSDS!W$12,WeightSDS!P$14*$AG669^7+WeightSDS!Q$14*$AG669^6+WeightSDS!R$14*$AG669^5+WeightSDS!S$14*$AG669^4+WeightSDS!T$14*$AG669^3+WeightSDS!U$14*$AG669^2+WeightSDS!V$14*$AG669+WeightSDS!W$14),IF($AG669&lt;156,WeightSDS!O$17*$AG669^8+WeightSDS!P$17*$AG669^7+WeightSDS!Q$17*$AG669^6+WeightSDS!R$17*$AG669^5+WeightSDS!S$17*$AG669^4+WeightSDS!T$17*$AG669^3+WeightSDS!U$17*$AG669^2+WeightSDS!V$17*$AG669+WeightSDS!W$17,IF($AG669&lt;186,WeightSDS!$U$18+(WeightSDS!$V$18-WeightSDS!$U$18)/24*($AG669-186)+WeightSDS!$W$18*(-$AG669+186)^2-0.005,WeightSDS!$U$18+(WeightSDS!$V$18-WeightSDS!$U$18)/24*($AG669-186)-0.005)))</f>
        <v>0.14604529399999999</v>
      </c>
    </row>
    <row r="670" spans="1:37">
      <c r="A670" s="4"/>
      <c r="B670" s="21"/>
      <c r="C670" s="21"/>
      <c r="D670" s="21"/>
      <c r="E670" s="22"/>
      <c r="F670" s="22"/>
      <c r="G670" s="23"/>
      <c r="H670" s="23"/>
      <c r="I670" s="8" t="str">
        <f t="shared" si="162"/>
        <v/>
      </c>
      <c r="J670" s="2" t="str">
        <f t="shared" si="169"/>
        <v/>
      </c>
      <c r="K670" s="2" t="str">
        <f t="shared" si="163"/>
        <v/>
      </c>
      <c r="L670" s="2" t="str">
        <f t="shared" si="170"/>
        <v/>
      </c>
      <c r="M670" s="2" t="str">
        <f t="shared" si="175"/>
        <v/>
      </c>
      <c r="N670" s="2" t="str">
        <f t="shared" si="171"/>
        <v/>
      </c>
      <c r="O670" s="8" t="str">
        <f t="shared" si="172"/>
        <v/>
      </c>
      <c r="P670" s="8" t="str">
        <f t="shared" si="173"/>
        <v/>
      </c>
      <c r="Q670" s="40" t="str">
        <f t="shared" si="164"/>
        <v/>
      </c>
      <c r="R670" s="48" t="str">
        <f t="shared" si="174"/>
        <v/>
      </c>
      <c r="S670" s="8"/>
      <c r="U670" s="35">
        <f t="shared" si="165"/>
        <v>0</v>
      </c>
      <c r="V670" s="24">
        <f t="shared" si="166"/>
        <v>0</v>
      </c>
      <c r="W670" s="41">
        <f t="shared" ref="W670:W733" si="177">DATEDIF(E670,F670,"Y")+(F670-(DATE(YEAR(E670)+DATEDIF(E670,F670,"Y"),MONTH(E670),DAY(E670))))/(365+IF(MOD(YEAR((DATE(YEAR(F670)-1,MONTH(E670),DAY(E670)))),4)=0,IF((DATE(YEAR(F670)-1,MONTH(E670),DAY(E670)))&gt;DATE(YEAR((DATE(YEAR(F670)-1,MONTH(E670),DAY(E670)))),2,29),0,1),0)+IF(MOD(YEAR(F670),4)=0,IF(F670&gt;DATE(YEAR(F670),2,29),1,0),0))</f>
        <v>0</v>
      </c>
      <c r="X670" s="31"/>
      <c r="Y670" s="31"/>
      <c r="Z670" s="31"/>
      <c r="AA670" s="25">
        <f t="shared" si="167"/>
        <v>9.0359999999999996</v>
      </c>
      <c r="AB670" s="25">
        <f t="shared" si="168"/>
        <v>-184.49199999999999</v>
      </c>
      <c r="AD670" s="24">
        <f>IF(D670="M",IF(AG670&lt;78,BMILMS!$D$5*AG670^3+BMILMS!$E$5*AG670^2+BMILMS!$F$5*AG670+BMILMS!$G$5,IF(AG670&lt;150,BMILMS!$D$6*AG670^3+BMILMS!$E$6*AG670^2+BMILMS!$F$6*AG670+BMILMS!$G$6,BMILMS!$D$7*AG670^3+BMILMS!$E$7*AG670^2+BMILMS!$F$7*AG670+BMILMS!$G$7)),IF(AG670&lt;69,BMILMS!$D$9*AG670^3+BMILMS!$E$9*AG670^2+BMILMS!$F$9*AG670+BMILMS!$G$9,IF(AG670&lt;150,BMILMS!$D$10*AG670^3+BMILMS!$E$10*AG670^2+BMILMS!$F$10*AG670+BMILMS!$G$10,BMILMS!$D$11*AG670^3+BMILMS!$E$11*AG670^2+BMILMS!$F$11*AG670+BMILMS!$G$11)))</f>
        <v>0.79584630099999998</v>
      </c>
      <c r="AE670" s="24">
        <f>IF(D670="M",(IF(AG670&lt;2.5,BMILMS!$D$21*AG670^3+BMILMS!$E$21*AG670^2+BMILMS!$F$21*AG670+BMILMS!$G$21,IF(AG670&lt;9.5,BMILMS!$D$22*AG670^3+BMILMS!$E$22*AG670^2+BMILMS!$F$22*AG670+BMILMS!$G$22,IF(AG670&lt;26.75,BMILMS!$D$23*AG670^3+BMILMS!$E$23*AG670^2+BMILMS!$F$23*AG670+BMILMS!$G$23,IF(AG670&lt;90,BMILMS!$D$24*AG670^3+BMILMS!$E$24*AG670^2+BMILMS!$F$24*AG670+BMILMS!$G$24,BMILMS!$D$25*AG670^3+BMILMS!$E$25*AG670^2+BMILMS!$F$25*AG670+BMILMS!$G$25))))),(IF(AG670&lt;2.5,BMILMS!$D$27*AG670^3+BMILMS!$E$27*AG670^2+BMILMS!$F$27*AG670+BMILMS!$G$27,IF(AG670&lt;9.5,BMILMS!$D$28*AG670^3+BMILMS!$E$28*AG670^2+BMILMS!$F$28*AG670+BMILMS!$G$28,IF(AG670&lt;26.75,BMILMS!$D$29*AG670^3+BMILMS!$E$29*AG670^2+BMILMS!$F$29*AG670+BMILMS!$G$29,IF(AG670&lt;90,BMILMS!$D$30*AG670^3+BMILMS!$E$30*AG670^2+BMILMS!$F$30*AG670+BMILMS!$G$30,IF(AG670&lt;150,BMILMS!$D$31*AG670^3+BMILMS!$E$31*AG670^2+BMILMS!$F$31*AG670+BMILMS!$G$31,BMILMS!$D$32*AG670^3+BMILMS!$E$32*AG670^2+BMILMS!$F$32*AG670+BMILMS!$G$32)))))))</f>
        <v>12.568967990000001</v>
      </c>
      <c r="AF670" s="24">
        <f>IF(D670="M",(IF(AG670&lt;90,BMILMS!$D$14*AG670^3+BMILMS!$E$14*AG670^2+BMILMS!$F$14*AG670+BMILMS!$G$14,BMILMS!$D$15*AG670^3+BMILMS!$E$15*AG670^2+BMILMS!$F$15*AG670+BMILMS!$G$15)),(IF(AG670&lt;90,BMILMS!$D$17*AG670^3+BMILMS!$E$17*AG670^2+BMILMS!$F$17*AG670+BMILMS!$G$17,BMILMS!$D$18*AG670^3+BMILMS!$E$18*AG670^2+BMILMS!$F$18*AG670+BMILMS!$G$18)))</f>
        <v>8.8969350000000003E-2</v>
      </c>
      <c r="AG670" s="24">
        <f t="shared" si="176"/>
        <v>0</v>
      </c>
      <c r="AI670" s="38">
        <f>IF(D670="M",WeightSDS!P$5*$AG670^7+WeightSDS!Q$5*$AG670^6+WeightSDS!R$5*$AG670^5+WeightSDS!S$5*$AG670^4+WeightSDS!T$5*$AG670^3+WeightSDS!U$5*$AG670^2+WeightSDS!V$5*$AG670+WeightSDS!W$5,IF($AG670&lt;186,WeightSDS!P$8*$AG670^7+WeightSDS!Q$8*$AG670^6+WeightSDS!R$8*$AG670^5+WeightSDS!S$8*$AG670^4+WeightSDS!T$8*$AG670^3+WeightSDS!U$8*$AG670^2+WeightSDS!V$8*$AG670+WeightSDS!W$8,WeightSDS!$U$9-WeightSDS!$V$9*($AG670-WeightSDS!$W$9)))</f>
        <v>0.75407122999999998</v>
      </c>
      <c r="AJ670" s="24">
        <f>IF(D670="M",IF($AG670&lt;45,WeightSDS!M$23*$AG670^10+WeightSDS!N$23*$AG670^9+WeightSDS!O$23*$AG670^8+WeightSDS!P$23*$AG670^7+WeightSDS!Q$23*$AG670^6+WeightSDS!R$23*$AG670^5+WeightSDS!S$23*$AG670^4+WeightSDS!T$23*$AG670^3+WeightSDS!U$23*$AG670^2+WeightSDS!V$23*$AG670+WeightSDS!W$23,IF($AG670&lt;153,WeightSDS!M$25*$AG670^10+WeightSDS!N$25*$AG670^9+WeightSDS!O$25*$AG670^8+WeightSDS!P$25*$AG670^7+WeightSDS!Q$25*$AG670^6+WeightSDS!R$25*$AG670^5+WeightSDS!S$25*$AG670^4+WeightSDS!T$25*$AG670^3+WeightSDS!U$25*$AG670^2+WeightSDS!V$25*$AG670+WeightSDS!W$25,WeightSDS!M$27+WeightSDS!N$27/(1+EXP(WeightSDS!O$27+WeightSDS!P$27*$AG670)))),IF($AG670&lt;43.8,WeightSDS!M$29*$AG670^10+WeightSDS!N$29*$AG670^9+WeightSDS!O$29*$AG670^8+WeightSDS!P$29*$AG670^7+WeightSDS!Q$29*$AG670^6+WeightSDS!R$29*$AG670^5+WeightSDS!S$29*$AG670^4+WeightSDS!T$29*$AG670^3+WeightSDS!U$29*$AG670^2+WeightSDS!V$29*$AG670+WeightSDS!W$29-0.010431*(1-$AG670/210),IF($AG670&lt;123,WeightSDS!M$30*$AG670^10+WeightSDS!N$30*$AG670^9+WeightSDS!O$30*$AG670^8+WeightSDS!P$30*$AG670^7+WeightSDS!Q$30*$AG670^6+WeightSDS!R$30*$AG670^5+WeightSDS!S$30*$AG670^4+WeightSDS!T$30*$AG670^3+WeightSDS!U$30*$AG670^2+WeightSDS!V$30*$AG670+WeightSDS!W$30-0.010431*(1-1/$AG670),WeightSDS!M$32+WeightSDS!N$32/(1+EXP(WeightSDS!O$32+WeightSDS!P$32*$AG670))-0.010431*(1-$AG670/210))))</f>
        <v>2.9500001032655536</v>
      </c>
      <c r="AK670" s="24">
        <f>IF(D670="M",IF($AG670&lt;162,WeightSDS!P$12*$AG670^7+WeightSDS!Q$12*$AG670^6+WeightSDS!R$12*$AG670^5+WeightSDS!S$12*$AG670^4+WeightSDS!T$12*$AG670^3+WeightSDS!U$12*$AG670^2+WeightSDS!V$12*$AG670+WeightSDS!W$12,WeightSDS!P$14*$AG670^7+WeightSDS!Q$14*$AG670^6+WeightSDS!R$14*$AG670^5+WeightSDS!S$14*$AG670^4+WeightSDS!T$14*$AG670^3+WeightSDS!U$14*$AG670^2+WeightSDS!V$14*$AG670+WeightSDS!W$14),IF($AG670&lt;156,WeightSDS!O$17*$AG670^8+WeightSDS!P$17*$AG670^7+WeightSDS!Q$17*$AG670^6+WeightSDS!R$17*$AG670^5+WeightSDS!S$17*$AG670^4+WeightSDS!T$17*$AG670^3+WeightSDS!U$17*$AG670^2+WeightSDS!V$17*$AG670+WeightSDS!W$17,IF($AG670&lt;186,WeightSDS!$U$18+(WeightSDS!$V$18-WeightSDS!$U$18)/24*($AG670-186)+WeightSDS!$W$18*(-$AG670+186)^2-0.005,WeightSDS!$U$18+(WeightSDS!$V$18-WeightSDS!$U$18)/24*($AG670-186)-0.005)))</f>
        <v>0.14604529399999999</v>
      </c>
    </row>
    <row r="671" spans="1:37">
      <c r="A671" s="4"/>
      <c r="B671" s="21"/>
      <c r="C671" s="21"/>
      <c r="D671" s="21"/>
      <c r="E671" s="22"/>
      <c r="F671" s="22"/>
      <c r="G671" s="23"/>
      <c r="H671" s="23"/>
      <c r="I671" s="8" t="str">
        <f t="shared" si="162"/>
        <v/>
      </c>
      <c r="J671" s="2" t="str">
        <f t="shared" si="169"/>
        <v/>
      </c>
      <c r="K671" s="2" t="str">
        <f t="shared" si="163"/>
        <v/>
      </c>
      <c r="L671" s="2" t="str">
        <f t="shared" si="170"/>
        <v/>
      </c>
      <c r="M671" s="2" t="str">
        <f t="shared" si="175"/>
        <v/>
      </c>
      <c r="N671" s="2" t="str">
        <f t="shared" si="171"/>
        <v/>
      </c>
      <c r="O671" s="8" t="str">
        <f t="shared" si="172"/>
        <v/>
      </c>
      <c r="P671" s="8" t="str">
        <f t="shared" si="173"/>
        <v/>
      </c>
      <c r="Q671" s="40" t="str">
        <f t="shared" si="164"/>
        <v/>
      </c>
      <c r="R671" s="48" t="str">
        <f t="shared" si="174"/>
        <v/>
      </c>
      <c r="S671" s="8"/>
      <c r="U671" s="35">
        <f t="shared" si="165"/>
        <v>0</v>
      </c>
      <c r="V671" s="24">
        <f t="shared" si="166"/>
        <v>0</v>
      </c>
      <c r="W671" s="41">
        <f t="shared" si="177"/>
        <v>0</v>
      </c>
      <c r="X671" s="31"/>
      <c r="Y671" s="31"/>
      <c r="Z671" s="31"/>
      <c r="AA671" s="25">
        <f t="shared" si="167"/>
        <v>9.0359999999999996</v>
      </c>
      <c r="AB671" s="25">
        <f t="shared" si="168"/>
        <v>-184.49199999999999</v>
      </c>
      <c r="AD671" s="24">
        <f>IF(D671="M",IF(AG671&lt;78,BMILMS!$D$5*AG671^3+BMILMS!$E$5*AG671^2+BMILMS!$F$5*AG671+BMILMS!$G$5,IF(AG671&lt;150,BMILMS!$D$6*AG671^3+BMILMS!$E$6*AG671^2+BMILMS!$F$6*AG671+BMILMS!$G$6,BMILMS!$D$7*AG671^3+BMILMS!$E$7*AG671^2+BMILMS!$F$7*AG671+BMILMS!$G$7)),IF(AG671&lt;69,BMILMS!$D$9*AG671^3+BMILMS!$E$9*AG671^2+BMILMS!$F$9*AG671+BMILMS!$G$9,IF(AG671&lt;150,BMILMS!$D$10*AG671^3+BMILMS!$E$10*AG671^2+BMILMS!$F$10*AG671+BMILMS!$G$10,BMILMS!$D$11*AG671^3+BMILMS!$E$11*AG671^2+BMILMS!$F$11*AG671+BMILMS!$G$11)))</f>
        <v>0.79584630099999998</v>
      </c>
      <c r="AE671" s="24">
        <f>IF(D671="M",(IF(AG671&lt;2.5,BMILMS!$D$21*AG671^3+BMILMS!$E$21*AG671^2+BMILMS!$F$21*AG671+BMILMS!$G$21,IF(AG671&lt;9.5,BMILMS!$D$22*AG671^3+BMILMS!$E$22*AG671^2+BMILMS!$F$22*AG671+BMILMS!$G$22,IF(AG671&lt;26.75,BMILMS!$D$23*AG671^3+BMILMS!$E$23*AG671^2+BMILMS!$F$23*AG671+BMILMS!$G$23,IF(AG671&lt;90,BMILMS!$D$24*AG671^3+BMILMS!$E$24*AG671^2+BMILMS!$F$24*AG671+BMILMS!$G$24,BMILMS!$D$25*AG671^3+BMILMS!$E$25*AG671^2+BMILMS!$F$25*AG671+BMILMS!$G$25))))),(IF(AG671&lt;2.5,BMILMS!$D$27*AG671^3+BMILMS!$E$27*AG671^2+BMILMS!$F$27*AG671+BMILMS!$G$27,IF(AG671&lt;9.5,BMILMS!$D$28*AG671^3+BMILMS!$E$28*AG671^2+BMILMS!$F$28*AG671+BMILMS!$G$28,IF(AG671&lt;26.75,BMILMS!$D$29*AG671^3+BMILMS!$E$29*AG671^2+BMILMS!$F$29*AG671+BMILMS!$G$29,IF(AG671&lt;90,BMILMS!$D$30*AG671^3+BMILMS!$E$30*AG671^2+BMILMS!$F$30*AG671+BMILMS!$G$30,IF(AG671&lt;150,BMILMS!$D$31*AG671^3+BMILMS!$E$31*AG671^2+BMILMS!$F$31*AG671+BMILMS!$G$31,BMILMS!$D$32*AG671^3+BMILMS!$E$32*AG671^2+BMILMS!$F$32*AG671+BMILMS!$G$32)))))))</f>
        <v>12.568967990000001</v>
      </c>
      <c r="AF671" s="24">
        <f>IF(D671="M",(IF(AG671&lt;90,BMILMS!$D$14*AG671^3+BMILMS!$E$14*AG671^2+BMILMS!$F$14*AG671+BMILMS!$G$14,BMILMS!$D$15*AG671^3+BMILMS!$E$15*AG671^2+BMILMS!$F$15*AG671+BMILMS!$G$15)),(IF(AG671&lt;90,BMILMS!$D$17*AG671^3+BMILMS!$E$17*AG671^2+BMILMS!$F$17*AG671+BMILMS!$G$17,BMILMS!$D$18*AG671^3+BMILMS!$E$18*AG671^2+BMILMS!$F$18*AG671+BMILMS!$G$18)))</f>
        <v>8.8969350000000003E-2</v>
      </c>
      <c r="AG671" s="24">
        <f t="shared" si="176"/>
        <v>0</v>
      </c>
      <c r="AI671" s="38">
        <f>IF(D671="M",WeightSDS!P$5*$AG671^7+WeightSDS!Q$5*$AG671^6+WeightSDS!R$5*$AG671^5+WeightSDS!S$5*$AG671^4+WeightSDS!T$5*$AG671^3+WeightSDS!U$5*$AG671^2+WeightSDS!V$5*$AG671+WeightSDS!W$5,IF($AG671&lt;186,WeightSDS!P$8*$AG671^7+WeightSDS!Q$8*$AG671^6+WeightSDS!R$8*$AG671^5+WeightSDS!S$8*$AG671^4+WeightSDS!T$8*$AG671^3+WeightSDS!U$8*$AG671^2+WeightSDS!V$8*$AG671+WeightSDS!W$8,WeightSDS!$U$9-WeightSDS!$V$9*($AG671-WeightSDS!$W$9)))</f>
        <v>0.75407122999999998</v>
      </c>
      <c r="AJ671" s="24">
        <f>IF(D671="M",IF($AG671&lt;45,WeightSDS!M$23*$AG671^10+WeightSDS!N$23*$AG671^9+WeightSDS!O$23*$AG671^8+WeightSDS!P$23*$AG671^7+WeightSDS!Q$23*$AG671^6+WeightSDS!R$23*$AG671^5+WeightSDS!S$23*$AG671^4+WeightSDS!T$23*$AG671^3+WeightSDS!U$23*$AG671^2+WeightSDS!V$23*$AG671+WeightSDS!W$23,IF($AG671&lt;153,WeightSDS!M$25*$AG671^10+WeightSDS!N$25*$AG671^9+WeightSDS!O$25*$AG671^8+WeightSDS!P$25*$AG671^7+WeightSDS!Q$25*$AG671^6+WeightSDS!R$25*$AG671^5+WeightSDS!S$25*$AG671^4+WeightSDS!T$25*$AG671^3+WeightSDS!U$25*$AG671^2+WeightSDS!V$25*$AG671+WeightSDS!W$25,WeightSDS!M$27+WeightSDS!N$27/(1+EXP(WeightSDS!O$27+WeightSDS!P$27*$AG671)))),IF($AG671&lt;43.8,WeightSDS!M$29*$AG671^10+WeightSDS!N$29*$AG671^9+WeightSDS!O$29*$AG671^8+WeightSDS!P$29*$AG671^7+WeightSDS!Q$29*$AG671^6+WeightSDS!R$29*$AG671^5+WeightSDS!S$29*$AG671^4+WeightSDS!T$29*$AG671^3+WeightSDS!U$29*$AG671^2+WeightSDS!V$29*$AG671+WeightSDS!W$29-0.010431*(1-$AG671/210),IF($AG671&lt;123,WeightSDS!M$30*$AG671^10+WeightSDS!N$30*$AG671^9+WeightSDS!O$30*$AG671^8+WeightSDS!P$30*$AG671^7+WeightSDS!Q$30*$AG671^6+WeightSDS!R$30*$AG671^5+WeightSDS!S$30*$AG671^4+WeightSDS!T$30*$AG671^3+WeightSDS!U$30*$AG671^2+WeightSDS!V$30*$AG671+WeightSDS!W$30-0.010431*(1-1/$AG671),WeightSDS!M$32+WeightSDS!N$32/(1+EXP(WeightSDS!O$32+WeightSDS!P$32*$AG671))-0.010431*(1-$AG671/210))))</f>
        <v>2.9500001032655536</v>
      </c>
      <c r="AK671" s="24">
        <f>IF(D671="M",IF($AG671&lt;162,WeightSDS!P$12*$AG671^7+WeightSDS!Q$12*$AG671^6+WeightSDS!R$12*$AG671^5+WeightSDS!S$12*$AG671^4+WeightSDS!T$12*$AG671^3+WeightSDS!U$12*$AG671^2+WeightSDS!V$12*$AG671+WeightSDS!W$12,WeightSDS!P$14*$AG671^7+WeightSDS!Q$14*$AG671^6+WeightSDS!R$14*$AG671^5+WeightSDS!S$14*$AG671^4+WeightSDS!T$14*$AG671^3+WeightSDS!U$14*$AG671^2+WeightSDS!V$14*$AG671+WeightSDS!W$14),IF($AG671&lt;156,WeightSDS!O$17*$AG671^8+WeightSDS!P$17*$AG671^7+WeightSDS!Q$17*$AG671^6+WeightSDS!R$17*$AG671^5+WeightSDS!S$17*$AG671^4+WeightSDS!T$17*$AG671^3+WeightSDS!U$17*$AG671^2+WeightSDS!V$17*$AG671+WeightSDS!W$17,IF($AG671&lt;186,WeightSDS!$U$18+(WeightSDS!$V$18-WeightSDS!$U$18)/24*($AG671-186)+WeightSDS!$W$18*(-$AG671+186)^2-0.005,WeightSDS!$U$18+(WeightSDS!$V$18-WeightSDS!$U$18)/24*($AG671-186)-0.005)))</f>
        <v>0.14604529399999999</v>
      </c>
    </row>
    <row r="672" spans="1:37">
      <c r="A672" s="4"/>
      <c r="B672" s="21"/>
      <c r="C672" s="21"/>
      <c r="D672" s="21"/>
      <c r="E672" s="22"/>
      <c r="F672" s="22"/>
      <c r="G672" s="23"/>
      <c r="H672" s="23"/>
      <c r="I672" s="8" t="str">
        <f t="shared" si="162"/>
        <v/>
      </c>
      <c r="J672" s="2" t="str">
        <f t="shared" si="169"/>
        <v/>
      </c>
      <c r="K672" s="2" t="str">
        <f t="shared" si="163"/>
        <v/>
      </c>
      <c r="L672" s="2" t="str">
        <f t="shared" si="170"/>
        <v/>
      </c>
      <c r="M672" s="2" t="str">
        <f t="shared" si="175"/>
        <v/>
      </c>
      <c r="N672" s="2" t="str">
        <f t="shared" si="171"/>
        <v/>
      </c>
      <c r="O672" s="8" t="str">
        <f t="shared" si="172"/>
        <v/>
      </c>
      <c r="P672" s="8" t="str">
        <f t="shared" si="173"/>
        <v/>
      </c>
      <c r="Q672" s="40" t="str">
        <f t="shared" si="164"/>
        <v/>
      </c>
      <c r="R672" s="48" t="str">
        <f t="shared" si="174"/>
        <v/>
      </c>
      <c r="S672" s="8"/>
      <c r="U672" s="35">
        <f t="shared" si="165"/>
        <v>0</v>
      </c>
      <c r="V672" s="24">
        <f t="shared" si="166"/>
        <v>0</v>
      </c>
      <c r="W672" s="41">
        <f t="shared" si="177"/>
        <v>0</v>
      </c>
      <c r="X672" s="31"/>
      <c r="Y672" s="31"/>
      <c r="Z672" s="31"/>
      <c r="AA672" s="25">
        <f t="shared" si="167"/>
        <v>9.0359999999999996</v>
      </c>
      <c r="AB672" s="25">
        <f t="shared" si="168"/>
        <v>-184.49199999999999</v>
      </c>
      <c r="AD672" s="24">
        <f>IF(D672="M",IF(AG672&lt;78,BMILMS!$D$5*AG672^3+BMILMS!$E$5*AG672^2+BMILMS!$F$5*AG672+BMILMS!$G$5,IF(AG672&lt;150,BMILMS!$D$6*AG672^3+BMILMS!$E$6*AG672^2+BMILMS!$F$6*AG672+BMILMS!$G$6,BMILMS!$D$7*AG672^3+BMILMS!$E$7*AG672^2+BMILMS!$F$7*AG672+BMILMS!$G$7)),IF(AG672&lt;69,BMILMS!$D$9*AG672^3+BMILMS!$E$9*AG672^2+BMILMS!$F$9*AG672+BMILMS!$G$9,IF(AG672&lt;150,BMILMS!$D$10*AG672^3+BMILMS!$E$10*AG672^2+BMILMS!$F$10*AG672+BMILMS!$G$10,BMILMS!$D$11*AG672^3+BMILMS!$E$11*AG672^2+BMILMS!$F$11*AG672+BMILMS!$G$11)))</f>
        <v>0.79584630099999998</v>
      </c>
      <c r="AE672" s="24">
        <f>IF(D672="M",(IF(AG672&lt;2.5,BMILMS!$D$21*AG672^3+BMILMS!$E$21*AG672^2+BMILMS!$F$21*AG672+BMILMS!$G$21,IF(AG672&lt;9.5,BMILMS!$D$22*AG672^3+BMILMS!$E$22*AG672^2+BMILMS!$F$22*AG672+BMILMS!$G$22,IF(AG672&lt;26.75,BMILMS!$D$23*AG672^3+BMILMS!$E$23*AG672^2+BMILMS!$F$23*AG672+BMILMS!$G$23,IF(AG672&lt;90,BMILMS!$D$24*AG672^3+BMILMS!$E$24*AG672^2+BMILMS!$F$24*AG672+BMILMS!$G$24,BMILMS!$D$25*AG672^3+BMILMS!$E$25*AG672^2+BMILMS!$F$25*AG672+BMILMS!$G$25))))),(IF(AG672&lt;2.5,BMILMS!$D$27*AG672^3+BMILMS!$E$27*AG672^2+BMILMS!$F$27*AG672+BMILMS!$G$27,IF(AG672&lt;9.5,BMILMS!$D$28*AG672^3+BMILMS!$E$28*AG672^2+BMILMS!$F$28*AG672+BMILMS!$G$28,IF(AG672&lt;26.75,BMILMS!$D$29*AG672^3+BMILMS!$E$29*AG672^2+BMILMS!$F$29*AG672+BMILMS!$G$29,IF(AG672&lt;90,BMILMS!$D$30*AG672^3+BMILMS!$E$30*AG672^2+BMILMS!$F$30*AG672+BMILMS!$G$30,IF(AG672&lt;150,BMILMS!$D$31*AG672^3+BMILMS!$E$31*AG672^2+BMILMS!$F$31*AG672+BMILMS!$G$31,BMILMS!$D$32*AG672^3+BMILMS!$E$32*AG672^2+BMILMS!$F$32*AG672+BMILMS!$G$32)))))))</f>
        <v>12.568967990000001</v>
      </c>
      <c r="AF672" s="24">
        <f>IF(D672="M",(IF(AG672&lt;90,BMILMS!$D$14*AG672^3+BMILMS!$E$14*AG672^2+BMILMS!$F$14*AG672+BMILMS!$G$14,BMILMS!$D$15*AG672^3+BMILMS!$E$15*AG672^2+BMILMS!$F$15*AG672+BMILMS!$G$15)),(IF(AG672&lt;90,BMILMS!$D$17*AG672^3+BMILMS!$E$17*AG672^2+BMILMS!$F$17*AG672+BMILMS!$G$17,BMILMS!$D$18*AG672^3+BMILMS!$E$18*AG672^2+BMILMS!$F$18*AG672+BMILMS!$G$18)))</f>
        <v>8.8969350000000003E-2</v>
      </c>
      <c r="AG672" s="24">
        <f t="shared" si="176"/>
        <v>0</v>
      </c>
      <c r="AI672" s="38">
        <f>IF(D672="M",WeightSDS!P$5*$AG672^7+WeightSDS!Q$5*$AG672^6+WeightSDS!R$5*$AG672^5+WeightSDS!S$5*$AG672^4+WeightSDS!T$5*$AG672^3+WeightSDS!U$5*$AG672^2+WeightSDS!V$5*$AG672+WeightSDS!W$5,IF($AG672&lt;186,WeightSDS!P$8*$AG672^7+WeightSDS!Q$8*$AG672^6+WeightSDS!R$8*$AG672^5+WeightSDS!S$8*$AG672^4+WeightSDS!T$8*$AG672^3+WeightSDS!U$8*$AG672^2+WeightSDS!V$8*$AG672+WeightSDS!W$8,WeightSDS!$U$9-WeightSDS!$V$9*($AG672-WeightSDS!$W$9)))</f>
        <v>0.75407122999999998</v>
      </c>
      <c r="AJ672" s="24">
        <f>IF(D672="M",IF($AG672&lt;45,WeightSDS!M$23*$AG672^10+WeightSDS!N$23*$AG672^9+WeightSDS!O$23*$AG672^8+WeightSDS!P$23*$AG672^7+WeightSDS!Q$23*$AG672^6+WeightSDS!R$23*$AG672^5+WeightSDS!S$23*$AG672^4+WeightSDS!T$23*$AG672^3+WeightSDS!U$23*$AG672^2+WeightSDS!V$23*$AG672+WeightSDS!W$23,IF($AG672&lt;153,WeightSDS!M$25*$AG672^10+WeightSDS!N$25*$AG672^9+WeightSDS!O$25*$AG672^8+WeightSDS!P$25*$AG672^7+WeightSDS!Q$25*$AG672^6+WeightSDS!R$25*$AG672^5+WeightSDS!S$25*$AG672^4+WeightSDS!T$25*$AG672^3+WeightSDS!U$25*$AG672^2+WeightSDS!V$25*$AG672+WeightSDS!W$25,WeightSDS!M$27+WeightSDS!N$27/(1+EXP(WeightSDS!O$27+WeightSDS!P$27*$AG672)))),IF($AG672&lt;43.8,WeightSDS!M$29*$AG672^10+WeightSDS!N$29*$AG672^9+WeightSDS!O$29*$AG672^8+WeightSDS!P$29*$AG672^7+WeightSDS!Q$29*$AG672^6+WeightSDS!R$29*$AG672^5+WeightSDS!S$29*$AG672^4+WeightSDS!T$29*$AG672^3+WeightSDS!U$29*$AG672^2+WeightSDS!V$29*$AG672+WeightSDS!W$29-0.010431*(1-$AG672/210),IF($AG672&lt;123,WeightSDS!M$30*$AG672^10+WeightSDS!N$30*$AG672^9+WeightSDS!O$30*$AG672^8+WeightSDS!P$30*$AG672^7+WeightSDS!Q$30*$AG672^6+WeightSDS!R$30*$AG672^5+WeightSDS!S$30*$AG672^4+WeightSDS!T$30*$AG672^3+WeightSDS!U$30*$AG672^2+WeightSDS!V$30*$AG672+WeightSDS!W$30-0.010431*(1-1/$AG672),WeightSDS!M$32+WeightSDS!N$32/(1+EXP(WeightSDS!O$32+WeightSDS!P$32*$AG672))-0.010431*(1-$AG672/210))))</f>
        <v>2.9500001032655536</v>
      </c>
      <c r="AK672" s="24">
        <f>IF(D672="M",IF($AG672&lt;162,WeightSDS!P$12*$AG672^7+WeightSDS!Q$12*$AG672^6+WeightSDS!R$12*$AG672^5+WeightSDS!S$12*$AG672^4+WeightSDS!T$12*$AG672^3+WeightSDS!U$12*$AG672^2+WeightSDS!V$12*$AG672+WeightSDS!W$12,WeightSDS!P$14*$AG672^7+WeightSDS!Q$14*$AG672^6+WeightSDS!R$14*$AG672^5+WeightSDS!S$14*$AG672^4+WeightSDS!T$14*$AG672^3+WeightSDS!U$14*$AG672^2+WeightSDS!V$14*$AG672+WeightSDS!W$14),IF($AG672&lt;156,WeightSDS!O$17*$AG672^8+WeightSDS!P$17*$AG672^7+WeightSDS!Q$17*$AG672^6+WeightSDS!R$17*$AG672^5+WeightSDS!S$17*$AG672^4+WeightSDS!T$17*$AG672^3+WeightSDS!U$17*$AG672^2+WeightSDS!V$17*$AG672+WeightSDS!W$17,IF($AG672&lt;186,WeightSDS!$U$18+(WeightSDS!$V$18-WeightSDS!$U$18)/24*($AG672-186)+WeightSDS!$W$18*(-$AG672+186)^2-0.005,WeightSDS!$U$18+(WeightSDS!$V$18-WeightSDS!$U$18)/24*($AG672-186)-0.005)))</f>
        <v>0.14604529399999999</v>
      </c>
    </row>
    <row r="673" spans="1:37">
      <c r="A673" s="4"/>
      <c r="B673" s="21"/>
      <c r="C673" s="21"/>
      <c r="D673" s="21"/>
      <c r="E673" s="22"/>
      <c r="F673" s="22"/>
      <c r="G673" s="23"/>
      <c r="H673" s="23"/>
      <c r="I673" s="8" t="str">
        <f t="shared" si="162"/>
        <v/>
      </c>
      <c r="J673" s="2" t="str">
        <f t="shared" si="169"/>
        <v/>
      </c>
      <c r="K673" s="2" t="str">
        <f t="shared" si="163"/>
        <v/>
      </c>
      <c r="L673" s="2" t="str">
        <f t="shared" si="170"/>
        <v/>
      </c>
      <c r="M673" s="2" t="str">
        <f t="shared" si="175"/>
        <v/>
      </c>
      <c r="N673" s="2" t="str">
        <f t="shared" si="171"/>
        <v/>
      </c>
      <c r="O673" s="8" t="str">
        <f t="shared" si="172"/>
        <v/>
      </c>
      <c r="P673" s="8" t="str">
        <f t="shared" si="173"/>
        <v/>
      </c>
      <c r="Q673" s="40" t="str">
        <f t="shared" si="164"/>
        <v/>
      </c>
      <c r="R673" s="48" t="str">
        <f t="shared" si="174"/>
        <v/>
      </c>
      <c r="S673" s="8"/>
      <c r="U673" s="35">
        <f t="shared" si="165"/>
        <v>0</v>
      </c>
      <c r="V673" s="24">
        <f t="shared" si="166"/>
        <v>0</v>
      </c>
      <c r="W673" s="41">
        <f t="shared" si="177"/>
        <v>0</v>
      </c>
      <c r="X673" s="31"/>
      <c r="Y673" s="31"/>
      <c r="Z673" s="31"/>
      <c r="AA673" s="25">
        <f t="shared" si="167"/>
        <v>9.0359999999999996</v>
      </c>
      <c r="AB673" s="25">
        <f t="shared" si="168"/>
        <v>-184.49199999999999</v>
      </c>
      <c r="AD673" s="24">
        <f>IF(D673="M",IF(AG673&lt;78,BMILMS!$D$5*AG673^3+BMILMS!$E$5*AG673^2+BMILMS!$F$5*AG673+BMILMS!$G$5,IF(AG673&lt;150,BMILMS!$D$6*AG673^3+BMILMS!$E$6*AG673^2+BMILMS!$F$6*AG673+BMILMS!$G$6,BMILMS!$D$7*AG673^3+BMILMS!$E$7*AG673^2+BMILMS!$F$7*AG673+BMILMS!$G$7)),IF(AG673&lt;69,BMILMS!$D$9*AG673^3+BMILMS!$E$9*AG673^2+BMILMS!$F$9*AG673+BMILMS!$G$9,IF(AG673&lt;150,BMILMS!$D$10*AG673^3+BMILMS!$E$10*AG673^2+BMILMS!$F$10*AG673+BMILMS!$G$10,BMILMS!$D$11*AG673^3+BMILMS!$E$11*AG673^2+BMILMS!$F$11*AG673+BMILMS!$G$11)))</f>
        <v>0.79584630099999998</v>
      </c>
      <c r="AE673" s="24">
        <f>IF(D673="M",(IF(AG673&lt;2.5,BMILMS!$D$21*AG673^3+BMILMS!$E$21*AG673^2+BMILMS!$F$21*AG673+BMILMS!$G$21,IF(AG673&lt;9.5,BMILMS!$D$22*AG673^3+BMILMS!$E$22*AG673^2+BMILMS!$F$22*AG673+BMILMS!$G$22,IF(AG673&lt;26.75,BMILMS!$D$23*AG673^3+BMILMS!$E$23*AG673^2+BMILMS!$F$23*AG673+BMILMS!$G$23,IF(AG673&lt;90,BMILMS!$D$24*AG673^3+BMILMS!$E$24*AG673^2+BMILMS!$F$24*AG673+BMILMS!$G$24,BMILMS!$D$25*AG673^3+BMILMS!$E$25*AG673^2+BMILMS!$F$25*AG673+BMILMS!$G$25))))),(IF(AG673&lt;2.5,BMILMS!$D$27*AG673^3+BMILMS!$E$27*AG673^2+BMILMS!$F$27*AG673+BMILMS!$G$27,IF(AG673&lt;9.5,BMILMS!$D$28*AG673^3+BMILMS!$E$28*AG673^2+BMILMS!$F$28*AG673+BMILMS!$G$28,IF(AG673&lt;26.75,BMILMS!$D$29*AG673^3+BMILMS!$E$29*AG673^2+BMILMS!$F$29*AG673+BMILMS!$G$29,IF(AG673&lt;90,BMILMS!$D$30*AG673^3+BMILMS!$E$30*AG673^2+BMILMS!$F$30*AG673+BMILMS!$G$30,IF(AG673&lt;150,BMILMS!$D$31*AG673^3+BMILMS!$E$31*AG673^2+BMILMS!$F$31*AG673+BMILMS!$G$31,BMILMS!$D$32*AG673^3+BMILMS!$E$32*AG673^2+BMILMS!$F$32*AG673+BMILMS!$G$32)))))))</f>
        <v>12.568967990000001</v>
      </c>
      <c r="AF673" s="24">
        <f>IF(D673="M",(IF(AG673&lt;90,BMILMS!$D$14*AG673^3+BMILMS!$E$14*AG673^2+BMILMS!$F$14*AG673+BMILMS!$G$14,BMILMS!$D$15*AG673^3+BMILMS!$E$15*AG673^2+BMILMS!$F$15*AG673+BMILMS!$G$15)),(IF(AG673&lt;90,BMILMS!$D$17*AG673^3+BMILMS!$E$17*AG673^2+BMILMS!$F$17*AG673+BMILMS!$G$17,BMILMS!$D$18*AG673^3+BMILMS!$E$18*AG673^2+BMILMS!$F$18*AG673+BMILMS!$G$18)))</f>
        <v>8.8969350000000003E-2</v>
      </c>
      <c r="AG673" s="24">
        <f t="shared" si="176"/>
        <v>0</v>
      </c>
      <c r="AI673" s="38">
        <f>IF(D673="M",WeightSDS!P$5*$AG673^7+WeightSDS!Q$5*$AG673^6+WeightSDS!R$5*$AG673^5+WeightSDS!S$5*$AG673^4+WeightSDS!T$5*$AG673^3+WeightSDS!U$5*$AG673^2+WeightSDS!V$5*$AG673+WeightSDS!W$5,IF($AG673&lt;186,WeightSDS!P$8*$AG673^7+WeightSDS!Q$8*$AG673^6+WeightSDS!R$8*$AG673^5+WeightSDS!S$8*$AG673^4+WeightSDS!T$8*$AG673^3+WeightSDS!U$8*$AG673^2+WeightSDS!V$8*$AG673+WeightSDS!W$8,WeightSDS!$U$9-WeightSDS!$V$9*($AG673-WeightSDS!$W$9)))</f>
        <v>0.75407122999999998</v>
      </c>
      <c r="AJ673" s="24">
        <f>IF(D673="M",IF($AG673&lt;45,WeightSDS!M$23*$AG673^10+WeightSDS!N$23*$AG673^9+WeightSDS!O$23*$AG673^8+WeightSDS!P$23*$AG673^7+WeightSDS!Q$23*$AG673^6+WeightSDS!R$23*$AG673^5+WeightSDS!S$23*$AG673^4+WeightSDS!T$23*$AG673^3+WeightSDS!U$23*$AG673^2+WeightSDS!V$23*$AG673+WeightSDS!W$23,IF($AG673&lt;153,WeightSDS!M$25*$AG673^10+WeightSDS!N$25*$AG673^9+WeightSDS!O$25*$AG673^8+WeightSDS!P$25*$AG673^7+WeightSDS!Q$25*$AG673^6+WeightSDS!R$25*$AG673^5+WeightSDS!S$25*$AG673^4+WeightSDS!T$25*$AG673^3+WeightSDS!U$25*$AG673^2+WeightSDS!V$25*$AG673+WeightSDS!W$25,WeightSDS!M$27+WeightSDS!N$27/(1+EXP(WeightSDS!O$27+WeightSDS!P$27*$AG673)))),IF($AG673&lt;43.8,WeightSDS!M$29*$AG673^10+WeightSDS!N$29*$AG673^9+WeightSDS!O$29*$AG673^8+WeightSDS!P$29*$AG673^7+WeightSDS!Q$29*$AG673^6+WeightSDS!R$29*$AG673^5+WeightSDS!S$29*$AG673^4+WeightSDS!T$29*$AG673^3+WeightSDS!U$29*$AG673^2+WeightSDS!V$29*$AG673+WeightSDS!W$29-0.010431*(1-$AG673/210),IF($AG673&lt;123,WeightSDS!M$30*$AG673^10+WeightSDS!N$30*$AG673^9+WeightSDS!O$30*$AG673^8+WeightSDS!P$30*$AG673^7+WeightSDS!Q$30*$AG673^6+WeightSDS!R$30*$AG673^5+WeightSDS!S$30*$AG673^4+WeightSDS!T$30*$AG673^3+WeightSDS!U$30*$AG673^2+WeightSDS!V$30*$AG673+WeightSDS!W$30-0.010431*(1-1/$AG673),WeightSDS!M$32+WeightSDS!N$32/(1+EXP(WeightSDS!O$32+WeightSDS!P$32*$AG673))-0.010431*(1-$AG673/210))))</f>
        <v>2.9500001032655536</v>
      </c>
      <c r="AK673" s="24">
        <f>IF(D673="M",IF($AG673&lt;162,WeightSDS!P$12*$AG673^7+WeightSDS!Q$12*$AG673^6+WeightSDS!R$12*$AG673^5+WeightSDS!S$12*$AG673^4+WeightSDS!T$12*$AG673^3+WeightSDS!U$12*$AG673^2+WeightSDS!V$12*$AG673+WeightSDS!W$12,WeightSDS!P$14*$AG673^7+WeightSDS!Q$14*$AG673^6+WeightSDS!R$14*$AG673^5+WeightSDS!S$14*$AG673^4+WeightSDS!T$14*$AG673^3+WeightSDS!U$14*$AG673^2+WeightSDS!V$14*$AG673+WeightSDS!W$14),IF($AG673&lt;156,WeightSDS!O$17*$AG673^8+WeightSDS!P$17*$AG673^7+WeightSDS!Q$17*$AG673^6+WeightSDS!R$17*$AG673^5+WeightSDS!S$17*$AG673^4+WeightSDS!T$17*$AG673^3+WeightSDS!U$17*$AG673^2+WeightSDS!V$17*$AG673+WeightSDS!W$17,IF($AG673&lt;186,WeightSDS!$U$18+(WeightSDS!$V$18-WeightSDS!$U$18)/24*($AG673-186)+WeightSDS!$W$18*(-$AG673+186)^2-0.005,WeightSDS!$U$18+(WeightSDS!$V$18-WeightSDS!$U$18)/24*($AG673-186)-0.005)))</f>
        <v>0.14604529399999999</v>
      </c>
    </row>
    <row r="674" spans="1:37">
      <c r="A674" s="4"/>
      <c r="B674" s="21"/>
      <c r="C674" s="21"/>
      <c r="D674" s="21"/>
      <c r="E674" s="22"/>
      <c r="F674" s="22"/>
      <c r="G674" s="23"/>
      <c r="H674" s="23"/>
      <c r="I674" s="8" t="str">
        <f t="shared" si="162"/>
        <v/>
      </c>
      <c r="J674" s="2" t="str">
        <f t="shared" si="169"/>
        <v/>
      </c>
      <c r="K674" s="2" t="str">
        <f t="shared" si="163"/>
        <v/>
      </c>
      <c r="L674" s="2" t="str">
        <f t="shared" si="170"/>
        <v/>
      </c>
      <c r="M674" s="2" t="str">
        <f t="shared" si="175"/>
        <v/>
      </c>
      <c r="N674" s="2" t="str">
        <f t="shared" si="171"/>
        <v/>
      </c>
      <c r="O674" s="8" t="str">
        <f t="shared" si="172"/>
        <v/>
      </c>
      <c r="P674" s="8" t="str">
        <f t="shared" si="173"/>
        <v/>
      </c>
      <c r="Q674" s="40" t="str">
        <f t="shared" si="164"/>
        <v/>
      </c>
      <c r="R674" s="48" t="str">
        <f t="shared" si="174"/>
        <v/>
      </c>
      <c r="S674" s="8"/>
      <c r="U674" s="35">
        <f t="shared" si="165"/>
        <v>0</v>
      </c>
      <c r="V674" s="24">
        <f t="shared" si="166"/>
        <v>0</v>
      </c>
      <c r="W674" s="41">
        <f t="shared" si="177"/>
        <v>0</v>
      </c>
      <c r="X674" s="31"/>
      <c r="Y674" s="31"/>
      <c r="Z674" s="31"/>
      <c r="AA674" s="25">
        <f t="shared" si="167"/>
        <v>9.0359999999999996</v>
      </c>
      <c r="AB674" s="25">
        <f t="shared" si="168"/>
        <v>-184.49199999999999</v>
      </c>
      <c r="AD674" s="24">
        <f>IF(D674="M",IF(AG674&lt;78,BMILMS!$D$5*AG674^3+BMILMS!$E$5*AG674^2+BMILMS!$F$5*AG674+BMILMS!$G$5,IF(AG674&lt;150,BMILMS!$D$6*AG674^3+BMILMS!$E$6*AG674^2+BMILMS!$F$6*AG674+BMILMS!$G$6,BMILMS!$D$7*AG674^3+BMILMS!$E$7*AG674^2+BMILMS!$F$7*AG674+BMILMS!$G$7)),IF(AG674&lt;69,BMILMS!$D$9*AG674^3+BMILMS!$E$9*AG674^2+BMILMS!$F$9*AG674+BMILMS!$G$9,IF(AG674&lt;150,BMILMS!$D$10*AG674^3+BMILMS!$E$10*AG674^2+BMILMS!$F$10*AG674+BMILMS!$G$10,BMILMS!$D$11*AG674^3+BMILMS!$E$11*AG674^2+BMILMS!$F$11*AG674+BMILMS!$G$11)))</f>
        <v>0.79584630099999998</v>
      </c>
      <c r="AE674" s="24">
        <f>IF(D674="M",(IF(AG674&lt;2.5,BMILMS!$D$21*AG674^3+BMILMS!$E$21*AG674^2+BMILMS!$F$21*AG674+BMILMS!$G$21,IF(AG674&lt;9.5,BMILMS!$D$22*AG674^3+BMILMS!$E$22*AG674^2+BMILMS!$F$22*AG674+BMILMS!$G$22,IF(AG674&lt;26.75,BMILMS!$D$23*AG674^3+BMILMS!$E$23*AG674^2+BMILMS!$F$23*AG674+BMILMS!$G$23,IF(AG674&lt;90,BMILMS!$D$24*AG674^3+BMILMS!$E$24*AG674^2+BMILMS!$F$24*AG674+BMILMS!$G$24,BMILMS!$D$25*AG674^3+BMILMS!$E$25*AG674^2+BMILMS!$F$25*AG674+BMILMS!$G$25))))),(IF(AG674&lt;2.5,BMILMS!$D$27*AG674^3+BMILMS!$E$27*AG674^2+BMILMS!$F$27*AG674+BMILMS!$G$27,IF(AG674&lt;9.5,BMILMS!$D$28*AG674^3+BMILMS!$E$28*AG674^2+BMILMS!$F$28*AG674+BMILMS!$G$28,IF(AG674&lt;26.75,BMILMS!$D$29*AG674^3+BMILMS!$E$29*AG674^2+BMILMS!$F$29*AG674+BMILMS!$G$29,IF(AG674&lt;90,BMILMS!$D$30*AG674^3+BMILMS!$E$30*AG674^2+BMILMS!$F$30*AG674+BMILMS!$G$30,IF(AG674&lt;150,BMILMS!$D$31*AG674^3+BMILMS!$E$31*AG674^2+BMILMS!$F$31*AG674+BMILMS!$G$31,BMILMS!$D$32*AG674^3+BMILMS!$E$32*AG674^2+BMILMS!$F$32*AG674+BMILMS!$G$32)))))))</f>
        <v>12.568967990000001</v>
      </c>
      <c r="AF674" s="24">
        <f>IF(D674="M",(IF(AG674&lt;90,BMILMS!$D$14*AG674^3+BMILMS!$E$14*AG674^2+BMILMS!$F$14*AG674+BMILMS!$G$14,BMILMS!$D$15*AG674^3+BMILMS!$E$15*AG674^2+BMILMS!$F$15*AG674+BMILMS!$G$15)),(IF(AG674&lt;90,BMILMS!$D$17*AG674^3+BMILMS!$E$17*AG674^2+BMILMS!$F$17*AG674+BMILMS!$G$17,BMILMS!$D$18*AG674^3+BMILMS!$E$18*AG674^2+BMILMS!$F$18*AG674+BMILMS!$G$18)))</f>
        <v>8.8969350000000003E-2</v>
      </c>
      <c r="AG674" s="24">
        <f t="shared" si="176"/>
        <v>0</v>
      </c>
      <c r="AI674" s="38">
        <f>IF(D674="M",WeightSDS!P$5*$AG674^7+WeightSDS!Q$5*$AG674^6+WeightSDS!R$5*$AG674^5+WeightSDS!S$5*$AG674^4+WeightSDS!T$5*$AG674^3+WeightSDS!U$5*$AG674^2+WeightSDS!V$5*$AG674+WeightSDS!W$5,IF($AG674&lt;186,WeightSDS!P$8*$AG674^7+WeightSDS!Q$8*$AG674^6+WeightSDS!R$8*$AG674^5+WeightSDS!S$8*$AG674^4+WeightSDS!T$8*$AG674^3+WeightSDS!U$8*$AG674^2+WeightSDS!V$8*$AG674+WeightSDS!W$8,WeightSDS!$U$9-WeightSDS!$V$9*($AG674-WeightSDS!$W$9)))</f>
        <v>0.75407122999999998</v>
      </c>
      <c r="AJ674" s="24">
        <f>IF(D674="M",IF($AG674&lt;45,WeightSDS!M$23*$AG674^10+WeightSDS!N$23*$AG674^9+WeightSDS!O$23*$AG674^8+WeightSDS!P$23*$AG674^7+WeightSDS!Q$23*$AG674^6+WeightSDS!R$23*$AG674^5+WeightSDS!S$23*$AG674^4+WeightSDS!T$23*$AG674^3+WeightSDS!U$23*$AG674^2+WeightSDS!V$23*$AG674+WeightSDS!W$23,IF($AG674&lt;153,WeightSDS!M$25*$AG674^10+WeightSDS!N$25*$AG674^9+WeightSDS!O$25*$AG674^8+WeightSDS!P$25*$AG674^7+WeightSDS!Q$25*$AG674^6+WeightSDS!R$25*$AG674^5+WeightSDS!S$25*$AG674^4+WeightSDS!T$25*$AG674^3+WeightSDS!U$25*$AG674^2+WeightSDS!V$25*$AG674+WeightSDS!W$25,WeightSDS!M$27+WeightSDS!N$27/(1+EXP(WeightSDS!O$27+WeightSDS!P$27*$AG674)))),IF($AG674&lt;43.8,WeightSDS!M$29*$AG674^10+WeightSDS!N$29*$AG674^9+WeightSDS!O$29*$AG674^8+WeightSDS!P$29*$AG674^7+WeightSDS!Q$29*$AG674^6+WeightSDS!R$29*$AG674^5+WeightSDS!S$29*$AG674^4+WeightSDS!T$29*$AG674^3+WeightSDS!U$29*$AG674^2+WeightSDS!V$29*$AG674+WeightSDS!W$29-0.010431*(1-$AG674/210),IF($AG674&lt;123,WeightSDS!M$30*$AG674^10+WeightSDS!N$30*$AG674^9+WeightSDS!O$30*$AG674^8+WeightSDS!P$30*$AG674^7+WeightSDS!Q$30*$AG674^6+WeightSDS!R$30*$AG674^5+WeightSDS!S$30*$AG674^4+WeightSDS!T$30*$AG674^3+WeightSDS!U$30*$AG674^2+WeightSDS!V$30*$AG674+WeightSDS!W$30-0.010431*(1-1/$AG674),WeightSDS!M$32+WeightSDS!N$32/(1+EXP(WeightSDS!O$32+WeightSDS!P$32*$AG674))-0.010431*(1-$AG674/210))))</f>
        <v>2.9500001032655536</v>
      </c>
      <c r="AK674" s="24">
        <f>IF(D674="M",IF($AG674&lt;162,WeightSDS!P$12*$AG674^7+WeightSDS!Q$12*$AG674^6+WeightSDS!R$12*$AG674^5+WeightSDS!S$12*$AG674^4+WeightSDS!T$12*$AG674^3+WeightSDS!U$12*$AG674^2+WeightSDS!V$12*$AG674+WeightSDS!W$12,WeightSDS!P$14*$AG674^7+WeightSDS!Q$14*$AG674^6+WeightSDS!R$14*$AG674^5+WeightSDS!S$14*$AG674^4+WeightSDS!T$14*$AG674^3+WeightSDS!U$14*$AG674^2+WeightSDS!V$14*$AG674+WeightSDS!W$14),IF($AG674&lt;156,WeightSDS!O$17*$AG674^8+WeightSDS!P$17*$AG674^7+WeightSDS!Q$17*$AG674^6+WeightSDS!R$17*$AG674^5+WeightSDS!S$17*$AG674^4+WeightSDS!T$17*$AG674^3+WeightSDS!U$17*$AG674^2+WeightSDS!V$17*$AG674+WeightSDS!W$17,IF($AG674&lt;186,WeightSDS!$U$18+(WeightSDS!$V$18-WeightSDS!$U$18)/24*($AG674-186)+WeightSDS!$W$18*(-$AG674+186)^2-0.005,WeightSDS!$U$18+(WeightSDS!$V$18-WeightSDS!$U$18)/24*($AG674-186)-0.005)))</f>
        <v>0.14604529399999999</v>
      </c>
    </row>
    <row r="675" spans="1:37">
      <c r="A675" s="4"/>
      <c r="B675" s="21"/>
      <c r="C675" s="21"/>
      <c r="D675" s="21"/>
      <c r="E675" s="22"/>
      <c r="F675" s="22"/>
      <c r="G675" s="23"/>
      <c r="H675" s="23"/>
      <c r="I675" s="8" t="str">
        <f t="shared" si="162"/>
        <v/>
      </c>
      <c r="J675" s="2" t="str">
        <f t="shared" si="169"/>
        <v/>
      </c>
      <c r="K675" s="2" t="str">
        <f t="shared" si="163"/>
        <v/>
      </c>
      <c r="L675" s="2" t="str">
        <f t="shared" si="170"/>
        <v/>
      </c>
      <c r="M675" s="2" t="str">
        <f t="shared" si="175"/>
        <v/>
      </c>
      <c r="N675" s="2" t="str">
        <f t="shared" si="171"/>
        <v/>
      </c>
      <c r="O675" s="8" t="str">
        <f t="shared" si="172"/>
        <v/>
      </c>
      <c r="P675" s="8" t="str">
        <f t="shared" si="173"/>
        <v/>
      </c>
      <c r="Q675" s="40" t="str">
        <f t="shared" si="164"/>
        <v/>
      </c>
      <c r="R675" s="48" t="str">
        <f t="shared" si="174"/>
        <v/>
      </c>
      <c r="S675" s="8"/>
      <c r="U675" s="35">
        <f t="shared" si="165"/>
        <v>0</v>
      </c>
      <c r="V675" s="24">
        <f t="shared" si="166"/>
        <v>0</v>
      </c>
      <c r="W675" s="41">
        <f t="shared" si="177"/>
        <v>0</v>
      </c>
      <c r="X675" s="31"/>
      <c r="Y675" s="31"/>
      <c r="Z675" s="31"/>
      <c r="AA675" s="25">
        <f t="shared" si="167"/>
        <v>9.0359999999999996</v>
      </c>
      <c r="AB675" s="25">
        <f t="shared" si="168"/>
        <v>-184.49199999999999</v>
      </c>
      <c r="AD675" s="24">
        <f>IF(D675="M",IF(AG675&lt;78,BMILMS!$D$5*AG675^3+BMILMS!$E$5*AG675^2+BMILMS!$F$5*AG675+BMILMS!$G$5,IF(AG675&lt;150,BMILMS!$D$6*AG675^3+BMILMS!$E$6*AG675^2+BMILMS!$F$6*AG675+BMILMS!$G$6,BMILMS!$D$7*AG675^3+BMILMS!$E$7*AG675^2+BMILMS!$F$7*AG675+BMILMS!$G$7)),IF(AG675&lt;69,BMILMS!$D$9*AG675^3+BMILMS!$E$9*AG675^2+BMILMS!$F$9*AG675+BMILMS!$G$9,IF(AG675&lt;150,BMILMS!$D$10*AG675^3+BMILMS!$E$10*AG675^2+BMILMS!$F$10*AG675+BMILMS!$G$10,BMILMS!$D$11*AG675^3+BMILMS!$E$11*AG675^2+BMILMS!$F$11*AG675+BMILMS!$G$11)))</f>
        <v>0.79584630099999998</v>
      </c>
      <c r="AE675" s="24">
        <f>IF(D675="M",(IF(AG675&lt;2.5,BMILMS!$D$21*AG675^3+BMILMS!$E$21*AG675^2+BMILMS!$F$21*AG675+BMILMS!$G$21,IF(AG675&lt;9.5,BMILMS!$D$22*AG675^3+BMILMS!$E$22*AG675^2+BMILMS!$F$22*AG675+BMILMS!$G$22,IF(AG675&lt;26.75,BMILMS!$D$23*AG675^3+BMILMS!$E$23*AG675^2+BMILMS!$F$23*AG675+BMILMS!$G$23,IF(AG675&lt;90,BMILMS!$D$24*AG675^3+BMILMS!$E$24*AG675^2+BMILMS!$F$24*AG675+BMILMS!$G$24,BMILMS!$D$25*AG675^3+BMILMS!$E$25*AG675^2+BMILMS!$F$25*AG675+BMILMS!$G$25))))),(IF(AG675&lt;2.5,BMILMS!$D$27*AG675^3+BMILMS!$E$27*AG675^2+BMILMS!$F$27*AG675+BMILMS!$G$27,IF(AG675&lt;9.5,BMILMS!$D$28*AG675^3+BMILMS!$E$28*AG675^2+BMILMS!$F$28*AG675+BMILMS!$G$28,IF(AG675&lt;26.75,BMILMS!$D$29*AG675^3+BMILMS!$E$29*AG675^2+BMILMS!$F$29*AG675+BMILMS!$G$29,IF(AG675&lt;90,BMILMS!$D$30*AG675^3+BMILMS!$E$30*AG675^2+BMILMS!$F$30*AG675+BMILMS!$G$30,IF(AG675&lt;150,BMILMS!$D$31*AG675^3+BMILMS!$E$31*AG675^2+BMILMS!$F$31*AG675+BMILMS!$G$31,BMILMS!$D$32*AG675^3+BMILMS!$E$32*AG675^2+BMILMS!$F$32*AG675+BMILMS!$G$32)))))))</f>
        <v>12.568967990000001</v>
      </c>
      <c r="AF675" s="24">
        <f>IF(D675="M",(IF(AG675&lt;90,BMILMS!$D$14*AG675^3+BMILMS!$E$14*AG675^2+BMILMS!$F$14*AG675+BMILMS!$G$14,BMILMS!$D$15*AG675^3+BMILMS!$E$15*AG675^2+BMILMS!$F$15*AG675+BMILMS!$G$15)),(IF(AG675&lt;90,BMILMS!$D$17*AG675^3+BMILMS!$E$17*AG675^2+BMILMS!$F$17*AG675+BMILMS!$G$17,BMILMS!$D$18*AG675^3+BMILMS!$E$18*AG675^2+BMILMS!$F$18*AG675+BMILMS!$G$18)))</f>
        <v>8.8969350000000003E-2</v>
      </c>
      <c r="AG675" s="24">
        <f t="shared" si="176"/>
        <v>0</v>
      </c>
      <c r="AI675" s="38">
        <f>IF(D675="M",WeightSDS!P$5*$AG675^7+WeightSDS!Q$5*$AG675^6+WeightSDS!R$5*$AG675^5+WeightSDS!S$5*$AG675^4+WeightSDS!T$5*$AG675^3+WeightSDS!U$5*$AG675^2+WeightSDS!V$5*$AG675+WeightSDS!W$5,IF($AG675&lt;186,WeightSDS!P$8*$AG675^7+WeightSDS!Q$8*$AG675^6+WeightSDS!R$8*$AG675^5+WeightSDS!S$8*$AG675^4+WeightSDS!T$8*$AG675^3+WeightSDS!U$8*$AG675^2+WeightSDS!V$8*$AG675+WeightSDS!W$8,WeightSDS!$U$9-WeightSDS!$V$9*($AG675-WeightSDS!$W$9)))</f>
        <v>0.75407122999999998</v>
      </c>
      <c r="AJ675" s="24">
        <f>IF(D675="M",IF($AG675&lt;45,WeightSDS!M$23*$AG675^10+WeightSDS!N$23*$AG675^9+WeightSDS!O$23*$AG675^8+WeightSDS!P$23*$AG675^7+WeightSDS!Q$23*$AG675^6+WeightSDS!R$23*$AG675^5+WeightSDS!S$23*$AG675^4+WeightSDS!T$23*$AG675^3+WeightSDS!U$23*$AG675^2+WeightSDS!V$23*$AG675+WeightSDS!W$23,IF($AG675&lt;153,WeightSDS!M$25*$AG675^10+WeightSDS!N$25*$AG675^9+WeightSDS!O$25*$AG675^8+WeightSDS!P$25*$AG675^7+WeightSDS!Q$25*$AG675^6+WeightSDS!R$25*$AG675^5+WeightSDS!S$25*$AG675^4+WeightSDS!T$25*$AG675^3+WeightSDS!U$25*$AG675^2+WeightSDS!V$25*$AG675+WeightSDS!W$25,WeightSDS!M$27+WeightSDS!N$27/(1+EXP(WeightSDS!O$27+WeightSDS!P$27*$AG675)))),IF($AG675&lt;43.8,WeightSDS!M$29*$AG675^10+WeightSDS!N$29*$AG675^9+WeightSDS!O$29*$AG675^8+WeightSDS!P$29*$AG675^7+WeightSDS!Q$29*$AG675^6+WeightSDS!R$29*$AG675^5+WeightSDS!S$29*$AG675^4+WeightSDS!T$29*$AG675^3+WeightSDS!U$29*$AG675^2+WeightSDS!V$29*$AG675+WeightSDS!W$29-0.010431*(1-$AG675/210),IF($AG675&lt;123,WeightSDS!M$30*$AG675^10+WeightSDS!N$30*$AG675^9+WeightSDS!O$30*$AG675^8+WeightSDS!P$30*$AG675^7+WeightSDS!Q$30*$AG675^6+WeightSDS!R$30*$AG675^5+WeightSDS!S$30*$AG675^4+WeightSDS!T$30*$AG675^3+WeightSDS!U$30*$AG675^2+WeightSDS!V$30*$AG675+WeightSDS!W$30-0.010431*(1-1/$AG675),WeightSDS!M$32+WeightSDS!N$32/(1+EXP(WeightSDS!O$32+WeightSDS!P$32*$AG675))-0.010431*(1-$AG675/210))))</f>
        <v>2.9500001032655536</v>
      </c>
      <c r="AK675" s="24">
        <f>IF(D675="M",IF($AG675&lt;162,WeightSDS!P$12*$AG675^7+WeightSDS!Q$12*$AG675^6+WeightSDS!R$12*$AG675^5+WeightSDS!S$12*$AG675^4+WeightSDS!T$12*$AG675^3+WeightSDS!U$12*$AG675^2+WeightSDS!V$12*$AG675+WeightSDS!W$12,WeightSDS!P$14*$AG675^7+WeightSDS!Q$14*$AG675^6+WeightSDS!R$14*$AG675^5+WeightSDS!S$14*$AG675^4+WeightSDS!T$14*$AG675^3+WeightSDS!U$14*$AG675^2+WeightSDS!V$14*$AG675+WeightSDS!W$14),IF($AG675&lt;156,WeightSDS!O$17*$AG675^8+WeightSDS!P$17*$AG675^7+WeightSDS!Q$17*$AG675^6+WeightSDS!R$17*$AG675^5+WeightSDS!S$17*$AG675^4+WeightSDS!T$17*$AG675^3+WeightSDS!U$17*$AG675^2+WeightSDS!V$17*$AG675+WeightSDS!W$17,IF($AG675&lt;186,WeightSDS!$U$18+(WeightSDS!$V$18-WeightSDS!$U$18)/24*($AG675-186)+WeightSDS!$W$18*(-$AG675+186)^2-0.005,WeightSDS!$U$18+(WeightSDS!$V$18-WeightSDS!$U$18)/24*($AG675-186)-0.005)))</f>
        <v>0.14604529399999999</v>
      </c>
    </row>
    <row r="676" spans="1:37">
      <c r="A676" s="4"/>
      <c r="B676" s="21"/>
      <c r="C676" s="21"/>
      <c r="D676" s="21"/>
      <c r="E676" s="22"/>
      <c r="F676" s="22"/>
      <c r="G676" s="23"/>
      <c r="H676" s="23"/>
      <c r="I676" s="8" t="str">
        <f t="shared" si="162"/>
        <v/>
      </c>
      <c r="J676" s="2" t="str">
        <f t="shared" si="169"/>
        <v/>
      </c>
      <c r="K676" s="2" t="str">
        <f t="shared" si="163"/>
        <v/>
      </c>
      <c r="L676" s="2" t="str">
        <f t="shared" si="170"/>
        <v/>
      </c>
      <c r="M676" s="2" t="str">
        <f t="shared" si="175"/>
        <v/>
      </c>
      <c r="N676" s="2" t="str">
        <f t="shared" si="171"/>
        <v/>
      </c>
      <c r="O676" s="8" t="str">
        <f t="shared" si="172"/>
        <v/>
      </c>
      <c r="P676" s="8" t="str">
        <f t="shared" si="173"/>
        <v/>
      </c>
      <c r="Q676" s="40" t="str">
        <f t="shared" si="164"/>
        <v/>
      </c>
      <c r="R676" s="48" t="str">
        <f t="shared" si="174"/>
        <v/>
      </c>
      <c r="S676" s="8"/>
      <c r="U676" s="35">
        <f t="shared" si="165"/>
        <v>0</v>
      </c>
      <c r="V676" s="24">
        <f t="shared" si="166"/>
        <v>0</v>
      </c>
      <c r="W676" s="41">
        <f t="shared" si="177"/>
        <v>0</v>
      </c>
      <c r="X676" s="31"/>
      <c r="Y676" s="31"/>
      <c r="Z676" s="31"/>
      <c r="AA676" s="25">
        <f t="shared" si="167"/>
        <v>9.0359999999999996</v>
      </c>
      <c r="AB676" s="25">
        <f t="shared" si="168"/>
        <v>-184.49199999999999</v>
      </c>
      <c r="AD676" s="24">
        <f>IF(D676="M",IF(AG676&lt;78,BMILMS!$D$5*AG676^3+BMILMS!$E$5*AG676^2+BMILMS!$F$5*AG676+BMILMS!$G$5,IF(AG676&lt;150,BMILMS!$D$6*AG676^3+BMILMS!$E$6*AG676^2+BMILMS!$F$6*AG676+BMILMS!$G$6,BMILMS!$D$7*AG676^3+BMILMS!$E$7*AG676^2+BMILMS!$F$7*AG676+BMILMS!$G$7)),IF(AG676&lt;69,BMILMS!$D$9*AG676^3+BMILMS!$E$9*AG676^2+BMILMS!$F$9*AG676+BMILMS!$G$9,IF(AG676&lt;150,BMILMS!$D$10*AG676^3+BMILMS!$E$10*AG676^2+BMILMS!$F$10*AG676+BMILMS!$G$10,BMILMS!$D$11*AG676^3+BMILMS!$E$11*AG676^2+BMILMS!$F$11*AG676+BMILMS!$G$11)))</f>
        <v>0.79584630099999998</v>
      </c>
      <c r="AE676" s="24">
        <f>IF(D676="M",(IF(AG676&lt;2.5,BMILMS!$D$21*AG676^3+BMILMS!$E$21*AG676^2+BMILMS!$F$21*AG676+BMILMS!$G$21,IF(AG676&lt;9.5,BMILMS!$D$22*AG676^3+BMILMS!$E$22*AG676^2+BMILMS!$F$22*AG676+BMILMS!$G$22,IF(AG676&lt;26.75,BMILMS!$D$23*AG676^3+BMILMS!$E$23*AG676^2+BMILMS!$F$23*AG676+BMILMS!$G$23,IF(AG676&lt;90,BMILMS!$D$24*AG676^3+BMILMS!$E$24*AG676^2+BMILMS!$F$24*AG676+BMILMS!$G$24,BMILMS!$D$25*AG676^3+BMILMS!$E$25*AG676^2+BMILMS!$F$25*AG676+BMILMS!$G$25))))),(IF(AG676&lt;2.5,BMILMS!$D$27*AG676^3+BMILMS!$E$27*AG676^2+BMILMS!$F$27*AG676+BMILMS!$G$27,IF(AG676&lt;9.5,BMILMS!$D$28*AG676^3+BMILMS!$E$28*AG676^2+BMILMS!$F$28*AG676+BMILMS!$G$28,IF(AG676&lt;26.75,BMILMS!$D$29*AG676^3+BMILMS!$E$29*AG676^2+BMILMS!$F$29*AG676+BMILMS!$G$29,IF(AG676&lt;90,BMILMS!$D$30*AG676^3+BMILMS!$E$30*AG676^2+BMILMS!$F$30*AG676+BMILMS!$G$30,IF(AG676&lt;150,BMILMS!$D$31*AG676^3+BMILMS!$E$31*AG676^2+BMILMS!$F$31*AG676+BMILMS!$G$31,BMILMS!$D$32*AG676^3+BMILMS!$E$32*AG676^2+BMILMS!$F$32*AG676+BMILMS!$G$32)))))))</f>
        <v>12.568967990000001</v>
      </c>
      <c r="AF676" s="24">
        <f>IF(D676="M",(IF(AG676&lt;90,BMILMS!$D$14*AG676^3+BMILMS!$E$14*AG676^2+BMILMS!$F$14*AG676+BMILMS!$G$14,BMILMS!$D$15*AG676^3+BMILMS!$E$15*AG676^2+BMILMS!$F$15*AG676+BMILMS!$G$15)),(IF(AG676&lt;90,BMILMS!$D$17*AG676^3+BMILMS!$E$17*AG676^2+BMILMS!$F$17*AG676+BMILMS!$G$17,BMILMS!$D$18*AG676^3+BMILMS!$E$18*AG676^2+BMILMS!$F$18*AG676+BMILMS!$G$18)))</f>
        <v>8.8969350000000003E-2</v>
      </c>
      <c r="AG676" s="24">
        <f t="shared" si="176"/>
        <v>0</v>
      </c>
      <c r="AI676" s="38">
        <f>IF(D676="M",WeightSDS!P$5*$AG676^7+WeightSDS!Q$5*$AG676^6+WeightSDS!R$5*$AG676^5+WeightSDS!S$5*$AG676^4+WeightSDS!T$5*$AG676^3+WeightSDS!U$5*$AG676^2+WeightSDS!V$5*$AG676+WeightSDS!W$5,IF($AG676&lt;186,WeightSDS!P$8*$AG676^7+WeightSDS!Q$8*$AG676^6+WeightSDS!R$8*$AG676^5+WeightSDS!S$8*$AG676^4+WeightSDS!T$8*$AG676^3+WeightSDS!U$8*$AG676^2+WeightSDS!V$8*$AG676+WeightSDS!W$8,WeightSDS!$U$9-WeightSDS!$V$9*($AG676-WeightSDS!$W$9)))</f>
        <v>0.75407122999999998</v>
      </c>
      <c r="AJ676" s="24">
        <f>IF(D676="M",IF($AG676&lt;45,WeightSDS!M$23*$AG676^10+WeightSDS!N$23*$AG676^9+WeightSDS!O$23*$AG676^8+WeightSDS!P$23*$AG676^7+WeightSDS!Q$23*$AG676^6+WeightSDS!R$23*$AG676^5+WeightSDS!S$23*$AG676^4+WeightSDS!T$23*$AG676^3+WeightSDS!U$23*$AG676^2+WeightSDS!V$23*$AG676+WeightSDS!W$23,IF($AG676&lt;153,WeightSDS!M$25*$AG676^10+WeightSDS!N$25*$AG676^9+WeightSDS!O$25*$AG676^8+WeightSDS!P$25*$AG676^7+WeightSDS!Q$25*$AG676^6+WeightSDS!R$25*$AG676^5+WeightSDS!S$25*$AG676^4+WeightSDS!T$25*$AG676^3+WeightSDS!U$25*$AG676^2+WeightSDS!V$25*$AG676+WeightSDS!W$25,WeightSDS!M$27+WeightSDS!N$27/(1+EXP(WeightSDS!O$27+WeightSDS!P$27*$AG676)))),IF($AG676&lt;43.8,WeightSDS!M$29*$AG676^10+WeightSDS!N$29*$AG676^9+WeightSDS!O$29*$AG676^8+WeightSDS!P$29*$AG676^7+WeightSDS!Q$29*$AG676^6+WeightSDS!R$29*$AG676^5+WeightSDS!S$29*$AG676^4+WeightSDS!T$29*$AG676^3+WeightSDS!U$29*$AG676^2+WeightSDS!V$29*$AG676+WeightSDS!W$29-0.010431*(1-$AG676/210),IF($AG676&lt;123,WeightSDS!M$30*$AG676^10+WeightSDS!N$30*$AG676^9+WeightSDS!O$30*$AG676^8+WeightSDS!P$30*$AG676^7+WeightSDS!Q$30*$AG676^6+WeightSDS!R$30*$AG676^5+WeightSDS!S$30*$AG676^4+WeightSDS!T$30*$AG676^3+WeightSDS!U$30*$AG676^2+WeightSDS!V$30*$AG676+WeightSDS!W$30-0.010431*(1-1/$AG676),WeightSDS!M$32+WeightSDS!N$32/(1+EXP(WeightSDS!O$32+WeightSDS!P$32*$AG676))-0.010431*(1-$AG676/210))))</f>
        <v>2.9500001032655536</v>
      </c>
      <c r="AK676" s="24">
        <f>IF(D676="M",IF($AG676&lt;162,WeightSDS!P$12*$AG676^7+WeightSDS!Q$12*$AG676^6+WeightSDS!R$12*$AG676^5+WeightSDS!S$12*$AG676^4+WeightSDS!T$12*$AG676^3+WeightSDS!U$12*$AG676^2+WeightSDS!V$12*$AG676+WeightSDS!W$12,WeightSDS!P$14*$AG676^7+WeightSDS!Q$14*$AG676^6+WeightSDS!R$14*$AG676^5+WeightSDS!S$14*$AG676^4+WeightSDS!T$14*$AG676^3+WeightSDS!U$14*$AG676^2+WeightSDS!V$14*$AG676+WeightSDS!W$14),IF($AG676&lt;156,WeightSDS!O$17*$AG676^8+WeightSDS!P$17*$AG676^7+WeightSDS!Q$17*$AG676^6+WeightSDS!R$17*$AG676^5+WeightSDS!S$17*$AG676^4+WeightSDS!T$17*$AG676^3+WeightSDS!U$17*$AG676^2+WeightSDS!V$17*$AG676+WeightSDS!W$17,IF($AG676&lt;186,WeightSDS!$U$18+(WeightSDS!$V$18-WeightSDS!$U$18)/24*($AG676-186)+WeightSDS!$W$18*(-$AG676+186)^2-0.005,WeightSDS!$U$18+(WeightSDS!$V$18-WeightSDS!$U$18)/24*($AG676-186)-0.005)))</f>
        <v>0.14604529399999999</v>
      </c>
    </row>
    <row r="677" spans="1:37">
      <c r="A677" s="4"/>
      <c r="B677" s="21"/>
      <c r="C677" s="21"/>
      <c r="D677" s="21"/>
      <c r="E677" s="22"/>
      <c r="F677" s="22"/>
      <c r="G677" s="23"/>
      <c r="H677" s="23"/>
      <c r="I677" s="8" t="str">
        <f t="shared" si="162"/>
        <v/>
      </c>
      <c r="J677" s="2" t="str">
        <f t="shared" si="169"/>
        <v/>
      </c>
      <c r="K677" s="2" t="str">
        <f t="shared" si="163"/>
        <v/>
      </c>
      <c r="L677" s="2" t="str">
        <f t="shared" si="170"/>
        <v/>
      </c>
      <c r="M677" s="2" t="str">
        <f t="shared" si="175"/>
        <v/>
      </c>
      <c r="N677" s="2" t="str">
        <f t="shared" si="171"/>
        <v/>
      </c>
      <c r="O677" s="8" t="str">
        <f t="shared" si="172"/>
        <v/>
      </c>
      <c r="P677" s="8" t="str">
        <f t="shared" si="173"/>
        <v/>
      </c>
      <c r="Q677" s="40" t="str">
        <f t="shared" si="164"/>
        <v/>
      </c>
      <c r="R677" s="48" t="str">
        <f t="shared" si="174"/>
        <v/>
      </c>
      <c r="S677" s="8"/>
      <c r="U677" s="35">
        <f t="shared" si="165"/>
        <v>0</v>
      </c>
      <c r="V677" s="24">
        <f t="shared" si="166"/>
        <v>0</v>
      </c>
      <c r="W677" s="41">
        <f t="shared" si="177"/>
        <v>0</v>
      </c>
      <c r="X677" s="31"/>
      <c r="Y677" s="31"/>
      <c r="Z677" s="31"/>
      <c r="AA677" s="25">
        <f t="shared" si="167"/>
        <v>9.0359999999999996</v>
      </c>
      <c r="AB677" s="25">
        <f t="shared" si="168"/>
        <v>-184.49199999999999</v>
      </c>
      <c r="AD677" s="24">
        <f>IF(D677="M",IF(AG677&lt;78,BMILMS!$D$5*AG677^3+BMILMS!$E$5*AG677^2+BMILMS!$F$5*AG677+BMILMS!$G$5,IF(AG677&lt;150,BMILMS!$D$6*AG677^3+BMILMS!$E$6*AG677^2+BMILMS!$F$6*AG677+BMILMS!$G$6,BMILMS!$D$7*AG677^3+BMILMS!$E$7*AG677^2+BMILMS!$F$7*AG677+BMILMS!$G$7)),IF(AG677&lt;69,BMILMS!$D$9*AG677^3+BMILMS!$E$9*AG677^2+BMILMS!$F$9*AG677+BMILMS!$G$9,IF(AG677&lt;150,BMILMS!$D$10*AG677^3+BMILMS!$E$10*AG677^2+BMILMS!$F$10*AG677+BMILMS!$G$10,BMILMS!$D$11*AG677^3+BMILMS!$E$11*AG677^2+BMILMS!$F$11*AG677+BMILMS!$G$11)))</f>
        <v>0.79584630099999998</v>
      </c>
      <c r="AE677" s="24">
        <f>IF(D677="M",(IF(AG677&lt;2.5,BMILMS!$D$21*AG677^3+BMILMS!$E$21*AG677^2+BMILMS!$F$21*AG677+BMILMS!$G$21,IF(AG677&lt;9.5,BMILMS!$D$22*AG677^3+BMILMS!$E$22*AG677^2+BMILMS!$F$22*AG677+BMILMS!$G$22,IF(AG677&lt;26.75,BMILMS!$D$23*AG677^3+BMILMS!$E$23*AG677^2+BMILMS!$F$23*AG677+BMILMS!$G$23,IF(AG677&lt;90,BMILMS!$D$24*AG677^3+BMILMS!$E$24*AG677^2+BMILMS!$F$24*AG677+BMILMS!$G$24,BMILMS!$D$25*AG677^3+BMILMS!$E$25*AG677^2+BMILMS!$F$25*AG677+BMILMS!$G$25))))),(IF(AG677&lt;2.5,BMILMS!$D$27*AG677^3+BMILMS!$E$27*AG677^2+BMILMS!$F$27*AG677+BMILMS!$G$27,IF(AG677&lt;9.5,BMILMS!$D$28*AG677^3+BMILMS!$E$28*AG677^2+BMILMS!$F$28*AG677+BMILMS!$G$28,IF(AG677&lt;26.75,BMILMS!$D$29*AG677^3+BMILMS!$E$29*AG677^2+BMILMS!$F$29*AG677+BMILMS!$G$29,IF(AG677&lt;90,BMILMS!$D$30*AG677^3+BMILMS!$E$30*AG677^2+BMILMS!$F$30*AG677+BMILMS!$G$30,IF(AG677&lt;150,BMILMS!$D$31*AG677^3+BMILMS!$E$31*AG677^2+BMILMS!$F$31*AG677+BMILMS!$G$31,BMILMS!$D$32*AG677^3+BMILMS!$E$32*AG677^2+BMILMS!$F$32*AG677+BMILMS!$G$32)))))))</f>
        <v>12.568967990000001</v>
      </c>
      <c r="AF677" s="24">
        <f>IF(D677="M",(IF(AG677&lt;90,BMILMS!$D$14*AG677^3+BMILMS!$E$14*AG677^2+BMILMS!$F$14*AG677+BMILMS!$G$14,BMILMS!$D$15*AG677^3+BMILMS!$E$15*AG677^2+BMILMS!$F$15*AG677+BMILMS!$G$15)),(IF(AG677&lt;90,BMILMS!$D$17*AG677^3+BMILMS!$E$17*AG677^2+BMILMS!$F$17*AG677+BMILMS!$G$17,BMILMS!$D$18*AG677^3+BMILMS!$E$18*AG677^2+BMILMS!$F$18*AG677+BMILMS!$G$18)))</f>
        <v>8.8969350000000003E-2</v>
      </c>
      <c r="AG677" s="24">
        <f t="shared" si="176"/>
        <v>0</v>
      </c>
      <c r="AI677" s="38">
        <f>IF(D677="M",WeightSDS!P$5*$AG677^7+WeightSDS!Q$5*$AG677^6+WeightSDS!R$5*$AG677^5+WeightSDS!S$5*$AG677^4+WeightSDS!T$5*$AG677^3+WeightSDS!U$5*$AG677^2+WeightSDS!V$5*$AG677+WeightSDS!W$5,IF($AG677&lt;186,WeightSDS!P$8*$AG677^7+WeightSDS!Q$8*$AG677^6+WeightSDS!R$8*$AG677^5+WeightSDS!S$8*$AG677^4+WeightSDS!T$8*$AG677^3+WeightSDS!U$8*$AG677^2+WeightSDS!V$8*$AG677+WeightSDS!W$8,WeightSDS!$U$9-WeightSDS!$V$9*($AG677-WeightSDS!$W$9)))</f>
        <v>0.75407122999999998</v>
      </c>
      <c r="AJ677" s="24">
        <f>IF(D677="M",IF($AG677&lt;45,WeightSDS!M$23*$AG677^10+WeightSDS!N$23*$AG677^9+WeightSDS!O$23*$AG677^8+WeightSDS!P$23*$AG677^7+WeightSDS!Q$23*$AG677^6+WeightSDS!R$23*$AG677^5+WeightSDS!S$23*$AG677^4+WeightSDS!T$23*$AG677^3+WeightSDS!U$23*$AG677^2+WeightSDS!V$23*$AG677+WeightSDS!W$23,IF($AG677&lt;153,WeightSDS!M$25*$AG677^10+WeightSDS!N$25*$AG677^9+WeightSDS!O$25*$AG677^8+WeightSDS!P$25*$AG677^7+WeightSDS!Q$25*$AG677^6+WeightSDS!R$25*$AG677^5+WeightSDS!S$25*$AG677^4+WeightSDS!T$25*$AG677^3+WeightSDS!U$25*$AG677^2+WeightSDS!V$25*$AG677+WeightSDS!W$25,WeightSDS!M$27+WeightSDS!N$27/(1+EXP(WeightSDS!O$27+WeightSDS!P$27*$AG677)))),IF($AG677&lt;43.8,WeightSDS!M$29*$AG677^10+WeightSDS!N$29*$AG677^9+WeightSDS!O$29*$AG677^8+WeightSDS!P$29*$AG677^7+WeightSDS!Q$29*$AG677^6+WeightSDS!R$29*$AG677^5+WeightSDS!S$29*$AG677^4+WeightSDS!T$29*$AG677^3+WeightSDS!U$29*$AG677^2+WeightSDS!V$29*$AG677+WeightSDS!W$29-0.010431*(1-$AG677/210),IF($AG677&lt;123,WeightSDS!M$30*$AG677^10+WeightSDS!N$30*$AG677^9+WeightSDS!O$30*$AG677^8+WeightSDS!P$30*$AG677^7+WeightSDS!Q$30*$AG677^6+WeightSDS!R$30*$AG677^5+WeightSDS!S$30*$AG677^4+WeightSDS!T$30*$AG677^3+WeightSDS!U$30*$AG677^2+WeightSDS!V$30*$AG677+WeightSDS!W$30-0.010431*(1-1/$AG677),WeightSDS!M$32+WeightSDS!N$32/(1+EXP(WeightSDS!O$32+WeightSDS!P$32*$AG677))-0.010431*(1-$AG677/210))))</f>
        <v>2.9500001032655536</v>
      </c>
      <c r="AK677" s="24">
        <f>IF(D677="M",IF($AG677&lt;162,WeightSDS!P$12*$AG677^7+WeightSDS!Q$12*$AG677^6+WeightSDS!R$12*$AG677^5+WeightSDS!S$12*$AG677^4+WeightSDS!T$12*$AG677^3+WeightSDS!U$12*$AG677^2+WeightSDS!V$12*$AG677+WeightSDS!W$12,WeightSDS!P$14*$AG677^7+WeightSDS!Q$14*$AG677^6+WeightSDS!R$14*$AG677^5+WeightSDS!S$14*$AG677^4+WeightSDS!T$14*$AG677^3+WeightSDS!U$14*$AG677^2+WeightSDS!V$14*$AG677+WeightSDS!W$14),IF($AG677&lt;156,WeightSDS!O$17*$AG677^8+WeightSDS!P$17*$AG677^7+WeightSDS!Q$17*$AG677^6+WeightSDS!R$17*$AG677^5+WeightSDS!S$17*$AG677^4+WeightSDS!T$17*$AG677^3+WeightSDS!U$17*$AG677^2+WeightSDS!V$17*$AG677+WeightSDS!W$17,IF($AG677&lt;186,WeightSDS!$U$18+(WeightSDS!$V$18-WeightSDS!$U$18)/24*($AG677-186)+WeightSDS!$W$18*(-$AG677+186)^2-0.005,WeightSDS!$U$18+(WeightSDS!$V$18-WeightSDS!$U$18)/24*($AG677-186)-0.005)))</f>
        <v>0.14604529399999999</v>
      </c>
    </row>
    <row r="678" spans="1:37">
      <c r="A678" s="4"/>
      <c r="B678" s="21"/>
      <c r="C678" s="21"/>
      <c r="D678" s="21"/>
      <c r="E678" s="22"/>
      <c r="F678" s="22"/>
      <c r="G678" s="23"/>
      <c r="H678" s="23"/>
      <c r="I678" s="8" t="str">
        <f t="shared" si="162"/>
        <v/>
      </c>
      <c r="J678" s="2" t="str">
        <f t="shared" si="169"/>
        <v/>
      </c>
      <c r="K678" s="2" t="str">
        <f t="shared" si="163"/>
        <v/>
      </c>
      <c r="L678" s="2" t="str">
        <f t="shared" si="170"/>
        <v/>
      </c>
      <c r="M678" s="2" t="str">
        <f t="shared" si="175"/>
        <v/>
      </c>
      <c r="N678" s="2" t="str">
        <f t="shared" si="171"/>
        <v/>
      </c>
      <c r="O678" s="8" t="str">
        <f t="shared" si="172"/>
        <v/>
      </c>
      <c r="P678" s="8" t="str">
        <f t="shared" si="173"/>
        <v/>
      </c>
      <c r="Q678" s="40" t="str">
        <f t="shared" si="164"/>
        <v/>
      </c>
      <c r="R678" s="48" t="str">
        <f t="shared" si="174"/>
        <v/>
      </c>
      <c r="S678" s="8"/>
      <c r="U678" s="35">
        <f t="shared" si="165"/>
        <v>0</v>
      </c>
      <c r="V678" s="24">
        <f t="shared" si="166"/>
        <v>0</v>
      </c>
      <c r="W678" s="41">
        <f t="shared" si="177"/>
        <v>0</v>
      </c>
      <c r="X678" s="31"/>
      <c r="Y678" s="31"/>
      <c r="Z678" s="31"/>
      <c r="AA678" s="25">
        <f t="shared" si="167"/>
        <v>9.0359999999999996</v>
      </c>
      <c r="AB678" s="25">
        <f t="shared" si="168"/>
        <v>-184.49199999999999</v>
      </c>
      <c r="AD678" s="24">
        <f>IF(D678="M",IF(AG678&lt;78,BMILMS!$D$5*AG678^3+BMILMS!$E$5*AG678^2+BMILMS!$F$5*AG678+BMILMS!$G$5,IF(AG678&lt;150,BMILMS!$D$6*AG678^3+BMILMS!$E$6*AG678^2+BMILMS!$F$6*AG678+BMILMS!$G$6,BMILMS!$D$7*AG678^3+BMILMS!$E$7*AG678^2+BMILMS!$F$7*AG678+BMILMS!$G$7)),IF(AG678&lt;69,BMILMS!$D$9*AG678^3+BMILMS!$E$9*AG678^2+BMILMS!$F$9*AG678+BMILMS!$G$9,IF(AG678&lt;150,BMILMS!$D$10*AG678^3+BMILMS!$E$10*AG678^2+BMILMS!$F$10*AG678+BMILMS!$G$10,BMILMS!$D$11*AG678^3+BMILMS!$E$11*AG678^2+BMILMS!$F$11*AG678+BMILMS!$G$11)))</f>
        <v>0.79584630099999998</v>
      </c>
      <c r="AE678" s="24">
        <f>IF(D678="M",(IF(AG678&lt;2.5,BMILMS!$D$21*AG678^3+BMILMS!$E$21*AG678^2+BMILMS!$F$21*AG678+BMILMS!$G$21,IF(AG678&lt;9.5,BMILMS!$D$22*AG678^3+BMILMS!$E$22*AG678^2+BMILMS!$F$22*AG678+BMILMS!$G$22,IF(AG678&lt;26.75,BMILMS!$D$23*AG678^3+BMILMS!$E$23*AG678^2+BMILMS!$F$23*AG678+BMILMS!$G$23,IF(AG678&lt;90,BMILMS!$D$24*AG678^3+BMILMS!$E$24*AG678^2+BMILMS!$F$24*AG678+BMILMS!$G$24,BMILMS!$D$25*AG678^3+BMILMS!$E$25*AG678^2+BMILMS!$F$25*AG678+BMILMS!$G$25))))),(IF(AG678&lt;2.5,BMILMS!$D$27*AG678^3+BMILMS!$E$27*AG678^2+BMILMS!$F$27*AG678+BMILMS!$G$27,IF(AG678&lt;9.5,BMILMS!$D$28*AG678^3+BMILMS!$E$28*AG678^2+BMILMS!$F$28*AG678+BMILMS!$G$28,IF(AG678&lt;26.75,BMILMS!$D$29*AG678^3+BMILMS!$E$29*AG678^2+BMILMS!$F$29*AG678+BMILMS!$G$29,IF(AG678&lt;90,BMILMS!$D$30*AG678^3+BMILMS!$E$30*AG678^2+BMILMS!$F$30*AG678+BMILMS!$G$30,IF(AG678&lt;150,BMILMS!$D$31*AG678^3+BMILMS!$E$31*AG678^2+BMILMS!$F$31*AG678+BMILMS!$G$31,BMILMS!$D$32*AG678^3+BMILMS!$E$32*AG678^2+BMILMS!$F$32*AG678+BMILMS!$G$32)))))))</f>
        <v>12.568967990000001</v>
      </c>
      <c r="AF678" s="24">
        <f>IF(D678="M",(IF(AG678&lt;90,BMILMS!$D$14*AG678^3+BMILMS!$E$14*AG678^2+BMILMS!$F$14*AG678+BMILMS!$G$14,BMILMS!$D$15*AG678^3+BMILMS!$E$15*AG678^2+BMILMS!$F$15*AG678+BMILMS!$G$15)),(IF(AG678&lt;90,BMILMS!$D$17*AG678^3+BMILMS!$E$17*AG678^2+BMILMS!$F$17*AG678+BMILMS!$G$17,BMILMS!$D$18*AG678^3+BMILMS!$E$18*AG678^2+BMILMS!$F$18*AG678+BMILMS!$G$18)))</f>
        <v>8.8969350000000003E-2</v>
      </c>
      <c r="AG678" s="24">
        <f t="shared" si="176"/>
        <v>0</v>
      </c>
      <c r="AI678" s="38">
        <f>IF(D678="M",WeightSDS!P$5*$AG678^7+WeightSDS!Q$5*$AG678^6+WeightSDS!R$5*$AG678^5+WeightSDS!S$5*$AG678^4+WeightSDS!T$5*$AG678^3+WeightSDS!U$5*$AG678^2+WeightSDS!V$5*$AG678+WeightSDS!W$5,IF($AG678&lt;186,WeightSDS!P$8*$AG678^7+WeightSDS!Q$8*$AG678^6+WeightSDS!R$8*$AG678^5+WeightSDS!S$8*$AG678^4+WeightSDS!T$8*$AG678^3+WeightSDS!U$8*$AG678^2+WeightSDS!V$8*$AG678+WeightSDS!W$8,WeightSDS!$U$9-WeightSDS!$V$9*($AG678-WeightSDS!$W$9)))</f>
        <v>0.75407122999999998</v>
      </c>
      <c r="AJ678" s="24">
        <f>IF(D678="M",IF($AG678&lt;45,WeightSDS!M$23*$AG678^10+WeightSDS!N$23*$AG678^9+WeightSDS!O$23*$AG678^8+WeightSDS!P$23*$AG678^7+WeightSDS!Q$23*$AG678^6+WeightSDS!R$23*$AG678^5+WeightSDS!S$23*$AG678^4+WeightSDS!T$23*$AG678^3+WeightSDS!U$23*$AG678^2+WeightSDS!V$23*$AG678+WeightSDS!W$23,IF($AG678&lt;153,WeightSDS!M$25*$AG678^10+WeightSDS!N$25*$AG678^9+WeightSDS!O$25*$AG678^8+WeightSDS!P$25*$AG678^7+WeightSDS!Q$25*$AG678^6+WeightSDS!R$25*$AG678^5+WeightSDS!S$25*$AG678^4+WeightSDS!T$25*$AG678^3+WeightSDS!U$25*$AG678^2+WeightSDS!V$25*$AG678+WeightSDS!W$25,WeightSDS!M$27+WeightSDS!N$27/(1+EXP(WeightSDS!O$27+WeightSDS!P$27*$AG678)))),IF($AG678&lt;43.8,WeightSDS!M$29*$AG678^10+WeightSDS!N$29*$AG678^9+WeightSDS!O$29*$AG678^8+WeightSDS!P$29*$AG678^7+WeightSDS!Q$29*$AG678^6+WeightSDS!R$29*$AG678^5+WeightSDS!S$29*$AG678^4+WeightSDS!T$29*$AG678^3+WeightSDS!U$29*$AG678^2+WeightSDS!V$29*$AG678+WeightSDS!W$29-0.010431*(1-$AG678/210),IF($AG678&lt;123,WeightSDS!M$30*$AG678^10+WeightSDS!N$30*$AG678^9+WeightSDS!O$30*$AG678^8+WeightSDS!P$30*$AG678^7+WeightSDS!Q$30*$AG678^6+WeightSDS!R$30*$AG678^5+WeightSDS!S$30*$AG678^4+WeightSDS!T$30*$AG678^3+WeightSDS!U$30*$AG678^2+WeightSDS!V$30*$AG678+WeightSDS!W$30-0.010431*(1-1/$AG678),WeightSDS!M$32+WeightSDS!N$32/(1+EXP(WeightSDS!O$32+WeightSDS!P$32*$AG678))-0.010431*(1-$AG678/210))))</f>
        <v>2.9500001032655536</v>
      </c>
      <c r="AK678" s="24">
        <f>IF(D678="M",IF($AG678&lt;162,WeightSDS!P$12*$AG678^7+WeightSDS!Q$12*$AG678^6+WeightSDS!R$12*$AG678^5+WeightSDS!S$12*$AG678^4+WeightSDS!T$12*$AG678^3+WeightSDS!U$12*$AG678^2+WeightSDS!V$12*$AG678+WeightSDS!W$12,WeightSDS!P$14*$AG678^7+WeightSDS!Q$14*$AG678^6+WeightSDS!R$14*$AG678^5+WeightSDS!S$14*$AG678^4+WeightSDS!T$14*$AG678^3+WeightSDS!U$14*$AG678^2+WeightSDS!V$14*$AG678+WeightSDS!W$14),IF($AG678&lt;156,WeightSDS!O$17*$AG678^8+WeightSDS!P$17*$AG678^7+WeightSDS!Q$17*$AG678^6+WeightSDS!R$17*$AG678^5+WeightSDS!S$17*$AG678^4+WeightSDS!T$17*$AG678^3+WeightSDS!U$17*$AG678^2+WeightSDS!V$17*$AG678+WeightSDS!W$17,IF($AG678&lt;186,WeightSDS!$U$18+(WeightSDS!$V$18-WeightSDS!$U$18)/24*($AG678-186)+WeightSDS!$W$18*(-$AG678+186)^2-0.005,WeightSDS!$U$18+(WeightSDS!$V$18-WeightSDS!$U$18)/24*($AG678-186)-0.005)))</f>
        <v>0.14604529399999999</v>
      </c>
    </row>
    <row r="679" spans="1:37">
      <c r="A679" s="4"/>
      <c r="B679" s="21"/>
      <c r="C679" s="21"/>
      <c r="D679" s="21"/>
      <c r="E679" s="22"/>
      <c r="F679" s="22"/>
      <c r="G679" s="23"/>
      <c r="H679" s="23"/>
      <c r="I679" s="8" t="str">
        <f t="shared" si="162"/>
        <v/>
      </c>
      <c r="J679" s="2" t="str">
        <f t="shared" si="169"/>
        <v/>
      </c>
      <c r="K679" s="2" t="str">
        <f t="shared" si="163"/>
        <v/>
      </c>
      <c r="L679" s="2" t="str">
        <f t="shared" si="170"/>
        <v/>
      </c>
      <c r="M679" s="2" t="str">
        <f t="shared" si="175"/>
        <v/>
      </c>
      <c r="N679" s="2" t="str">
        <f t="shared" si="171"/>
        <v/>
      </c>
      <c r="O679" s="8" t="str">
        <f t="shared" si="172"/>
        <v/>
      </c>
      <c r="P679" s="8" t="str">
        <f t="shared" si="173"/>
        <v/>
      </c>
      <c r="Q679" s="40" t="str">
        <f t="shared" si="164"/>
        <v/>
      </c>
      <c r="R679" s="48" t="str">
        <f t="shared" si="174"/>
        <v/>
      </c>
      <c r="S679" s="8"/>
      <c r="U679" s="35">
        <f t="shared" si="165"/>
        <v>0</v>
      </c>
      <c r="V679" s="24">
        <f t="shared" si="166"/>
        <v>0</v>
      </c>
      <c r="W679" s="41">
        <f t="shared" si="177"/>
        <v>0</v>
      </c>
      <c r="X679" s="31"/>
      <c r="Y679" s="31"/>
      <c r="Z679" s="31"/>
      <c r="AA679" s="25">
        <f t="shared" si="167"/>
        <v>9.0359999999999996</v>
      </c>
      <c r="AB679" s="25">
        <f t="shared" si="168"/>
        <v>-184.49199999999999</v>
      </c>
      <c r="AD679" s="24">
        <f>IF(D679="M",IF(AG679&lt;78,BMILMS!$D$5*AG679^3+BMILMS!$E$5*AG679^2+BMILMS!$F$5*AG679+BMILMS!$G$5,IF(AG679&lt;150,BMILMS!$D$6*AG679^3+BMILMS!$E$6*AG679^2+BMILMS!$F$6*AG679+BMILMS!$G$6,BMILMS!$D$7*AG679^3+BMILMS!$E$7*AG679^2+BMILMS!$F$7*AG679+BMILMS!$G$7)),IF(AG679&lt;69,BMILMS!$D$9*AG679^3+BMILMS!$E$9*AG679^2+BMILMS!$F$9*AG679+BMILMS!$G$9,IF(AG679&lt;150,BMILMS!$D$10*AG679^3+BMILMS!$E$10*AG679^2+BMILMS!$F$10*AG679+BMILMS!$G$10,BMILMS!$D$11*AG679^3+BMILMS!$E$11*AG679^2+BMILMS!$F$11*AG679+BMILMS!$G$11)))</f>
        <v>0.79584630099999998</v>
      </c>
      <c r="AE679" s="24">
        <f>IF(D679="M",(IF(AG679&lt;2.5,BMILMS!$D$21*AG679^3+BMILMS!$E$21*AG679^2+BMILMS!$F$21*AG679+BMILMS!$G$21,IF(AG679&lt;9.5,BMILMS!$D$22*AG679^3+BMILMS!$E$22*AG679^2+BMILMS!$F$22*AG679+BMILMS!$G$22,IF(AG679&lt;26.75,BMILMS!$D$23*AG679^3+BMILMS!$E$23*AG679^2+BMILMS!$F$23*AG679+BMILMS!$G$23,IF(AG679&lt;90,BMILMS!$D$24*AG679^3+BMILMS!$E$24*AG679^2+BMILMS!$F$24*AG679+BMILMS!$G$24,BMILMS!$D$25*AG679^3+BMILMS!$E$25*AG679^2+BMILMS!$F$25*AG679+BMILMS!$G$25))))),(IF(AG679&lt;2.5,BMILMS!$D$27*AG679^3+BMILMS!$E$27*AG679^2+BMILMS!$F$27*AG679+BMILMS!$G$27,IF(AG679&lt;9.5,BMILMS!$D$28*AG679^3+BMILMS!$E$28*AG679^2+BMILMS!$F$28*AG679+BMILMS!$G$28,IF(AG679&lt;26.75,BMILMS!$D$29*AG679^3+BMILMS!$E$29*AG679^2+BMILMS!$F$29*AG679+BMILMS!$G$29,IF(AG679&lt;90,BMILMS!$D$30*AG679^3+BMILMS!$E$30*AG679^2+BMILMS!$F$30*AG679+BMILMS!$G$30,IF(AG679&lt;150,BMILMS!$D$31*AG679^3+BMILMS!$E$31*AG679^2+BMILMS!$F$31*AG679+BMILMS!$G$31,BMILMS!$D$32*AG679^3+BMILMS!$E$32*AG679^2+BMILMS!$F$32*AG679+BMILMS!$G$32)))))))</f>
        <v>12.568967990000001</v>
      </c>
      <c r="AF679" s="24">
        <f>IF(D679="M",(IF(AG679&lt;90,BMILMS!$D$14*AG679^3+BMILMS!$E$14*AG679^2+BMILMS!$F$14*AG679+BMILMS!$G$14,BMILMS!$D$15*AG679^3+BMILMS!$E$15*AG679^2+BMILMS!$F$15*AG679+BMILMS!$G$15)),(IF(AG679&lt;90,BMILMS!$D$17*AG679^3+BMILMS!$E$17*AG679^2+BMILMS!$F$17*AG679+BMILMS!$G$17,BMILMS!$D$18*AG679^3+BMILMS!$E$18*AG679^2+BMILMS!$F$18*AG679+BMILMS!$G$18)))</f>
        <v>8.8969350000000003E-2</v>
      </c>
      <c r="AG679" s="24">
        <f t="shared" si="176"/>
        <v>0</v>
      </c>
      <c r="AI679" s="38">
        <f>IF(D679="M",WeightSDS!P$5*$AG679^7+WeightSDS!Q$5*$AG679^6+WeightSDS!R$5*$AG679^5+WeightSDS!S$5*$AG679^4+WeightSDS!T$5*$AG679^3+WeightSDS!U$5*$AG679^2+WeightSDS!V$5*$AG679+WeightSDS!W$5,IF($AG679&lt;186,WeightSDS!P$8*$AG679^7+WeightSDS!Q$8*$AG679^6+WeightSDS!R$8*$AG679^5+WeightSDS!S$8*$AG679^4+WeightSDS!T$8*$AG679^3+WeightSDS!U$8*$AG679^2+WeightSDS!V$8*$AG679+WeightSDS!W$8,WeightSDS!$U$9-WeightSDS!$V$9*($AG679-WeightSDS!$W$9)))</f>
        <v>0.75407122999999998</v>
      </c>
      <c r="AJ679" s="24">
        <f>IF(D679="M",IF($AG679&lt;45,WeightSDS!M$23*$AG679^10+WeightSDS!N$23*$AG679^9+WeightSDS!O$23*$AG679^8+WeightSDS!P$23*$AG679^7+WeightSDS!Q$23*$AG679^6+WeightSDS!R$23*$AG679^5+WeightSDS!S$23*$AG679^4+WeightSDS!T$23*$AG679^3+WeightSDS!U$23*$AG679^2+WeightSDS!V$23*$AG679+WeightSDS!W$23,IF($AG679&lt;153,WeightSDS!M$25*$AG679^10+WeightSDS!N$25*$AG679^9+WeightSDS!O$25*$AG679^8+WeightSDS!P$25*$AG679^7+WeightSDS!Q$25*$AG679^6+WeightSDS!R$25*$AG679^5+WeightSDS!S$25*$AG679^4+WeightSDS!T$25*$AG679^3+WeightSDS!U$25*$AG679^2+WeightSDS!V$25*$AG679+WeightSDS!W$25,WeightSDS!M$27+WeightSDS!N$27/(1+EXP(WeightSDS!O$27+WeightSDS!P$27*$AG679)))),IF($AG679&lt;43.8,WeightSDS!M$29*$AG679^10+WeightSDS!N$29*$AG679^9+WeightSDS!O$29*$AG679^8+WeightSDS!P$29*$AG679^7+WeightSDS!Q$29*$AG679^6+WeightSDS!R$29*$AG679^5+WeightSDS!S$29*$AG679^4+WeightSDS!T$29*$AG679^3+WeightSDS!U$29*$AG679^2+WeightSDS!V$29*$AG679+WeightSDS!W$29-0.010431*(1-$AG679/210),IF($AG679&lt;123,WeightSDS!M$30*$AG679^10+WeightSDS!N$30*$AG679^9+WeightSDS!O$30*$AG679^8+WeightSDS!P$30*$AG679^7+WeightSDS!Q$30*$AG679^6+WeightSDS!R$30*$AG679^5+WeightSDS!S$30*$AG679^4+WeightSDS!T$30*$AG679^3+WeightSDS!U$30*$AG679^2+WeightSDS!V$30*$AG679+WeightSDS!W$30-0.010431*(1-1/$AG679),WeightSDS!M$32+WeightSDS!N$32/(1+EXP(WeightSDS!O$32+WeightSDS!P$32*$AG679))-0.010431*(1-$AG679/210))))</f>
        <v>2.9500001032655536</v>
      </c>
      <c r="AK679" s="24">
        <f>IF(D679="M",IF($AG679&lt;162,WeightSDS!P$12*$AG679^7+WeightSDS!Q$12*$AG679^6+WeightSDS!R$12*$AG679^5+WeightSDS!S$12*$AG679^4+WeightSDS!T$12*$AG679^3+WeightSDS!U$12*$AG679^2+WeightSDS!V$12*$AG679+WeightSDS!W$12,WeightSDS!P$14*$AG679^7+WeightSDS!Q$14*$AG679^6+WeightSDS!R$14*$AG679^5+WeightSDS!S$14*$AG679^4+WeightSDS!T$14*$AG679^3+WeightSDS!U$14*$AG679^2+WeightSDS!V$14*$AG679+WeightSDS!W$14),IF($AG679&lt;156,WeightSDS!O$17*$AG679^8+WeightSDS!P$17*$AG679^7+WeightSDS!Q$17*$AG679^6+WeightSDS!R$17*$AG679^5+WeightSDS!S$17*$AG679^4+WeightSDS!T$17*$AG679^3+WeightSDS!U$17*$AG679^2+WeightSDS!V$17*$AG679+WeightSDS!W$17,IF($AG679&lt;186,WeightSDS!$U$18+(WeightSDS!$V$18-WeightSDS!$U$18)/24*($AG679-186)+WeightSDS!$W$18*(-$AG679+186)^2-0.005,WeightSDS!$U$18+(WeightSDS!$V$18-WeightSDS!$U$18)/24*($AG679-186)-0.005)))</f>
        <v>0.14604529399999999</v>
      </c>
    </row>
    <row r="680" spans="1:37">
      <c r="A680" s="4"/>
      <c r="B680" s="21"/>
      <c r="C680" s="21"/>
      <c r="D680" s="21"/>
      <c r="E680" s="22"/>
      <c r="F680" s="22"/>
      <c r="G680" s="23"/>
      <c r="H680" s="23"/>
      <c r="I680" s="8" t="str">
        <f t="shared" si="162"/>
        <v/>
      </c>
      <c r="J680" s="2" t="str">
        <f t="shared" si="169"/>
        <v/>
      </c>
      <c r="K680" s="2" t="str">
        <f t="shared" si="163"/>
        <v/>
      </c>
      <c r="L680" s="2" t="str">
        <f t="shared" si="170"/>
        <v/>
      </c>
      <c r="M680" s="2" t="str">
        <f t="shared" si="175"/>
        <v/>
      </c>
      <c r="N680" s="2" t="str">
        <f t="shared" si="171"/>
        <v/>
      </c>
      <c r="O680" s="8" t="str">
        <f t="shared" si="172"/>
        <v/>
      </c>
      <c r="P680" s="8" t="str">
        <f t="shared" si="173"/>
        <v/>
      </c>
      <c r="Q680" s="40" t="str">
        <f t="shared" si="164"/>
        <v/>
      </c>
      <c r="R680" s="48" t="str">
        <f t="shared" si="174"/>
        <v/>
      </c>
      <c r="S680" s="8"/>
      <c r="U680" s="35">
        <f t="shared" si="165"/>
        <v>0</v>
      </c>
      <c r="V680" s="24">
        <f t="shared" si="166"/>
        <v>0</v>
      </c>
      <c r="W680" s="41">
        <f t="shared" si="177"/>
        <v>0</v>
      </c>
      <c r="X680" s="31"/>
      <c r="Y680" s="31"/>
      <c r="Z680" s="31"/>
      <c r="AA680" s="25">
        <f t="shared" si="167"/>
        <v>9.0359999999999996</v>
      </c>
      <c r="AB680" s="25">
        <f t="shared" si="168"/>
        <v>-184.49199999999999</v>
      </c>
      <c r="AD680" s="24">
        <f>IF(D680="M",IF(AG680&lt;78,BMILMS!$D$5*AG680^3+BMILMS!$E$5*AG680^2+BMILMS!$F$5*AG680+BMILMS!$G$5,IF(AG680&lt;150,BMILMS!$D$6*AG680^3+BMILMS!$E$6*AG680^2+BMILMS!$F$6*AG680+BMILMS!$G$6,BMILMS!$D$7*AG680^3+BMILMS!$E$7*AG680^2+BMILMS!$F$7*AG680+BMILMS!$G$7)),IF(AG680&lt;69,BMILMS!$D$9*AG680^3+BMILMS!$E$9*AG680^2+BMILMS!$F$9*AG680+BMILMS!$G$9,IF(AG680&lt;150,BMILMS!$D$10*AG680^3+BMILMS!$E$10*AG680^2+BMILMS!$F$10*AG680+BMILMS!$G$10,BMILMS!$D$11*AG680^3+BMILMS!$E$11*AG680^2+BMILMS!$F$11*AG680+BMILMS!$G$11)))</f>
        <v>0.79584630099999998</v>
      </c>
      <c r="AE680" s="24">
        <f>IF(D680="M",(IF(AG680&lt;2.5,BMILMS!$D$21*AG680^3+BMILMS!$E$21*AG680^2+BMILMS!$F$21*AG680+BMILMS!$G$21,IF(AG680&lt;9.5,BMILMS!$D$22*AG680^3+BMILMS!$E$22*AG680^2+BMILMS!$F$22*AG680+BMILMS!$G$22,IF(AG680&lt;26.75,BMILMS!$D$23*AG680^3+BMILMS!$E$23*AG680^2+BMILMS!$F$23*AG680+BMILMS!$G$23,IF(AG680&lt;90,BMILMS!$D$24*AG680^3+BMILMS!$E$24*AG680^2+BMILMS!$F$24*AG680+BMILMS!$G$24,BMILMS!$D$25*AG680^3+BMILMS!$E$25*AG680^2+BMILMS!$F$25*AG680+BMILMS!$G$25))))),(IF(AG680&lt;2.5,BMILMS!$D$27*AG680^3+BMILMS!$E$27*AG680^2+BMILMS!$F$27*AG680+BMILMS!$G$27,IF(AG680&lt;9.5,BMILMS!$D$28*AG680^3+BMILMS!$E$28*AG680^2+BMILMS!$F$28*AG680+BMILMS!$G$28,IF(AG680&lt;26.75,BMILMS!$D$29*AG680^3+BMILMS!$E$29*AG680^2+BMILMS!$F$29*AG680+BMILMS!$G$29,IF(AG680&lt;90,BMILMS!$D$30*AG680^3+BMILMS!$E$30*AG680^2+BMILMS!$F$30*AG680+BMILMS!$G$30,IF(AG680&lt;150,BMILMS!$D$31*AG680^3+BMILMS!$E$31*AG680^2+BMILMS!$F$31*AG680+BMILMS!$G$31,BMILMS!$D$32*AG680^3+BMILMS!$E$32*AG680^2+BMILMS!$F$32*AG680+BMILMS!$G$32)))))))</f>
        <v>12.568967990000001</v>
      </c>
      <c r="AF680" s="24">
        <f>IF(D680="M",(IF(AG680&lt;90,BMILMS!$D$14*AG680^3+BMILMS!$E$14*AG680^2+BMILMS!$F$14*AG680+BMILMS!$G$14,BMILMS!$D$15*AG680^3+BMILMS!$E$15*AG680^2+BMILMS!$F$15*AG680+BMILMS!$G$15)),(IF(AG680&lt;90,BMILMS!$D$17*AG680^3+BMILMS!$E$17*AG680^2+BMILMS!$F$17*AG680+BMILMS!$G$17,BMILMS!$D$18*AG680^3+BMILMS!$E$18*AG680^2+BMILMS!$F$18*AG680+BMILMS!$G$18)))</f>
        <v>8.8969350000000003E-2</v>
      </c>
      <c r="AG680" s="24">
        <f t="shared" si="176"/>
        <v>0</v>
      </c>
      <c r="AI680" s="38">
        <f>IF(D680="M",WeightSDS!P$5*$AG680^7+WeightSDS!Q$5*$AG680^6+WeightSDS!R$5*$AG680^5+WeightSDS!S$5*$AG680^4+WeightSDS!T$5*$AG680^3+WeightSDS!U$5*$AG680^2+WeightSDS!V$5*$AG680+WeightSDS!W$5,IF($AG680&lt;186,WeightSDS!P$8*$AG680^7+WeightSDS!Q$8*$AG680^6+WeightSDS!R$8*$AG680^5+WeightSDS!S$8*$AG680^4+WeightSDS!T$8*$AG680^3+WeightSDS!U$8*$AG680^2+WeightSDS!V$8*$AG680+WeightSDS!W$8,WeightSDS!$U$9-WeightSDS!$V$9*($AG680-WeightSDS!$W$9)))</f>
        <v>0.75407122999999998</v>
      </c>
      <c r="AJ680" s="24">
        <f>IF(D680="M",IF($AG680&lt;45,WeightSDS!M$23*$AG680^10+WeightSDS!N$23*$AG680^9+WeightSDS!O$23*$AG680^8+WeightSDS!P$23*$AG680^7+WeightSDS!Q$23*$AG680^6+WeightSDS!R$23*$AG680^5+WeightSDS!S$23*$AG680^4+WeightSDS!T$23*$AG680^3+WeightSDS!U$23*$AG680^2+WeightSDS!V$23*$AG680+WeightSDS!W$23,IF($AG680&lt;153,WeightSDS!M$25*$AG680^10+WeightSDS!N$25*$AG680^9+WeightSDS!O$25*$AG680^8+WeightSDS!P$25*$AG680^7+WeightSDS!Q$25*$AG680^6+WeightSDS!R$25*$AG680^5+WeightSDS!S$25*$AG680^4+WeightSDS!T$25*$AG680^3+WeightSDS!U$25*$AG680^2+WeightSDS!V$25*$AG680+WeightSDS!W$25,WeightSDS!M$27+WeightSDS!N$27/(1+EXP(WeightSDS!O$27+WeightSDS!P$27*$AG680)))),IF($AG680&lt;43.8,WeightSDS!M$29*$AG680^10+WeightSDS!N$29*$AG680^9+WeightSDS!O$29*$AG680^8+WeightSDS!P$29*$AG680^7+WeightSDS!Q$29*$AG680^6+WeightSDS!R$29*$AG680^5+WeightSDS!S$29*$AG680^4+WeightSDS!T$29*$AG680^3+WeightSDS!U$29*$AG680^2+WeightSDS!V$29*$AG680+WeightSDS!W$29-0.010431*(1-$AG680/210),IF($AG680&lt;123,WeightSDS!M$30*$AG680^10+WeightSDS!N$30*$AG680^9+WeightSDS!O$30*$AG680^8+WeightSDS!P$30*$AG680^7+WeightSDS!Q$30*$AG680^6+WeightSDS!R$30*$AG680^5+WeightSDS!S$30*$AG680^4+WeightSDS!T$30*$AG680^3+WeightSDS!U$30*$AG680^2+WeightSDS!V$30*$AG680+WeightSDS!W$30-0.010431*(1-1/$AG680),WeightSDS!M$32+WeightSDS!N$32/(1+EXP(WeightSDS!O$32+WeightSDS!P$32*$AG680))-0.010431*(1-$AG680/210))))</f>
        <v>2.9500001032655536</v>
      </c>
      <c r="AK680" s="24">
        <f>IF(D680="M",IF($AG680&lt;162,WeightSDS!P$12*$AG680^7+WeightSDS!Q$12*$AG680^6+WeightSDS!R$12*$AG680^5+WeightSDS!S$12*$AG680^4+WeightSDS!T$12*$AG680^3+WeightSDS!U$12*$AG680^2+WeightSDS!V$12*$AG680+WeightSDS!W$12,WeightSDS!P$14*$AG680^7+WeightSDS!Q$14*$AG680^6+WeightSDS!R$14*$AG680^5+WeightSDS!S$14*$AG680^4+WeightSDS!T$14*$AG680^3+WeightSDS!U$14*$AG680^2+WeightSDS!V$14*$AG680+WeightSDS!W$14),IF($AG680&lt;156,WeightSDS!O$17*$AG680^8+WeightSDS!P$17*$AG680^7+WeightSDS!Q$17*$AG680^6+WeightSDS!R$17*$AG680^5+WeightSDS!S$17*$AG680^4+WeightSDS!T$17*$AG680^3+WeightSDS!U$17*$AG680^2+WeightSDS!V$17*$AG680+WeightSDS!W$17,IF($AG680&lt;186,WeightSDS!$U$18+(WeightSDS!$V$18-WeightSDS!$U$18)/24*($AG680-186)+WeightSDS!$W$18*(-$AG680+186)^2-0.005,WeightSDS!$U$18+(WeightSDS!$V$18-WeightSDS!$U$18)/24*($AG680-186)-0.005)))</f>
        <v>0.14604529399999999</v>
      </c>
    </row>
    <row r="681" spans="1:37">
      <c r="A681" s="4"/>
      <c r="B681" s="21"/>
      <c r="C681" s="21"/>
      <c r="D681" s="21"/>
      <c r="E681" s="22"/>
      <c r="F681" s="22"/>
      <c r="G681" s="23"/>
      <c r="H681" s="23"/>
      <c r="I681" s="8" t="str">
        <f t="shared" si="162"/>
        <v/>
      </c>
      <c r="J681" s="2" t="str">
        <f t="shared" si="169"/>
        <v/>
      </c>
      <c r="K681" s="2" t="str">
        <f t="shared" si="163"/>
        <v/>
      </c>
      <c r="L681" s="2" t="str">
        <f t="shared" si="170"/>
        <v/>
      </c>
      <c r="M681" s="2" t="str">
        <f t="shared" si="175"/>
        <v/>
      </c>
      <c r="N681" s="2" t="str">
        <f t="shared" si="171"/>
        <v/>
      </c>
      <c r="O681" s="8" t="str">
        <f t="shared" si="172"/>
        <v/>
      </c>
      <c r="P681" s="8" t="str">
        <f t="shared" si="173"/>
        <v/>
      </c>
      <c r="Q681" s="40" t="str">
        <f t="shared" si="164"/>
        <v/>
      </c>
      <c r="R681" s="48" t="str">
        <f t="shared" si="174"/>
        <v/>
      </c>
      <c r="S681" s="8"/>
      <c r="U681" s="35">
        <f t="shared" si="165"/>
        <v>0</v>
      </c>
      <c r="V681" s="24">
        <f t="shared" si="166"/>
        <v>0</v>
      </c>
      <c r="W681" s="41">
        <f t="shared" si="177"/>
        <v>0</v>
      </c>
      <c r="X681" s="31"/>
      <c r="Y681" s="31"/>
      <c r="Z681" s="31"/>
      <c r="AA681" s="25">
        <f t="shared" si="167"/>
        <v>9.0359999999999996</v>
      </c>
      <c r="AB681" s="25">
        <f t="shared" si="168"/>
        <v>-184.49199999999999</v>
      </c>
      <c r="AD681" s="24">
        <f>IF(D681="M",IF(AG681&lt;78,BMILMS!$D$5*AG681^3+BMILMS!$E$5*AG681^2+BMILMS!$F$5*AG681+BMILMS!$G$5,IF(AG681&lt;150,BMILMS!$D$6*AG681^3+BMILMS!$E$6*AG681^2+BMILMS!$F$6*AG681+BMILMS!$G$6,BMILMS!$D$7*AG681^3+BMILMS!$E$7*AG681^2+BMILMS!$F$7*AG681+BMILMS!$G$7)),IF(AG681&lt;69,BMILMS!$D$9*AG681^3+BMILMS!$E$9*AG681^2+BMILMS!$F$9*AG681+BMILMS!$G$9,IF(AG681&lt;150,BMILMS!$D$10*AG681^3+BMILMS!$E$10*AG681^2+BMILMS!$F$10*AG681+BMILMS!$G$10,BMILMS!$D$11*AG681^3+BMILMS!$E$11*AG681^2+BMILMS!$F$11*AG681+BMILMS!$G$11)))</f>
        <v>0.79584630099999998</v>
      </c>
      <c r="AE681" s="24">
        <f>IF(D681="M",(IF(AG681&lt;2.5,BMILMS!$D$21*AG681^3+BMILMS!$E$21*AG681^2+BMILMS!$F$21*AG681+BMILMS!$G$21,IF(AG681&lt;9.5,BMILMS!$D$22*AG681^3+BMILMS!$E$22*AG681^2+BMILMS!$F$22*AG681+BMILMS!$G$22,IF(AG681&lt;26.75,BMILMS!$D$23*AG681^3+BMILMS!$E$23*AG681^2+BMILMS!$F$23*AG681+BMILMS!$G$23,IF(AG681&lt;90,BMILMS!$D$24*AG681^3+BMILMS!$E$24*AG681^2+BMILMS!$F$24*AG681+BMILMS!$G$24,BMILMS!$D$25*AG681^3+BMILMS!$E$25*AG681^2+BMILMS!$F$25*AG681+BMILMS!$G$25))))),(IF(AG681&lt;2.5,BMILMS!$D$27*AG681^3+BMILMS!$E$27*AG681^2+BMILMS!$F$27*AG681+BMILMS!$G$27,IF(AG681&lt;9.5,BMILMS!$D$28*AG681^3+BMILMS!$E$28*AG681^2+BMILMS!$F$28*AG681+BMILMS!$G$28,IF(AG681&lt;26.75,BMILMS!$D$29*AG681^3+BMILMS!$E$29*AG681^2+BMILMS!$F$29*AG681+BMILMS!$G$29,IF(AG681&lt;90,BMILMS!$D$30*AG681^3+BMILMS!$E$30*AG681^2+BMILMS!$F$30*AG681+BMILMS!$G$30,IF(AG681&lt;150,BMILMS!$D$31*AG681^3+BMILMS!$E$31*AG681^2+BMILMS!$F$31*AG681+BMILMS!$G$31,BMILMS!$D$32*AG681^3+BMILMS!$E$32*AG681^2+BMILMS!$F$32*AG681+BMILMS!$G$32)))))))</f>
        <v>12.568967990000001</v>
      </c>
      <c r="AF681" s="24">
        <f>IF(D681="M",(IF(AG681&lt;90,BMILMS!$D$14*AG681^3+BMILMS!$E$14*AG681^2+BMILMS!$F$14*AG681+BMILMS!$G$14,BMILMS!$D$15*AG681^3+BMILMS!$E$15*AG681^2+BMILMS!$F$15*AG681+BMILMS!$G$15)),(IF(AG681&lt;90,BMILMS!$D$17*AG681^3+BMILMS!$E$17*AG681^2+BMILMS!$F$17*AG681+BMILMS!$G$17,BMILMS!$D$18*AG681^3+BMILMS!$E$18*AG681^2+BMILMS!$F$18*AG681+BMILMS!$G$18)))</f>
        <v>8.8969350000000003E-2</v>
      </c>
      <c r="AG681" s="24">
        <f t="shared" si="176"/>
        <v>0</v>
      </c>
      <c r="AI681" s="38">
        <f>IF(D681="M",WeightSDS!P$5*$AG681^7+WeightSDS!Q$5*$AG681^6+WeightSDS!R$5*$AG681^5+WeightSDS!S$5*$AG681^4+WeightSDS!T$5*$AG681^3+WeightSDS!U$5*$AG681^2+WeightSDS!V$5*$AG681+WeightSDS!W$5,IF($AG681&lt;186,WeightSDS!P$8*$AG681^7+WeightSDS!Q$8*$AG681^6+WeightSDS!R$8*$AG681^5+WeightSDS!S$8*$AG681^4+WeightSDS!T$8*$AG681^3+WeightSDS!U$8*$AG681^2+WeightSDS!V$8*$AG681+WeightSDS!W$8,WeightSDS!$U$9-WeightSDS!$V$9*($AG681-WeightSDS!$W$9)))</f>
        <v>0.75407122999999998</v>
      </c>
      <c r="AJ681" s="24">
        <f>IF(D681="M",IF($AG681&lt;45,WeightSDS!M$23*$AG681^10+WeightSDS!N$23*$AG681^9+WeightSDS!O$23*$AG681^8+WeightSDS!P$23*$AG681^7+WeightSDS!Q$23*$AG681^6+WeightSDS!R$23*$AG681^5+WeightSDS!S$23*$AG681^4+WeightSDS!T$23*$AG681^3+WeightSDS!U$23*$AG681^2+WeightSDS!V$23*$AG681+WeightSDS!W$23,IF($AG681&lt;153,WeightSDS!M$25*$AG681^10+WeightSDS!N$25*$AG681^9+WeightSDS!O$25*$AG681^8+WeightSDS!P$25*$AG681^7+WeightSDS!Q$25*$AG681^6+WeightSDS!R$25*$AG681^5+WeightSDS!S$25*$AG681^4+WeightSDS!T$25*$AG681^3+WeightSDS!U$25*$AG681^2+WeightSDS!V$25*$AG681+WeightSDS!W$25,WeightSDS!M$27+WeightSDS!N$27/(1+EXP(WeightSDS!O$27+WeightSDS!P$27*$AG681)))),IF($AG681&lt;43.8,WeightSDS!M$29*$AG681^10+WeightSDS!N$29*$AG681^9+WeightSDS!O$29*$AG681^8+WeightSDS!P$29*$AG681^7+WeightSDS!Q$29*$AG681^6+WeightSDS!R$29*$AG681^5+WeightSDS!S$29*$AG681^4+WeightSDS!T$29*$AG681^3+WeightSDS!U$29*$AG681^2+WeightSDS!V$29*$AG681+WeightSDS!W$29-0.010431*(1-$AG681/210),IF($AG681&lt;123,WeightSDS!M$30*$AG681^10+WeightSDS!N$30*$AG681^9+WeightSDS!O$30*$AG681^8+WeightSDS!P$30*$AG681^7+WeightSDS!Q$30*$AG681^6+WeightSDS!R$30*$AG681^5+WeightSDS!S$30*$AG681^4+WeightSDS!T$30*$AG681^3+WeightSDS!U$30*$AG681^2+WeightSDS!V$30*$AG681+WeightSDS!W$30-0.010431*(1-1/$AG681),WeightSDS!M$32+WeightSDS!N$32/(1+EXP(WeightSDS!O$32+WeightSDS!P$32*$AG681))-0.010431*(1-$AG681/210))))</f>
        <v>2.9500001032655536</v>
      </c>
      <c r="AK681" s="24">
        <f>IF(D681="M",IF($AG681&lt;162,WeightSDS!P$12*$AG681^7+WeightSDS!Q$12*$AG681^6+WeightSDS!R$12*$AG681^5+WeightSDS!S$12*$AG681^4+WeightSDS!T$12*$AG681^3+WeightSDS!U$12*$AG681^2+WeightSDS!V$12*$AG681+WeightSDS!W$12,WeightSDS!P$14*$AG681^7+WeightSDS!Q$14*$AG681^6+WeightSDS!R$14*$AG681^5+WeightSDS!S$14*$AG681^4+WeightSDS!T$14*$AG681^3+WeightSDS!U$14*$AG681^2+WeightSDS!V$14*$AG681+WeightSDS!W$14),IF($AG681&lt;156,WeightSDS!O$17*$AG681^8+WeightSDS!P$17*$AG681^7+WeightSDS!Q$17*$AG681^6+WeightSDS!R$17*$AG681^5+WeightSDS!S$17*$AG681^4+WeightSDS!T$17*$AG681^3+WeightSDS!U$17*$AG681^2+WeightSDS!V$17*$AG681+WeightSDS!W$17,IF($AG681&lt;186,WeightSDS!$U$18+(WeightSDS!$V$18-WeightSDS!$U$18)/24*($AG681-186)+WeightSDS!$W$18*(-$AG681+186)^2-0.005,WeightSDS!$U$18+(WeightSDS!$V$18-WeightSDS!$U$18)/24*($AG681-186)-0.005)))</f>
        <v>0.14604529399999999</v>
      </c>
    </row>
    <row r="682" spans="1:37">
      <c r="A682" s="4"/>
      <c r="B682" s="21"/>
      <c r="C682" s="21"/>
      <c r="D682" s="21"/>
      <c r="E682" s="22"/>
      <c r="F682" s="22"/>
      <c r="G682" s="23"/>
      <c r="H682" s="23"/>
      <c r="I682" s="8" t="str">
        <f t="shared" si="162"/>
        <v/>
      </c>
      <c r="J682" s="2" t="str">
        <f t="shared" si="169"/>
        <v/>
      </c>
      <c r="K682" s="2" t="str">
        <f t="shared" si="163"/>
        <v/>
      </c>
      <c r="L682" s="2" t="str">
        <f t="shared" si="170"/>
        <v/>
      </c>
      <c r="M682" s="2" t="str">
        <f t="shared" si="175"/>
        <v/>
      </c>
      <c r="N682" s="2" t="str">
        <f t="shared" si="171"/>
        <v/>
      </c>
      <c r="O682" s="8" t="str">
        <f t="shared" si="172"/>
        <v/>
      </c>
      <c r="P682" s="8" t="str">
        <f t="shared" si="173"/>
        <v/>
      </c>
      <c r="Q682" s="40" t="str">
        <f t="shared" si="164"/>
        <v/>
      </c>
      <c r="R682" s="48" t="str">
        <f t="shared" si="174"/>
        <v/>
      </c>
      <c r="S682" s="8"/>
      <c r="U682" s="35">
        <f t="shared" si="165"/>
        <v>0</v>
      </c>
      <c r="V682" s="24">
        <f t="shared" si="166"/>
        <v>0</v>
      </c>
      <c r="W682" s="41">
        <f t="shared" si="177"/>
        <v>0</v>
      </c>
      <c r="X682" s="31"/>
      <c r="Y682" s="31"/>
      <c r="Z682" s="31"/>
      <c r="AA682" s="25">
        <f t="shared" si="167"/>
        <v>9.0359999999999996</v>
      </c>
      <c r="AB682" s="25">
        <f t="shared" si="168"/>
        <v>-184.49199999999999</v>
      </c>
      <c r="AD682" s="24">
        <f>IF(D682="M",IF(AG682&lt;78,BMILMS!$D$5*AG682^3+BMILMS!$E$5*AG682^2+BMILMS!$F$5*AG682+BMILMS!$G$5,IF(AG682&lt;150,BMILMS!$D$6*AG682^3+BMILMS!$E$6*AG682^2+BMILMS!$F$6*AG682+BMILMS!$G$6,BMILMS!$D$7*AG682^3+BMILMS!$E$7*AG682^2+BMILMS!$F$7*AG682+BMILMS!$G$7)),IF(AG682&lt;69,BMILMS!$D$9*AG682^3+BMILMS!$E$9*AG682^2+BMILMS!$F$9*AG682+BMILMS!$G$9,IF(AG682&lt;150,BMILMS!$D$10*AG682^3+BMILMS!$E$10*AG682^2+BMILMS!$F$10*AG682+BMILMS!$G$10,BMILMS!$D$11*AG682^3+BMILMS!$E$11*AG682^2+BMILMS!$F$11*AG682+BMILMS!$G$11)))</f>
        <v>0.79584630099999998</v>
      </c>
      <c r="AE682" s="24">
        <f>IF(D682="M",(IF(AG682&lt;2.5,BMILMS!$D$21*AG682^3+BMILMS!$E$21*AG682^2+BMILMS!$F$21*AG682+BMILMS!$G$21,IF(AG682&lt;9.5,BMILMS!$D$22*AG682^3+BMILMS!$E$22*AG682^2+BMILMS!$F$22*AG682+BMILMS!$G$22,IF(AG682&lt;26.75,BMILMS!$D$23*AG682^3+BMILMS!$E$23*AG682^2+BMILMS!$F$23*AG682+BMILMS!$G$23,IF(AG682&lt;90,BMILMS!$D$24*AG682^3+BMILMS!$E$24*AG682^2+BMILMS!$F$24*AG682+BMILMS!$G$24,BMILMS!$D$25*AG682^3+BMILMS!$E$25*AG682^2+BMILMS!$F$25*AG682+BMILMS!$G$25))))),(IF(AG682&lt;2.5,BMILMS!$D$27*AG682^3+BMILMS!$E$27*AG682^2+BMILMS!$F$27*AG682+BMILMS!$G$27,IF(AG682&lt;9.5,BMILMS!$D$28*AG682^3+BMILMS!$E$28*AG682^2+BMILMS!$F$28*AG682+BMILMS!$G$28,IF(AG682&lt;26.75,BMILMS!$D$29*AG682^3+BMILMS!$E$29*AG682^2+BMILMS!$F$29*AG682+BMILMS!$G$29,IF(AG682&lt;90,BMILMS!$D$30*AG682^3+BMILMS!$E$30*AG682^2+BMILMS!$F$30*AG682+BMILMS!$G$30,IF(AG682&lt;150,BMILMS!$D$31*AG682^3+BMILMS!$E$31*AG682^2+BMILMS!$F$31*AG682+BMILMS!$G$31,BMILMS!$D$32*AG682^3+BMILMS!$E$32*AG682^2+BMILMS!$F$32*AG682+BMILMS!$G$32)))))))</f>
        <v>12.568967990000001</v>
      </c>
      <c r="AF682" s="24">
        <f>IF(D682="M",(IF(AG682&lt;90,BMILMS!$D$14*AG682^3+BMILMS!$E$14*AG682^2+BMILMS!$F$14*AG682+BMILMS!$G$14,BMILMS!$D$15*AG682^3+BMILMS!$E$15*AG682^2+BMILMS!$F$15*AG682+BMILMS!$G$15)),(IF(AG682&lt;90,BMILMS!$D$17*AG682^3+BMILMS!$E$17*AG682^2+BMILMS!$F$17*AG682+BMILMS!$G$17,BMILMS!$D$18*AG682^3+BMILMS!$E$18*AG682^2+BMILMS!$F$18*AG682+BMILMS!$G$18)))</f>
        <v>8.8969350000000003E-2</v>
      </c>
      <c r="AG682" s="24">
        <f t="shared" si="176"/>
        <v>0</v>
      </c>
      <c r="AI682" s="38">
        <f>IF(D682="M",WeightSDS!P$5*$AG682^7+WeightSDS!Q$5*$AG682^6+WeightSDS!R$5*$AG682^5+WeightSDS!S$5*$AG682^4+WeightSDS!T$5*$AG682^3+WeightSDS!U$5*$AG682^2+WeightSDS!V$5*$AG682+WeightSDS!W$5,IF($AG682&lt;186,WeightSDS!P$8*$AG682^7+WeightSDS!Q$8*$AG682^6+WeightSDS!R$8*$AG682^5+WeightSDS!S$8*$AG682^4+WeightSDS!T$8*$AG682^3+WeightSDS!U$8*$AG682^2+WeightSDS!V$8*$AG682+WeightSDS!W$8,WeightSDS!$U$9-WeightSDS!$V$9*($AG682-WeightSDS!$W$9)))</f>
        <v>0.75407122999999998</v>
      </c>
      <c r="AJ682" s="24">
        <f>IF(D682="M",IF($AG682&lt;45,WeightSDS!M$23*$AG682^10+WeightSDS!N$23*$AG682^9+WeightSDS!O$23*$AG682^8+WeightSDS!P$23*$AG682^7+WeightSDS!Q$23*$AG682^6+WeightSDS!R$23*$AG682^5+WeightSDS!S$23*$AG682^4+WeightSDS!T$23*$AG682^3+WeightSDS!U$23*$AG682^2+WeightSDS!V$23*$AG682+WeightSDS!W$23,IF($AG682&lt;153,WeightSDS!M$25*$AG682^10+WeightSDS!N$25*$AG682^9+WeightSDS!O$25*$AG682^8+WeightSDS!P$25*$AG682^7+WeightSDS!Q$25*$AG682^6+WeightSDS!R$25*$AG682^5+WeightSDS!S$25*$AG682^4+WeightSDS!T$25*$AG682^3+WeightSDS!U$25*$AG682^2+WeightSDS!V$25*$AG682+WeightSDS!W$25,WeightSDS!M$27+WeightSDS!N$27/(1+EXP(WeightSDS!O$27+WeightSDS!P$27*$AG682)))),IF($AG682&lt;43.8,WeightSDS!M$29*$AG682^10+WeightSDS!N$29*$AG682^9+WeightSDS!O$29*$AG682^8+WeightSDS!P$29*$AG682^7+WeightSDS!Q$29*$AG682^6+WeightSDS!R$29*$AG682^5+WeightSDS!S$29*$AG682^4+WeightSDS!T$29*$AG682^3+WeightSDS!U$29*$AG682^2+WeightSDS!V$29*$AG682+WeightSDS!W$29-0.010431*(1-$AG682/210),IF($AG682&lt;123,WeightSDS!M$30*$AG682^10+WeightSDS!N$30*$AG682^9+WeightSDS!O$30*$AG682^8+WeightSDS!P$30*$AG682^7+WeightSDS!Q$30*$AG682^6+WeightSDS!R$30*$AG682^5+WeightSDS!S$30*$AG682^4+WeightSDS!T$30*$AG682^3+WeightSDS!U$30*$AG682^2+WeightSDS!V$30*$AG682+WeightSDS!W$30-0.010431*(1-1/$AG682),WeightSDS!M$32+WeightSDS!N$32/(1+EXP(WeightSDS!O$32+WeightSDS!P$32*$AG682))-0.010431*(1-$AG682/210))))</f>
        <v>2.9500001032655536</v>
      </c>
      <c r="AK682" s="24">
        <f>IF(D682="M",IF($AG682&lt;162,WeightSDS!P$12*$AG682^7+WeightSDS!Q$12*$AG682^6+WeightSDS!R$12*$AG682^5+WeightSDS!S$12*$AG682^4+WeightSDS!T$12*$AG682^3+WeightSDS!U$12*$AG682^2+WeightSDS!V$12*$AG682+WeightSDS!W$12,WeightSDS!P$14*$AG682^7+WeightSDS!Q$14*$AG682^6+WeightSDS!R$14*$AG682^5+WeightSDS!S$14*$AG682^4+WeightSDS!T$14*$AG682^3+WeightSDS!U$14*$AG682^2+WeightSDS!V$14*$AG682+WeightSDS!W$14),IF($AG682&lt;156,WeightSDS!O$17*$AG682^8+WeightSDS!P$17*$AG682^7+WeightSDS!Q$17*$AG682^6+WeightSDS!R$17*$AG682^5+WeightSDS!S$17*$AG682^4+WeightSDS!T$17*$AG682^3+WeightSDS!U$17*$AG682^2+WeightSDS!V$17*$AG682+WeightSDS!W$17,IF($AG682&lt;186,WeightSDS!$U$18+(WeightSDS!$V$18-WeightSDS!$U$18)/24*($AG682-186)+WeightSDS!$W$18*(-$AG682+186)^2-0.005,WeightSDS!$U$18+(WeightSDS!$V$18-WeightSDS!$U$18)/24*($AG682-186)-0.005)))</f>
        <v>0.14604529399999999</v>
      </c>
    </row>
    <row r="683" spans="1:37">
      <c r="A683" s="4"/>
      <c r="B683" s="21"/>
      <c r="C683" s="21"/>
      <c r="D683" s="21"/>
      <c r="E683" s="22"/>
      <c r="F683" s="22"/>
      <c r="G683" s="23"/>
      <c r="H683" s="23"/>
      <c r="I683" s="8" t="str">
        <f t="shared" si="162"/>
        <v/>
      </c>
      <c r="J683" s="2" t="str">
        <f t="shared" si="169"/>
        <v/>
      </c>
      <c r="K683" s="2" t="str">
        <f t="shared" si="163"/>
        <v/>
      </c>
      <c r="L683" s="2" t="str">
        <f t="shared" si="170"/>
        <v/>
      </c>
      <c r="M683" s="2" t="str">
        <f t="shared" si="175"/>
        <v/>
      </c>
      <c r="N683" s="2" t="str">
        <f t="shared" si="171"/>
        <v/>
      </c>
      <c r="O683" s="8" t="str">
        <f t="shared" si="172"/>
        <v/>
      </c>
      <c r="P683" s="8" t="str">
        <f t="shared" si="173"/>
        <v/>
      </c>
      <c r="Q683" s="40" t="str">
        <f t="shared" si="164"/>
        <v/>
      </c>
      <c r="R683" s="48" t="str">
        <f t="shared" si="174"/>
        <v/>
      </c>
      <c r="S683" s="8"/>
      <c r="U683" s="35">
        <f t="shared" si="165"/>
        <v>0</v>
      </c>
      <c r="V683" s="24">
        <f t="shared" si="166"/>
        <v>0</v>
      </c>
      <c r="W683" s="41">
        <f t="shared" si="177"/>
        <v>0</v>
      </c>
      <c r="X683" s="31"/>
      <c r="Y683" s="31"/>
      <c r="Z683" s="31"/>
      <c r="AA683" s="25">
        <f t="shared" si="167"/>
        <v>9.0359999999999996</v>
      </c>
      <c r="AB683" s="25">
        <f t="shared" si="168"/>
        <v>-184.49199999999999</v>
      </c>
      <c r="AD683" s="24">
        <f>IF(D683="M",IF(AG683&lt;78,BMILMS!$D$5*AG683^3+BMILMS!$E$5*AG683^2+BMILMS!$F$5*AG683+BMILMS!$G$5,IF(AG683&lt;150,BMILMS!$D$6*AG683^3+BMILMS!$E$6*AG683^2+BMILMS!$F$6*AG683+BMILMS!$G$6,BMILMS!$D$7*AG683^3+BMILMS!$E$7*AG683^2+BMILMS!$F$7*AG683+BMILMS!$G$7)),IF(AG683&lt;69,BMILMS!$D$9*AG683^3+BMILMS!$E$9*AG683^2+BMILMS!$F$9*AG683+BMILMS!$G$9,IF(AG683&lt;150,BMILMS!$D$10*AG683^3+BMILMS!$E$10*AG683^2+BMILMS!$F$10*AG683+BMILMS!$G$10,BMILMS!$D$11*AG683^3+BMILMS!$E$11*AG683^2+BMILMS!$F$11*AG683+BMILMS!$G$11)))</f>
        <v>0.79584630099999998</v>
      </c>
      <c r="AE683" s="24">
        <f>IF(D683="M",(IF(AG683&lt;2.5,BMILMS!$D$21*AG683^3+BMILMS!$E$21*AG683^2+BMILMS!$F$21*AG683+BMILMS!$G$21,IF(AG683&lt;9.5,BMILMS!$D$22*AG683^3+BMILMS!$E$22*AG683^2+BMILMS!$F$22*AG683+BMILMS!$G$22,IF(AG683&lt;26.75,BMILMS!$D$23*AG683^3+BMILMS!$E$23*AG683^2+BMILMS!$F$23*AG683+BMILMS!$G$23,IF(AG683&lt;90,BMILMS!$D$24*AG683^3+BMILMS!$E$24*AG683^2+BMILMS!$F$24*AG683+BMILMS!$G$24,BMILMS!$D$25*AG683^3+BMILMS!$E$25*AG683^2+BMILMS!$F$25*AG683+BMILMS!$G$25))))),(IF(AG683&lt;2.5,BMILMS!$D$27*AG683^3+BMILMS!$E$27*AG683^2+BMILMS!$F$27*AG683+BMILMS!$G$27,IF(AG683&lt;9.5,BMILMS!$D$28*AG683^3+BMILMS!$E$28*AG683^2+BMILMS!$F$28*AG683+BMILMS!$G$28,IF(AG683&lt;26.75,BMILMS!$D$29*AG683^3+BMILMS!$E$29*AG683^2+BMILMS!$F$29*AG683+BMILMS!$G$29,IF(AG683&lt;90,BMILMS!$D$30*AG683^3+BMILMS!$E$30*AG683^2+BMILMS!$F$30*AG683+BMILMS!$G$30,IF(AG683&lt;150,BMILMS!$D$31*AG683^3+BMILMS!$E$31*AG683^2+BMILMS!$F$31*AG683+BMILMS!$G$31,BMILMS!$D$32*AG683^3+BMILMS!$E$32*AG683^2+BMILMS!$F$32*AG683+BMILMS!$G$32)))))))</f>
        <v>12.568967990000001</v>
      </c>
      <c r="AF683" s="24">
        <f>IF(D683="M",(IF(AG683&lt;90,BMILMS!$D$14*AG683^3+BMILMS!$E$14*AG683^2+BMILMS!$F$14*AG683+BMILMS!$G$14,BMILMS!$D$15*AG683^3+BMILMS!$E$15*AG683^2+BMILMS!$F$15*AG683+BMILMS!$G$15)),(IF(AG683&lt;90,BMILMS!$D$17*AG683^3+BMILMS!$E$17*AG683^2+BMILMS!$F$17*AG683+BMILMS!$G$17,BMILMS!$D$18*AG683^3+BMILMS!$E$18*AG683^2+BMILMS!$F$18*AG683+BMILMS!$G$18)))</f>
        <v>8.8969350000000003E-2</v>
      </c>
      <c r="AG683" s="24">
        <f t="shared" si="176"/>
        <v>0</v>
      </c>
      <c r="AI683" s="38">
        <f>IF(D683="M",WeightSDS!P$5*$AG683^7+WeightSDS!Q$5*$AG683^6+WeightSDS!R$5*$AG683^5+WeightSDS!S$5*$AG683^4+WeightSDS!T$5*$AG683^3+WeightSDS!U$5*$AG683^2+WeightSDS!V$5*$AG683+WeightSDS!W$5,IF($AG683&lt;186,WeightSDS!P$8*$AG683^7+WeightSDS!Q$8*$AG683^6+WeightSDS!R$8*$AG683^5+WeightSDS!S$8*$AG683^4+WeightSDS!T$8*$AG683^3+WeightSDS!U$8*$AG683^2+WeightSDS!V$8*$AG683+WeightSDS!W$8,WeightSDS!$U$9-WeightSDS!$V$9*($AG683-WeightSDS!$W$9)))</f>
        <v>0.75407122999999998</v>
      </c>
      <c r="AJ683" s="24">
        <f>IF(D683="M",IF($AG683&lt;45,WeightSDS!M$23*$AG683^10+WeightSDS!N$23*$AG683^9+WeightSDS!O$23*$AG683^8+WeightSDS!P$23*$AG683^7+WeightSDS!Q$23*$AG683^6+WeightSDS!R$23*$AG683^5+WeightSDS!S$23*$AG683^4+WeightSDS!T$23*$AG683^3+WeightSDS!U$23*$AG683^2+WeightSDS!V$23*$AG683+WeightSDS!W$23,IF($AG683&lt;153,WeightSDS!M$25*$AG683^10+WeightSDS!N$25*$AG683^9+WeightSDS!O$25*$AG683^8+WeightSDS!P$25*$AG683^7+WeightSDS!Q$25*$AG683^6+WeightSDS!R$25*$AG683^5+WeightSDS!S$25*$AG683^4+WeightSDS!T$25*$AG683^3+WeightSDS!U$25*$AG683^2+WeightSDS!V$25*$AG683+WeightSDS!W$25,WeightSDS!M$27+WeightSDS!N$27/(1+EXP(WeightSDS!O$27+WeightSDS!P$27*$AG683)))),IF($AG683&lt;43.8,WeightSDS!M$29*$AG683^10+WeightSDS!N$29*$AG683^9+WeightSDS!O$29*$AG683^8+WeightSDS!P$29*$AG683^7+WeightSDS!Q$29*$AG683^6+WeightSDS!R$29*$AG683^5+WeightSDS!S$29*$AG683^4+WeightSDS!T$29*$AG683^3+WeightSDS!U$29*$AG683^2+WeightSDS!V$29*$AG683+WeightSDS!W$29-0.010431*(1-$AG683/210),IF($AG683&lt;123,WeightSDS!M$30*$AG683^10+WeightSDS!N$30*$AG683^9+WeightSDS!O$30*$AG683^8+WeightSDS!P$30*$AG683^7+WeightSDS!Q$30*$AG683^6+WeightSDS!R$30*$AG683^5+WeightSDS!S$30*$AG683^4+WeightSDS!T$30*$AG683^3+WeightSDS!U$30*$AG683^2+WeightSDS!V$30*$AG683+WeightSDS!W$30-0.010431*(1-1/$AG683),WeightSDS!M$32+WeightSDS!N$32/(1+EXP(WeightSDS!O$32+WeightSDS!P$32*$AG683))-0.010431*(1-$AG683/210))))</f>
        <v>2.9500001032655536</v>
      </c>
      <c r="AK683" s="24">
        <f>IF(D683="M",IF($AG683&lt;162,WeightSDS!P$12*$AG683^7+WeightSDS!Q$12*$AG683^6+WeightSDS!R$12*$AG683^5+WeightSDS!S$12*$AG683^4+WeightSDS!T$12*$AG683^3+WeightSDS!U$12*$AG683^2+WeightSDS!V$12*$AG683+WeightSDS!W$12,WeightSDS!P$14*$AG683^7+WeightSDS!Q$14*$AG683^6+WeightSDS!R$14*$AG683^5+WeightSDS!S$14*$AG683^4+WeightSDS!T$14*$AG683^3+WeightSDS!U$14*$AG683^2+WeightSDS!V$14*$AG683+WeightSDS!W$14),IF($AG683&lt;156,WeightSDS!O$17*$AG683^8+WeightSDS!P$17*$AG683^7+WeightSDS!Q$17*$AG683^6+WeightSDS!R$17*$AG683^5+WeightSDS!S$17*$AG683^4+WeightSDS!T$17*$AG683^3+WeightSDS!U$17*$AG683^2+WeightSDS!V$17*$AG683+WeightSDS!W$17,IF($AG683&lt;186,WeightSDS!$U$18+(WeightSDS!$V$18-WeightSDS!$U$18)/24*($AG683-186)+WeightSDS!$W$18*(-$AG683+186)^2-0.005,WeightSDS!$U$18+(WeightSDS!$V$18-WeightSDS!$U$18)/24*($AG683-186)-0.005)))</f>
        <v>0.14604529399999999</v>
      </c>
    </row>
    <row r="684" spans="1:37">
      <c r="A684" s="4"/>
      <c r="B684" s="21"/>
      <c r="C684" s="21"/>
      <c r="D684" s="21"/>
      <c r="E684" s="22"/>
      <c r="F684" s="22"/>
      <c r="G684" s="23"/>
      <c r="H684" s="23"/>
      <c r="I684" s="8" t="str">
        <f t="shared" si="162"/>
        <v/>
      </c>
      <c r="J684" s="2" t="str">
        <f t="shared" si="169"/>
        <v/>
      </c>
      <c r="K684" s="2" t="str">
        <f t="shared" si="163"/>
        <v/>
      </c>
      <c r="L684" s="2" t="str">
        <f t="shared" si="170"/>
        <v/>
      </c>
      <c r="M684" s="2" t="str">
        <f t="shared" si="175"/>
        <v/>
      </c>
      <c r="N684" s="2" t="str">
        <f t="shared" si="171"/>
        <v/>
      </c>
      <c r="O684" s="8" t="str">
        <f t="shared" si="172"/>
        <v/>
      </c>
      <c r="P684" s="8" t="str">
        <f t="shared" si="173"/>
        <v/>
      </c>
      <c r="Q684" s="40" t="str">
        <f t="shared" si="164"/>
        <v/>
      </c>
      <c r="R684" s="48" t="str">
        <f t="shared" si="174"/>
        <v/>
      </c>
      <c r="S684" s="8"/>
      <c r="U684" s="35">
        <f t="shared" si="165"/>
        <v>0</v>
      </c>
      <c r="V684" s="24">
        <f t="shared" si="166"/>
        <v>0</v>
      </c>
      <c r="W684" s="41">
        <f t="shared" si="177"/>
        <v>0</v>
      </c>
      <c r="X684" s="31"/>
      <c r="Y684" s="31"/>
      <c r="Z684" s="31"/>
      <c r="AA684" s="25">
        <f t="shared" si="167"/>
        <v>9.0359999999999996</v>
      </c>
      <c r="AB684" s="25">
        <f t="shared" si="168"/>
        <v>-184.49199999999999</v>
      </c>
      <c r="AD684" s="24">
        <f>IF(D684="M",IF(AG684&lt;78,BMILMS!$D$5*AG684^3+BMILMS!$E$5*AG684^2+BMILMS!$F$5*AG684+BMILMS!$G$5,IF(AG684&lt;150,BMILMS!$D$6*AG684^3+BMILMS!$E$6*AG684^2+BMILMS!$F$6*AG684+BMILMS!$G$6,BMILMS!$D$7*AG684^3+BMILMS!$E$7*AG684^2+BMILMS!$F$7*AG684+BMILMS!$G$7)),IF(AG684&lt;69,BMILMS!$D$9*AG684^3+BMILMS!$E$9*AG684^2+BMILMS!$F$9*AG684+BMILMS!$G$9,IF(AG684&lt;150,BMILMS!$D$10*AG684^3+BMILMS!$E$10*AG684^2+BMILMS!$F$10*AG684+BMILMS!$G$10,BMILMS!$D$11*AG684^3+BMILMS!$E$11*AG684^2+BMILMS!$F$11*AG684+BMILMS!$G$11)))</f>
        <v>0.79584630099999998</v>
      </c>
      <c r="AE684" s="24">
        <f>IF(D684="M",(IF(AG684&lt;2.5,BMILMS!$D$21*AG684^3+BMILMS!$E$21*AG684^2+BMILMS!$F$21*AG684+BMILMS!$G$21,IF(AG684&lt;9.5,BMILMS!$D$22*AG684^3+BMILMS!$E$22*AG684^2+BMILMS!$F$22*AG684+BMILMS!$G$22,IF(AG684&lt;26.75,BMILMS!$D$23*AG684^3+BMILMS!$E$23*AG684^2+BMILMS!$F$23*AG684+BMILMS!$G$23,IF(AG684&lt;90,BMILMS!$D$24*AG684^3+BMILMS!$E$24*AG684^2+BMILMS!$F$24*AG684+BMILMS!$G$24,BMILMS!$D$25*AG684^3+BMILMS!$E$25*AG684^2+BMILMS!$F$25*AG684+BMILMS!$G$25))))),(IF(AG684&lt;2.5,BMILMS!$D$27*AG684^3+BMILMS!$E$27*AG684^2+BMILMS!$F$27*AG684+BMILMS!$G$27,IF(AG684&lt;9.5,BMILMS!$D$28*AG684^3+BMILMS!$E$28*AG684^2+BMILMS!$F$28*AG684+BMILMS!$G$28,IF(AG684&lt;26.75,BMILMS!$D$29*AG684^3+BMILMS!$E$29*AG684^2+BMILMS!$F$29*AG684+BMILMS!$G$29,IF(AG684&lt;90,BMILMS!$D$30*AG684^3+BMILMS!$E$30*AG684^2+BMILMS!$F$30*AG684+BMILMS!$G$30,IF(AG684&lt;150,BMILMS!$D$31*AG684^3+BMILMS!$E$31*AG684^2+BMILMS!$F$31*AG684+BMILMS!$G$31,BMILMS!$D$32*AG684^3+BMILMS!$E$32*AG684^2+BMILMS!$F$32*AG684+BMILMS!$G$32)))))))</f>
        <v>12.568967990000001</v>
      </c>
      <c r="AF684" s="24">
        <f>IF(D684="M",(IF(AG684&lt;90,BMILMS!$D$14*AG684^3+BMILMS!$E$14*AG684^2+BMILMS!$F$14*AG684+BMILMS!$G$14,BMILMS!$D$15*AG684^3+BMILMS!$E$15*AG684^2+BMILMS!$F$15*AG684+BMILMS!$G$15)),(IF(AG684&lt;90,BMILMS!$D$17*AG684^3+BMILMS!$E$17*AG684^2+BMILMS!$F$17*AG684+BMILMS!$G$17,BMILMS!$D$18*AG684^3+BMILMS!$E$18*AG684^2+BMILMS!$F$18*AG684+BMILMS!$G$18)))</f>
        <v>8.8969350000000003E-2</v>
      </c>
      <c r="AG684" s="24">
        <f t="shared" si="176"/>
        <v>0</v>
      </c>
      <c r="AI684" s="38">
        <f>IF(D684="M",WeightSDS!P$5*$AG684^7+WeightSDS!Q$5*$AG684^6+WeightSDS!R$5*$AG684^5+WeightSDS!S$5*$AG684^4+WeightSDS!T$5*$AG684^3+WeightSDS!U$5*$AG684^2+WeightSDS!V$5*$AG684+WeightSDS!W$5,IF($AG684&lt;186,WeightSDS!P$8*$AG684^7+WeightSDS!Q$8*$AG684^6+WeightSDS!R$8*$AG684^5+WeightSDS!S$8*$AG684^4+WeightSDS!T$8*$AG684^3+WeightSDS!U$8*$AG684^2+WeightSDS!V$8*$AG684+WeightSDS!W$8,WeightSDS!$U$9-WeightSDS!$V$9*($AG684-WeightSDS!$W$9)))</f>
        <v>0.75407122999999998</v>
      </c>
      <c r="AJ684" s="24">
        <f>IF(D684="M",IF($AG684&lt;45,WeightSDS!M$23*$AG684^10+WeightSDS!N$23*$AG684^9+WeightSDS!O$23*$AG684^8+WeightSDS!P$23*$AG684^7+WeightSDS!Q$23*$AG684^6+WeightSDS!R$23*$AG684^5+WeightSDS!S$23*$AG684^4+WeightSDS!T$23*$AG684^3+WeightSDS!U$23*$AG684^2+WeightSDS!V$23*$AG684+WeightSDS!W$23,IF($AG684&lt;153,WeightSDS!M$25*$AG684^10+WeightSDS!N$25*$AG684^9+WeightSDS!O$25*$AG684^8+WeightSDS!P$25*$AG684^7+WeightSDS!Q$25*$AG684^6+WeightSDS!R$25*$AG684^5+WeightSDS!S$25*$AG684^4+WeightSDS!T$25*$AG684^3+WeightSDS!U$25*$AG684^2+WeightSDS!V$25*$AG684+WeightSDS!W$25,WeightSDS!M$27+WeightSDS!N$27/(1+EXP(WeightSDS!O$27+WeightSDS!P$27*$AG684)))),IF($AG684&lt;43.8,WeightSDS!M$29*$AG684^10+WeightSDS!N$29*$AG684^9+WeightSDS!O$29*$AG684^8+WeightSDS!P$29*$AG684^7+WeightSDS!Q$29*$AG684^6+WeightSDS!R$29*$AG684^5+WeightSDS!S$29*$AG684^4+WeightSDS!T$29*$AG684^3+WeightSDS!U$29*$AG684^2+WeightSDS!V$29*$AG684+WeightSDS!W$29-0.010431*(1-$AG684/210),IF($AG684&lt;123,WeightSDS!M$30*$AG684^10+WeightSDS!N$30*$AG684^9+WeightSDS!O$30*$AG684^8+WeightSDS!P$30*$AG684^7+WeightSDS!Q$30*$AG684^6+WeightSDS!R$30*$AG684^5+WeightSDS!S$30*$AG684^4+WeightSDS!T$30*$AG684^3+WeightSDS!U$30*$AG684^2+WeightSDS!V$30*$AG684+WeightSDS!W$30-0.010431*(1-1/$AG684),WeightSDS!M$32+WeightSDS!N$32/(1+EXP(WeightSDS!O$32+WeightSDS!P$32*$AG684))-0.010431*(1-$AG684/210))))</f>
        <v>2.9500001032655536</v>
      </c>
      <c r="AK684" s="24">
        <f>IF(D684="M",IF($AG684&lt;162,WeightSDS!P$12*$AG684^7+WeightSDS!Q$12*$AG684^6+WeightSDS!R$12*$AG684^5+WeightSDS!S$12*$AG684^4+WeightSDS!T$12*$AG684^3+WeightSDS!U$12*$AG684^2+WeightSDS!V$12*$AG684+WeightSDS!W$12,WeightSDS!P$14*$AG684^7+WeightSDS!Q$14*$AG684^6+WeightSDS!R$14*$AG684^5+WeightSDS!S$14*$AG684^4+WeightSDS!T$14*$AG684^3+WeightSDS!U$14*$AG684^2+WeightSDS!V$14*$AG684+WeightSDS!W$14),IF($AG684&lt;156,WeightSDS!O$17*$AG684^8+WeightSDS!P$17*$AG684^7+WeightSDS!Q$17*$AG684^6+WeightSDS!R$17*$AG684^5+WeightSDS!S$17*$AG684^4+WeightSDS!T$17*$AG684^3+WeightSDS!U$17*$AG684^2+WeightSDS!V$17*$AG684+WeightSDS!W$17,IF($AG684&lt;186,WeightSDS!$U$18+(WeightSDS!$V$18-WeightSDS!$U$18)/24*($AG684-186)+WeightSDS!$W$18*(-$AG684+186)^2-0.005,WeightSDS!$U$18+(WeightSDS!$V$18-WeightSDS!$U$18)/24*($AG684-186)-0.005)))</f>
        <v>0.14604529399999999</v>
      </c>
    </row>
    <row r="685" spans="1:37">
      <c r="A685" s="4"/>
      <c r="B685" s="21"/>
      <c r="C685" s="21"/>
      <c r="D685" s="21"/>
      <c r="E685" s="22"/>
      <c r="F685" s="22"/>
      <c r="G685" s="23"/>
      <c r="H685" s="23"/>
      <c r="I685" s="8" t="str">
        <f t="shared" si="162"/>
        <v/>
      </c>
      <c r="J685" s="2" t="str">
        <f t="shared" si="169"/>
        <v/>
      </c>
      <c r="K685" s="2" t="str">
        <f t="shared" si="163"/>
        <v/>
      </c>
      <c r="L685" s="2" t="str">
        <f t="shared" si="170"/>
        <v/>
      </c>
      <c r="M685" s="2" t="str">
        <f t="shared" si="175"/>
        <v/>
      </c>
      <c r="N685" s="2" t="str">
        <f t="shared" si="171"/>
        <v/>
      </c>
      <c r="O685" s="8" t="str">
        <f t="shared" si="172"/>
        <v/>
      </c>
      <c r="P685" s="8" t="str">
        <f t="shared" si="173"/>
        <v/>
      </c>
      <c r="Q685" s="40" t="str">
        <f t="shared" si="164"/>
        <v/>
      </c>
      <c r="R685" s="48" t="str">
        <f t="shared" si="174"/>
        <v/>
      </c>
      <c r="S685" s="8"/>
      <c r="U685" s="35">
        <f t="shared" si="165"/>
        <v>0</v>
      </c>
      <c r="V685" s="24">
        <f t="shared" si="166"/>
        <v>0</v>
      </c>
      <c r="W685" s="41">
        <f t="shared" si="177"/>
        <v>0</v>
      </c>
      <c r="X685" s="31"/>
      <c r="Y685" s="31"/>
      <c r="Z685" s="31"/>
      <c r="AA685" s="25">
        <f t="shared" si="167"/>
        <v>9.0359999999999996</v>
      </c>
      <c r="AB685" s="25">
        <f t="shared" si="168"/>
        <v>-184.49199999999999</v>
      </c>
      <c r="AD685" s="24">
        <f>IF(D685="M",IF(AG685&lt;78,BMILMS!$D$5*AG685^3+BMILMS!$E$5*AG685^2+BMILMS!$F$5*AG685+BMILMS!$G$5,IF(AG685&lt;150,BMILMS!$D$6*AG685^3+BMILMS!$E$6*AG685^2+BMILMS!$F$6*AG685+BMILMS!$G$6,BMILMS!$D$7*AG685^3+BMILMS!$E$7*AG685^2+BMILMS!$F$7*AG685+BMILMS!$G$7)),IF(AG685&lt;69,BMILMS!$D$9*AG685^3+BMILMS!$E$9*AG685^2+BMILMS!$F$9*AG685+BMILMS!$G$9,IF(AG685&lt;150,BMILMS!$D$10*AG685^3+BMILMS!$E$10*AG685^2+BMILMS!$F$10*AG685+BMILMS!$G$10,BMILMS!$D$11*AG685^3+BMILMS!$E$11*AG685^2+BMILMS!$F$11*AG685+BMILMS!$G$11)))</f>
        <v>0.79584630099999998</v>
      </c>
      <c r="AE685" s="24">
        <f>IF(D685="M",(IF(AG685&lt;2.5,BMILMS!$D$21*AG685^3+BMILMS!$E$21*AG685^2+BMILMS!$F$21*AG685+BMILMS!$G$21,IF(AG685&lt;9.5,BMILMS!$D$22*AG685^3+BMILMS!$E$22*AG685^2+BMILMS!$F$22*AG685+BMILMS!$G$22,IF(AG685&lt;26.75,BMILMS!$D$23*AG685^3+BMILMS!$E$23*AG685^2+BMILMS!$F$23*AG685+BMILMS!$G$23,IF(AG685&lt;90,BMILMS!$D$24*AG685^3+BMILMS!$E$24*AG685^2+BMILMS!$F$24*AG685+BMILMS!$G$24,BMILMS!$D$25*AG685^3+BMILMS!$E$25*AG685^2+BMILMS!$F$25*AG685+BMILMS!$G$25))))),(IF(AG685&lt;2.5,BMILMS!$D$27*AG685^3+BMILMS!$E$27*AG685^2+BMILMS!$F$27*AG685+BMILMS!$G$27,IF(AG685&lt;9.5,BMILMS!$D$28*AG685^3+BMILMS!$E$28*AG685^2+BMILMS!$F$28*AG685+BMILMS!$G$28,IF(AG685&lt;26.75,BMILMS!$D$29*AG685^3+BMILMS!$E$29*AG685^2+BMILMS!$F$29*AG685+BMILMS!$G$29,IF(AG685&lt;90,BMILMS!$D$30*AG685^3+BMILMS!$E$30*AG685^2+BMILMS!$F$30*AG685+BMILMS!$G$30,IF(AG685&lt;150,BMILMS!$D$31*AG685^3+BMILMS!$E$31*AG685^2+BMILMS!$F$31*AG685+BMILMS!$G$31,BMILMS!$D$32*AG685^3+BMILMS!$E$32*AG685^2+BMILMS!$F$32*AG685+BMILMS!$G$32)))))))</f>
        <v>12.568967990000001</v>
      </c>
      <c r="AF685" s="24">
        <f>IF(D685="M",(IF(AG685&lt;90,BMILMS!$D$14*AG685^3+BMILMS!$E$14*AG685^2+BMILMS!$F$14*AG685+BMILMS!$G$14,BMILMS!$D$15*AG685^3+BMILMS!$E$15*AG685^2+BMILMS!$F$15*AG685+BMILMS!$G$15)),(IF(AG685&lt;90,BMILMS!$D$17*AG685^3+BMILMS!$E$17*AG685^2+BMILMS!$F$17*AG685+BMILMS!$G$17,BMILMS!$D$18*AG685^3+BMILMS!$E$18*AG685^2+BMILMS!$F$18*AG685+BMILMS!$G$18)))</f>
        <v>8.8969350000000003E-2</v>
      </c>
      <c r="AG685" s="24">
        <f t="shared" si="176"/>
        <v>0</v>
      </c>
      <c r="AI685" s="38">
        <f>IF(D685="M",WeightSDS!P$5*$AG685^7+WeightSDS!Q$5*$AG685^6+WeightSDS!R$5*$AG685^5+WeightSDS!S$5*$AG685^4+WeightSDS!T$5*$AG685^3+WeightSDS!U$5*$AG685^2+WeightSDS!V$5*$AG685+WeightSDS!W$5,IF($AG685&lt;186,WeightSDS!P$8*$AG685^7+WeightSDS!Q$8*$AG685^6+WeightSDS!R$8*$AG685^5+WeightSDS!S$8*$AG685^4+WeightSDS!T$8*$AG685^3+WeightSDS!U$8*$AG685^2+WeightSDS!V$8*$AG685+WeightSDS!W$8,WeightSDS!$U$9-WeightSDS!$V$9*($AG685-WeightSDS!$W$9)))</f>
        <v>0.75407122999999998</v>
      </c>
      <c r="AJ685" s="24">
        <f>IF(D685="M",IF($AG685&lt;45,WeightSDS!M$23*$AG685^10+WeightSDS!N$23*$AG685^9+WeightSDS!O$23*$AG685^8+WeightSDS!P$23*$AG685^7+WeightSDS!Q$23*$AG685^6+WeightSDS!R$23*$AG685^5+WeightSDS!S$23*$AG685^4+WeightSDS!T$23*$AG685^3+WeightSDS!U$23*$AG685^2+WeightSDS!V$23*$AG685+WeightSDS!W$23,IF($AG685&lt;153,WeightSDS!M$25*$AG685^10+WeightSDS!N$25*$AG685^9+WeightSDS!O$25*$AG685^8+WeightSDS!P$25*$AG685^7+WeightSDS!Q$25*$AG685^6+WeightSDS!R$25*$AG685^5+WeightSDS!S$25*$AG685^4+WeightSDS!T$25*$AG685^3+WeightSDS!U$25*$AG685^2+WeightSDS!V$25*$AG685+WeightSDS!W$25,WeightSDS!M$27+WeightSDS!N$27/(1+EXP(WeightSDS!O$27+WeightSDS!P$27*$AG685)))),IF($AG685&lt;43.8,WeightSDS!M$29*$AG685^10+WeightSDS!N$29*$AG685^9+WeightSDS!O$29*$AG685^8+WeightSDS!P$29*$AG685^7+WeightSDS!Q$29*$AG685^6+WeightSDS!R$29*$AG685^5+WeightSDS!S$29*$AG685^4+WeightSDS!T$29*$AG685^3+WeightSDS!U$29*$AG685^2+WeightSDS!V$29*$AG685+WeightSDS!W$29-0.010431*(1-$AG685/210),IF($AG685&lt;123,WeightSDS!M$30*$AG685^10+WeightSDS!N$30*$AG685^9+WeightSDS!O$30*$AG685^8+WeightSDS!P$30*$AG685^7+WeightSDS!Q$30*$AG685^6+WeightSDS!R$30*$AG685^5+WeightSDS!S$30*$AG685^4+WeightSDS!T$30*$AG685^3+WeightSDS!U$30*$AG685^2+WeightSDS!V$30*$AG685+WeightSDS!W$30-0.010431*(1-1/$AG685),WeightSDS!M$32+WeightSDS!N$32/(1+EXP(WeightSDS!O$32+WeightSDS!P$32*$AG685))-0.010431*(1-$AG685/210))))</f>
        <v>2.9500001032655536</v>
      </c>
      <c r="AK685" s="24">
        <f>IF(D685="M",IF($AG685&lt;162,WeightSDS!P$12*$AG685^7+WeightSDS!Q$12*$AG685^6+WeightSDS!R$12*$AG685^5+WeightSDS!S$12*$AG685^4+WeightSDS!T$12*$AG685^3+WeightSDS!U$12*$AG685^2+WeightSDS!V$12*$AG685+WeightSDS!W$12,WeightSDS!P$14*$AG685^7+WeightSDS!Q$14*$AG685^6+WeightSDS!R$14*$AG685^5+WeightSDS!S$14*$AG685^4+WeightSDS!T$14*$AG685^3+WeightSDS!U$14*$AG685^2+WeightSDS!V$14*$AG685+WeightSDS!W$14),IF($AG685&lt;156,WeightSDS!O$17*$AG685^8+WeightSDS!P$17*$AG685^7+WeightSDS!Q$17*$AG685^6+WeightSDS!R$17*$AG685^5+WeightSDS!S$17*$AG685^4+WeightSDS!T$17*$AG685^3+WeightSDS!U$17*$AG685^2+WeightSDS!V$17*$AG685+WeightSDS!W$17,IF($AG685&lt;186,WeightSDS!$U$18+(WeightSDS!$V$18-WeightSDS!$U$18)/24*($AG685-186)+WeightSDS!$W$18*(-$AG685+186)^2-0.005,WeightSDS!$U$18+(WeightSDS!$V$18-WeightSDS!$U$18)/24*($AG685-186)-0.005)))</f>
        <v>0.14604529399999999</v>
      </c>
    </row>
    <row r="686" spans="1:37">
      <c r="A686" s="4"/>
      <c r="B686" s="21"/>
      <c r="C686" s="21"/>
      <c r="D686" s="21"/>
      <c r="E686" s="22"/>
      <c r="F686" s="22"/>
      <c r="G686" s="23"/>
      <c r="H686" s="23"/>
      <c r="I686" s="8" t="str">
        <f t="shared" si="162"/>
        <v/>
      </c>
      <c r="J686" s="2" t="str">
        <f t="shared" si="169"/>
        <v/>
      </c>
      <c r="K686" s="2" t="str">
        <f t="shared" si="163"/>
        <v/>
      </c>
      <c r="L686" s="2" t="str">
        <f t="shared" si="170"/>
        <v/>
      </c>
      <c r="M686" s="2" t="str">
        <f t="shared" si="175"/>
        <v/>
      </c>
      <c r="N686" s="2" t="str">
        <f t="shared" si="171"/>
        <v/>
      </c>
      <c r="O686" s="8" t="str">
        <f t="shared" si="172"/>
        <v/>
      </c>
      <c r="P686" s="8" t="str">
        <f t="shared" si="173"/>
        <v/>
      </c>
      <c r="Q686" s="40" t="str">
        <f t="shared" si="164"/>
        <v/>
      </c>
      <c r="R686" s="48" t="str">
        <f t="shared" si="174"/>
        <v/>
      </c>
      <c r="S686" s="8"/>
      <c r="U686" s="35">
        <f t="shared" si="165"/>
        <v>0</v>
      </c>
      <c r="V686" s="24">
        <f t="shared" si="166"/>
        <v>0</v>
      </c>
      <c r="W686" s="41">
        <f t="shared" si="177"/>
        <v>0</v>
      </c>
      <c r="X686" s="31"/>
      <c r="Y686" s="31"/>
      <c r="Z686" s="31"/>
      <c r="AA686" s="25">
        <f t="shared" si="167"/>
        <v>9.0359999999999996</v>
      </c>
      <c r="AB686" s="25">
        <f t="shared" si="168"/>
        <v>-184.49199999999999</v>
      </c>
      <c r="AD686" s="24">
        <f>IF(D686="M",IF(AG686&lt;78,BMILMS!$D$5*AG686^3+BMILMS!$E$5*AG686^2+BMILMS!$F$5*AG686+BMILMS!$G$5,IF(AG686&lt;150,BMILMS!$D$6*AG686^3+BMILMS!$E$6*AG686^2+BMILMS!$F$6*AG686+BMILMS!$G$6,BMILMS!$D$7*AG686^3+BMILMS!$E$7*AG686^2+BMILMS!$F$7*AG686+BMILMS!$G$7)),IF(AG686&lt;69,BMILMS!$D$9*AG686^3+BMILMS!$E$9*AG686^2+BMILMS!$F$9*AG686+BMILMS!$G$9,IF(AG686&lt;150,BMILMS!$D$10*AG686^3+BMILMS!$E$10*AG686^2+BMILMS!$F$10*AG686+BMILMS!$G$10,BMILMS!$D$11*AG686^3+BMILMS!$E$11*AG686^2+BMILMS!$F$11*AG686+BMILMS!$G$11)))</f>
        <v>0.79584630099999998</v>
      </c>
      <c r="AE686" s="24">
        <f>IF(D686="M",(IF(AG686&lt;2.5,BMILMS!$D$21*AG686^3+BMILMS!$E$21*AG686^2+BMILMS!$F$21*AG686+BMILMS!$G$21,IF(AG686&lt;9.5,BMILMS!$D$22*AG686^3+BMILMS!$E$22*AG686^2+BMILMS!$F$22*AG686+BMILMS!$G$22,IF(AG686&lt;26.75,BMILMS!$D$23*AG686^3+BMILMS!$E$23*AG686^2+BMILMS!$F$23*AG686+BMILMS!$G$23,IF(AG686&lt;90,BMILMS!$D$24*AG686^3+BMILMS!$E$24*AG686^2+BMILMS!$F$24*AG686+BMILMS!$G$24,BMILMS!$D$25*AG686^3+BMILMS!$E$25*AG686^2+BMILMS!$F$25*AG686+BMILMS!$G$25))))),(IF(AG686&lt;2.5,BMILMS!$D$27*AG686^3+BMILMS!$E$27*AG686^2+BMILMS!$F$27*AG686+BMILMS!$G$27,IF(AG686&lt;9.5,BMILMS!$D$28*AG686^3+BMILMS!$E$28*AG686^2+BMILMS!$F$28*AG686+BMILMS!$G$28,IF(AG686&lt;26.75,BMILMS!$D$29*AG686^3+BMILMS!$E$29*AG686^2+BMILMS!$F$29*AG686+BMILMS!$G$29,IF(AG686&lt;90,BMILMS!$D$30*AG686^3+BMILMS!$E$30*AG686^2+BMILMS!$F$30*AG686+BMILMS!$G$30,IF(AG686&lt;150,BMILMS!$D$31*AG686^3+BMILMS!$E$31*AG686^2+BMILMS!$F$31*AG686+BMILMS!$G$31,BMILMS!$D$32*AG686^3+BMILMS!$E$32*AG686^2+BMILMS!$F$32*AG686+BMILMS!$G$32)))))))</f>
        <v>12.568967990000001</v>
      </c>
      <c r="AF686" s="24">
        <f>IF(D686="M",(IF(AG686&lt;90,BMILMS!$D$14*AG686^3+BMILMS!$E$14*AG686^2+BMILMS!$F$14*AG686+BMILMS!$G$14,BMILMS!$D$15*AG686^3+BMILMS!$E$15*AG686^2+BMILMS!$F$15*AG686+BMILMS!$G$15)),(IF(AG686&lt;90,BMILMS!$D$17*AG686^3+BMILMS!$E$17*AG686^2+BMILMS!$F$17*AG686+BMILMS!$G$17,BMILMS!$D$18*AG686^3+BMILMS!$E$18*AG686^2+BMILMS!$F$18*AG686+BMILMS!$G$18)))</f>
        <v>8.8969350000000003E-2</v>
      </c>
      <c r="AG686" s="24">
        <f t="shared" si="176"/>
        <v>0</v>
      </c>
      <c r="AI686" s="38">
        <f>IF(D686="M",WeightSDS!P$5*$AG686^7+WeightSDS!Q$5*$AG686^6+WeightSDS!R$5*$AG686^5+WeightSDS!S$5*$AG686^4+WeightSDS!T$5*$AG686^3+WeightSDS!U$5*$AG686^2+WeightSDS!V$5*$AG686+WeightSDS!W$5,IF($AG686&lt;186,WeightSDS!P$8*$AG686^7+WeightSDS!Q$8*$AG686^6+WeightSDS!R$8*$AG686^5+WeightSDS!S$8*$AG686^4+WeightSDS!T$8*$AG686^3+WeightSDS!U$8*$AG686^2+WeightSDS!V$8*$AG686+WeightSDS!W$8,WeightSDS!$U$9-WeightSDS!$V$9*($AG686-WeightSDS!$W$9)))</f>
        <v>0.75407122999999998</v>
      </c>
      <c r="AJ686" s="24">
        <f>IF(D686="M",IF($AG686&lt;45,WeightSDS!M$23*$AG686^10+WeightSDS!N$23*$AG686^9+WeightSDS!O$23*$AG686^8+WeightSDS!P$23*$AG686^7+WeightSDS!Q$23*$AG686^6+WeightSDS!R$23*$AG686^5+WeightSDS!S$23*$AG686^4+WeightSDS!T$23*$AG686^3+WeightSDS!U$23*$AG686^2+WeightSDS!V$23*$AG686+WeightSDS!W$23,IF($AG686&lt;153,WeightSDS!M$25*$AG686^10+WeightSDS!N$25*$AG686^9+WeightSDS!O$25*$AG686^8+WeightSDS!P$25*$AG686^7+WeightSDS!Q$25*$AG686^6+WeightSDS!R$25*$AG686^5+WeightSDS!S$25*$AG686^4+WeightSDS!T$25*$AG686^3+WeightSDS!U$25*$AG686^2+WeightSDS!V$25*$AG686+WeightSDS!W$25,WeightSDS!M$27+WeightSDS!N$27/(1+EXP(WeightSDS!O$27+WeightSDS!P$27*$AG686)))),IF($AG686&lt;43.8,WeightSDS!M$29*$AG686^10+WeightSDS!N$29*$AG686^9+WeightSDS!O$29*$AG686^8+WeightSDS!P$29*$AG686^7+WeightSDS!Q$29*$AG686^6+WeightSDS!R$29*$AG686^5+WeightSDS!S$29*$AG686^4+WeightSDS!T$29*$AG686^3+WeightSDS!U$29*$AG686^2+WeightSDS!V$29*$AG686+WeightSDS!W$29-0.010431*(1-$AG686/210),IF($AG686&lt;123,WeightSDS!M$30*$AG686^10+WeightSDS!N$30*$AG686^9+WeightSDS!O$30*$AG686^8+WeightSDS!P$30*$AG686^7+WeightSDS!Q$30*$AG686^6+WeightSDS!R$30*$AG686^5+WeightSDS!S$30*$AG686^4+WeightSDS!T$30*$AG686^3+WeightSDS!U$30*$AG686^2+WeightSDS!V$30*$AG686+WeightSDS!W$30-0.010431*(1-1/$AG686),WeightSDS!M$32+WeightSDS!N$32/(1+EXP(WeightSDS!O$32+WeightSDS!P$32*$AG686))-0.010431*(1-$AG686/210))))</f>
        <v>2.9500001032655536</v>
      </c>
      <c r="AK686" s="24">
        <f>IF(D686="M",IF($AG686&lt;162,WeightSDS!P$12*$AG686^7+WeightSDS!Q$12*$AG686^6+WeightSDS!R$12*$AG686^5+WeightSDS!S$12*$AG686^4+WeightSDS!T$12*$AG686^3+WeightSDS!U$12*$AG686^2+WeightSDS!V$12*$AG686+WeightSDS!W$12,WeightSDS!P$14*$AG686^7+WeightSDS!Q$14*$AG686^6+WeightSDS!R$14*$AG686^5+WeightSDS!S$14*$AG686^4+WeightSDS!T$14*$AG686^3+WeightSDS!U$14*$AG686^2+WeightSDS!V$14*$AG686+WeightSDS!W$14),IF($AG686&lt;156,WeightSDS!O$17*$AG686^8+WeightSDS!P$17*$AG686^7+WeightSDS!Q$17*$AG686^6+WeightSDS!R$17*$AG686^5+WeightSDS!S$17*$AG686^4+WeightSDS!T$17*$AG686^3+WeightSDS!U$17*$AG686^2+WeightSDS!V$17*$AG686+WeightSDS!W$17,IF($AG686&lt;186,WeightSDS!$U$18+(WeightSDS!$V$18-WeightSDS!$U$18)/24*($AG686-186)+WeightSDS!$W$18*(-$AG686+186)^2-0.005,WeightSDS!$U$18+(WeightSDS!$V$18-WeightSDS!$U$18)/24*($AG686-186)-0.005)))</f>
        <v>0.14604529399999999</v>
      </c>
    </row>
    <row r="687" spans="1:37">
      <c r="A687" s="4"/>
      <c r="B687" s="21"/>
      <c r="C687" s="21"/>
      <c r="D687" s="21"/>
      <c r="E687" s="22"/>
      <c r="F687" s="22"/>
      <c r="G687" s="23"/>
      <c r="H687" s="23"/>
      <c r="I687" s="8" t="str">
        <f t="shared" si="162"/>
        <v/>
      </c>
      <c r="J687" s="2" t="str">
        <f t="shared" si="169"/>
        <v/>
      </c>
      <c r="K687" s="2" t="str">
        <f t="shared" si="163"/>
        <v/>
      </c>
      <c r="L687" s="2" t="str">
        <f t="shared" si="170"/>
        <v/>
      </c>
      <c r="M687" s="2" t="str">
        <f t="shared" si="175"/>
        <v/>
      </c>
      <c r="N687" s="2" t="str">
        <f t="shared" si="171"/>
        <v/>
      </c>
      <c r="O687" s="8" t="str">
        <f t="shared" si="172"/>
        <v/>
      </c>
      <c r="P687" s="8" t="str">
        <f t="shared" si="173"/>
        <v/>
      </c>
      <c r="Q687" s="40" t="str">
        <f t="shared" si="164"/>
        <v/>
      </c>
      <c r="R687" s="48" t="str">
        <f t="shared" si="174"/>
        <v/>
      </c>
      <c r="S687" s="8"/>
      <c r="U687" s="35">
        <f t="shared" si="165"/>
        <v>0</v>
      </c>
      <c r="V687" s="24">
        <f t="shared" si="166"/>
        <v>0</v>
      </c>
      <c r="W687" s="41">
        <f t="shared" si="177"/>
        <v>0</v>
      </c>
      <c r="X687" s="31"/>
      <c r="Y687" s="31"/>
      <c r="Z687" s="31"/>
      <c r="AA687" s="25">
        <f t="shared" si="167"/>
        <v>9.0359999999999996</v>
      </c>
      <c r="AB687" s="25">
        <f t="shared" si="168"/>
        <v>-184.49199999999999</v>
      </c>
      <c r="AD687" s="24">
        <f>IF(D687="M",IF(AG687&lt;78,BMILMS!$D$5*AG687^3+BMILMS!$E$5*AG687^2+BMILMS!$F$5*AG687+BMILMS!$G$5,IF(AG687&lt;150,BMILMS!$D$6*AG687^3+BMILMS!$E$6*AG687^2+BMILMS!$F$6*AG687+BMILMS!$G$6,BMILMS!$D$7*AG687^3+BMILMS!$E$7*AG687^2+BMILMS!$F$7*AG687+BMILMS!$G$7)),IF(AG687&lt;69,BMILMS!$D$9*AG687^3+BMILMS!$E$9*AG687^2+BMILMS!$F$9*AG687+BMILMS!$G$9,IF(AG687&lt;150,BMILMS!$D$10*AG687^3+BMILMS!$E$10*AG687^2+BMILMS!$F$10*AG687+BMILMS!$G$10,BMILMS!$D$11*AG687^3+BMILMS!$E$11*AG687^2+BMILMS!$F$11*AG687+BMILMS!$G$11)))</f>
        <v>0.79584630099999998</v>
      </c>
      <c r="AE687" s="24">
        <f>IF(D687="M",(IF(AG687&lt;2.5,BMILMS!$D$21*AG687^3+BMILMS!$E$21*AG687^2+BMILMS!$F$21*AG687+BMILMS!$G$21,IF(AG687&lt;9.5,BMILMS!$D$22*AG687^3+BMILMS!$E$22*AG687^2+BMILMS!$F$22*AG687+BMILMS!$G$22,IF(AG687&lt;26.75,BMILMS!$D$23*AG687^3+BMILMS!$E$23*AG687^2+BMILMS!$F$23*AG687+BMILMS!$G$23,IF(AG687&lt;90,BMILMS!$D$24*AG687^3+BMILMS!$E$24*AG687^2+BMILMS!$F$24*AG687+BMILMS!$G$24,BMILMS!$D$25*AG687^3+BMILMS!$E$25*AG687^2+BMILMS!$F$25*AG687+BMILMS!$G$25))))),(IF(AG687&lt;2.5,BMILMS!$D$27*AG687^3+BMILMS!$E$27*AG687^2+BMILMS!$F$27*AG687+BMILMS!$G$27,IF(AG687&lt;9.5,BMILMS!$D$28*AG687^3+BMILMS!$E$28*AG687^2+BMILMS!$F$28*AG687+BMILMS!$G$28,IF(AG687&lt;26.75,BMILMS!$D$29*AG687^3+BMILMS!$E$29*AG687^2+BMILMS!$F$29*AG687+BMILMS!$G$29,IF(AG687&lt;90,BMILMS!$D$30*AG687^3+BMILMS!$E$30*AG687^2+BMILMS!$F$30*AG687+BMILMS!$G$30,IF(AG687&lt;150,BMILMS!$D$31*AG687^3+BMILMS!$E$31*AG687^2+BMILMS!$F$31*AG687+BMILMS!$G$31,BMILMS!$D$32*AG687^3+BMILMS!$E$32*AG687^2+BMILMS!$F$32*AG687+BMILMS!$G$32)))))))</f>
        <v>12.568967990000001</v>
      </c>
      <c r="AF687" s="24">
        <f>IF(D687="M",(IF(AG687&lt;90,BMILMS!$D$14*AG687^3+BMILMS!$E$14*AG687^2+BMILMS!$F$14*AG687+BMILMS!$G$14,BMILMS!$D$15*AG687^3+BMILMS!$E$15*AG687^2+BMILMS!$F$15*AG687+BMILMS!$G$15)),(IF(AG687&lt;90,BMILMS!$D$17*AG687^3+BMILMS!$E$17*AG687^2+BMILMS!$F$17*AG687+BMILMS!$G$17,BMILMS!$D$18*AG687^3+BMILMS!$E$18*AG687^2+BMILMS!$F$18*AG687+BMILMS!$G$18)))</f>
        <v>8.8969350000000003E-2</v>
      </c>
      <c r="AG687" s="24">
        <f t="shared" si="176"/>
        <v>0</v>
      </c>
      <c r="AI687" s="38">
        <f>IF(D687="M",WeightSDS!P$5*$AG687^7+WeightSDS!Q$5*$AG687^6+WeightSDS!R$5*$AG687^5+WeightSDS!S$5*$AG687^4+WeightSDS!T$5*$AG687^3+WeightSDS!U$5*$AG687^2+WeightSDS!V$5*$AG687+WeightSDS!W$5,IF($AG687&lt;186,WeightSDS!P$8*$AG687^7+WeightSDS!Q$8*$AG687^6+WeightSDS!R$8*$AG687^5+WeightSDS!S$8*$AG687^4+WeightSDS!T$8*$AG687^3+WeightSDS!U$8*$AG687^2+WeightSDS!V$8*$AG687+WeightSDS!W$8,WeightSDS!$U$9-WeightSDS!$V$9*($AG687-WeightSDS!$W$9)))</f>
        <v>0.75407122999999998</v>
      </c>
      <c r="AJ687" s="24">
        <f>IF(D687="M",IF($AG687&lt;45,WeightSDS!M$23*$AG687^10+WeightSDS!N$23*$AG687^9+WeightSDS!O$23*$AG687^8+WeightSDS!P$23*$AG687^7+WeightSDS!Q$23*$AG687^6+WeightSDS!R$23*$AG687^5+WeightSDS!S$23*$AG687^4+WeightSDS!T$23*$AG687^3+WeightSDS!U$23*$AG687^2+WeightSDS!V$23*$AG687+WeightSDS!W$23,IF($AG687&lt;153,WeightSDS!M$25*$AG687^10+WeightSDS!N$25*$AG687^9+WeightSDS!O$25*$AG687^8+WeightSDS!P$25*$AG687^7+WeightSDS!Q$25*$AG687^6+WeightSDS!R$25*$AG687^5+WeightSDS!S$25*$AG687^4+WeightSDS!T$25*$AG687^3+WeightSDS!U$25*$AG687^2+WeightSDS!V$25*$AG687+WeightSDS!W$25,WeightSDS!M$27+WeightSDS!N$27/(1+EXP(WeightSDS!O$27+WeightSDS!P$27*$AG687)))),IF($AG687&lt;43.8,WeightSDS!M$29*$AG687^10+WeightSDS!N$29*$AG687^9+WeightSDS!O$29*$AG687^8+WeightSDS!P$29*$AG687^7+WeightSDS!Q$29*$AG687^6+WeightSDS!R$29*$AG687^5+WeightSDS!S$29*$AG687^4+WeightSDS!T$29*$AG687^3+WeightSDS!U$29*$AG687^2+WeightSDS!V$29*$AG687+WeightSDS!W$29-0.010431*(1-$AG687/210),IF($AG687&lt;123,WeightSDS!M$30*$AG687^10+WeightSDS!N$30*$AG687^9+WeightSDS!O$30*$AG687^8+WeightSDS!P$30*$AG687^7+WeightSDS!Q$30*$AG687^6+WeightSDS!R$30*$AG687^5+WeightSDS!S$30*$AG687^4+WeightSDS!T$30*$AG687^3+WeightSDS!U$30*$AG687^2+WeightSDS!V$30*$AG687+WeightSDS!W$30-0.010431*(1-1/$AG687),WeightSDS!M$32+WeightSDS!N$32/(1+EXP(WeightSDS!O$32+WeightSDS!P$32*$AG687))-0.010431*(1-$AG687/210))))</f>
        <v>2.9500001032655536</v>
      </c>
      <c r="AK687" s="24">
        <f>IF(D687="M",IF($AG687&lt;162,WeightSDS!P$12*$AG687^7+WeightSDS!Q$12*$AG687^6+WeightSDS!R$12*$AG687^5+WeightSDS!S$12*$AG687^4+WeightSDS!T$12*$AG687^3+WeightSDS!U$12*$AG687^2+WeightSDS!V$12*$AG687+WeightSDS!W$12,WeightSDS!P$14*$AG687^7+WeightSDS!Q$14*$AG687^6+WeightSDS!R$14*$AG687^5+WeightSDS!S$14*$AG687^4+WeightSDS!T$14*$AG687^3+WeightSDS!U$14*$AG687^2+WeightSDS!V$14*$AG687+WeightSDS!W$14),IF($AG687&lt;156,WeightSDS!O$17*$AG687^8+WeightSDS!P$17*$AG687^7+WeightSDS!Q$17*$AG687^6+WeightSDS!R$17*$AG687^5+WeightSDS!S$17*$AG687^4+WeightSDS!T$17*$AG687^3+WeightSDS!U$17*$AG687^2+WeightSDS!V$17*$AG687+WeightSDS!W$17,IF($AG687&lt;186,WeightSDS!$U$18+(WeightSDS!$V$18-WeightSDS!$U$18)/24*($AG687-186)+WeightSDS!$W$18*(-$AG687+186)^2-0.005,WeightSDS!$U$18+(WeightSDS!$V$18-WeightSDS!$U$18)/24*($AG687-186)-0.005)))</f>
        <v>0.14604529399999999</v>
      </c>
    </row>
    <row r="688" spans="1:37">
      <c r="A688" s="4"/>
      <c r="B688" s="21"/>
      <c r="C688" s="21"/>
      <c r="D688" s="21"/>
      <c r="E688" s="22"/>
      <c r="F688" s="22"/>
      <c r="G688" s="23"/>
      <c r="H688" s="23"/>
      <c r="I688" s="8" t="str">
        <f t="shared" si="162"/>
        <v/>
      </c>
      <c r="J688" s="2" t="str">
        <f t="shared" si="169"/>
        <v/>
      </c>
      <c r="K688" s="2" t="str">
        <f t="shared" si="163"/>
        <v/>
      </c>
      <c r="L688" s="2" t="str">
        <f t="shared" si="170"/>
        <v/>
      </c>
      <c r="M688" s="2" t="str">
        <f t="shared" si="175"/>
        <v/>
      </c>
      <c r="N688" s="2" t="str">
        <f t="shared" si="171"/>
        <v/>
      </c>
      <c r="O688" s="8" t="str">
        <f t="shared" si="172"/>
        <v/>
      </c>
      <c r="P688" s="8" t="str">
        <f t="shared" si="173"/>
        <v/>
      </c>
      <c r="Q688" s="40" t="str">
        <f t="shared" si="164"/>
        <v/>
      </c>
      <c r="R688" s="48" t="str">
        <f t="shared" si="174"/>
        <v/>
      </c>
      <c r="S688" s="8"/>
      <c r="U688" s="35">
        <f t="shared" si="165"/>
        <v>0</v>
      </c>
      <c r="V688" s="24">
        <f t="shared" si="166"/>
        <v>0</v>
      </c>
      <c r="W688" s="41">
        <f t="shared" si="177"/>
        <v>0</v>
      </c>
      <c r="X688" s="31"/>
      <c r="Y688" s="31"/>
      <c r="Z688" s="31"/>
      <c r="AA688" s="25">
        <f t="shared" si="167"/>
        <v>9.0359999999999996</v>
      </c>
      <c r="AB688" s="25">
        <f t="shared" si="168"/>
        <v>-184.49199999999999</v>
      </c>
      <c r="AD688" s="24">
        <f>IF(D688="M",IF(AG688&lt;78,BMILMS!$D$5*AG688^3+BMILMS!$E$5*AG688^2+BMILMS!$F$5*AG688+BMILMS!$G$5,IF(AG688&lt;150,BMILMS!$D$6*AG688^3+BMILMS!$E$6*AG688^2+BMILMS!$F$6*AG688+BMILMS!$G$6,BMILMS!$D$7*AG688^3+BMILMS!$E$7*AG688^2+BMILMS!$F$7*AG688+BMILMS!$G$7)),IF(AG688&lt;69,BMILMS!$D$9*AG688^3+BMILMS!$E$9*AG688^2+BMILMS!$F$9*AG688+BMILMS!$G$9,IF(AG688&lt;150,BMILMS!$D$10*AG688^3+BMILMS!$E$10*AG688^2+BMILMS!$F$10*AG688+BMILMS!$G$10,BMILMS!$D$11*AG688^3+BMILMS!$E$11*AG688^2+BMILMS!$F$11*AG688+BMILMS!$G$11)))</f>
        <v>0.79584630099999998</v>
      </c>
      <c r="AE688" s="24">
        <f>IF(D688="M",(IF(AG688&lt;2.5,BMILMS!$D$21*AG688^3+BMILMS!$E$21*AG688^2+BMILMS!$F$21*AG688+BMILMS!$G$21,IF(AG688&lt;9.5,BMILMS!$D$22*AG688^3+BMILMS!$E$22*AG688^2+BMILMS!$F$22*AG688+BMILMS!$G$22,IF(AG688&lt;26.75,BMILMS!$D$23*AG688^3+BMILMS!$E$23*AG688^2+BMILMS!$F$23*AG688+BMILMS!$G$23,IF(AG688&lt;90,BMILMS!$D$24*AG688^3+BMILMS!$E$24*AG688^2+BMILMS!$F$24*AG688+BMILMS!$G$24,BMILMS!$D$25*AG688^3+BMILMS!$E$25*AG688^2+BMILMS!$F$25*AG688+BMILMS!$G$25))))),(IF(AG688&lt;2.5,BMILMS!$D$27*AG688^3+BMILMS!$E$27*AG688^2+BMILMS!$F$27*AG688+BMILMS!$G$27,IF(AG688&lt;9.5,BMILMS!$D$28*AG688^3+BMILMS!$E$28*AG688^2+BMILMS!$F$28*AG688+BMILMS!$G$28,IF(AG688&lt;26.75,BMILMS!$D$29*AG688^3+BMILMS!$E$29*AG688^2+BMILMS!$F$29*AG688+BMILMS!$G$29,IF(AG688&lt;90,BMILMS!$D$30*AG688^3+BMILMS!$E$30*AG688^2+BMILMS!$F$30*AG688+BMILMS!$G$30,IF(AG688&lt;150,BMILMS!$D$31*AG688^3+BMILMS!$E$31*AG688^2+BMILMS!$F$31*AG688+BMILMS!$G$31,BMILMS!$D$32*AG688^3+BMILMS!$E$32*AG688^2+BMILMS!$F$32*AG688+BMILMS!$G$32)))))))</f>
        <v>12.568967990000001</v>
      </c>
      <c r="AF688" s="24">
        <f>IF(D688="M",(IF(AG688&lt;90,BMILMS!$D$14*AG688^3+BMILMS!$E$14*AG688^2+BMILMS!$F$14*AG688+BMILMS!$G$14,BMILMS!$D$15*AG688^3+BMILMS!$E$15*AG688^2+BMILMS!$F$15*AG688+BMILMS!$G$15)),(IF(AG688&lt;90,BMILMS!$D$17*AG688^3+BMILMS!$E$17*AG688^2+BMILMS!$F$17*AG688+BMILMS!$G$17,BMILMS!$D$18*AG688^3+BMILMS!$E$18*AG688^2+BMILMS!$F$18*AG688+BMILMS!$G$18)))</f>
        <v>8.8969350000000003E-2</v>
      </c>
      <c r="AG688" s="24">
        <f t="shared" si="176"/>
        <v>0</v>
      </c>
      <c r="AI688" s="38">
        <f>IF(D688="M",WeightSDS!P$5*$AG688^7+WeightSDS!Q$5*$AG688^6+WeightSDS!R$5*$AG688^5+WeightSDS!S$5*$AG688^4+WeightSDS!T$5*$AG688^3+WeightSDS!U$5*$AG688^2+WeightSDS!V$5*$AG688+WeightSDS!W$5,IF($AG688&lt;186,WeightSDS!P$8*$AG688^7+WeightSDS!Q$8*$AG688^6+WeightSDS!R$8*$AG688^5+WeightSDS!S$8*$AG688^4+WeightSDS!T$8*$AG688^3+WeightSDS!U$8*$AG688^2+WeightSDS!V$8*$AG688+WeightSDS!W$8,WeightSDS!$U$9-WeightSDS!$V$9*($AG688-WeightSDS!$W$9)))</f>
        <v>0.75407122999999998</v>
      </c>
      <c r="AJ688" s="24">
        <f>IF(D688="M",IF($AG688&lt;45,WeightSDS!M$23*$AG688^10+WeightSDS!N$23*$AG688^9+WeightSDS!O$23*$AG688^8+WeightSDS!P$23*$AG688^7+WeightSDS!Q$23*$AG688^6+WeightSDS!R$23*$AG688^5+WeightSDS!S$23*$AG688^4+WeightSDS!T$23*$AG688^3+WeightSDS!U$23*$AG688^2+WeightSDS!V$23*$AG688+WeightSDS!W$23,IF($AG688&lt;153,WeightSDS!M$25*$AG688^10+WeightSDS!N$25*$AG688^9+WeightSDS!O$25*$AG688^8+WeightSDS!P$25*$AG688^7+WeightSDS!Q$25*$AG688^6+WeightSDS!R$25*$AG688^5+WeightSDS!S$25*$AG688^4+WeightSDS!T$25*$AG688^3+WeightSDS!U$25*$AG688^2+WeightSDS!V$25*$AG688+WeightSDS!W$25,WeightSDS!M$27+WeightSDS!N$27/(1+EXP(WeightSDS!O$27+WeightSDS!P$27*$AG688)))),IF($AG688&lt;43.8,WeightSDS!M$29*$AG688^10+WeightSDS!N$29*$AG688^9+WeightSDS!O$29*$AG688^8+WeightSDS!P$29*$AG688^7+WeightSDS!Q$29*$AG688^6+WeightSDS!R$29*$AG688^5+WeightSDS!S$29*$AG688^4+WeightSDS!T$29*$AG688^3+WeightSDS!U$29*$AG688^2+WeightSDS!V$29*$AG688+WeightSDS!W$29-0.010431*(1-$AG688/210),IF($AG688&lt;123,WeightSDS!M$30*$AG688^10+WeightSDS!N$30*$AG688^9+WeightSDS!O$30*$AG688^8+WeightSDS!P$30*$AG688^7+WeightSDS!Q$30*$AG688^6+WeightSDS!R$30*$AG688^5+WeightSDS!S$30*$AG688^4+WeightSDS!T$30*$AG688^3+WeightSDS!U$30*$AG688^2+WeightSDS!V$30*$AG688+WeightSDS!W$30-0.010431*(1-1/$AG688),WeightSDS!M$32+WeightSDS!N$32/(1+EXP(WeightSDS!O$32+WeightSDS!P$32*$AG688))-0.010431*(1-$AG688/210))))</f>
        <v>2.9500001032655536</v>
      </c>
      <c r="AK688" s="24">
        <f>IF(D688="M",IF($AG688&lt;162,WeightSDS!P$12*$AG688^7+WeightSDS!Q$12*$AG688^6+WeightSDS!R$12*$AG688^5+WeightSDS!S$12*$AG688^4+WeightSDS!T$12*$AG688^3+WeightSDS!U$12*$AG688^2+WeightSDS!V$12*$AG688+WeightSDS!W$12,WeightSDS!P$14*$AG688^7+WeightSDS!Q$14*$AG688^6+WeightSDS!R$14*$AG688^5+WeightSDS!S$14*$AG688^4+WeightSDS!T$14*$AG688^3+WeightSDS!U$14*$AG688^2+WeightSDS!V$14*$AG688+WeightSDS!W$14),IF($AG688&lt;156,WeightSDS!O$17*$AG688^8+WeightSDS!P$17*$AG688^7+WeightSDS!Q$17*$AG688^6+WeightSDS!R$17*$AG688^5+WeightSDS!S$17*$AG688^4+WeightSDS!T$17*$AG688^3+WeightSDS!U$17*$AG688^2+WeightSDS!V$17*$AG688+WeightSDS!W$17,IF($AG688&lt;186,WeightSDS!$U$18+(WeightSDS!$V$18-WeightSDS!$U$18)/24*($AG688-186)+WeightSDS!$W$18*(-$AG688+186)^2-0.005,WeightSDS!$U$18+(WeightSDS!$V$18-WeightSDS!$U$18)/24*($AG688-186)-0.005)))</f>
        <v>0.14604529399999999</v>
      </c>
    </row>
    <row r="689" spans="1:37">
      <c r="A689" s="4"/>
      <c r="B689" s="21"/>
      <c r="C689" s="21"/>
      <c r="D689" s="21"/>
      <c r="E689" s="22"/>
      <c r="F689" s="22"/>
      <c r="G689" s="23"/>
      <c r="H689" s="23"/>
      <c r="I689" s="8" t="str">
        <f t="shared" si="162"/>
        <v/>
      </c>
      <c r="J689" s="2" t="str">
        <f t="shared" si="169"/>
        <v/>
      </c>
      <c r="K689" s="2" t="str">
        <f t="shared" si="163"/>
        <v/>
      </c>
      <c r="L689" s="2" t="str">
        <f t="shared" si="170"/>
        <v/>
      </c>
      <c r="M689" s="2" t="str">
        <f t="shared" si="175"/>
        <v/>
      </c>
      <c r="N689" s="2" t="str">
        <f t="shared" si="171"/>
        <v/>
      </c>
      <c r="O689" s="8" t="str">
        <f t="shared" si="172"/>
        <v/>
      </c>
      <c r="P689" s="8" t="str">
        <f t="shared" si="173"/>
        <v/>
      </c>
      <c r="Q689" s="40" t="str">
        <f t="shared" si="164"/>
        <v/>
      </c>
      <c r="R689" s="48" t="str">
        <f t="shared" si="174"/>
        <v/>
      </c>
      <c r="S689" s="8"/>
      <c r="U689" s="35">
        <f t="shared" si="165"/>
        <v>0</v>
      </c>
      <c r="V689" s="24">
        <f t="shared" si="166"/>
        <v>0</v>
      </c>
      <c r="W689" s="41">
        <f t="shared" si="177"/>
        <v>0</v>
      </c>
      <c r="X689" s="31"/>
      <c r="Y689" s="31"/>
      <c r="Z689" s="31"/>
      <c r="AA689" s="25">
        <f t="shared" si="167"/>
        <v>9.0359999999999996</v>
      </c>
      <c r="AB689" s="25">
        <f t="shared" si="168"/>
        <v>-184.49199999999999</v>
      </c>
      <c r="AD689" s="24">
        <f>IF(D689="M",IF(AG689&lt;78,BMILMS!$D$5*AG689^3+BMILMS!$E$5*AG689^2+BMILMS!$F$5*AG689+BMILMS!$G$5,IF(AG689&lt;150,BMILMS!$D$6*AG689^3+BMILMS!$E$6*AG689^2+BMILMS!$F$6*AG689+BMILMS!$G$6,BMILMS!$D$7*AG689^3+BMILMS!$E$7*AG689^2+BMILMS!$F$7*AG689+BMILMS!$G$7)),IF(AG689&lt;69,BMILMS!$D$9*AG689^3+BMILMS!$E$9*AG689^2+BMILMS!$F$9*AG689+BMILMS!$G$9,IF(AG689&lt;150,BMILMS!$D$10*AG689^3+BMILMS!$E$10*AG689^2+BMILMS!$F$10*AG689+BMILMS!$G$10,BMILMS!$D$11*AG689^3+BMILMS!$E$11*AG689^2+BMILMS!$F$11*AG689+BMILMS!$G$11)))</f>
        <v>0.79584630099999998</v>
      </c>
      <c r="AE689" s="24">
        <f>IF(D689="M",(IF(AG689&lt;2.5,BMILMS!$D$21*AG689^3+BMILMS!$E$21*AG689^2+BMILMS!$F$21*AG689+BMILMS!$G$21,IF(AG689&lt;9.5,BMILMS!$D$22*AG689^3+BMILMS!$E$22*AG689^2+BMILMS!$F$22*AG689+BMILMS!$G$22,IF(AG689&lt;26.75,BMILMS!$D$23*AG689^3+BMILMS!$E$23*AG689^2+BMILMS!$F$23*AG689+BMILMS!$G$23,IF(AG689&lt;90,BMILMS!$D$24*AG689^3+BMILMS!$E$24*AG689^2+BMILMS!$F$24*AG689+BMILMS!$G$24,BMILMS!$D$25*AG689^3+BMILMS!$E$25*AG689^2+BMILMS!$F$25*AG689+BMILMS!$G$25))))),(IF(AG689&lt;2.5,BMILMS!$D$27*AG689^3+BMILMS!$E$27*AG689^2+BMILMS!$F$27*AG689+BMILMS!$G$27,IF(AG689&lt;9.5,BMILMS!$D$28*AG689^3+BMILMS!$E$28*AG689^2+BMILMS!$F$28*AG689+BMILMS!$G$28,IF(AG689&lt;26.75,BMILMS!$D$29*AG689^3+BMILMS!$E$29*AG689^2+BMILMS!$F$29*AG689+BMILMS!$G$29,IF(AG689&lt;90,BMILMS!$D$30*AG689^3+BMILMS!$E$30*AG689^2+BMILMS!$F$30*AG689+BMILMS!$G$30,IF(AG689&lt;150,BMILMS!$D$31*AG689^3+BMILMS!$E$31*AG689^2+BMILMS!$F$31*AG689+BMILMS!$G$31,BMILMS!$D$32*AG689^3+BMILMS!$E$32*AG689^2+BMILMS!$F$32*AG689+BMILMS!$G$32)))))))</f>
        <v>12.568967990000001</v>
      </c>
      <c r="AF689" s="24">
        <f>IF(D689="M",(IF(AG689&lt;90,BMILMS!$D$14*AG689^3+BMILMS!$E$14*AG689^2+BMILMS!$F$14*AG689+BMILMS!$G$14,BMILMS!$D$15*AG689^3+BMILMS!$E$15*AG689^2+BMILMS!$F$15*AG689+BMILMS!$G$15)),(IF(AG689&lt;90,BMILMS!$D$17*AG689^3+BMILMS!$E$17*AG689^2+BMILMS!$F$17*AG689+BMILMS!$G$17,BMILMS!$D$18*AG689^3+BMILMS!$E$18*AG689^2+BMILMS!$F$18*AG689+BMILMS!$G$18)))</f>
        <v>8.8969350000000003E-2</v>
      </c>
      <c r="AG689" s="24">
        <f t="shared" si="176"/>
        <v>0</v>
      </c>
      <c r="AI689" s="38">
        <f>IF(D689="M",WeightSDS!P$5*$AG689^7+WeightSDS!Q$5*$AG689^6+WeightSDS!R$5*$AG689^5+WeightSDS!S$5*$AG689^4+WeightSDS!T$5*$AG689^3+WeightSDS!U$5*$AG689^2+WeightSDS!V$5*$AG689+WeightSDS!W$5,IF($AG689&lt;186,WeightSDS!P$8*$AG689^7+WeightSDS!Q$8*$AG689^6+WeightSDS!R$8*$AG689^5+WeightSDS!S$8*$AG689^4+WeightSDS!T$8*$AG689^3+WeightSDS!U$8*$AG689^2+WeightSDS!V$8*$AG689+WeightSDS!W$8,WeightSDS!$U$9-WeightSDS!$V$9*($AG689-WeightSDS!$W$9)))</f>
        <v>0.75407122999999998</v>
      </c>
      <c r="AJ689" s="24">
        <f>IF(D689="M",IF($AG689&lt;45,WeightSDS!M$23*$AG689^10+WeightSDS!N$23*$AG689^9+WeightSDS!O$23*$AG689^8+WeightSDS!P$23*$AG689^7+WeightSDS!Q$23*$AG689^6+WeightSDS!R$23*$AG689^5+WeightSDS!S$23*$AG689^4+WeightSDS!T$23*$AG689^3+WeightSDS!U$23*$AG689^2+WeightSDS!V$23*$AG689+WeightSDS!W$23,IF($AG689&lt;153,WeightSDS!M$25*$AG689^10+WeightSDS!N$25*$AG689^9+WeightSDS!O$25*$AG689^8+WeightSDS!P$25*$AG689^7+WeightSDS!Q$25*$AG689^6+WeightSDS!R$25*$AG689^5+WeightSDS!S$25*$AG689^4+WeightSDS!T$25*$AG689^3+WeightSDS!U$25*$AG689^2+WeightSDS!V$25*$AG689+WeightSDS!W$25,WeightSDS!M$27+WeightSDS!N$27/(1+EXP(WeightSDS!O$27+WeightSDS!P$27*$AG689)))),IF($AG689&lt;43.8,WeightSDS!M$29*$AG689^10+WeightSDS!N$29*$AG689^9+WeightSDS!O$29*$AG689^8+WeightSDS!P$29*$AG689^7+WeightSDS!Q$29*$AG689^6+WeightSDS!R$29*$AG689^5+WeightSDS!S$29*$AG689^4+WeightSDS!T$29*$AG689^3+WeightSDS!U$29*$AG689^2+WeightSDS!V$29*$AG689+WeightSDS!W$29-0.010431*(1-$AG689/210),IF($AG689&lt;123,WeightSDS!M$30*$AG689^10+WeightSDS!N$30*$AG689^9+WeightSDS!O$30*$AG689^8+WeightSDS!P$30*$AG689^7+WeightSDS!Q$30*$AG689^6+WeightSDS!R$30*$AG689^5+WeightSDS!S$30*$AG689^4+WeightSDS!T$30*$AG689^3+WeightSDS!U$30*$AG689^2+WeightSDS!V$30*$AG689+WeightSDS!W$30-0.010431*(1-1/$AG689),WeightSDS!M$32+WeightSDS!N$32/(1+EXP(WeightSDS!O$32+WeightSDS!P$32*$AG689))-0.010431*(1-$AG689/210))))</f>
        <v>2.9500001032655536</v>
      </c>
      <c r="AK689" s="24">
        <f>IF(D689="M",IF($AG689&lt;162,WeightSDS!P$12*$AG689^7+WeightSDS!Q$12*$AG689^6+WeightSDS!R$12*$AG689^5+WeightSDS!S$12*$AG689^4+WeightSDS!T$12*$AG689^3+WeightSDS!U$12*$AG689^2+WeightSDS!V$12*$AG689+WeightSDS!W$12,WeightSDS!P$14*$AG689^7+WeightSDS!Q$14*$AG689^6+WeightSDS!R$14*$AG689^5+WeightSDS!S$14*$AG689^4+WeightSDS!T$14*$AG689^3+WeightSDS!U$14*$AG689^2+WeightSDS!V$14*$AG689+WeightSDS!W$14),IF($AG689&lt;156,WeightSDS!O$17*$AG689^8+WeightSDS!P$17*$AG689^7+WeightSDS!Q$17*$AG689^6+WeightSDS!R$17*$AG689^5+WeightSDS!S$17*$AG689^4+WeightSDS!T$17*$AG689^3+WeightSDS!U$17*$AG689^2+WeightSDS!V$17*$AG689+WeightSDS!W$17,IF($AG689&lt;186,WeightSDS!$U$18+(WeightSDS!$V$18-WeightSDS!$U$18)/24*($AG689-186)+WeightSDS!$W$18*(-$AG689+186)^2-0.005,WeightSDS!$U$18+(WeightSDS!$V$18-WeightSDS!$U$18)/24*($AG689-186)-0.005)))</f>
        <v>0.14604529399999999</v>
      </c>
    </row>
    <row r="690" spans="1:37">
      <c r="A690" s="4"/>
      <c r="B690" s="21"/>
      <c r="C690" s="21"/>
      <c r="D690" s="21"/>
      <c r="E690" s="22"/>
      <c r="F690" s="22"/>
      <c r="G690" s="23"/>
      <c r="H690" s="23"/>
      <c r="I690" s="8" t="str">
        <f t="shared" si="162"/>
        <v/>
      </c>
      <c r="J690" s="2" t="str">
        <f t="shared" si="169"/>
        <v/>
      </c>
      <c r="K690" s="2" t="str">
        <f t="shared" si="163"/>
        <v/>
      </c>
      <c r="L690" s="2" t="str">
        <f t="shared" si="170"/>
        <v/>
      </c>
      <c r="M690" s="2" t="str">
        <f t="shared" si="175"/>
        <v/>
      </c>
      <c r="N690" s="2" t="str">
        <f t="shared" si="171"/>
        <v/>
      </c>
      <c r="O690" s="8" t="str">
        <f t="shared" si="172"/>
        <v/>
      </c>
      <c r="P690" s="8" t="str">
        <f t="shared" si="173"/>
        <v/>
      </c>
      <c r="Q690" s="40" t="str">
        <f t="shared" si="164"/>
        <v/>
      </c>
      <c r="R690" s="48" t="str">
        <f t="shared" si="174"/>
        <v/>
      </c>
      <c r="S690" s="8"/>
      <c r="U690" s="35">
        <f t="shared" si="165"/>
        <v>0</v>
      </c>
      <c r="V690" s="24">
        <f t="shared" si="166"/>
        <v>0</v>
      </c>
      <c r="W690" s="41">
        <f t="shared" si="177"/>
        <v>0</v>
      </c>
      <c r="X690" s="31"/>
      <c r="Y690" s="31"/>
      <c r="Z690" s="31"/>
      <c r="AA690" s="25">
        <f t="shared" si="167"/>
        <v>9.0359999999999996</v>
      </c>
      <c r="AB690" s="25">
        <f t="shared" si="168"/>
        <v>-184.49199999999999</v>
      </c>
      <c r="AD690" s="24">
        <f>IF(D690="M",IF(AG690&lt;78,BMILMS!$D$5*AG690^3+BMILMS!$E$5*AG690^2+BMILMS!$F$5*AG690+BMILMS!$G$5,IF(AG690&lt;150,BMILMS!$D$6*AG690^3+BMILMS!$E$6*AG690^2+BMILMS!$F$6*AG690+BMILMS!$G$6,BMILMS!$D$7*AG690^3+BMILMS!$E$7*AG690^2+BMILMS!$F$7*AG690+BMILMS!$G$7)),IF(AG690&lt;69,BMILMS!$D$9*AG690^3+BMILMS!$E$9*AG690^2+BMILMS!$F$9*AG690+BMILMS!$G$9,IF(AG690&lt;150,BMILMS!$D$10*AG690^3+BMILMS!$E$10*AG690^2+BMILMS!$F$10*AG690+BMILMS!$G$10,BMILMS!$D$11*AG690^3+BMILMS!$E$11*AG690^2+BMILMS!$F$11*AG690+BMILMS!$G$11)))</f>
        <v>0.79584630099999998</v>
      </c>
      <c r="AE690" s="24">
        <f>IF(D690="M",(IF(AG690&lt;2.5,BMILMS!$D$21*AG690^3+BMILMS!$E$21*AG690^2+BMILMS!$F$21*AG690+BMILMS!$G$21,IF(AG690&lt;9.5,BMILMS!$D$22*AG690^3+BMILMS!$E$22*AG690^2+BMILMS!$F$22*AG690+BMILMS!$G$22,IF(AG690&lt;26.75,BMILMS!$D$23*AG690^3+BMILMS!$E$23*AG690^2+BMILMS!$F$23*AG690+BMILMS!$G$23,IF(AG690&lt;90,BMILMS!$D$24*AG690^3+BMILMS!$E$24*AG690^2+BMILMS!$F$24*AG690+BMILMS!$G$24,BMILMS!$D$25*AG690^3+BMILMS!$E$25*AG690^2+BMILMS!$F$25*AG690+BMILMS!$G$25))))),(IF(AG690&lt;2.5,BMILMS!$D$27*AG690^3+BMILMS!$E$27*AG690^2+BMILMS!$F$27*AG690+BMILMS!$G$27,IF(AG690&lt;9.5,BMILMS!$D$28*AG690^3+BMILMS!$E$28*AG690^2+BMILMS!$F$28*AG690+BMILMS!$G$28,IF(AG690&lt;26.75,BMILMS!$D$29*AG690^3+BMILMS!$E$29*AG690^2+BMILMS!$F$29*AG690+BMILMS!$G$29,IF(AG690&lt;90,BMILMS!$D$30*AG690^3+BMILMS!$E$30*AG690^2+BMILMS!$F$30*AG690+BMILMS!$G$30,IF(AG690&lt;150,BMILMS!$D$31*AG690^3+BMILMS!$E$31*AG690^2+BMILMS!$F$31*AG690+BMILMS!$G$31,BMILMS!$D$32*AG690^3+BMILMS!$E$32*AG690^2+BMILMS!$F$32*AG690+BMILMS!$G$32)))))))</f>
        <v>12.568967990000001</v>
      </c>
      <c r="AF690" s="24">
        <f>IF(D690="M",(IF(AG690&lt;90,BMILMS!$D$14*AG690^3+BMILMS!$E$14*AG690^2+BMILMS!$F$14*AG690+BMILMS!$G$14,BMILMS!$D$15*AG690^3+BMILMS!$E$15*AG690^2+BMILMS!$F$15*AG690+BMILMS!$G$15)),(IF(AG690&lt;90,BMILMS!$D$17*AG690^3+BMILMS!$E$17*AG690^2+BMILMS!$F$17*AG690+BMILMS!$G$17,BMILMS!$D$18*AG690^3+BMILMS!$E$18*AG690^2+BMILMS!$F$18*AG690+BMILMS!$G$18)))</f>
        <v>8.8969350000000003E-2</v>
      </c>
      <c r="AG690" s="24">
        <f t="shared" si="176"/>
        <v>0</v>
      </c>
      <c r="AI690" s="38">
        <f>IF(D690="M",WeightSDS!P$5*$AG690^7+WeightSDS!Q$5*$AG690^6+WeightSDS!R$5*$AG690^5+WeightSDS!S$5*$AG690^4+WeightSDS!T$5*$AG690^3+WeightSDS!U$5*$AG690^2+WeightSDS!V$5*$AG690+WeightSDS!W$5,IF($AG690&lt;186,WeightSDS!P$8*$AG690^7+WeightSDS!Q$8*$AG690^6+WeightSDS!R$8*$AG690^5+WeightSDS!S$8*$AG690^4+WeightSDS!T$8*$AG690^3+WeightSDS!U$8*$AG690^2+WeightSDS!V$8*$AG690+WeightSDS!W$8,WeightSDS!$U$9-WeightSDS!$V$9*($AG690-WeightSDS!$W$9)))</f>
        <v>0.75407122999999998</v>
      </c>
      <c r="AJ690" s="24">
        <f>IF(D690="M",IF($AG690&lt;45,WeightSDS!M$23*$AG690^10+WeightSDS!N$23*$AG690^9+WeightSDS!O$23*$AG690^8+WeightSDS!P$23*$AG690^7+WeightSDS!Q$23*$AG690^6+WeightSDS!R$23*$AG690^5+WeightSDS!S$23*$AG690^4+WeightSDS!T$23*$AG690^3+WeightSDS!U$23*$AG690^2+WeightSDS!V$23*$AG690+WeightSDS!W$23,IF($AG690&lt;153,WeightSDS!M$25*$AG690^10+WeightSDS!N$25*$AG690^9+WeightSDS!O$25*$AG690^8+WeightSDS!P$25*$AG690^7+WeightSDS!Q$25*$AG690^6+WeightSDS!R$25*$AG690^5+WeightSDS!S$25*$AG690^4+WeightSDS!T$25*$AG690^3+WeightSDS!U$25*$AG690^2+WeightSDS!V$25*$AG690+WeightSDS!W$25,WeightSDS!M$27+WeightSDS!N$27/(1+EXP(WeightSDS!O$27+WeightSDS!P$27*$AG690)))),IF($AG690&lt;43.8,WeightSDS!M$29*$AG690^10+WeightSDS!N$29*$AG690^9+WeightSDS!O$29*$AG690^8+WeightSDS!P$29*$AG690^7+WeightSDS!Q$29*$AG690^6+WeightSDS!R$29*$AG690^5+WeightSDS!S$29*$AG690^4+WeightSDS!T$29*$AG690^3+WeightSDS!U$29*$AG690^2+WeightSDS!V$29*$AG690+WeightSDS!W$29-0.010431*(1-$AG690/210),IF($AG690&lt;123,WeightSDS!M$30*$AG690^10+WeightSDS!N$30*$AG690^9+WeightSDS!O$30*$AG690^8+WeightSDS!P$30*$AG690^7+WeightSDS!Q$30*$AG690^6+WeightSDS!R$30*$AG690^5+WeightSDS!S$30*$AG690^4+WeightSDS!T$30*$AG690^3+WeightSDS!U$30*$AG690^2+WeightSDS!V$30*$AG690+WeightSDS!W$30-0.010431*(1-1/$AG690),WeightSDS!M$32+WeightSDS!N$32/(1+EXP(WeightSDS!O$32+WeightSDS!P$32*$AG690))-0.010431*(1-$AG690/210))))</f>
        <v>2.9500001032655536</v>
      </c>
      <c r="AK690" s="24">
        <f>IF(D690="M",IF($AG690&lt;162,WeightSDS!P$12*$AG690^7+WeightSDS!Q$12*$AG690^6+WeightSDS!R$12*$AG690^5+WeightSDS!S$12*$AG690^4+WeightSDS!T$12*$AG690^3+WeightSDS!U$12*$AG690^2+WeightSDS!V$12*$AG690+WeightSDS!W$12,WeightSDS!P$14*$AG690^7+WeightSDS!Q$14*$AG690^6+WeightSDS!R$14*$AG690^5+WeightSDS!S$14*$AG690^4+WeightSDS!T$14*$AG690^3+WeightSDS!U$14*$AG690^2+WeightSDS!V$14*$AG690+WeightSDS!W$14),IF($AG690&lt;156,WeightSDS!O$17*$AG690^8+WeightSDS!P$17*$AG690^7+WeightSDS!Q$17*$AG690^6+WeightSDS!R$17*$AG690^5+WeightSDS!S$17*$AG690^4+WeightSDS!T$17*$AG690^3+WeightSDS!U$17*$AG690^2+WeightSDS!V$17*$AG690+WeightSDS!W$17,IF($AG690&lt;186,WeightSDS!$U$18+(WeightSDS!$V$18-WeightSDS!$U$18)/24*($AG690-186)+WeightSDS!$W$18*(-$AG690+186)^2-0.005,WeightSDS!$U$18+(WeightSDS!$V$18-WeightSDS!$U$18)/24*($AG690-186)-0.005)))</f>
        <v>0.14604529399999999</v>
      </c>
    </row>
    <row r="691" spans="1:37">
      <c r="A691" s="4"/>
      <c r="B691" s="21"/>
      <c r="C691" s="21"/>
      <c r="D691" s="21"/>
      <c r="E691" s="22"/>
      <c r="F691" s="22"/>
      <c r="G691" s="23"/>
      <c r="H691" s="23"/>
      <c r="I691" s="8" t="str">
        <f t="shared" si="162"/>
        <v/>
      </c>
      <c r="J691" s="2" t="str">
        <f t="shared" si="169"/>
        <v/>
      </c>
      <c r="K691" s="2" t="str">
        <f t="shared" si="163"/>
        <v/>
      </c>
      <c r="L691" s="2" t="str">
        <f t="shared" si="170"/>
        <v/>
      </c>
      <c r="M691" s="2" t="str">
        <f t="shared" si="175"/>
        <v/>
      </c>
      <c r="N691" s="2" t="str">
        <f t="shared" si="171"/>
        <v/>
      </c>
      <c r="O691" s="8" t="str">
        <f t="shared" si="172"/>
        <v/>
      </c>
      <c r="P691" s="8" t="str">
        <f t="shared" si="173"/>
        <v/>
      </c>
      <c r="Q691" s="40" t="str">
        <f t="shared" si="164"/>
        <v/>
      </c>
      <c r="R691" s="48" t="str">
        <f t="shared" si="174"/>
        <v/>
      </c>
      <c r="S691" s="8"/>
      <c r="U691" s="35">
        <f t="shared" si="165"/>
        <v>0</v>
      </c>
      <c r="V691" s="24">
        <f t="shared" si="166"/>
        <v>0</v>
      </c>
      <c r="W691" s="41">
        <f t="shared" si="177"/>
        <v>0</v>
      </c>
      <c r="X691" s="31"/>
      <c r="Y691" s="31"/>
      <c r="Z691" s="31"/>
      <c r="AA691" s="25">
        <f t="shared" si="167"/>
        <v>9.0359999999999996</v>
      </c>
      <c r="AB691" s="25">
        <f t="shared" si="168"/>
        <v>-184.49199999999999</v>
      </c>
      <c r="AD691" s="24">
        <f>IF(D691="M",IF(AG691&lt;78,BMILMS!$D$5*AG691^3+BMILMS!$E$5*AG691^2+BMILMS!$F$5*AG691+BMILMS!$G$5,IF(AG691&lt;150,BMILMS!$D$6*AG691^3+BMILMS!$E$6*AG691^2+BMILMS!$F$6*AG691+BMILMS!$G$6,BMILMS!$D$7*AG691^3+BMILMS!$E$7*AG691^2+BMILMS!$F$7*AG691+BMILMS!$G$7)),IF(AG691&lt;69,BMILMS!$D$9*AG691^3+BMILMS!$E$9*AG691^2+BMILMS!$F$9*AG691+BMILMS!$G$9,IF(AG691&lt;150,BMILMS!$D$10*AG691^3+BMILMS!$E$10*AG691^2+BMILMS!$F$10*AG691+BMILMS!$G$10,BMILMS!$D$11*AG691^3+BMILMS!$E$11*AG691^2+BMILMS!$F$11*AG691+BMILMS!$G$11)))</f>
        <v>0.79584630099999998</v>
      </c>
      <c r="AE691" s="24">
        <f>IF(D691="M",(IF(AG691&lt;2.5,BMILMS!$D$21*AG691^3+BMILMS!$E$21*AG691^2+BMILMS!$F$21*AG691+BMILMS!$G$21,IF(AG691&lt;9.5,BMILMS!$D$22*AG691^3+BMILMS!$E$22*AG691^2+BMILMS!$F$22*AG691+BMILMS!$G$22,IF(AG691&lt;26.75,BMILMS!$D$23*AG691^3+BMILMS!$E$23*AG691^2+BMILMS!$F$23*AG691+BMILMS!$G$23,IF(AG691&lt;90,BMILMS!$D$24*AG691^3+BMILMS!$E$24*AG691^2+BMILMS!$F$24*AG691+BMILMS!$G$24,BMILMS!$D$25*AG691^3+BMILMS!$E$25*AG691^2+BMILMS!$F$25*AG691+BMILMS!$G$25))))),(IF(AG691&lt;2.5,BMILMS!$D$27*AG691^3+BMILMS!$E$27*AG691^2+BMILMS!$F$27*AG691+BMILMS!$G$27,IF(AG691&lt;9.5,BMILMS!$D$28*AG691^3+BMILMS!$E$28*AG691^2+BMILMS!$F$28*AG691+BMILMS!$G$28,IF(AG691&lt;26.75,BMILMS!$D$29*AG691^3+BMILMS!$E$29*AG691^2+BMILMS!$F$29*AG691+BMILMS!$G$29,IF(AG691&lt;90,BMILMS!$D$30*AG691^3+BMILMS!$E$30*AG691^2+BMILMS!$F$30*AG691+BMILMS!$G$30,IF(AG691&lt;150,BMILMS!$D$31*AG691^3+BMILMS!$E$31*AG691^2+BMILMS!$F$31*AG691+BMILMS!$G$31,BMILMS!$D$32*AG691^3+BMILMS!$E$32*AG691^2+BMILMS!$F$32*AG691+BMILMS!$G$32)))))))</f>
        <v>12.568967990000001</v>
      </c>
      <c r="AF691" s="24">
        <f>IF(D691="M",(IF(AG691&lt;90,BMILMS!$D$14*AG691^3+BMILMS!$E$14*AG691^2+BMILMS!$F$14*AG691+BMILMS!$G$14,BMILMS!$D$15*AG691^3+BMILMS!$E$15*AG691^2+BMILMS!$F$15*AG691+BMILMS!$G$15)),(IF(AG691&lt;90,BMILMS!$D$17*AG691^3+BMILMS!$E$17*AG691^2+BMILMS!$F$17*AG691+BMILMS!$G$17,BMILMS!$D$18*AG691^3+BMILMS!$E$18*AG691^2+BMILMS!$F$18*AG691+BMILMS!$G$18)))</f>
        <v>8.8969350000000003E-2</v>
      </c>
      <c r="AG691" s="24">
        <f t="shared" si="176"/>
        <v>0</v>
      </c>
      <c r="AI691" s="38">
        <f>IF(D691="M",WeightSDS!P$5*$AG691^7+WeightSDS!Q$5*$AG691^6+WeightSDS!R$5*$AG691^5+WeightSDS!S$5*$AG691^4+WeightSDS!T$5*$AG691^3+WeightSDS!U$5*$AG691^2+WeightSDS!V$5*$AG691+WeightSDS!W$5,IF($AG691&lt;186,WeightSDS!P$8*$AG691^7+WeightSDS!Q$8*$AG691^6+WeightSDS!R$8*$AG691^5+WeightSDS!S$8*$AG691^4+WeightSDS!T$8*$AG691^3+WeightSDS!U$8*$AG691^2+WeightSDS!V$8*$AG691+WeightSDS!W$8,WeightSDS!$U$9-WeightSDS!$V$9*($AG691-WeightSDS!$W$9)))</f>
        <v>0.75407122999999998</v>
      </c>
      <c r="AJ691" s="24">
        <f>IF(D691="M",IF($AG691&lt;45,WeightSDS!M$23*$AG691^10+WeightSDS!N$23*$AG691^9+WeightSDS!O$23*$AG691^8+WeightSDS!P$23*$AG691^7+WeightSDS!Q$23*$AG691^6+WeightSDS!R$23*$AG691^5+WeightSDS!S$23*$AG691^4+WeightSDS!T$23*$AG691^3+WeightSDS!U$23*$AG691^2+WeightSDS!V$23*$AG691+WeightSDS!W$23,IF($AG691&lt;153,WeightSDS!M$25*$AG691^10+WeightSDS!N$25*$AG691^9+WeightSDS!O$25*$AG691^8+WeightSDS!P$25*$AG691^7+WeightSDS!Q$25*$AG691^6+WeightSDS!R$25*$AG691^5+WeightSDS!S$25*$AG691^4+WeightSDS!T$25*$AG691^3+WeightSDS!U$25*$AG691^2+WeightSDS!V$25*$AG691+WeightSDS!W$25,WeightSDS!M$27+WeightSDS!N$27/(1+EXP(WeightSDS!O$27+WeightSDS!P$27*$AG691)))),IF($AG691&lt;43.8,WeightSDS!M$29*$AG691^10+WeightSDS!N$29*$AG691^9+WeightSDS!O$29*$AG691^8+WeightSDS!P$29*$AG691^7+WeightSDS!Q$29*$AG691^6+WeightSDS!R$29*$AG691^5+WeightSDS!S$29*$AG691^4+WeightSDS!T$29*$AG691^3+WeightSDS!U$29*$AG691^2+WeightSDS!V$29*$AG691+WeightSDS!W$29-0.010431*(1-$AG691/210),IF($AG691&lt;123,WeightSDS!M$30*$AG691^10+WeightSDS!N$30*$AG691^9+WeightSDS!O$30*$AG691^8+WeightSDS!P$30*$AG691^7+WeightSDS!Q$30*$AG691^6+WeightSDS!R$30*$AG691^5+WeightSDS!S$30*$AG691^4+WeightSDS!T$30*$AG691^3+WeightSDS!U$30*$AG691^2+WeightSDS!V$30*$AG691+WeightSDS!W$30-0.010431*(1-1/$AG691),WeightSDS!M$32+WeightSDS!N$32/(1+EXP(WeightSDS!O$32+WeightSDS!P$32*$AG691))-0.010431*(1-$AG691/210))))</f>
        <v>2.9500001032655536</v>
      </c>
      <c r="AK691" s="24">
        <f>IF(D691="M",IF($AG691&lt;162,WeightSDS!P$12*$AG691^7+WeightSDS!Q$12*$AG691^6+WeightSDS!R$12*$AG691^5+WeightSDS!S$12*$AG691^4+WeightSDS!T$12*$AG691^3+WeightSDS!U$12*$AG691^2+WeightSDS!V$12*$AG691+WeightSDS!W$12,WeightSDS!P$14*$AG691^7+WeightSDS!Q$14*$AG691^6+WeightSDS!R$14*$AG691^5+WeightSDS!S$14*$AG691^4+WeightSDS!T$14*$AG691^3+WeightSDS!U$14*$AG691^2+WeightSDS!V$14*$AG691+WeightSDS!W$14),IF($AG691&lt;156,WeightSDS!O$17*$AG691^8+WeightSDS!P$17*$AG691^7+WeightSDS!Q$17*$AG691^6+WeightSDS!R$17*$AG691^5+WeightSDS!S$17*$AG691^4+WeightSDS!T$17*$AG691^3+WeightSDS!U$17*$AG691^2+WeightSDS!V$17*$AG691+WeightSDS!W$17,IF($AG691&lt;186,WeightSDS!$U$18+(WeightSDS!$V$18-WeightSDS!$U$18)/24*($AG691-186)+WeightSDS!$W$18*(-$AG691+186)^2-0.005,WeightSDS!$U$18+(WeightSDS!$V$18-WeightSDS!$U$18)/24*($AG691-186)-0.005)))</f>
        <v>0.14604529399999999</v>
      </c>
    </row>
    <row r="692" spans="1:37">
      <c r="A692" s="4"/>
      <c r="B692" s="21"/>
      <c r="C692" s="21"/>
      <c r="D692" s="21"/>
      <c r="E692" s="22"/>
      <c r="F692" s="22"/>
      <c r="G692" s="23"/>
      <c r="H692" s="23"/>
      <c r="I692" s="8" t="str">
        <f t="shared" si="162"/>
        <v/>
      </c>
      <c r="J692" s="2" t="str">
        <f t="shared" si="169"/>
        <v/>
      </c>
      <c r="K692" s="2" t="str">
        <f t="shared" si="163"/>
        <v/>
      </c>
      <c r="L692" s="2" t="str">
        <f t="shared" si="170"/>
        <v/>
      </c>
      <c r="M692" s="2" t="str">
        <f t="shared" si="175"/>
        <v/>
      </c>
      <c r="N692" s="2" t="str">
        <f t="shared" si="171"/>
        <v/>
      </c>
      <c r="O692" s="8" t="str">
        <f t="shared" si="172"/>
        <v/>
      </c>
      <c r="P692" s="8" t="str">
        <f t="shared" si="173"/>
        <v/>
      </c>
      <c r="Q692" s="40" t="str">
        <f t="shared" si="164"/>
        <v/>
      </c>
      <c r="R692" s="48" t="str">
        <f t="shared" si="174"/>
        <v/>
      </c>
      <c r="S692" s="8"/>
      <c r="U692" s="35">
        <f t="shared" si="165"/>
        <v>0</v>
      </c>
      <c r="V692" s="24">
        <f t="shared" si="166"/>
        <v>0</v>
      </c>
      <c r="W692" s="41">
        <f t="shared" si="177"/>
        <v>0</v>
      </c>
      <c r="X692" s="31"/>
      <c r="Y692" s="31"/>
      <c r="Z692" s="31"/>
      <c r="AA692" s="25">
        <f t="shared" si="167"/>
        <v>9.0359999999999996</v>
      </c>
      <c r="AB692" s="25">
        <f t="shared" si="168"/>
        <v>-184.49199999999999</v>
      </c>
      <c r="AD692" s="24">
        <f>IF(D692="M",IF(AG692&lt;78,BMILMS!$D$5*AG692^3+BMILMS!$E$5*AG692^2+BMILMS!$F$5*AG692+BMILMS!$G$5,IF(AG692&lt;150,BMILMS!$D$6*AG692^3+BMILMS!$E$6*AG692^2+BMILMS!$F$6*AG692+BMILMS!$G$6,BMILMS!$D$7*AG692^3+BMILMS!$E$7*AG692^2+BMILMS!$F$7*AG692+BMILMS!$G$7)),IF(AG692&lt;69,BMILMS!$D$9*AG692^3+BMILMS!$E$9*AG692^2+BMILMS!$F$9*AG692+BMILMS!$G$9,IF(AG692&lt;150,BMILMS!$D$10*AG692^3+BMILMS!$E$10*AG692^2+BMILMS!$F$10*AG692+BMILMS!$G$10,BMILMS!$D$11*AG692^3+BMILMS!$E$11*AG692^2+BMILMS!$F$11*AG692+BMILMS!$G$11)))</f>
        <v>0.79584630099999998</v>
      </c>
      <c r="AE692" s="24">
        <f>IF(D692="M",(IF(AG692&lt;2.5,BMILMS!$D$21*AG692^3+BMILMS!$E$21*AG692^2+BMILMS!$F$21*AG692+BMILMS!$G$21,IF(AG692&lt;9.5,BMILMS!$D$22*AG692^3+BMILMS!$E$22*AG692^2+BMILMS!$F$22*AG692+BMILMS!$G$22,IF(AG692&lt;26.75,BMILMS!$D$23*AG692^3+BMILMS!$E$23*AG692^2+BMILMS!$F$23*AG692+BMILMS!$G$23,IF(AG692&lt;90,BMILMS!$D$24*AG692^3+BMILMS!$E$24*AG692^2+BMILMS!$F$24*AG692+BMILMS!$G$24,BMILMS!$D$25*AG692^3+BMILMS!$E$25*AG692^2+BMILMS!$F$25*AG692+BMILMS!$G$25))))),(IF(AG692&lt;2.5,BMILMS!$D$27*AG692^3+BMILMS!$E$27*AG692^2+BMILMS!$F$27*AG692+BMILMS!$G$27,IF(AG692&lt;9.5,BMILMS!$D$28*AG692^3+BMILMS!$E$28*AG692^2+BMILMS!$F$28*AG692+BMILMS!$G$28,IF(AG692&lt;26.75,BMILMS!$D$29*AG692^3+BMILMS!$E$29*AG692^2+BMILMS!$F$29*AG692+BMILMS!$G$29,IF(AG692&lt;90,BMILMS!$D$30*AG692^3+BMILMS!$E$30*AG692^2+BMILMS!$F$30*AG692+BMILMS!$G$30,IF(AG692&lt;150,BMILMS!$D$31*AG692^3+BMILMS!$E$31*AG692^2+BMILMS!$F$31*AG692+BMILMS!$G$31,BMILMS!$D$32*AG692^3+BMILMS!$E$32*AG692^2+BMILMS!$F$32*AG692+BMILMS!$G$32)))))))</f>
        <v>12.568967990000001</v>
      </c>
      <c r="AF692" s="24">
        <f>IF(D692="M",(IF(AG692&lt;90,BMILMS!$D$14*AG692^3+BMILMS!$E$14*AG692^2+BMILMS!$F$14*AG692+BMILMS!$G$14,BMILMS!$D$15*AG692^3+BMILMS!$E$15*AG692^2+BMILMS!$F$15*AG692+BMILMS!$G$15)),(IF(AG692&lt;90,BMILMS!$D$17*AG692^3+BMILMS!$E$17*AG692^2+BMILMS!$F$17*AG692+BMILMS!$G$17,BMILMS!$D$18*AG692^3+BMILMS!$E$18*AG692^2+BMILMS!$F$18*AG692+BMILMS!$G$18)))</f>
        <v>8.8969350000000003E-2</v>
      </c>
      <c r="AG692" s="24">
        <f t="shared" si="176"/>
        <v>0</v>
      </c>
      <c r="AI692" s="38">
        <f>IF(D692="M",WeightSDS!P$5*$AG692^7+WeightSDS!Q$5*$AG692^6+WeightSDS!R$5*$AG692^5+WeightSDS!S$5*$AG692^4+WeightSDS!T$5*$AG692^3+WeightSDS!U$5*$AG692^2+WeightSDS!V$5*$AG692+WeightSDS!W$5,IF($AG692&lt;186,WeightSDS!P$8*$AG692^7+WeightSDS!Q$8*$AG692^6+WeightSDS!R$8*$AG692^5+WeightSDS!S$8*$AG692^4+WeightSDS!T$8*$AG692^3+WeightSDS!U$8*$AG692^2+WeightSDS!V$8*$AG692+WeightSDS!W$8,WeightSDS!$U$9-WeightSDS!$V$9*($AG692-WeightSDS!$W$9)))</f>
        <v>0.75407122999999998</v>
      </c>
      <c r="AJ692" s="24">
        <f>IF(D692="M",IF($AG692&lt;45,WeightSDS!M$23*$AG692^10+WeightSDS!N$23*$AG692^9+WeightSDS!O$23*$AG692^8+WeightSDS!P$23*$AG692^7+WeightSDS!Q$23*$AG692^6+WeightSDS!R$23*$AG692^5+WeightSDS!S$23*$AG692^4+WeightSDS!T$23*$AG692^3+WeightSDS!U$23*$AG692^2+WeightSDS!V$23*$AG692+WeightSDS!W$23,IF($AG692&lt;153,WeightSDS!M$25*$AG692^10+WeightSDS!N$25*$AG692^9+WeightSDS!O$25*$AG692^8+WeightSDS!P$25*$AG692^7+WeightSDS!Q$25*$AG692^6+WeightSDS!R$25*$AG692^5+WeightSDS!S$25*$AG692^4+WeightSDS!T$25*$AG692^3+WeightSDS!U$25*$AG692^2+WeightSDS!V$25*$AG692+WeightSDS!W$25,WeightSDS!M$27+WeightSDS!N$27/(1+EXP(WeightSDS!O$27+WeightSDS!P$27*$AG692)))),IF($AG692&lt;43.8,WeightSDS!M$29*$AG692^10+WeightSDS!N$29*$AG692^9+WeightSDS!O$29*$AG692^8+WeightSDS!P$29*$AG692^7+WeightSDS!Q$29*$AG692^6+WeightSDS!R$29*$AG692^5+WeightSDS!S$29*$AG692^4+WeightSDS!T$29*$AG692^3+WeightSDS!U$29*$AG692^2+WeightSDS!V$29*$AG692+WeightSDS!W$29-0.010431*(1-$AG692/210),IF($AG692&lt;123,WeightSDS!M$30*$AG692^10+WeightSDS!N$30*$AG692^9+WeightSDS!O$30*$AG692^8+WeightSDS!P$30*$AG692^7+WeightSDS!Q$30*$AG692^6+WeightSDS!R$30*$AG692^5+WeightSDS!S$30*$AG692^4+WeightSDS!T$30*$AG692^3+WeightSDS!U$30*$AG692^2+WeightSDS!V$30*$AG692+WeightSDS!W$30-0.010431*(1-1/$AG692),WeightSDS!M$32+WeightSDS!N$32/(1+EXP(WeightSDS!O$32+WeightSDS!P$32*$AG692))-0.010431*(1-$AG692/210))))</f>
        <v>2.9500001032655536</v>
      </c>
      <c r="AK692" s="24">
        <f>IF(D692="M",IF($AG692&lt;162,WeightSDS!P$12*$AG692^7+WeightSDS!Q$12*$AG692^6+WeightSDS!R$12*$AG692^5+WeightSDS!S$12*$AG692^4+WeightSDS!T$12*$AG692^3+WeightSDS!U$12*$AG692^2+WeightSDS!V$12*$AG692+WeightSDS!W$12,WeightSDS!P$14*$AG692^7+WeightSDS!Q$14*$AG692^6+WeightSDS!R$14*$AG692^5+WeightSDS!S$14*$AG692^4+WeightSDS!T$14*$AG692^3+WeightSDS!U$14*$AG692^2+WeightSDS!V$14*$AG692+WeightSDS!W$14),IF($AG692&lt;156,WeightSDS!O$17*$AG692^8+WeightSDS!P$17*$AG692^7+WeightSDS!Q$17*$AG692^6+WeightSDS!R$17*$AG692^5+WeightSDS!S$17*$AG692^4+WeightSDS!T$17*$AG692^3+WeightSDS!U$17*$AG692^2+WeightSDS!V$17*$AG692+WeightSDS!W$17,IF($AG692&lt;186,WeightSDS!$U$18+(WeightSDS!$V$18-WeightSDS!$U$18)/24*($AG692-186)+WeightSDS!$W$18*(-$AG692+186)^2-0.005,WeightSDS!$U$18+(WeightSDS!$V$18-WeightSDS!$U$18)/24*($AG692-186)-0.005)))</f>
        <v>0.14604529399999999</v>
      </c>
    </row>
    <row r="693" spans="1:37">
      <c r="A693" s="4"/>
      <c r="B693" s="21"/>
      <c r="C693" s="21"/>
      <c r="D693" s="21"/>
      <c r="E693" s="22"/>
      <c r="F693" s="22"/>
      <c r="G693" s="23"/>
      <c r="H693" s="23"/>
      <c r="I693" s="8" t="str">
        <f t="shared" si="162"/>
        <v/>
      </c>
      <c r="J693" s="2" t="str">
        <f t="shared" si="169"/>
        <v/>
      </c>
      <c r="K693" s="2" t="str">
        <f t="shared" si="163"/>
        <v/>
      </c>
      <c r="L693" s="2" t="str">
        <f t="shared" si="170"/>
        <v/>
      </c>
      <c r="M693" s="2" t="str">
        <f t="shared" si="175"/>
        <v/>
      </c>
      <c r="N693" s="2" t="str">
        <f t="shared" si="171"/>
        <v/>
      </c>
      <c r="O693" s="8" t="str">
        <f t="shared" si="172"/>
        <v/>
      </c>
      <c r="P693" s="8" t="str">
        <f t="shared" si="173"/>
        <v/>
      </c>
      <c r="Q693" s="40" t="str">
        <f t="shared" si="164"/>
        <v/>
      </c>
      <c r="R693" s="48" t="str">
        <f t="shared" si="174"/>
        <v/>
      </c>
      <c r="S693" s="8"/>
      <c r="U693" s="35">
        <f t="shared" si="165"/>
        <v>0</v>
      </c>
      <c r="V693" s="24">
        <f t="shared" si="166"/>
        <v>0</v>
      </c>
      <c r="W693" s="41">
        <f t="shared" si="177"/>
        <v>0</v>
      </c>
      <c r="X693" s="31"/>
      <c r="Y693" s="31"/>
      <c r="Z693" s="31"/>
      <c r="AA693" s="25">
        <f t="shared" si="167"/>
        <v>9.0359999999999996</v>
      </c>
      <c r="AB693" s="25">
        <f t="shared" si="168"/>
        <v>-184.49199999999999</v>
      </c>
      <c r="AD693" s="24">
        <f>IF(D693="M",IF(AG693&lt;78,BMILMS!$D$5*AG693^3+BMILMS!$E$5*AG693^2+BMILMS!$F$5*AG693+BMILMS!$G$5,IF(AG693&lt;150,BMILMS!$D$6*AG693^3+BMILMS!$E$6*AG693^2+BMILMS!$F$6*AG693+BMILMS!$G$6,BMILMS!$D$7*AG693^3+BMILMS!$E$7*AG693^2+BMILMS!$F$7*AG693+BMILMS!$G$7)),IF(AG693&lt;69,BMILMS!$D$9*AG693^3+BMILMS!$E$9*AG693^2+BMILMS!$F$9*AG693+BMILMS!$G$9,IF(AG693&lt;150,BMILMS!$D$10*AG693^3+BMILMS!$E$10*AG693^2+BMILMS!$F$10*AG693+BMILMS!$G$10,BMILMS!$D$11*AG693^3+BMILMS!$E$11*AG693^2+BMILMS!$F$11*AG693+BMILMS!$G$11)))</f>
        <v>0.79584630099999998</v>
      </c>
      <c r="AE693" s="24">
        <f>IF(D693="M",(IF(AG693&lt;2.5,BMILMS!$D$21*AG693^3+BMILMS!$E$21*AG693^2+BMILMS!$F$21*AG693+BMILMS!$G$21,IF(AG693&lt;9.5,BMILMS!$D$22*AG693^3+BMILMS!$E$22*AG693^2+BMILMS!$F$22*AG693+BMILMS!$G$22,IF(AG693&lt;26.75,BMILMS!$D$23*AG693^3+BMILMS!$E$23*AG693^2+BMILMS!$F$23*AG693+BMILMS!$G$23,IF(AG693&lt;90,BMILMS!$D$24*AG693^3+BMILMS!$E$24*AG693^2+BMILMS!$F$24*AG693+BMILMS!$G$24,BMILMS!$D$25*AG693^3+BMILMS!$E$25*AG693^2+BMILMS!$F$25*AG693+BMILMS!$G$25))))),(IF(AG693&lt;2.5,BMILMS!$D$27*AG693^3+BMILMS!$E$27*AG693^2+BMILMS!$F$27*AG693+BMILMS!$G$27,IF(AG693&lt;9.5,BMILMS!$D$28*AG693^3+BMILMS!$E$28*AG693^2+BMILMS!$F$28*AG693+BMILMS!$G$28,IF(AG693&lt;26.75,BMILMS!$D$29*AG693^3+BMILMS!$E$29*AG693^2+BMILMS!$F$29*AG693+BMILMS!$G$29,IF(AG693&lt;90,BMILMS!$D$30*AG693^3+BMILMS!$E$30*AG693^2+BMILMS!$F$30*AG693+BMILMS!$G$30,IF(AG693&lt;150,BMILMS!$D$31*AG693^3+BMILMS!$E$31*AG693^2+BMILMS!$F$31*AG693+BMILMS!$G$31,BMILMS!$D$32*AG693^3+BMILMS!$E$32*AG693^2+BMILMS!$F$32*AG693+BMILMS!$G$32)))))))</f>
        <v>12.568967990000001</v>
      </c>
      <c r="AF693" s="24">
        <f>IF(D693="M",(IF(AG693&lt;90,BMILMS!$D$14*AG693^3+BMILMS!$E$14*AG693^2+BMILMS!$F$14*AG693+BMILMS!$G$14,BMILMS!$D$15*AG693^3+BMILMS!$E$15*AG693^2+BMILMS!$F$15*AG693+BMILMS!$G$15)),(IF(AG693&lt;90,BMILMS!$D$17*AG693^3+BMILMS!$E$17*AG693^2+BMILMS!$F$17*AG693+BMILMS!$G$17,BMILMS!$D$18*AG693^3+BMILMS!$E$18*AG693^2+BMILMS!$F$18*AG693+BMILMS!$G$18)))</f>
        <v>8.8969350000000003E-2</v>
      </c>
      <c r="AG693" s="24">
        <f t="shared" si="176"/>
        <v>0</v>
      </c>
      <c r="AI693" s="38">
        <f>IF(D693="M",WeightSDS!P$5*$AG693^7+WeightSDS!Q$5*$AG693^6+WeightSDS!R$5*$AG693^5+WeightSDS!S$5*$AG693^4+WeightSDS!T$5*$AG693^3+WeightSDS!U$5*$AG693^2+WeightSDS!V$5*$AG693+WeightSDS!W$5,IF($AG693&lt;186,WeightSDS!P$8*$AG693^7+WeightSDS!Q$8*$AG693^6+WeightSDS!R$8*$AG693^5+WeightSDS!S$8*$AG693^4+WeightSDS!T$8*$AG693^3+WeightSDS!U$8*$AG693^2+WeightSDS!V$8*$AG693+WeightSDS!W$8,WeightSDS!$U$9-WeightSDS!$V$9*($AG693-WeightSDS!$W$9)))</f>
        <v>0.75407122999999998</v>
      </c>
      <c r="AJ693" s="24">
        <f>IF(D693="M",IF($AG693&lt;45,WeightSDS!M$23*$AG693^10+WeightSDS!N$23*$AG693^9+WeightSDS!O$23*$AG693^8+WeightSDS!P$23*$AG693^7+WeightSDS!Q$23*$AG693^6+WeightSDS!R$23*$AG693^5+WeightSDS!S$23*$AG693^4+WeightSDS!T$23*$AG693^3+WeightSDS!U$23*$AG693^2+WeightSDS!V$23*$AG693+WeightSDS!W$23,IF($AG693&lt;153,WeightSDS!M$25*$AG693^10+WeightSDS!N$25*$AG693^9+WeightSDS!O$25*$AG693^8+WeightSDS!P$25*$AG693^7+WeightSDS!Q$25*$AG693^6+WeightSDS!R$25*$AG693^5+WeightSDS!S$25*$AG693^4+WeightSDS!T$25*$AG693^3+WeightSDS!U$25*$AG693^2+WeightSDS!V$25*$AG693+WeightSDS!W$25,WeightSDS!M$27+WeightSDS!N$27/(1+EXP(WeightSDS!O$27+WeightSDS!P$27*$AG693)))),IF($AG693&lt;43.8,WeightSDS!M$29*$AG693^10+WeightSDS!N$29*$AG693^9+WeightSDS!O$29*$AG693^8+WeightSDS!P$29*$AG693^7+WeightSDS!Q$29*$AG693^6+WeightSDS!R$29*$AG693^5+WeightSDS!S$29*$AG693^4+WeightSDS!T$29*$AG693^3+WeightSDS!U$29*$AG693^2+WeightSDS!V$29*$AG693+WeightSDS!W$29-0.010431*(1-$AG693/210),IF($AG693&lt;123,WeightSDS!M$30*$AG693^10+WeightSDS!N$30*$AG693^9+WeightSDS!O$30*$AG693^8+WeightSDS!P$30*$AG693^7+WeightSDS!Q$30*$AG693^6+WeightSDS!R$30*$AG693^5+WeightSDS!S$30*$AG693^4+WeightSDS!T$30*$AG693^3+WeightSDS!U$30*$AG693^2+WeightSDS!V$30*$AG693+WeightSDS!W$30-0.010431*(1-1/$AG693),WeightSDS!M$32+WeightSDS!N$32/(1+EXP(WeightSDS!O$32+WeightSDS!P$32*$AG693))-0.010431*(1-$AG693/210))))</f>
        <v>2.9500001032655536</v>
      </c>
      <c r="AK693" s="24">
        <f>IF(D693="M",IF($AG693&lt;162,WeightSDS!P$12*$AG693^7+WeightSDS!Q$12*$AG693^6+WeightSDS!R$12*$AG693^5+WeightSDS!S$12*$AG693^4+WeightSDS!T$12*$AG693^3+WeightSDS!U$12*$AG693^2+WeightSDS!V$12*$AG693+WeightSDS!W$12,WeightSDS!P$14*$AG693^7+WeightSDS!Q$14*$AG693^6+WeightSDS!R$14*$AG693^5+WeightSDS!S$14*$AG693^4+WeightSDS!T$14*$AG693^3+WeightSDS!U$14*$AG693^2+WeightSDS!V$14*$AG693+WeightSDS!W$14),IF($AG693&lt;156,WeightSDS!O$17*$AG693^8+WeightSDS!P$17*$AG693^7+WeightSDS!Q$17*$AG693^6+WeightSDS!R$17*$AG693^5+WeightSDS!S$17*$AG693^4+WeightSDS!T$17*$AG693^3+WeightSDS!U$17*$AG693^2+WeightSDS!V$17*$AG693+WeightSDS!W$17,IF($AG693&lt;186,WeightSDS!$U$18+(WeightSDS!$V$18-WeightSDS!$U$18)/24*($AG693-186)+WeightSDS!$W$18*(-$AG693+186)^2-0.005,WeightSDS!$U$18+(WeightSDS!$V$18-WeightSDS!$U$18)/24*($AG693-186)-0.005)))</f>
        <v>0.14604529399999999</v>
      </c>
    </row>
    <row r="694" spans="1:37">
      <c r="A694" s="4"/>
      <c r="B694" s="21"/>
      <c r="C694" s="21"/>
      <c r="D694" s="21"/>
      <c r="E694" s="22"/>
      <c r="F694" s="22"/>
      <c r="G694" s="23"/>
      <c r="H694" s="23"/>
      <c r="I694" s="8" t="str">
        <f t="shared" si="162"/>
        <v/>
      </c>
      <c r="J694" s="2" t="str">
        <f t="shared" si="169"/>
        <v/>
      </c>
      <c r="K694" s="2" t="str">
        <f t="shared" si="163"/>
        <v/>
      </c>
      <c r="L694" s="2" t="str">
        <f t="shared" si="170"/>
        <v/>
      </c>
      <c r="M694" s="2" t="str">
        <f t="shared" si="175"/>
        <v/>
      </c>
      <c r="N694" s="2" t="str">
        <f t="shared" si="171"/>
        <v/>
      </c>
      <c r="O694" s="8" t="str">
        <f t="shared" si="172"/>
        <v/>
      </c>
      <c r="P694" s="8" t="str">
        <f t="shared" si="173"/>
        <v/>
      </c>
      <c r="Q694" s="40" t="str">
        <f t="shared" si="164"/>
        <v/>
      </c>
      <c r="R694" s="48" t="str">
        <f t="shared" si="174"/>
        <v/>
      </c>
      <c r="S694" s="8"/>
      <c r="U694" s="35">
        <f t="shared" si="165"/>
        <v>0</v>
      </c>
      <c r="V694" s="24">
        <f t="shared" si="166"/>
        <v>0</v>
      </c>
      <c r="W694" s="41">
        <f t="shared" si="177"/>
        <v>0</v>
      </c>
      <c r="X694" s="31"/>
      <c r="Y694" s="31"/>
      <c r="Z694" s="31"/>
      <c r="AA694" s="25">
        <f t="shared" si="167"/>
        <v>9.0359999999999996</v>
      </c>
      <c r="AB694" s="25">
        <f t="shared" si="168"/>
        <v>-184.49199999999999</v>
      </c>
      <c r="AD694" s="24">
        <f>IF(D694="M",IF(AG694&lt;78,BMILMS!$D$5*AG694^3+BMILMS!$E$5*AG694^2+BMILMS!$F$5*AG694+BMILMS!$G$5,IF(AG694&lt;150,BMILMS!$D$6*AG694^3+BMILMS!$E$6*AG694^2+BMILMS!$F$6*AG694+BMILMS!$G$6,BMILMS!$D$7*AG694^3+BMILMS!$E$7*AG694^2+BMILMS!$F$7*AG694+BMILMS!$G$7)),IF(AG694&lt;69,BMILMS!$D$9*AG694^3+BMILMS!$E$9*AG694^2+BMILMS!$F$9*AG694+BMILMS!$G$9,IF(AG694&lt;150,BMILMS!$D$10*AG694^3+BMILMS!$E$10*AG694^2+BMILMS!$F$10*AG694+BMILMS!$G$10,BMILMS!$D$11*AG694^3+BMILMS!$E$11*AG694^2+BMILMS!$F$11*AG694+BMILMS!$G$11)))</f>
        <v>0.79584630099999998</v>
      </c>
      <c r="AE694" s="24">
        <f>IF(D694="M",(IF(AG694&lt;2.5,BMILMS!$D$21*AG694^3+BMILMS!$E$21*AG694^2+BMILMS!$F$21*AG694+BMILMS!$G$21,IF(AG694&lt;9.5,BMILMS!$D$22*AG694^3+BMILMS!$E$22*AG694^2+BMILMS!$F$22*AG694+BMILMS!$G$22,IF(AG694&lt;26.75,BMILMS!$D$23*AG694^3+BMILMS!$E$23*AG694^2+BMILMS!$F$23*AG694+BMILMS!$G$23,IF(AG694&lt;90,BMILMS!$D$24*AG694^3+BMILMS!$E$24*AG694^2+BMILMS!$F$24*AG694+BMILMS!$G$24,BMILMS!$D$25*AG694^3+BMILMS!$E$25*AG694^2+BMILMS!$F$25*AG694+BMILMS!$G$25))))),(IF(AG694&lt;2.5,BMILMS!$D$27*AG694^3+BMILMS!$E$27*AG694^2+BMILMS!$F$27*AG694+BMILMS!$G$27,IF(AG694&lt;9.5,BMILMS!$D$28*AG694^3+BMILMS!$E$28*AG694^2+BMILMS!$F$28*AG694+BMILMS!$G$28,IF(AG694&lt;26.75,BMILMS!$D$29*AG694^3+BMILMS!$E$29*AG694^2+BMILMS!$F$29*AG694+BMILMS!$G$29,IF(AG694&lt;90,BMILMS!$D$30*AG694^3+BMILMS!$E$30*AG694^2+BMILMS!$F$30*AG694+BMILMS!$G$30,IF(AG694&lt;150,BMILMS!$D$31*AG694^3+BMILMS!$E$31*AG694^2+BMILMS!$F$31*AG694+BMILMS!$G$31,BMILMS!$D$32*AG694^3+BMILMS!$E$32*AG694^2+BMILMS!$F$32*AG694+BMILMS!$G$32)))))))</f>
        <v>12.568967990000001</v>
      </c>
      <c r="AF694" s="24">
        <f>IF(D694="M",(IF(AG694&lt;90,BMILMS!$D$14*AG694^3+BMILMS!$E$14*AG694^2+BMILMS!$F$14*AG694+BMILMS!$G$14,BMILMS!$D$15*AG694^3+BMILMS!$E$15*AG694^2+BMILMS!$F$15*AG694+BMILMS!$G$15)),(IF(AG694&lt;90,BMILMS!$D$17*AG694^3+BMILMS!$E$17*AG694^2+BMILMS!$F$17*AG694+BMILMS!$G$17,BMILMS!$D$18*AG694^3+BMILMS!$E$18*AG694^2+BMILMS!$F$18*AG694+BMILMS!$G$18)))</f>
        <v>8.8969350000000003E-2</v>
      </c>
      <c r="AG694" s="24">
        <f t="shared" si="176"/>
        <v>0</v>
      </c>
      <c r="AI694" s="38">
        <f>IF(D694="M",WeightSDS!P$5*$AG694^7+WeightSDS!Q$5*$AG694^6+WeightSDS!R$5*$AG694^5+WeightSDS!S$5*$AG694^4+WeightSDS!T$5*$AG694^3+WeightSDS!U$5*$AG694^2+WeightSDS!V$5*$AG694+WeightSDS!W$5,IF($AG694&lt;186,WeightSDS!P$8*$AG694^7+WeightSDS!Q$8*$AG694^6+WeightSDS!R$8*$AG694^5+WeightSDS!S$8*$AG694^4+WeightSDS!T$8*$AG694^3+WeightSDS!U$8*$AG694^2+WeightSDS!V$8*$AG694+WeightSDS!W$8,WeightSDS!$U$9-WeightSDS!$V$9*($AG694-WeightSDS!$W$9)))</f>
        <v>0.75407122999999998</v>
      </c>
      <c r="AJ694" s="24">
        <f>IF(D694="M",IF($AG694&lt;45,WeightSDS!M$23*$AG694^10+WeightSDS!N$23*$AG694^9+WeightSDS!O$23*$AG694^8+WeightSDS!P$23*$AG694^7+WeightSDS!Q$23*$AG694^6+WeightSDS!R$23*$AG694^5+WeightSDS!S$23*$AG694^4+WeightSDS!T$23*$AG694^3+WeightSDS!U$23*$AG694^2+WeightSDS!V$23*$AG694+WeightSDS!W$23,IF($AG694&lt;153,WeightSDS!M$25*$AG694^10+WeightSDS!N$25*$AG694^9+WeightSDS!O$25*$AG694^8+WeightSDS!P$25*$AG694^7+WeightSDS!Q$25*$AG694^6+WeightSDS!R$25*$AG694^5+WeightSDS!S$25*$AG694^4+WeightSDS!T$25*$AG694^3+WeightSDS!U$25*$AG694^2+WeightSDS!V$25*$AG694+WeightSDS!W$25,WeightSDS!M$27+WeightSDS!N$27/(1+EXP(WeightSDS!O$27+WeightSDS!P$27*$AG694)))),IF($AG694&lt;43.8,WeightSDS!M$29*$AG694^10+WeightSDS!N$29*$AG694^9+WeightSDS!O$29*$AG694^8+WeightSDS!P$29*$AG694^7+WeightSDS!Q$29*$AG694^6+WeightSDS!R$29*$AG694^5+WeightSDS!S$29*$AG694^4+WeightSDS!T$29*$AG694^3+WeightSDS!U$29*$AG694^2+WeightSDS!V$29*$AG694+WeightSDS!W$29-0.010431*(1-$AG694/210),IF($AG694&lt;123,WeightSDS!M$30*$AG694^10+WeightSDS!N$30*$AG694^9+WeightSDS!O$30*$AG694^8+WeightSDS!P$30*$AG694^7+WeightSDS!Q$30*$AG694^6+WeightSDS!R$30*$AG694^5+WeightSDS!S$30*$AG694^4+WeightSDS!T$30*$AG694^3+WeightSDS!U$30*$AG694^2+WeightSDS!V$30*$AG694+WeightSDS!W$30-0.010431*(1-1/$AG694),WeightSDS!M$32+WeightSDS!N$32/(1+EXP(WeightSDS!O$32+WeightSDS!P$32*$AG694))-0.010431*(1-$AG694/210))))</f>
        <v>2.9500001032655536</v>
      </c>
      <c r="AK694" s="24">
        <f>IF(D694="M",IF($AG694&lt;162,WeightSDS!P$12*$AG694^7+WeightSDS!Q$12*$AG694^6+WeightSDS!R$12*$AG694^5+WeightSDS!S$12*$AG694^4+WeightSDS!T$12*$AG694^3+WeightSDS!U$12*$AG694^2+WeightSDS!V$12*$AG694+WeightSDS!W$12,WeightSDS!P$14*$AG694^7+WeightSDS!Q$14*$AG694^6+WeightSDS!R$14*$AG694^5+WeightSDS!S$14*$AG694^4+WeightSDS!T$14*$AG694^3+WeightSDS!U$14*$AG694^2+WeightSDS!V$14*$AG694+WeightSDS!W$14),IF($AG694&lt;156,WeightSDS!O$17*$AG694^8+WeightSDS!P$17*$AG694^7+WeightSDS!Q$17*$AG694^6+WeightSDS!R$17*$AG694^5+WeightSDS!S$17*$AG694^4+WeightSDS!T$17*$AG694^3+WeightSDS!U$17*$AG694^2+WeightSDS!V$17*$AG694+WeightSDS!W$17,IF($AG694&lt;186,WeightSDS!$U$18+(WeightSDS!$V$18-WeightSDS!$U$18)/24*($AG694-186)+WeightSDS!$W$18*(-$AG694+186)^2-0.005,WeightSDS!$U$18+(WeightSDS!$V$18-WeightSDS!$U$18)/24*($AG694-186)-0.005)))</f>
        <v>0.14604529399999999</v>
      </c>
    </row>
    <row r="695" spans="1:37">
      <c r="A695" s="4"/>
      <c r="B695" s="21"/>
      <c r="C695" s="21"/>
      <c r="D695" s="21"/>
      <c r="E695" s="22"/>
      <c r="F695" s="22"/>
      <c r="G695" s="23"/>
      <c r="H695" s="23"/>
      <c r="I695" s="8" t="str">
        <f t="shared" si="162"/>
        <v/>
      </c>
      <c r="J695" s="2" t="str">
        <f t="shared" si="169"/>
        <v/>
      </c>
      <c r="K695" s="2" t="str">
        <f t="shared" si="163"/>
        <v/>
      </c>
      <c r="L695" s="2" t="str">
        <f t="shared" si="170"/>
        <v/>
      </c>
      <c r="M695" s="2" t="str">
        <f t="shared" si="175"/>
        <v/>
      </c>
      <c r="N695" s="2" t="str">
        <f t="shared" si="171"/>
        <v/>
      </c>
      <c r="O695" s="8" t="str">
        <f t="shared" si="172"/>
        <v/>
      </c>
      <c r="P695" s="8" t="str">
        <f t="shared" si="173"/>
        <v/>
      </c>
      <c r="Q695" s="40" t="str">
        <f t="shared" si="164"/>
        <v/>
      </c>
      <c r="R695" s="48" t="str">
        <f t="shared" si="174"/>
        <v/>
      </c>
      <c r="S695" s="8"/>
      <c r="U695" s="35">
        <f t="shared" si="165"/>
        <v>0</v>
      </c>
      <c r="V695" s="24">
        <f t="shared" si="166"/>
        <v>0</v>
      </c>
      <c r="W695" s="41">
        <f t="shared" si="177"/>
        <v>0</v>
      </c>
      <c r="X695" s="31"/>
      <c r="Y695" s="31"/>
      <c r="Z695" s="31"/>
      <c r="AA695" s="25">
        <f t="shared" si="167"/>
        <v>9.0359999999999996</v>
      </c>
      <c r="AB695" s="25">
        <f t="shared" si="168"/>
        <v>-184.49199999999999</v>
      </c>
      <c r="AD695" s="24">
        <f>IF(D695="M",IF(AG695&lt;78,BMILMS!$D$5*AG695^3+BMILMS!$E$5*AG695^2+BMILMS!$F$5*AG695+BMILMS!$G$5,IF(AG695&lt;150,BMILMS!$D$6*AG695^3+BMILMS!$E$6*AG695^2+BMILMS!$F$6*AG695+BMILMS!$G$6,BMILMS!$D$7*AG695^3+BMILMS!$E$7*AG695^2+BMILMS!$F$7*AG695+BMILMS!$G$7)),IF(AG695&lt;69,BMILMS!$D$9*AG695^3+BMILMS!$E$9*AG695^2+BMILMS!$F$9*AG695+BMILMS!$G$9,IF(AG695&lt;150,BMILMS!$D$10*AG695^3+BMILMS!$E$10*AG695^2+BMILMS!$F$10*AG695+BMILMS!$G$10,BMILMS!$D$11*AG695^3+BMILMS!$E$11*AG695^2+BMILMS!$F$11*AG695+BMILMS!$G$11)))</f>
        <v>0.79584630099999998</v>
      </c>
      <c r="AE695" s="24">
        <f>IF(D695="M",(IF(AG695&lt;2.5,BMILMS!$D$21*AG695^3+BMILMS!$E$21*AG695^2+BMILMS!$F$21*AG695+BMILMS!$G$21,IF(AG695&lt;9.5,BMILMS!$D$22*AG695^3+BMILMS!$E$22*AG695^2+BMILMS!$F$22*AG695+BMILMS!$G$22,IF(AG695&lt;26.75,BMILMS!$D$23*AG695^3+BMILMS!$E$23*AG695^2+BMILMS!$F$23*AG695+BMILMS!$G$23,IF(AG695&lt;90,BMILMS!$D$24*AG695^3+BMILMS!$E$24*AG695^2+BMILMS!$F$24*AG695+BMILMS!$G$24,BMILMS!$D$25*AG695^3+BMILMS!$E$25*AG695^2+BMILMS!$F$25*AG695+BMILMS!$G$25))))),(IF(AG695&lt;2.5,BMILMS!$D$27*AG695^3+BMILMS!$E$27*AG695^2+BMILMS!$F$27*AG695+BMILMS!$G$27,IF(AG695&lt;9.5,BMILMS!$D$28*AG695^3+BMILMS!$E$28*AG695^2+BMILMS!$F$28*AG695+BMILMS!$G$28,IF(AG695&lt;26.75,BMILMS!$D$29*AG695^3+BMILMS!$E$29*AG695^2+BMILMS!$F$29*AG695+BMILMS!$G$29,IF(AG695&lt;90,BMILMS!$D$30*AG695^3+BMILMS!$E$30*AG695^2+BMILMS!$F$30*AG695+BMILMS!$G$30,IF(AG695&lt;150,BMILMS!$D$31*AG695^3+BMILMS!$E$31*AG695^2+BMILMS!$F$31*AG695+BMILMS!$G$31,BMILMS!$D$32*AG695^3+BMILMS!$E$32*AG695^2+BMILMS!$F$32*AG695+BMILMS!$G$32)))))))</f>
        <v>12.568967990000001</v>
      </c>
      <c r="AF695" s="24">
        <f>IF(D695="M",(IF(AG695&lt;90,BMILMS!$D$14*AG695^3+BMILMS!$E$14*AG695^2+BMILMS!$F$14*AG695+BMILMS!$G$14,BMILMS!$D$15*AG695^3+BMILMS!$E$15*AG695^2+BMILMS!$F$15*AG695+BMILMS!$G$15)),(IF(AG695&lt;90,BMILMS!$D$17*AG695^3+BMILMS!$E$17*AG695^2+BMILMS!$F$17*AG695+BMILMS!$G$17,BMILMS!$D$18*AG695^3+BMILMS!$E$18*AG695^2+BMILMS!$F$18*AG695+BMILMS!$G$18)))</f>
        <v>8.8969350000000003E-2</v>
      </c>
      <c r="AG695" s="24">
        <f t="shared" si="176"/>
        <v>0</v>
      </c>
      <c r="AI695" s="38">
        <f>IF(D695="M",WeightSDS!P$5*$AG695^7+WeightSDS!Q$5*$AG695^6+WeightSDS!R$5*$AG695^5+WeightSDS!S$5*$AG695^4+WeightSDS!T$5*$AG695^3+WeightSDS!U$5*$AG695^2+WeightSDS!V$5*$AG695+WeightSDS!W$5,IF($AG695&lt;186,WeightSDS!P$8*$AG695^7+WeightSDS!Q$8*$AG695^6+WeightSDS!R$8*$AG695^5+WeightSDS!S$8*$AG695^4+WeightSDS!T$8*$AG695^3+WeightSDS!U$8*$AG695^2+WeightSDS!V$8*$AG695+WeightSDS!W$8,WeightSDS!$U$9-WeightSDS!$V$9*($AG695-WeightSDS!$W$9)))</f>
        <v>0.75407122999999998</v>
      </c>
      <c r="AJ695" s="24">
        <f>IF(D695="M",IF($AG695&lt;45,WeightSDS!M$23*$AG695^10+WeightSDS!N$23*$AG695^9+WeightSDS!O$23*$AG695^8+WeightSDS!P$23*$AG695^7+WeightSDS!Q$23*$AG695^6+WeightSDS!R$23*$AG695^5+WeightSDS!S$23*$AG695^4+WeightSDS!T$23*$AG695^3+WeightSDS!U$23*$AG695^2+WeightSDS!V$23*$AG695+WeightSDS!W$23,IF($AG695&lt;153,WeightSDS!M$25*$AG695^10+WeightSDS!N$25*$AG695^9+WeightSDS!O$25*$AG695^8+WeightSDS!P$25*$AG695^7+WeightSDS!Q$25*$AG695^6+WeightSDS!R$25*$AG695^5+WeightSDS!S$25*$AG695^4+WeightSDS!T$25*$AG695^3+WeightSDS!U$25*$AG695^2+WeightSDS!V$25*$AG695+WeightSDS!W$25,WeightSDS!M$27+WeightSDS!N$27/(1+EXP(WeightSDS!O$27+WeightSDS!P$27*$AG695)))),IF($AG695&lt;43.8,WeightSDS!M$29*$AG695^10+WeightSDS!N$29*$AG695^9+WeightSDS!O$29*$AG695^8+WeightSDS!P$29*$AG695^7+WeightSDS!Q$29*$AG695^6+WeightSDS!R$29*$AG695^5+WeightSDS!S$29*$AG695^4+WeightSDS!T$29*$AG695^3+WeightSDS!U$29*$AG695^2+WeightSDS!V$29*$AG695+WeightSDS!W$29-0.010431*(1-$AG695/210),IF($AG695&lt;123,WeightSDS!M$30*$AG695^10+WeightSDS!N$30*$AG695^9+WeightSDS!O$30*$AG695^8+WeightSDS!P$30*$AG695^7+WeightSDS!Q$30*$AG695^6+WeightSDS!R$30*$AG695^5+WeightSDS!S$30*$AG695^4+WeightSDS!T$30*$AG695^3+WeightSDS!U$30*$AG695^2+WeightSDS!V$30*$AG695+WeightSDS!W$30-0.010431*(1-1/$AG695),WeightSDS!M$32+WeightSDS!N$32/(1+EXP(WeightSDS!O$32+WeightSDS!P$32*$AG695))-0.010431*(1-$AG695/210))))</f>
        <v>2.9500001032655536</v>
      </c>
      <c r="AK695" s="24">
        <f>IF(D695="M",IF($AG695&lt;162,WeightSDS!P$12*$AG695^7+WeightSDS!Q$12*$AG695^6+WeightSDS!R$12*$AG695^5+WeightSDS!S$12*$AG695^4+WeightSDS!T$12*$AG695^3+WeightSDS!U$12*$AG695^2+WeightSDS!V$12*$AG695+WeightSDS!W$12,WeightSDS!P$14*$AG695^7+WeightSDS!Q$14*$AG695^6+WeightSDS!R$14*$AG695^5+WeightSDS!S$14*$AG695^4+WeightSDS!T$14*$AG695^3+WeightSDS!U$14*$AG695^2+WeightSDS!V$14*$AG695+WeightSDS!W$14),IF($AG695&lt;156,WeightSDS!O$17*$AG695^8+WeightSDS!P$17*$AG695^7+WeightSDS!Q$17*$AG695^6+WeightSDS!R$17*$AG695^5+WeightSDS!S$17*$AG695^4+WeightSDS!T$17*$AG695^3+WeightSDS!U$17*$AG695^2+WeightSDS!V$17*$AG695+WeightSDS!W$17,IF($AG695&lt;186,WeightSDS!$U$18+(WeightSDS!$V$18-WeightSDS!$U$18)/24*($AG695-186)+WeightSDS!$W$18*(-$AG695+186)^2-0.005,WeightSDS!$U$18+(WeightSDS!$V$18-WeightSDS!$U$18)/24*($AG695-186)-0.005)))</f>
        <v>0.14604529399999999</v>
      </c>
    </row>
    <row r="696" spans="1:37">
      <c r="A696" s="4"/>
      <c r="B696" s="21"/>
      <c r="C696" s="21"/>
      <c r="D696" s="21"/>
      <c r="E696" s="22"/>
      <c r="F696" s="22"/>
      <c r="G696" s="23"/>
      <c r="H696" s="23"/>
      <c r="I696" s="8" t="str">
        <f t="shared" si="162"/>
        <v/>
      </c>
      <c r="J696" s="2" t="str">
        <f t="shared" si="169"/>
        <v/>
      </c>
      <c r="K696" s="2" t="str">
        <f t="shared" si="163"/>
        <v/>
      </c>
      <c r="L696" s="2" t="str">
        <f t="shared" si="170"/>
        <v/>
      </c>
      <c r="M696" s="2" t="str">
        <f t="shared" si="175"/>
        <v/>
      </c>
      <c r="N696" s="2" t="str">
        <f t="shared" si="171"/>
        <v/>
      </c>
      <c r="O696" s="8" t="str">
        <f t="shared" si="172"/>
        <v/>
      </c>
      <c r="P696" s="8" t="str">
        <f t="shared" si="173"/>
        <v/>
      </c>
      <c r="Q696" s="40" t="str">
        <f t="shared" si="164"/>
        <v/>
      </c>
      <c r="R696" s="48" t="str">
        <f t="shared" si="174"/>
        <v/>
      </c>
      <c r="S696" s="8"/>
      <c r="U696" s="35">
        <f t="shared" si="165"/>
        <v>0</v>
      </c>
      <c r="V696" s="24">
        <f t="shared" si="166"/>
        <v>0</v>
      </c>
      <c r="W696" s="41">
        <f t="shared" si="177"/>
        <v>0</v>
      </c>
      <c r="X696" s="31"/>
      <c r="Y696" s="31"/>
      <c r="Z696" s="31"/>
      <c r="AA696" s="25">
        <f t="shared" si="167"/>
        <v>9.0359999999999996</v>
      </c>
      <c r="AB696" s="25">
        <f t="shared" si="168"/>
        <v>-184.49199999999999</v>
      </c>
      <c r="AD696" s="24">
        <f>IF(D696="M",IF(AG696&lt;78,BMILMS!$D$5*AG696^3+BMILMS!$E$5*AG696^2+BMILMS!$F$5*AG696+BMILMS!$G$5,IF(AG696&lt;150,BMILMS!$D$6*AG696^3+BMILMS!$E$6*AG696^2+BMILMS!$F$6*AG696+BMILMS!$G$6,BMILMS!$D$7*AG696^3+BMILMS!$E$7*AG696^2+BMILMS!$F$7*AG696+BMILMS!$G$7)),IF(AG696&lt;69,BMILMS!$D$9*AG696^3+BMILMS!$E$9*AG696^2+BMILMS!$F$9*AG696+BMILMS!$G$9,IF(AG696&lt;150,BMILMS!$D$10*AG696^3+BMILMS!$E$10*AG696^2+BMILMS!$F$10*AG696+BMILMS!$G$10,BMILMS!$D$11*AG696^3+BMILMS!$E$11*AG696^2+BMILMS!$F$11*AG696+BMILMS!$G$11)))</f>
        <v>0.79584630099999998</v>
      </c>
      <c r="AE696" s="24">
        <f>IF(D696="M",(IF(AG696&lt;2.5,BMILMS!$D$21*AG696^3+BMILMS!$E$21*AG696^2+BMILMS!$F$21*AG696+BMILMS!$G$21,IF(AG696&lt;9.5,BMILMS!$D$22*AG696^3+BMILMS!$E$22*AG696^2+BMILMS!$F$22*AG696+BMILMS!$G$22,IF(AG696&lt;26.75,BMILMS!$D$23*AG696^3+BMILMS!$E$23*AG696^2+BMILMS!$F$23*AG696+BMILMS!$G$23,IF(AG696&lt;90,BMILMS!$D$24*AG696^3+BMILMS!$E$24*AG696^2+BMILMS!$F$24*AG696+BMILMS!$G$24,BMILMS!$D$25*AG696^3+BMILMS!$E$25*AG696^2+BMILMS!$F$25*AG696+BMILMS!$G$25))))),(IF(AG696&lt;2.5,BMILMS!$D$27*AG696^3+BMILMS!$E$27*AG696^2+BMILMS!$F$27*AG696+BMILMS!$G$27,IF(AG696&lt;9.5,BMILMS!$D$28*AG696^3+BMILMS!$E$28*AG696^2+BMILMS!$F$28*AG696+BMILMS!$G$28,IF(AG696&lt;26.75,BMILMS!$D$29*AG696^3+BMILMS!$E$29*AG696^2+BMILMS!$F$29*AG696+BMILMS!$G$29,IF(AG696&lt;90,BMILMS!$D$30*AG696^3+BMILMS!$E$30*AG696^2+BMILMS!$F$30*AG696+BMILMS!$G$30,IF(AG696&lt;150,BMILMS!$D$31*AG696^3+BMILMS!$E$31*AG696^2+BMILMS!$F$31*AG696+BMILMS!$G$31,BMILMS!$D$32*AG696^3+BMILMS!$E$32*AG696^2+BMILMS!$F$32*AG696+BMILMS!$G$32)))))))</f>
        <v>12.568967990000001</v>
      </c>
      <c r="AF696" s="24">
        <f>IF(D696="M",(IF(AG696&lt;90,BMILMS!$D$14*AG696^3+BMILMS!$E$14*AG696^2+BMILMS!$F$14*AG696+BMILMS!$G$14,BMILMS!$D$15*AG696^3+BMILMS!$E$15*AG696^2+BMILMS!$F$15*AG696+BMILMS!$G$15)),(IF(AG696&lt;90,BMILMS!$D$17*AG696^3+BMILMS!$E$17*AG696^2+BMILMS!$F$17*AG696+BMILMS!$G$17,BMILMS!$D$18*AG696^3+BMILMS!$E$18*AG696^2+BMILMS!$F$18*AG696+BMILMS!$G$18)))</f>
        <v>8.8969350000000003E-2</v>
      </c>
      <c r="AG696" s="24">
        <f t="shared" si="176"/>
        <v>0</v>
      </c>
      <c r="AI696" s="38">
        <f>IF(D696="M",WeightSDS!P$5*$AG696^7+WeightSDS!Q$5*$AG696^6+WeightSDS!R$5*$AG696^5+WeightSDS!S$5*$AG696^4+WeightSDS!T$5*$AG696^3+WeightSDS!U$5*$AG696^2+WeightSDS!V$5*$AG696+WeightSDS!W$5,IF($AG696&lt;186,WeightSDS!P$8*$AG696^7+WeightSDS!Q$8*$AG696^6+WeightSDS!R$8*$AG696^5+WeightSDS!S$8*$AG696^4+WeightSDS!T$8*$AG696^3+WeightSDS!U$8*$AG696^2+WeightSDS!V$8*$AG696+WeightSDS!W$8,WeightSDS!$U$9-WeightSDS!$V$9*($AG696-WeightSDS!$W$9)))</f>
        <v>0.75407122999999998</v>
      </c>
      <c r="AJ696" s="24">
        <f>IF(D696="M",IF($AG696&lt;45,WeightSDS!M$23*$AG696^10+WeightSDS!N$23*$AG696^9+WeightSDS!O$23*$AG696^8+WeightSDS!P$23*$AG696^7+WeightSDS!Q$23*$AG696^6+WeightSDS!R$23*$AG696^5+WeightSDS!S$23*$AG696^4+WeightSDS!T$23*$AG696^3+WeightSDS!U$23*$AG696^2+WeightSDS!V$23*$AG696+WeightSDS!W$23,IF($AG696&lt;153,WeightSDS!M$25*$AG696^10+WeightSDS!N$25*$AG696^9+WeightSDS!O$25*$AG696^8+WeightSDS!P$25*$AG696^7+WeightSDS!Q$25*$AG696^6+WeightSDS!R$25*$AG696^5+WeightSDS!S$25*$AG696^4+WeightSDS!T$25*$AG696^3+WeightSDS!U$25*$AG696^2+WeightSDS!V$25*$AG696+WeightSDS!W$25,WeightSDS!M$27+WeightSDS!N$27/(1+EXP(WeightSDS!O$27+WeightSDS!P$27*$AG696)))),IF($AG696&lt;43.8,WeightSDS!M$29*$AG696^10+WeightSDS!N$29*$AG696^9+WeightSDS!O$29*$AG696^8+WeightSDS!P$29*$AG696^7+WeightSDS!Q$29*$AG696^6+WeightSDS!R$29*$AG696^5+WeightSDS!S$29*$AG696^4+WeightSDS!T$29*$AG696^3+WeightSDS!U$29*$AG696^2+WeightSDS!V$29*$AG696+WeightSDS!W$29-0.010431*(1-$AG696/210),IF($AG696&lt;123,WeightSDS!M$30*$AG696^10+WeightSDS!N$30*$AG696^9+WeightSDS!O$30*$AG696^8+WeightSDS!P$30*$AG696^7+WeightSDS!Q$30*$AG696^6+WeightSDS!R$30*$AG696^5+WeightSDS!S$30*$AG696^4+WeightSDS!T$30*$AG696^3+WeightSDS!U$30*$AG696^2+WeightSDS!V$30*$AG696+WeightSDS!W$30-0.010431*(1-1/$AG696),WeightSDS!M$32+WeightSDS!N$32/(1+EXP(WeightSDS!O$32+WeightSDS!P$32*$AG696))-0.010431*(1-$AG696/210))))</f>
        <v>2.9500001032655536</v>
      </c>
      <c r="AK696" s="24">
        <f>IF(D696="M",IF($AG696&lt;162,WeightSDS!P$12*$AG696^7+WeightSDS!Q$12*$AG696^6+WeightSDS!R$12*$AG696^5+WeightSDS!S$12*$AG696^4+WeightSDS!T$12*$AG696^3+WeightSDS!U$12*$AG696^2+WeightSDS!V$12*$AG696+WeightSDS!W$12,WeightSDS!P$14*$AG696^7+WeightSDS!Q$14*$AG696^6+WeightSDS!R$14*$AG696^5+WeightSDS!S$14*$AG696^4+WeightSDS!T$14*$AG696^3+WeightSDS!U$14*$AG696^2+WeightSDS!V$14*$AG696+WeightSDS!W$14),IF($AG696&lt;156,WeightSDS!O$17*$AG696^8+WeightSDS!P$17*$AG696^7+WeightSDS!Q$17*$AG696^6+WeightSDS!R$17*$AG696^5+WeightSDS!S$17*$AG696^4+WeightSDS!T$17*$AG696^3+WeightSDS!U$17*$AG696^2+WeightSDS!V$17*$AG696+WeightSDS!W$17,IF($AG696&lt;186,WeightSDS!$U$18+(WeightSDS!$V$18-WeightSDS!$U$18)/24*($AG696-186)+WeightSDS!$W$18*(-$AG696+186)^2-0.005,WeightSDS!$U$18+(WeightSDS!$V$18-WeightSDS!$U$18)/24*($AG696-186)-0.005)))</f>
        <v>0.14604529399999999</v>
      </c>
    </row>
    <row r="697" spans="1:37">
      <c r="A697" s="4"/>
      <c r="B697" s="21"/>
      <c r="C697" s="21"/>
      <c r="D697" s="21"/>
      <c r="E697" s="22"/>
      <c r="F697" s="22"/>
      <c r="G697" s="23"/>
      <c r="H697" s="23"/>
      <c r="I697" s="8" t="str">
        <f t="shared" si="162"/>
        <v/>
      </c>
      <c r="J697" s="2" t="str">
        <f t="shared" si="169"/>
        <v/>
      </c>
      <c r="K697" s="2" t="str">
        <f t="shared" si="163"/>
        <v/>
      </c>
      <c r="L697" s="2" t="str">
        <f t="shared" si="170"/>
        <v/>
      </c>
      <c r="M697" s="2" t="str">
        <f t="shared" si="175"/>
        <v/>
      </c>
      <c r="N697" s="2" t="str">
        <f t="shared" si="171"/>
        <v/>
      </c>
      <c r="O697" s="8" t="str">
        <f t="shared" si="172"/>
        <v/>
      </c>
      <c r="P697" s="8" t="str">
        <f t="shared" si="173"/>
        <v/>
      </c>
      <c r="Q697" s="40" t="str">
        <f t="shared" si="164"/>
        <v/>
      </c>
      <c r="R697" s="48" t="str">
        <f t="shared" si="174"/>
        <v/>
      </c>
      <c r="S697" s="8"/>
      <c r="U697" s="35">
        <f t="shared" si="165"/>
        <v>0</v>
      </c>
      <c r="V697" s="24">
        <f t="shared" si="166"/>
        <v>0</v>
      </c>
      <c r="W697" s="41">
        <f t="shared" si="177"/>
        <v>0</v>
      </c>
      <c r="X697" s="31"/>
      <c r="Y697" s="31"/>
      <c r="Z697" s="31"/>
      <c r="AA697" s="25">
        <f t="shared" si="167"/>
        <v>9.0359999999999996</v>
      </c>
      <c r="AB697" s="25">
        <f t="shared" si="168"/>
        <v>-184.49199999999999</v>
      </c>
      <c r="AD697" s="24">
        <f>IF(D697="M",IF(AG697&lt;78,BMILMS!$D$5*AG697^3+BMILMS!$E$5*AG697^2+BMILMS!$F$5*AG697+BMILMS!$G$5,IF(AG697&lt;150,BMILMS!$D$6*AG697^3+BMILMS!$E$6*AG697^2+BMILMS!$F$6*AG697+BMILMS!$G$6,BMILMS!$D$7*AG697^3+BMILMS!$E$7*AG697^2+BMILMS!$F$7*AG697+BMILMS!$G$7)),IF(AG697&lt;69,BMILMS!$D$9*AG697^3+BMILMS!$E$9*AG697^2+BMILMS!$F$9*AG697+BMILMS!$G$9,IF(AG697&lt;150,BMILMS!$D$10*AG697^3+BMILMS!$E$10*AG697^2+BMILMS!$F$10*AG697+BMILMS!$G$10,BMILMS!$D$11*AG697^3+BMILMS!$E$11*AG697^2+BMILMS!$F$11*AG697+BMILMS!$G$11)))</f>
        <v>0.79584630099999998</v>
      </c>
      <c r="AE697" s="24">
        <f>IF(D697="M",(IF(AG697&lt;2.5,BMILMS!$D$21*AG697^3+BMILMS!$E$21*AG697^2+BMILMS!$F$21*AG697+BMILMS!$G$21,IF(AG697&lt;9.5,BMILMS!$D$22*AG697^3+BMILMS!$E$22*AG697^2+BMILMS!$F$22*AG697+BMILMS!$G$22,IF(AG697&lt;26.75,BMILMS!$D$23*AG697^3+BMILMS!$E$23*AG697^2+BMILMS!$F$23*AG697+BMILMS!$G$23,IF(AG697&lt;90,BMILMS!$D$24*AG697^3+BMILMS!$E$24*AG697^2+BMILMS!$F$24*AG697+BMILMS!$G$24,BMILMS!$D$25*AG697^3+BMILMS!$E$25*AG697^2+BMILMS!$F$25*AG697+BMILMS!$G$25))))),(IF(AG697&lt;2.5,BMILMS!$D$27*AG697^3+BMILMS!$E$27*AG697^2+BMILMS!$F$27*AG697+BMILMS!$G$27,IF(AG697&lt;9.5,BMILMS!$D$28*AG697^3+BMILMS!$E$28*AG697^2+BMILMS!$F$28*AG697+BMILMS!$G$28,IF(AG697&lt;26.75,BMILMS!$D$29*AG697^3+BMILMS!$E$29*AG697^2+BMILMS!$F$29*AG697+BMILMS!$G$29,IF(AG697&lt;90,BMILMS!$D$30*AG697^3+BMILMS!$E$30*AG697^2+BMILMS!$F$30*AG697+BMILMS!$G$30,IF(AG697&lt;150,BMILMS!$D$31*AG697^3+BMILMS!$E$31*AG697^2+BMILMS!$F$31*AG697+BMILMS!$G$31,BMILMS!$D$32*AG697^3+BMILMS!$E$32*AG697^2+BMILMS!$F$32*AG697+BMILMS!$G$32)))))))</f>
        <v>12.568967990000001</v>
      </c>
      <c r="AF697" s="24">
        <f>IF(D697="M",(IF(AG697&lt;90,BMILMS!$D$14*AG697^3+BMILMS!$E$14*AG697^2+BMILMS!$F$14*AG697+BMILMS!$G$14,BMILMS!$D$15*AG697^3+BMILMS!$E$15*AG697^2+BMILMS!$F$15*AG697+BMILMS!$G$15)),(IF(AG697&lt;90,BMILMS!$D$17*AG697^3+BMILMS!$E$17*AG697^2+BMILMS!$F$17*AG697+BMILMS!$G$17,BMILMS!$D$18*AG697^3+BMILMS!$E$18*AG697^2+BMILMS!$F$18*AG697+BMILMS!$G$18)))</f>
        <v>8.8969350000000003E-2</v>
      </c>
      <c r="AG697" s="24">
        <f t="shared" si="176"/>
        <v>0</v>
      </c>
      <c r="AI697" s="38">
        <f>IF(D697="M",WeightSDS!P$5*$AG697^7+WeightSDS!Q$5*$AG697^6+WeightSDS!R$5*$AG697^5+WeightSDS!S$5*$AG697^4+WeightSDS!T$5*$AG697^3+WeightSDS!U$5*$AG697^2+WeightSDS!V$5*$AG697+WeightSDS!W$5,IF($AG697&lt;186,WeightSDS!P$8*$AG697^7+WeightSDS!Q$8*$AG697^6+WeightSDS!R$8*$AG697^5+WeightSDS!S$8*$AG697^4+WeightSDS!T$8*$AG697^3+WeightSDS!U$8*$AG697^2+WeightSDS!V$8*$AG697+WeightSDS!W$8,WeightSDS!$U$9-WeightSDS!$V$9*($AG697-WeightSDS!$W$9)))</f>
        <v>0.75407122999999998</v>
      </c>
      <c r="AJ697" s="24">
        <f>IF(D697="M",IF($AG697&lt;45,WeightSDS!M$23*$AG697^10+WeightSDS!N$23*$AG697^9+WeightSDS!O$23*$AG697^8+WeightSDS!P$23*$AG697^7+WeightSDS!Q$23*$AG697^6+WeightSDS!R$23*$AG697^5+WeightSDS!S$23*$AG697^4+WeightSDS!T$23*$AG697^3+WeightSDS!U$23*$AG697^2+WeightSDS!V$23*$AG697+WeightSDS!W$23,IF($AG697&lt;153,WeightSDS!M$25*$AG697^10+WeightSDS!N$25*$AG697^9+WeightSDS!O$25*$AG697^8+WeightSDS!P$25*$AG697^7+WeightSDS!Q$25*$AG697^6+WeightSDS!R$25*$AG697^5+WeightSDS!S$25*$AG697^4+WeightSDS!T$25*$AG697^3+WeightSDS!U$25*$AG697^2+WeightSDS!V$25*$AG697+WeightSDS!W$25,WeightSDS!M$27+WeightSDS!N$27/(1+EXP(WeightSDS!O$27+WeightSDS!P$27*$AG697)))),IF($AG697&lt;43.8,WeightSDS!M$29*$AG697^10+WeightSDS!N$29*$AG697^9+WeightSDS!O$29*$AG697^8+WeightSDS!P$29*$AG697^7+WeightSDS!Q$29*$AG697^6+WeightSDS!R$29*$AG697^5+WeightSDS!S$29*$AG697^4+WeightSDS!T$29*$AG697^3+WeightSDS!U$29*$AG697^2+WeightSDS!V$29*$AG697+WeightSDS!W$29-0.010431*(1-$AG697/210),IF($AG697&lt;123,WeightSDS!M$30*$AG697^10+WeightSDS!N$30*$AG697^9+WeightSDS!O$30*$AG697^8+WeightSDS!P$30*$AG697^7+WeightSDS!Q$30*$AG697^6+WeightSDS!R$30*$AG697^5+WeightSDS!S$30*$AG697^4+WeightSDS!T$30*$AG697^3+WeightSDS!U$30*$AG697^2+WeightSDS!V$30*$AG697+WeightSDS!W$30-0.010431*(1-1/$AG697),WeightSDS!M$32+WeightSDS!N$32/(1+EXP(WeightSDS!O$32+WeightSDS!P$32*$AG697))-0.010431*(1-$AG697/210))))</f>
        <v>2.9500001032655536</v>
      </c>
      <c r="AK697" s="24">
        <f>IF(D697="M",IF($AG697&lt;162,WeightSDS!P$12*$AG697^7+WeightSDS!Q$12*$AG697^6+WeightSDS!R$12*$AG697^5+WeightSDS!S$12*$AG697^4+WeightSDS!T$12*$AG697^3+WeightSDS!U$12*$AG697^2+WeightSDS!V$12*$AG697+WeightSDS!W$12,WeightSDS!P$14*$AG697^7+WeightSDS!Q$14*$AG697^6+WeightSDS!R$14*$AG697^5+WeightSDS!S$14*$AG697^4+WeightSDS!T$14*$AG697^3+WeightSDS!U$14*$AG697^2+WeightSDS!V$14*$AG697+WeightSDS!W$14),IF($AG697&lt;156,WeightSDS!O$17*$AG697^8+WeightSDS!P$17*$AG697^7+WeightSDS!Q$17*$AG697^6+WeightSDS!R$17*$AG697^5+WeightSDS!S$17*$AG697^4+WeightSDS!T$17*$AG697^3+WeightSDS!U$17*$AG697^2+WeightSDS!V$17*$AG697+WeightSDS!W$17,IF($AG697&lt;186,WeightSDS!$U$18+(WeightSDS!$V$18-WeightSDS!$U$18)/24*($AG697-186)+WeightSDS!$W$18*(-$AG697+186)^2-0.005,WeightSDS!$U$18+(WeightSDS!$V$18-WeightSDS!$U$18)/24*($AG697-186)-0.005)))</f>
        <v>0.14604529399999999</v>
      </c>
    </row>
    <row r="698" spans="1:37">
      <c r="A698" s="4"/>
      <c r="B698" s="21"/>
      <c r="C698" s="21"/>
      <c r="D698" s="21"/>
      <c r="E698" s="22"/>
      <c r="F698" s="22"/>
      <c r="G698" s="23"/>
      <c r="H698" s="23"/>
      <c r="I698" s="8" t="str">
        <f t="shared" si="162"/>
        <v/>
      </c>
      <c r="J698" s="2" t="str">
        <f t="shared" si="169"/>
        <v/>
      </c>
      <c r="K698" s="2" t="str">
        <f t="shared" si="163"/>
        <v/>
      </c>
      <c r="L698" s="2" t="str">
        <f t="shared" si="170"/>
        <v/>
      </c>
      <c r="M698" s="2" t="str">
        <f t="shared" si="175"/>
        <v/>
      </c>
      <c r="N698" s="2" t="str">
        <f t="shared" si="171"/>
        <v/>
      </c>
      <c r="O698" s="8" t="str">
        <f t="shared" si="172"/>
        <v/>
      </c>
      <c r="P698" s="8" t="str">
        <f t="shared" si="173"/>
        <v/>
      </c>
      <c r="Q698" s="40" t="str">
        <f t="shared" si="164"/>
        <v/>
      </c>
      <c r="R698" s="48" t="str">
        <f t="shared" si="174"/>
        <v/>
      </c>
      <c r="S698" s="8"/>
      <c r="U698" s="35">
        <f t="shared" si="165"/>
        <v>0</v>
      </c>
      <c r="V698" s="24">
        <f t="shared" si="166"/>
        <v>0</v>
      </c>
      <c r="W698" s="41">
        <f t="shared" si="177"/>
        <v>0</v>
      </c>
      <c r="X698" s="31"/>
      <c r="Y698" s="31"/>
      <c r="Z698" s="31"/>
      <c r="AA698" s="25">
        <f t="shared" si="167"/>
        <v>9.0359999999999996</v>
      </c>
      <c r="AB698" s="25">
        <f t="shared" si="168"/>
        <v>-184.49199999999999</v>
      </c>
      <c r="AD698" s="24">
        <f>IF(D698="M",IF(AG698&lt;78,BMILMS!$D$5*AG698^3+BMILMS!$E$5*AG698^2+BMILMS!$F$5*AG698+BMILMS!$G$5,IF(AG698&lt;150,BMILMS!$D$6*AG698^3+BMILMS!$E$6*AG698^2+BMILMS!$F$6*AG698+BMILMS!$G$6,BMILMS!$D$7*AG698^3+BMILMS!$E$7*AG698^2+BMILMS!$F$7*AG698+BMILMS!$G$7)),IF(AG698&lt;69,BMILMS!$D$9*AG698^3+BMILMS!$E$9*AG698^2+BMILMS!$F$9*AG698+BMILMS!$G$9,IF(AG698&lt;150,BMILMS!$D$10*AG698^3+BMILMS!$E$10*AG698^2+BMILMS!$F$10*AG698+BMILMS!$G$10,BMILMS!$D$11*AG698^3+BMILMS!$E$11*AG698^2+BMILMS!$F$11*AG698+BMILMS!$G$11)))</f>
        <v>0.79584630099999998</v>
      </c>
      <c r="AE698" s="24">
        <f>IF(D698="M",(IF(AG698&lt;2.5,BMILMS!$D$21*AG698^3+BMILMS!$E$21*AG698^2+BMILMS!$F$21*AG698+BMILMS!$G$21,IF(AG698&lt;9.5,BMILMS!$D$22*AG698^3+BMILMS!$E$22*AG698^2+BMILMS!$F$22*AG698+BMILMS!$G$22,IF(AG698&lt;26.75,BMILMS!$D$23*AG698^3+BMILMS!$E$23*AG698^2+BMILMS!$F$23*AG698+BMILMS!$G$23,IF(AG698&lt;90,BMILMS!$D$24*AG698^3+BMILMS!$E$24*AG698^2+BMILMS!$F$24*AG698+BMILMS!$G$24,BMILMS!$D$25*AG698^3+BMILMS!$E$25*AG698^2+BMILMS!$F$25*AG698+BMILMS!$G$25))))),(IF(AG698&lt;2.5,BMILMS!$D$27*AG698^3+BMILMS!$E$27*AG698^2+BMILMS!$F$27*AG698+BMILMS!$G$27,IF(AG698&lt;9.5,BMILMS!$D$28*AG698^3+BMILMS!$E$28*AG698^2+BMILMS!$F$28*AG698+BMILMS!$G$28,IF(AG698&lt;26.75,BMILMS!$D$29*AG698^3+BMILMS!$E$29*AG698^2+BMILMS!$F$29*AG698+BMILMS!$G$29,IF(AG698&lt;90,BMILMS!$D$30*AG698^3+BMILMS!$E$30*AG698^2+BMILMS!$F$30*AG698+BMILMS!$G$30,IF(AG698&lt;150,BMILMS!$D$31*AG698^3+BMILMS!$E$31*AG698^2+BMILMS!$F$31*AG698+BMILMS!$G$31,BMILMS!$D$32*AG698^3+BMILMS!$E$32*AG698^2+BMILMS!$F$32*AG698+BMILMS!$G$32)))))))</f>
        <v>12.568967990000001</v>
      </c>
      <c r="AF698" s="24">
        <f>IF(D698="M",(IF(AG698&lt;90,BMILMS!$D$14*AG698^3+BMILMS!$E$14*AG698^2+BMILMS!$F$14*AG698+BMILMS!$G$14,BMILMS!$D$15*AG698^3+BMILMS!$E$15*AG698^2+BMILMS!$F$15*AG698+BMILMS!$G$15)),(IF(AG698&lt;90,BMILMS!$D$17*AG698^3+BMILMS!$E$17*AG698^2+BMILMS!$F$17*AG698+BMILMS!$G$17,BMILMS!$D$18*AG698^3+BMILMS!$E$18*AG698^2+BMILMS!$F$18*AG698+BMILMS!$G$18)))</f>
        <v>8.8969350000000003E-2</v>
      </c>
      <c r="AG698" s="24">
        <f t="shared" si="176"/>
        <v>0</v>
      </c>
      <c r="AI698" s="38">
        <f>IF(D698="M",WeightSDS!P$5*$AG698^7+WeightSDS!Q$5*$AG698^6+WeightSDS!R$5*$AG698^5+WeightSDS!S$5*$AG698^4+WeightSDS!T$5*$AG698^3+WeightSDS!U$5*$AG698^2+WeightSDS!V$5*$AG698+WeightSDS!W$5,IF($AG698&lt;186,WeightSDS!P$8*$AG698^7+WeightSDS!Q$8*$AG698^6+WeightSDS!R$8*$AG698^5+WeightSDS!S$8*$AG698^4+WeightSDS!T$8*$AG698^3+WeightSDS!U$8*$AG698^2+WeightSDS!V$8*$AG698+WeightSDS!W$8,WeightSDS!$U$9-WeightSDS!$V$9*($AG698-WeightSDS!$W$9)))</f>
        <v>0.75407122999999998</v>
      </c>
      <c r="AJ698" s="24">
        <f>IF(D698="M",IF($AG698&lt;45,WeightSDS!M$23*$AG698^10+WeightSDS!N$23*$AG698^9+WeightSDS!O$23*$AG698^8+WeightSDS!P$23*$AG698^7+WeightSDS!Q$23*$AG698^6+WeightSDS!R$23*$AG698^5+WeightSDS!S$23*$AG698^4+WeightSDS!T$23*$AG698^3+WeightSDS!U$23*$AG698^2+WeightSDS!V$23*$AG698+WeightSDS!W$23,IF($AG698&lt;153,WeightSDS!M$25*$AG698^10+WeightSDS!N$25*$AG698^9+WeightSDS!O$25*$AG698^8+WeightSDS!P$25*$AG698^7+WeightSDS!Q$25*$AG698^6+WeightSDS!R$25*$AG698^5+WeightSDS!S$25*$AG698^4+WeightSDS!T$25*$AG698^3+WeightSDS!U$25*$AG698^2+WeightSDS!V$25*$AG698+WeightSDS!W$25,WeightSDS!M$27+WeightSDS!N$27/(1+EXP(WeightSDS!O$27+WeightSDS!P$27*$AG698)))),IF($AG698&lt;43.8,WeightSDS!M$29*$AG698^10+WeightSDS!N$29*$AG698^9+WeightSDS!O$29*$AG698^8+WeightSDS!P$29*$AG698^7+WeightSDS!Q$29*$AG698^6+WeightSDS!R$29*$AG698^5+WeightSDS!S$29*$AG698^4+WeightSDS!T$29*$AG698^3+WeightSDS!U$29*$AG698^2+WeightSDS!V$29*$AG698+WeightSDS!W$29-0.010431*(1-$AG698/210),IF($AG698&lt;123,WeightSDS!M$30*$AG698^10+WeightSDS!N$30*$AG698^9+WeightSDS!O$30*$AG698^8+WeightSDS!P$30*$AG698^7+WeightSDS!Q$30*$AG698^6+WeightSDS!R$30*$AG698^5+WeightSDS!S$30*$AG698^4+WeightSDS!T$30*$AG698^3+WeightSDS!U$30*$AG698^2+WeightSDS!V$30*$AG698+WeightSDS!W$30-0.010431*(1-1/$AG698),WeightSDS!M$32+WeightSDS!N$32/(1+EXP(WeightSDS!O$32+WeightSDS!P$32*$AG698))-0.010431*(1-$AG698/210))))</f>
        <v>2.9500001032655536</v>
      </c>
      <c r="AK698" s="24">
        <f>IF(D698="M",IF($AG698&lt;162,WeightSDS!P$12*$AG698^7+WeightSDS!Q$12*$AG698^6+WeightSDS!R$12*$AG698^5+WeightSDS!S$12*$AG698^4+WeightSDS!T$12*$AG698^3+WeightSDS!U$12*$AG698^2+WeightSDS!V$12*$AG698+WeightSDS!W$12,WeightSDS!P$14*$AG698^7+WeightSDS!Q$14*$AG698^6+WeightSDS!R$14*$AG698^5+WeightSDS!S$14*$AG698^4+WeightSDS!T$14*$AG698^3+WeightSDS!U$14*$AG698^2+WeightSDS!V$14*$AG698+WeightSDS!W$14),IF($AG698&lt;156,WeightSDS!O$17*$AG698^8+WeightSDS!P$17*$AG698^7+WeightSDS!Q$17*$AG698^6+WeightSDS!R$17*$AG698^5+WeightSDS!S$17*$AG698^4+WeightSDS!T$17*$AG698^3+WeightSDS!U$17*$AG698^2+WeightSDS!V$17*$AG698+WeightSDS!W$17,IF($AG698&lt;186,WeightSDS!$U$18+(WeightSDS!$V$18-WeightSDS!$U$18)/24*($AG698-186)+WeightSDS!$W$18*(-$AG698+186)^2-0.005,WeightSDS!$U$18+(WeightSDS!$V$18-WeightSDS!$U$18)/24*($AG698-186)-0.005)))</f>
        <v>0.14604529399999999</v>
      </c>
    </row>
    <row r="699" spans="1:37">
      <c r="A699" s="4"/>
      <c r="B699" s="21"/>
      <c r="C699" s="21"/>
      <c r="D699" s="21"/>
      <c r="E699" s="22"/>
      <c r="F699" s="22"/>
      <c r="G699" s="23"/>
      <c r="H699" s="23"/>
      <c r="I699" s="8" t="str">
        <f t="shared" si="162"/>
        <v/>
      </c>
      <c r="J699" s="2" t="str">
        <f t="shared" si="169"/>
        <v/>
      </c>
      <c r="K699" s="2" t="str">
        <f t="shared" si="163"/>
        <v/>
      </c>
      <c r="L699" s="2" t="str">
        <f t="shared" si="170"/>
        <v/>
      </c>
      <c r="M699" s="2" t="str">
        <f t="shared" si="175"/>
        <v/>
      </c>
      <c r="N699" s="2" t="str">
        <f t="shared" si="171"/>
        <v/>
      </c>
      <c r="O699" s="8" t="str">
        <f t="shared" si="172"/>
        <v/>
      </c>
      <c r="P699" s="8" t="str">
        <f t="shared" si="173"/>
        <v/>
      </c>
      <c r="Q699" s="40" t="str">
        <f t="shared" si="164"/>
        <v/>
      </c>
      <c r="R699" s="48" t="str">
        <f t="shared" si="174"/>
        <v/>
      </c>
      <c r="S699" s="8"/>
      <c r="U699" s="35">
        <f t="shared" si="165"/>
        <v>0</v>
      </c>
      <c r="V699" s="24">
        <f t="shared" si="166"/>
        <v>0</v>
      </c>
      <c r="W699" s="41">
        <f t="shared" si="177"/>
        <v>0</v>
      </c>
      <c r="X699" s="31"/>
      <c r="Y699" s="31"/>
      <c r="Z699" s="31"/>
      <c r="AA699" s="25">
        <f t="shared" si="167"/>
        <v>9.0359999999999996</v>
      </c>
      <c r="AB699" s="25">
        <f t="shared" si="168"/>
        <v>-184.49199999999999</v>
      </c>
      <c r="AD699" s="24">
        <f>IF(D699="M",IF(AG699&lt;78,BMILMS!$D$5*AG699^3+BMILMS!$E$5*AG699^2+BMILMS!$F$5*AG699+BMILMS!$G$5,IF(AG699&lt;150,BMILMS!$D$6*AG699^3+BMILMS!$E$6*AG699^2+BMILMS!$F$6*AG699+BMILMS!$G$6,BMILMS!$D$7*AG699^3+BMILMS!$E$7*AG699^2+BMILMS!$F$7*AG699+BMILMS!$G$7)),IF(AG699&lt;69,BMILMS!$D$9*AG699^3+BMILMS!$E$9*AG699^2+BMILMS!$F$9*AG699+BMILMS!$G$9,IF(AG699&lt;150,BMILMS!$D$10*AG699^3+BMILMS!$E$10*AG699^2+BMILMS!$F$10*AG699+BMILMS!$G$10,BMILMS!$D$11*AG699^3+BMILMS!$E$11*AG699^2+BMILMS!$F$11*AG699+BMILMS!$G$11)))</f>
        <v>0.79584630099999998</v>
      </c>
      <c r="AE699" s="24">
        <f>IF(D699="M",(IF(AG699&lt;2.5,BMILMS!$D$21*AG699^3+BMILMS!$E$21*AG699^2+BMILMS!$F$21*AG699+BMILMS!$G$21,IF(AG699&lt;9.5,BMILMS!$D$22*AG699^3+BMILMS!$E$22*AG699^2+BMILMS!$F$22*AG699+BMILMS!$G$22,IF(AG699&lt;26.75,BMILMS!$D$23*AG699^3+BMILMS!$E$23*AG699^2+BMILMS!$F$23*AG699+BMILMS!$G$23,IF(AG699&lt;90,BMILMS!$D$24*AG699^3+BMILMS!$E$24*AG699^2+BMILMS!$F$24*AG699+BMILMS!$G$24,BMILMS!$D$25*AG699^3+BMILMS!$E$25*AG699^2+BMILMS!$F$25*AG699+BMILMS!$G$25))))),(IF(AG699&lt;2.5,BMILMS!$D$27*AG699^3+BMILMS!$E$27*AG699^2+BMILMS!$F$27*AG699+BMILMS!$G$27,IF(AG699&lt;9.5,BMILMS!$D$28*AG699^3+BMILMS!$E$28*AG699^2+BMILMS!$F$28*AG699+BMILMS!$G$28,IF(AG699&lt;26.75,BMILMS!$D$29*AG699^3+BMILMS!$E$29*AG699^2+BMILMS!$F$29*AG699+BMILMS!$G$29,IF(AG699&lt;90,BMILMS!$D$30*AG699^3+BMILMS!$E$30*AG699^2+BMILMS!$F$30*AG699+BMILMS!$G$30,IF(AG699&lt;150,BMILMS!$D$31*AG699^3+BMILMS!$E$31*AG699^2+BMILMS!$F$31*AG699+BMILMS!$G$31,BMILMS!$D$32*AG699^3+BMILMS!$E$32*AG699^2+BMILMS!$F$32*AG699+BMILMS!$G$32)))))))</f>
        <v>12.568967990000001</v>
      </c>
      <c r="AF699" s="24">
        <f>IF(D699="M",(IF(AG699&lt;90,BMILMS!$D$14*AG699^3+BMILMS!$E$14*AG699^2+BMILMS!$F$14*AG699+BMILMS!$G$14,BMILMS!$D$15*AG699^3+BMILMS!$E$15*AG699^2+BMILMS!$F$15*AG699+BMILMS!$G$15)),(IF(AG699&lt;90,BMILMS!$D$17*AG699^3+BMILMS!$E$17*AG699^2+BMILMS!$F$17*AG699+BMILMS!$G$17,BMILMS!$D$18*AG699^3+BMILMS!$E$18*AG699^2+BMILMS!$F$18*AG699+BMILMS!$G$18)))</f>
        <v>8.8969350000000003E-2</v>
      </c>
      <c r="AG699" s="24">
        <f t="shared" si="176"/>
        <v>0</v>
      </c>
      <c r="AI699" s="38">
        <f>IF(D699="M",WeightSDS!P$5*$AG699^7+WeightSDS!Q$5*$AG699^6+WeightSDS!R$5*$AG699^5+WeightSDS!S$5*$AG699^4+WeightSDS!T$5*$AG699^3+WeightSDS!U$5*$AG699^2+WeightSDS!V$5*$AG699+WeightSDS!W$5,IF($AG699&lt;186,WeightSDS!P$8*$AG699^7+WeightSDS!Q$8*$AG699^6+WeightSDS!R$8*$AG699^5+WeightSDS!S$8*$AG699^4+WeightSDS!T$8*$AG699^3+WeightSDS!U$8*$AG699^2+WeightSDS!V$8*$AG699+WeightSDS!W$8,WeightSDS!$U$9-WeightSDS!$V$9*($AG699-WeightSDS!$W$9)))</f>
        <v>0.75407122999999998</v>
      </c>
      <c r="AJ699" s="24">
        <f>IF(D699="M",IF($AG699&lt;45,WeightSDS!M$23*$AG699^10+WeightSDS!N$23*$AG699^9+WeightSDS!O$23*$AG699^8+WeightSDS!P$23*$AG699^7+WeightSDS!Q$23*$AG699^6+WeightSDS!R$23*$AG699^5+WeightSDS!S$23*$AG699^4+WeightSDS!T$23*$AG699^3+WeightSDS!U$23*$AG699^2+WeightSDS!V$23*$AG699+WeightSDS!W$23,IF($AG699&lt;153,WeightSDS!M$25*$AG699^10+WeightSDS!N$25*$AG699^9+WeightSDS!O$25*$AG699^8+WeightSDS!P$25*$AG699^7+WeightSDS!Q$25*$AG699^6+WeightSDS!R$25*$AG699^5+WeightSDS!S$25*$AG699^4+WeightSDS!T$25*$AG699^3+WeightSDS!U$25*$AG699^2+WeightSDS!V$25*$AG699+WeightSDS!W$25,WeightSDS!M$27+WeightSDS!N$27/(1+EXP(WeightSDS!O$27+WeightSDS!P$27*$AG699)))),IF($AG699&lt;43.8,WeightSDS!M$29*$AG699^10+WeightSDS!N$29*$AG699^9+WeightSDS!O$29*$AG699^8+WeightSDS!P$29*$AG699^7+WeightSDS!Q$29*$AG699^6+WeightSDS!R$29*$AG699^5+WeightSDS!S$29*$AG699^4+WeightSDS!T$29*$AG699^3+WeightSDS!U$29*$AG699^2+WeightSDS!V$29*$AG699+WeightSDS!W$29-0.010431*(1-$AG699/210),IF($AG699&lt;123,WeightSDS!M$30*$AG699^10+WeightSDS!N$30*$AG699^9+WeightSDS!O$30*$AG699^8+WeightSDS!P$30*$AG699^7+WeightSDS!Q$30*$AG699^6+WeightSDS!R$30*$AG699^5+WeightSDS!S$30*$AG699^4+WeightSDS!T$30*$AG699^3+WeightSDS!U$30*$AG699^2+WeightSDS!V$30*$AG699+WeightSDS!W$30-0.010431*(1-1/$AG699),WeightSDS!M$32+WeightSDS!N$32/(1+EXP(WeightSDS!O$32+WeightSDS!P$32*$AG699))-0.010431*(1-$AG699/210))))</f>
        <v>2.9500001032655536</v>
      </c>
      <c r="AK699" s="24">
        <f>IF(D699="M",IF($AG699&lt;162,WeightSDS!P$12*$AG699^7+WeightSDS!Q$12*$AG699^6+WeightSDS!R$12*$AG699^5+WeightSDS!S$12*$AG699^4+WeightSDS!T$12*$AG699^3+WeightSDS!U$12*$AG699^2+WeightSDS!V$12*$AG699+WeightSDS!W$12,WeightSDS!P$14*$AG699^7+WeightSDS!Q$14*$AG699^6+WeightSDS!R$14*$AG699^5+WeightSDS!S$14*$AG699^4+WeightSDS!T$14*$AG699^3+WeightSDS!U$14*$AG699^2+WeightSDS!V$14*$AG699+WeightSDS!W$14),IF($AG699&lt;156,WeightSDS!O$17*$AG699^8+WeightSDS!P$17*$AG699^7+WeightSDS!Q$17*$AG699^6+WeightSDS!R$17*$AG699^5+WeightSDS!S$17*$AG699^4+WeightSDS!T$17*$AG699^3+WeightSDS!U$17*$AG699^2+WeightSDS!V$17*$AG699+WeightSDS!W$17,IF($AG699&lt;186,WeightSDS!$U$18+(WeightSDS!$V$18-WeightSDS!$U$18)/24*($AG699-186)+WeightSDS!$W$18*(-$AG699+186)^2-0.005,WeightSDS!$U$18+(WeightSDS!$V$18-WeightSDS!$U$18)/24*($AG699-186)-0.005)))</f>
        <v>0.14604529399999999</v>
      </c>
    </row>
    <row r="700" spans="1:37">
      <c r="A700" s="4"/>
      <c r="B700" s="21"/>
      <c r="C700" s="21"/>
      <c r="D700" s="21"/>
      <c r="E700" s="22"/>
      <c r="F700" s="22"/>
      <c r="G700" s="23"/>
      <c r="H700" s="23"/>
      <c r="I700" s="8" t="str">
        <f t="shared" si="162"/>
        <v/>
      </c>
      <c r="J700" s="2" t="str">
        <f t="shared" si="169"/>
        <v/>
      </c>
      <c r="K700" s="2" t="str">
        <f t="shared" si="163"/>
        <v/>
      </c>
      <c r="L700" s="2" t="str">
        <f t="shared" si="170"/>
        <v/>
      </c>
      <c r="M700" s="2" t="str">
        <f t="shared" si="175"/>
        <v/>
      </c>
      <c r="N700" s="2" t="str">
        <f t="shared" si="171"/>
        <v/>
      </c>
      <c r="O700" s="8" t="str">
        <f t="shared" si="172"/>
        <v/>
      </c>
      <c r="P700" s="8" t="str">
        <f t="shared" si="173"/>
        <v/>
      </c>
      <c r="Q700" s="40" t="str">
        <f t="shared" si="164"/>
        <v/>
      </c>
      <c r="R700" s="48" t="str">
        <f t="shared" si="174"/>
        <v/>
      </c>
      <c r="S700" s="8"/>
      <c r="U700" s="35">
        <f t="shared" si="165"/>
        <v>0</v>
      </c>
      <c r="V700" s="24">
        <f t="shared" si="166"/>
        <v>0</v>
      </c>
      <c r="W700" s="41">
        <f t="shared" si="177"/>
        <v>0</v>
      </c>
      <c r="X700" s="31"/>
      <c r="Y700" s="31"/>
      <c r="Z700" s="31"/>
      <c r="AA700" s="25">
        <f t="shared" si="167"/>
        <v>9.0359999999999996</v>
      </c>
      <c r="AB700" s="25">
        <f t="shared" si="168"/>
        <v>-184.49199999999999</v>
      </c>
      <c r="AD700" s="24">
        <f>IF(D700="M",IF(AG700&lt;78,BMILMS!$D$5*AG700^3+BMILMS!$E$5*AG700^2+BMILMS!$F$5*AG700+BMILMS!$G$5,IF(AG700&lt;150,BMILMS!$D$6*AG700^3+BMILMS!$E$6*AG700^2+BMILMS!$F$6*AG700+BMILMS!$G$6,BMILMS!$D$7*AG700^3+BMILMS!$E$7*AG700^2+BMILMS!$F$7*AG700+BMILMS!$G$7)),IF(AG700&lt;69,BMILMS!$D$9*AG700^3+BMILMS!$E$9*AG700^2+BMILMS!$F$9*AG700+BMILMS!$G$9,IF(AG700&lt;150,BMILMS!$D$10*AG700^3+BMILMS!$E$10*AG700^2+BMILMS!$F$10*AG700+BMILMS!$G$10,BMILMS!$D$11*AG700^3+BMILMS!$E$11*AG700^2+BMILMS!$F$11*AG700+BMILMS!$G$11)))</f>
        <v>0.79584630099999998</v>
      </c>
      <c r="AE700" s="24">
        <f>IF(D700="M",(IF(AG700&lt;2.5,BMILMS!$D$21*AG700^3+BMILMS!$E$21*AG700^2+BMILMS!$F$21*AG700+BMILMS!$G$21,IF(AG700&lt;9.5,BMILMS!$D$22*AG700^3+BMILMS!$E$22*AG700^2+BMILMS!$F$22*AG700+BMILMS!$G$22,IF(AG700&lt;26.75,BMILMS!$D$23*AG700^3+BMILMS!$E$23*AG700^2+BMILMS!$F$23*AG700+BMILMS!$G$23,IF(AG700&lt;90,BMILMS!$D$24*AG700^3+BMILMS!$E$24*AG700^2+BMILMS!$F$24*AG700+BMILMS!$G$24,BMILMS!$D$25*AG700^3+BMILMS!$E$25*AG700^2+BMILMS!$F$25*AG700+BMILMS!$G$25))))),(IF(AG700&lt;2.5,BMILMS!$D$27*AG700^3+BMILMS!$E$27*AG700^2+BMILMS!$F$27*AG700+BMILMS!$G$27,IF(AG700&lt;9.5,BMILMS!$D$28*AG700^3+BMILMS!$E$28*AG700^2+BMILMS!$F$28*AG700+BMILMS!$G$28,IF(AG700&lt;26.75,BMILMS!$D$29*AG700^3+BMILMS!$E$29*AG700^2+BMILMS!$F$29*AG700+BMILMS!$G$29,IF(AG700&lt;90,BMILMS!$D$30*AG700^3+BMILMS!$E$30*AG700^2+BMILMS!$F$30*AG700+BMILMS!$G$30,IF(AG700&lt;150,BMILMS!$D$31*AG700^3+BMILMS!$E$31*AG700^2+BMILMS!$F$31*AG700+BMILMS!$G$31,BMILMS!$D$32*AG700^3+BMILMS!$E$32*AG700^2+BMILMS!$F$32*AG700+BMILMS!$G$32)))))))</f>
        <v>12.568967990000001</v>
      </c>
      <c r="AF700" s="24">
        <f>IF(D700="M",(IF(AG700&lt;90,BMILMS!$D$14*AG700^3+BMILMS!$E$14*AG700^2+BMILMS!$F$14*AG700+BMILMS!$G$14,BMILMS!$D$15*AG700^3+BMILMS!$E$15*AG700^2+BMILMS!$F$15*AG700+BMILMS!$G$15)),(IF(AG700&lt;90,BMILMS!$D$17*AG700^3+BMILMS!$E$17*AG700^2+BMILMS!$F$17*AG700+BMILMS!$G$17,BMILMS!$D$18*AG700^3+BMILMS!$E$18*AG700^2+BMILMS!$F$18*AG700+BMILMS!$G$18)))</f>
        <v>8.8969350000000003E-2</v>
      </c>
      <c r="AG700" s="24">
        <f t="shared" si="176"/>
        <v>0</v>
      </c>
      <c r="AI700" s="38">
        <f>IF(D700="M",WeightSDS!P$5*$AG700^7+WeightSDS!Q$5*$AG700^6+WeightSDS!R$5*$AG700^5+WeightSDS!S$5*$AG700^4+WeightSDS!T$5*$AG700^3+WeightSDS!U$5*$AG700^2+WeightSDS!V$5*$AG700+WeightSDS!W$5,IF($AG700&lt;186,WeightSDS!P$8*$AG700^7+WeightSDS!Q$8*$AG700^6+WeightSDS!R$8*$AG700^5+WeightSDS!S$8*$AG700^4+WeightSDS!T$8*$AG700^3+WeightSDS!U$8*$AG700^2+WeightSDS!V$8*$AG700+WeightSDS!W$8,WeightSDS!$U$9-WeightSDS!$V$9*($AG700-WeightSDS!$W$9)))</f>
        <v>0.75407122999999998</v>
      </c>
      <c r="AJ700" s="24">
        <f>IF(D700="M",IF($AG700&lt;45,WeightSDS!M$23*$AG700^10+WeightSDS!N$23*$AG700^9+WeightSDS!O$23*$AG700^8+WeightSDS!P$23*$AG700^7+WeightSDS!Q$23*$AG700^6+WeightSDS!R$23*$AG700^5+WeightSDS!S$23*$AG700^4+WeightSDS!T$23*$AG700^3+WeightSDS!U$23*$AG700^2+WeightSDS!V$23*$AG700+WeightSDS!W$23,IF($AG700&lt;153,WeightSDS!M$25*$AG700^10+WeightSDS!N$25*$AG700^9+WeightSDS!O$25*$AG700^8+WeightSDS!P$25*$AG700^7+WeightSDS!Q$25*$AG700^6+WeightSDS!R$25*$AG700^5+WeightSDS!S$25*$AG700^4+WeightSDS!T$25*$AG700^3+WeightSDS!U$25*$AG700^2+WeightSDS!V$25*$AG700+WeightSDS!W$25,WeightSDS!M$27+WeightSDS!N$27/(1+EXP(WeightSDS!O$27+WeightSDS!P$27*$AG700)))),IF($AG700&lt;43.8,WeightSDS!M$29*$AG700^10+WeightSDS!N$29*$AG700^9+WeightSDS!O$29*$AG700^8+WeightSDS!P$29*$AG700^7+WeightSDS!Q$29*$AG700^6+WeightSDS!R$29*$AG700^5+WeightSDS!S$29*$AG700^4+WeightSDS!T$29*$AG700^3+WeightSDS!U$29*$AG700^2+WeightSDS!V$29*$AG700+WeightSDS!W$29-0.010431*(1-$AG700/210),IF($AG700&lt;123,WeightSDS!M$30*$AG700^10+WeightSDS!N$30*$AG700^9+WeightSDS!O$30*$AG700^8+WeightSDS!P$30*$AG700^7+WeightSDS!Q$30*$AG700^6+WeightSDS!R$30*$AG700^5+WeightSDS!S$30*$AG700^4+WeightSDS!T$30*$AG700^3+WeightSDS!U$30*$AG700^2+WeightSDS!V$30*$AG700+WeightSDS!W$30-0.010431*(1-1/$AG700),WeightSDS!M$32+WeightSDS!N$32/(1+EXP(WeightSDS!O$32+WeightSDS!P$32*$AG700))-0.010431*(1-$AG700/210))))</f>
        <v>2.9500001032655536</v>
      </c>
      <c r="AK700" s="24">
        <f>IF(D700="M",IF($AG700&lt;162,WeightSDS!P$12*$AG700^7+WeightSDS!Q$12*$AG700^6+WeightSDS!R$12*$AG700^5+WeightSDS!S$12*$AG700^4+WeightSDS!T$12*$AG700^3+WeightSDS!U$12*$AG700^2+WeightSDS!V$12*$AG700+WeightSDS!W$12,WeightSDS!P$14*$AG700^7+WeightSDS!Q$14*$AG700^6+WeightSDS!R$14*$AG700^5+WeightSDS!S$14*$AG700^4+WeightSDS!T$14*$AG700^3+WeightSDS!U$14*$AG700^2+WeightSDS!V$14*$AG700+WeightSDS!W$14),IF($AG700&lt;156,WeightSDS!O$17*$AG700^8+WeightSDS!P$17*$AG700^7+WeightSDS!Q$17*$AG700^6+WeightSDS!R$17*$AG700^5+WeightSDS!S$17*$AG700^4+WeightSDS!T$17*$AG700^3+WeightSDS!U$17*$AG700^2+WeightSDS!V$17*$AG700+WeightSDS!W$17,IF($AG700&lt;186,WeightSDS!$U$18+(WeightSDS!$V$18-WeightSDS!$U$18)/24*($AG700-186)+WeightSDS!$W$18*(-$AG700+186)^2-0.005,WeightSDS!$U$18+(WeightSDS!$V$18-WeightSDS!$U$18)/24*($AG700-186)-0.005)))</f>
        <v>0.14604529399999999</v>
      </c>
    </row>
    <row r="701" spans="1:37">
      <c r="A701" s="4"/>
      <c r="B701" s="21"/>
      <c r="C701" s="21"/>
      <c r="D701" s="21"/>
      <c r="E701" s="22"/>
      <c r="F701" s="22"/>
      <c r="G701" s="23"/>
      <c r="H701" s="23"/>
      <c r="I701" s="8" t="str">
        <f t="shared" si="162"/>
        <v/>
      </c>
      <c r="J701" s="2" t="str">
        <f t="shared" si="169"/>
        <v/>
      </c>
      <c r="K701" s="2" t="str">
        <f t="shared" si="163"/>
        <v/>
      </c>
      <c r="L701" s="2" t="str">
        <f t="shared" si="170"/>
        <v/>
      </c>
      <c r="M701" s="2" t="str">
        <f t="shared" si="175"/>
        <v/>
      </c>
      <c r="N701" s="2" t="str">
        <f t="shared" si="171"/>
        <v/>
      </c>
      <c r="O701" s="8" t="str">
        <f t="shared" si="172"/>
        <v/>
      </c>
      <c r="P701" s="8" t="str">
        <f t="shared" si="173"/>
        <v/>
      </c>
      <c r="Q701" s="40" t="str">
        <f t="shared" si="164"/>
        <v/>
      </c>
      <c r="R701" s="48" t="str">
        <f t="shared" si="174"/>
        <v/>
      </c>
      <c r="S701" s="8"/>
      <c r="U701" s="35">
        <f t="shared" si="165"/>
        <v>0</v>
      </c>
      <c r="V701" s="24">
        <f t="shared" si="166"/>
        <v>0</v>
      </c>
      <c r="W701" s="41">
        <f t="shared" si="177"/>
        <v>0</v>
      </c>
      <c r="X701" s="31"/>
      <c r="Y701" s="31"/>
      <c r="Z701" s="31"/>
      <c r="AA701" s="25">
        <f t="shared" si="167"/>
        <v>9.0359999999999996</v>
      </c>
      <c r="AB701" s="25">
        <f t="shared" si="168"/>
        <v>-184.49199999999999</v>
      </c>
      <c r="AD701" s="24">
        <f>IF(D701="M",IF(AG701&lt;78,BMILMS!$D$5*AG701^3+BMILMS!$E$5*AG701^2+BMILMS!$F$5*AG701+BMILMS!$G$5,IF(AG701&lt;150,BMILMS!$D$6*AG701^3+BMILMS!$E$6*AG701^2+BMILMS!$F$6*AG701+BMILMS!$G$6,BMILMS!$D$7*AG701^3+BMILMS!$E$7*AG701^2+BMILMS!$F$7*AG701+BMILMS!$G$7)),IF(AG701&lt;69,BMILMS!$D$9*AG701^3+BMILMS!$E$9*AG701^2+BMILMS!$F$9*AG701+BMILMS!$G$9,IF(AG701&lt;150,BMILMS!$D$10*AG701^3+BMILMS!$E$10*AG701^2+BMILMS!$F$10*AG701+BMILMS!$G$10,BMILMS!$D$11*AG701^3+BMILMS!$E$11*AG701^2+BMILMS!$F$11*AG701+BMILMS!$G$11)))</f>
        <v>0.79584630099999998</v>
      </c>
      <c r="AE701" s="24">
        <f>IF(D701="M",(IF(AG701&lt;2.5,BMILMS!$D$21*AG701^3+BMILMS!$E$21*AG701^2+BMILMS!$F$21*AG701+BMILMS!$G$21,IF(AG701&lt;9.5,BMILMS!$D$22*AG701^3+BMILMS!$E$22*AG701^2+BMILMS!$F$22*AG701+BMILMS!$G$22,IF(AG701&lt;26.75,BMILMS!$D$23*AG701^3+BMILMS!$E$23*AG701^2+BMILMS!$F$23*AG701+BMILMS!$G$23,IF(AG701&lt;90,BMILMS!$D$24*AG701^3+BMILMS!$E$24*AG701^2+BMILMS!$F$24*AG701+BMILMS!$G$24,BMILMS!$D$25*AG701^3+BMILMS!$E$25*AG701^2+BMILMS!$F$25*AG701+BMILMS!$G$25))))),(IF(AG701&lt;2.5,BMILMS!$D$27*AG701^3+BMILMS!$E$27*AG701^2+BMILMS!$F$27*AG701+BMILMS!$G$27,IF(AG701&lt;9.5,BMILMS!$D$28*AG701^3+BMILMS!$E$28*AG701^2+BMILMS!$F$28*AG701+BMILMS!$G$28,IF(AG701&lt;26.75,BMILMS!$D$29*AG701^3+BMILMS!$E$29*AG701^2+BMILMS!$F$29*AG701+BMILMS!$G$29,IF(AG701&lt;90,BMILMS!$D$30*AG701^3+BMILMS!$E$30*AG701^2+BMILMS!$F$30*AG701+BMILMS!$G$30,IF(AG701&lt;150,BMILMS!$D$31*AG701^3+BMILMS!$E$31*AG701^2+BMILMS!$F$31*AG701+BMILMS!$G$31,BMILMS!$D$32*AG701^3+BMILMS!$E$32*AG701^2+BMILMS!$F$32*AG701+BMILMS!$G$32)))))))</f>
        <v>12.568967990000001</v>
      </c>
      <c r="AF701" s="24">
        <f>IF(D701="M",(IF(AG701&lt;90,BMILMS!$D$14*AG701^3+BMILMS!$E$14*AG701^2+BMILMS!$F$14*AG701+BMILMS!$G$14,BMILMS!$D$15*AG701^3+BMILMS!$E$15*AG701^2+BMILMS!$F$15*AG701+BMILMS!$G$15)),(IF(AG701&lt;90,BMILMS!$D$17*AG701^3+BMILMS!$E$17*AG701^2+BMILMS!$F$17*AG701+BMILMS!$G$17,BMILMS!$D$18*AG701^3+BMILMS!$E$18*AG701^2+BMILMS!$F$18*AG701+BMILMS!$G$18)))</f>
        <v>8.8969350000000003E-2</v>
      </c>
      <c r="AG701" s="24">
        <f t="shared" si="176"/>
        <v>0</v>
      </c>
      <c r="AI701" s="38">
        <f>IF(D701="M",WeightSDS!P$5*$AG701^7+WeightSDS!Q$5*$AG701^6+WeightSDS!R$5*$AG701^5+WeightSDS!S$5*$AG701^4+WeightSDS!T$5*$AG701^3+WeightSDS!U$5*$AG701^2+WeightSDS!V$5*$AG701+WeightSDS!W$5,IF($AG701&lt;186,WeightSDS!P$8*$AG701^7+WeightSDS!Q$8*$AG701^6+WeightSDS!R$8*$AG701^5+WeightSDS!S$8*$AG701^4+WeightSDS!T$8*$AG701^3+WeightSDS!U$8*$AG701^2+WeightSDS!V$8*$AG701+WeightSDS!W$8,WeightSDS!$U$9-WeightSDS!$V$9*($AG701-WeightSDS!$W$9)))</f>
        <v>0.75407122999999998</v>
      </c>
      <c r="AJ701" s="24">
        <f>IF(D701="M",IF($AG701&lt;45,WeightSDS!M$23*$AG701^10+WeightSDS!N$23*$AG701^9+WeightSDS!O$23*$AG701^8+WeightSDS!P$23*$AG701^7+WeightSDS!Q$23*$AG701^6+WeightSDS!R$23*$AG701^5+WeightSDS!S$23*$AG701^4+WeightSDS!T$23*$AG701^3+WeightSDS!U$23*$AG701^2+WeightSDS!V$23*$AG701+WeightSDS!W$23,IF($AG701&lt;153,WeightSDS!M$25*$AG701^10+WeightSDS!N$25*$AG701^9+WeightSDS!O$25*$AG701^8+WeightSDS!P$25*$AG701^7+WeightSDS!Q$25*$AG701^6+WeightSDS!R$25*$AG701^5+WeightSDS!S$25*$AG701^4+WeightSDS!T$25*$AG701^3+WeightSDS!U$25*$AG701^2+WeightSDS!V$25*$AG701+WeightSDS!W$25,WeightSDS!M$27+WeightSDS!N$27/(1+EXP(WeightSDS!O$27+WeightSDS!P$27*$AG701)))),IF($AG701&lt;43.8,WeightSDS!M$29*$AG701^10+WeightSDS!N$29*$AG701^9+WeightSDS!O$29*$AG701^8+WeightSDS!P$29*$AG701^7+WeightSDS!Q$29*$AG701^6+WeightSDS!R$29*$AG701^5+WeightSDS!S$29*$AG701^4+WeightSDS!T$29*$AG701^3+WeightSDS!U$29*$AG701^2+WeightSDS!V$29*$AG701+WeightSDS!W$29-0.010431*(1-$AG701/210),IF($AG701&lt;123,WeightSDS!M$30*$AG701^10+WeightSDS!N$30*$AG701^9+WeightSDS!O$30*$AG701^8+WeightSDS!P$30*$AG701^7+WeightSDS!Q$30*$AG701^6+WeightSDS!R$30*$AG701^5+WeightSDS!S$30*$AG701^4+WeightSDS!T$30*$AG701^3+WeightSDS!U$30*$AG701^2+WeightSDS!V$30*$AG701+WeightSDS!W$30-0.010431*(1-1/$AG701),WeightSDS!M$32+WeightSDS!N$32/(1+EXP(WeightSDS!O$32+WeightSDS!P$32*$AG701))-0.010431*(1-$AG701/210))))</f>
        <v>2.9500001032655536</v>
      </c>
      <c r="AK701" s="24">
        <f>IF(D701="M",IF($AG701&lt;162,WeightSDS!P$12*$AG701^7+WeightSDS!Q$12*$AG701^6+WeightSDS!R$12*$AG701^5+WeightSDS!S$12*$AG701^4+WeightSDS!T$12*$AG701^3+WeightSDS!U$12*$AG701^2+WeightSDS!V$12*$AG701+WeightSDS!W$12,WeightSDS!P$14*$AG701^7+WeightSDS!Q$14*$AG701^6+WeightSDS!R$14*$AG701^5+WeightSDS!S$14*$AG701^4+WeightSDS!T$14*$AG701^3+WeightSDS!U$14*$AG701^2+WeightSDS!V$14*$AG701+WeightSDS!W$14),IF($AG701&lt;156,WeightSDS!O$17*$AG701^8+WeightSDS!P$17*$AG701^7+WeightSDS!Q$17*$AG701^6+WeightSDS!R$17*$AG701^5+WeightSDS!S$17*$AG701^4+WeightSDS!T$17*$AG701^3+WeightSDS!U$17*$AG701^2+WeightSDS!V$17*$AG701+WeightSDS!W$17,IF($AG701&lt;186,WeightSDS!$U$18+(WeightSDS!$V$18-WeightSDS!$U$18)/24*($AG701-186)+WeightSDS!$W$18*(-$AG701+186)^2-0.005,WeightSDS!$U$18+(WeightSDS!$V$18-WeightSDS!$U$18)/24*($AG701-186)-0.005)))</f>
        <v>0.14604529399999999</v>
      </c>
    </row>
    <row r="702" spans="1:37">
      <c r="A702" s="4"/>
      <c r="B702" s="21"/>
      <c r="C702" s="21"/>
      <c r="D702" s="21"/>
      <c r="E702" s="22"/>
      <c r="F702" s="22"/>
      <c r="G702" s="23"/>
      <c r="H702" s="23"/>
      <c r="I702" s="8" t="str">
        <f t="shared" si="162"/>
        <v/>
      </c>
      <c r="J702" s="2" t="str">
        <f t="shared" si="169"/>
        <v/>
      </c>
      <c r="K702" s="2" t="str">
        <f t="shared" si="163"/>
        <v/>
      </c>
      <c r="L702" s="2" t="str">
        <f t="shared" si="170"/>
        <v/>
      </c>
      <c r="M702" s="2" t="str">
        <f t="shared" si="175"/>
        <v/>
      </c>
      <c r="N702" s="2" t="str">
        <f t="shared" si="171"/>
        <v/>
      </c>
      <c r="O702" s="8" t="str">
        <f t="shared" si="172"/>
        <v/>
      </c>
      <c r="P702" s="8" t="str">
        <f t="shared" si="173"/>
        <v/>
      </c>
      <c r="Q702" s="40" t="str">
        <f t="shared" si="164"/>
        <v/>
      </c>
      <c r="R702" s="48" t="str">
        <f t="shared" si="174"/>
        <v/>
      </c>
      <c r="S702" s="8"/>
      <c r="U702" s="35">
        <f t="shared" si="165"/>
        <v>0</v>
      </c>
      <c r="V702" s="24">
        <f t="shared" si="166"/>
        <v>0</v>
      </c>
      <c r="W702" s="41">
        <f t="shared" si="177"/>
        <v>0</v>
      </c>
      <c r="X702" s="31"/>
      <c r="Y702" s="31"/>
      <c r="Z702" s="31"/>
      <c r="AA702" s="25">
        <f t="shared" si="167"/>
        <v>9.0359999999999996</v>
      </c>
      <c r="AB702" s="25">
        <f t="shared" si="168"/>
        <v>-184.49199999999999</v>
      </c>
      <c r="AD702" s="24">
        <f>IF(D702="M",IF(AG702&lt;78,BMILMS!$D$5*AG702^3+BMILMS!$E$5*AG702^2+BMILMS!$F$5*AG702+BMILMS!$G$5,IF(AG702&lt;150,BMILMS!$D$6*AG702^3+BMILMS!$E$6*AG702^2+BMILMS!$F$6*AG702+BMILMS!$G$6,BMILMS!$D$7*AG702^3+BMILMS!$E$7*AG702^2+BMILMS!$F$7*AG702+BMILMS!$G$7)),IF(AG702&lt;69,BMILMS!$D$9*AG702^3+BMILMS!$E$9*AG702^2+BMILMS!$F$9*AG702+BMILMS!$G$9,IF(AG702&lt;150,BMILMS!$D$10*AG702^3+BMILMS!$E$10*AG702^2+BMILMS!$F$10*AG702+BMILMS!$G$10,BMILMS!$D$11*AG702^3+BMILMS!$E$11*AG702^2+BMILMS!$F$11*AG702+BMILMS!$G$11)))</f>
        <v>0.79584630099999998</v>
      </c>
      <c r="AE702" s="24">
        <f>IF(D702="M",(IF(AG702&lt;2.5,BMILMS!$D$21*AG702^3+BMILMS!$E$21*AG702^2+BMILMS!$F$21*AG702+BMILMS!$G$21,IF(AG702&lt;9.5,BMILMS!$D$22*AG702^3+BMILMS!$E$22*AG702^2+BMILMS!$F$22*AG702+BMILMS!$G$22,IF(AG702&lt;26.75,BMILMS!$D$23*AG702^3+BMILMS!$E$23*AG702^2+BMILMS!$F$23*AG702+BMILMS!$G$23,IF(AG702&lt;90,BMILMS!$D$24*AG702^3+BMILMS!$E$24*AG702^2+BMILMS!$F$24*AG702+BMILMS!$G$24,BMILMS!$D$25*AG702^3+BMILMS!$E$25*AG702^2+BMILMS!$F$25*AG702+BMILMS!$G$25))))),(IF(AG702&lt;2.5,BMILMS!$D$27*AG702^3+BMILMS!$E$27*AG702^2+BMILMS!$F$27*AG702+BMILMS!$G$27,IF(AG702&lt;9.5,BMILMS!$D$28*AG702^3+BMILMS!$E$28*AG702^2+BMILMS!$F$28*AG702+BMILMS!$G$28,IF(AG702&lt;26.75,BMILMS!$D$29*AG702^3+BMILMS!$E$29*AG702^2+BMILMS!$F$29*AG702+BMILMS!$G$29,IF(AG702&lt;90,BMILMS!$D$30*AG702^3+BMILMS!$E$30*AG702^2+BMILMS!$F$30*AG702+BMILMS!$G$30,IF(AG702&lt;150,BMILMS!$D$31*AG702^3+BMILMS!$E$31*AG702^2+BMILMS!$F$31*AG702+BMILMS!$G$31,BMILMS!$D$32*AG702^3+BMILMS!$E$32*AG702^2+BMILMS!$F$32*AG702+BMILMS!$G$32)))))))</f>
        <v>12.568967990000001</v>
      </c>
      <c r="AF702" s="24">
        <f>IF(D702="M",(IF(AG702&lt;90,BMILMS!$D$14*AG702^3+BMILMS!$E$14*AG702^2+BMILMS!$F$14*AG702+BMILMS!$G$14,BMILMS!$D$15*AG702^3+BMILMS!$E$15*AG702^2+BMILMS!$F$15*AG702+BMILMS!$G$15)),(IF(AG702&lt;90,BMILMS!$D$17*AG702^3+BMILMS!$E$17*AG702^2+BMILMS!$F$17*AG702+BMILMS!$G$17,BMILMS!$D$18*AG702^3+BMILMS!$E$18*AG702^2+BMILMS!$F$18*AG702+BMILMS!$G$18)))</f>
        <v>8.8969350000000003E-2</v>
      </c>
      <c r="AG702" s="24">
        <f t="shared" si="176"/>
        <v>0</v>
      </c>
      <c r="AI702" s="38">
        <f>IF(D702="M",WeightSDS!P$5*$AG702^7+WeightSDS!Q$5*$AG702^6+WeightSDS!R$5*$AG702^5+WeightSDS!S$5*$AG702^4+WeightSDS!T$5*$AG702^3+WeightSDS!U$5*$AG702^2+WeightSDS!V$5*$AG702+WeightSDS!W$5,IF($AG702&lt;186,WeightSDS!P$8*$AG702^7+WeightSDS!Q$8*$AG702^6+WeightSDS!R$8*$AG702^5+WeightSDS!S$8*$AG702^4+WeightSDS!T$8*$AG702^3+WeightSDS!U$8*$AG702^2+WeightSDS!V$8*$AG702+WeightSDS!W$8,WeightSDS!$U$9-WeightSDS!$V$9*($AG702-WeightSDS!$W$9)))</f>
        <v>0.75407122999999998</v>
      </c>
      <c r="AJ702" s="24">
        <f>IF(D702="M",IF($AG702&lt;45,WeightSDS!M$23*$AG702^10+WeightSDS!N$23*$AG702^9+WeightSDS!O$23*$AG702^8+WeightSDS!P$23*$AG702^7+WeightSDS!Q$23*$AG702^6+WeightSDS!R$23*$AG702^5+WeightSDS!S$23*$AG702^4+WeightSDS!T$23*$AG702^3+WeightSDS!U$23*$AG702^2+WeightSDS!V$23*$AG702+WeightSDS!W$23,IF($AG702&lt;153,WeightSDS!M$25*$AG702^10+WeightSDS!N$25*$AG702^9+WeightSDS!O$25*$AG702^8+WeightSDS!P$25*$AG702^7+WeightSDS!Q$25*$AG702^6+WeightSDS!R$25*$AG702^5+WeightSDS!S$25*$AG702^4+WeightSDS!T$25*$AG702^3+WeightSDS!U$25*$AG702^2+WeightSDS!V$25*$AG702+WeightSDS!W$25,WeightSDS!M$27+WeightSDS!N$27/(1+EXP(WeightSDS!O$27+WeightSDS!P$27*$AG702)))),IF($AG702&lt;43.8,WeightSDS!M$29*$AG702^10+WeightSDS!N$29*$AG702^9+WeightSDS!O$29*$AG702^8+WeightSDS!P$29*$AG702^7+WeightSDS!Q$29*$AG702^6+WeightSDS!R$29*$AG702^5+WeightSDS!S$29*$AG702^4+WeightSDS!T$29*$AG702^3+WeightSDS!U$29*$AG702^2+WeightSDS!V$29*$AG702+WeightSDS!W$29-0.010431*(1-$AG702/210),IF($AG702&lt;123,WeightSDS!M$30*$AG702^10+WeightSDS!N$30*$AG702^9+WeightSDS!O$30*$AG702^8+WeightSDS!P$30*$AG702^7+WeightSDS!Q$30*$AG702^6+WeightSDS!R$30*$AG702^5+WeightSDS!S$30*$AG702^4+WeightSDS!T$30*$AG702^3+WeightSDS!U$30*$AG702^2+WeightSDS!V$30*$AG702+WeightSDS!W$30-0.010431*(1-1/$AG702),WeightSDS!M$32+WeightSDS!N$32/(1+EXP(WeightSDS!O$32+WeightSDS!P$32*$AG702))-0.010431*(1-$AG702/210))))</f>
        <v>2.9500001032655536</v>
      </c>
      <c r="AK702" s="24">
        <f>IF(D702="M",IF($AG702&lt;162,WeightSDS!P$12*$AG702^7+WeightSDS!Q$12*$AG702^6+WeightSDS!R$12*$AG702^5+WeightSDS!S$12*$AG702^4+WeightSDS!T$12*$AG702^3+WeightSDS!U$12*$AG702^2+WeightSDS!V$12*$AG702+WeightSDS!W$12,WeightSDS!P$14*$AG702^7+WeightSDS!Q$14*$AG702^6+WeightSDS!R$14*$AG702^5+WeightSDS!S$14*$AG702^4+WeightSDS!T$14*$AG702^3+WeightSDS!U$14*$AG702^2+WeightSDS!V$14*$AG702+WeightSDS!W$14),IF($AG702&lt;156,WeightSDS!O$17*$AG702^8+WeightSDS!P$17*$AG702^7+WeightSDS!Q$17*$AG702^6+WeightSDS!R$17*$AG702^5+WeightSDS!S$17*$AG702^4+WeightSDS!T$17*$AG702^3+WeightSDS!U$17*$AG702^2+WeightSDS!V$17*$AG702+WeightSDS!W$17,IF($AG702&lt;186,WeightSDS!$U$18+(WeightSDS!$V$18-WeightSDS!$U$18)/24*($AG702-186)+WeightSDS!$W$18*(-$AG702+186)^2-0.005,WeightSDS!$U$18+(WeightSDS!$V$18-WeightSDS!$U$18)/24*($AG702-186)-0.005)))</f>
        <v>0.14604529399999999</v>
      </c>
    </row>
    <row r="703" spans="1:37">
      <c r="A703" s="4"/>
      <c r="B703" s="21"/>
      <c r="C703" s="21"/>
      <c r="D703" s="21"/>
      <c r="E703" s="22"/>
      <c r="F703" s="22"/>
      <c r="G703" s="23"/>
      <c r="H703" s="23"/>
      <c r="I703" s="8" t="str">
        <f t="shared" si="162"/>
        <v/>
      </c>
      <c r="J703" s="2" t="str">
        <f t="shared" si="169"/>
        <v/>
      </c>
      <c r="K703" s="2" t="str">
        <f t="shared" si="163"/>
        <v/>
      </c>
      <c r="L703" s="2" t="str">
        <f t="shared" si="170"/>
        <v/>
      </c>
      <c r="M703" s="2" t="str">
        <f t="shared" si="175"/>
        <v/>
      </c>
      <c r="N703" s="2" t="str">
        <f t="shared" si="171"/>
        <v/>
      </c>
      <c r="O703" s="8" t="str">
        <f t="shared" si="172"/>
        <v/>
      </c>
      <c r="P703" s="8" t="str">
        <f t="shared" si="173"/>
        <v/>
      </c>
      <c r="Q703" s="40" t="str">
        <f t="shared" si="164"/>
        <v/>
      </c>
      <c r="R703" s="48" t="str">
        <f t="shared" si="174"/>
        <v/>
      </c>
      <c r="S703" s="8"/>
      <c r="U703" s="35">
        <f t="shared" si="165"/>
        <v>0</v>
      </c>
      <c r="V703" s="24">
        <f t="shared" si="166"/>
        <v>0</v>
      </c>
      <c r="W703" s="41">
        <f t="shared" si="177"/>
        <v>0</v>
      </c>
      <c r="X703" s="31"/>
      <c r="Y703" s="31"/>
      <c r="Z703" s="31"/>
      <c r="AA703" s="25">
        <f t="shared" si="167"/>
        <v>9.0359999999999996</v>
      </c>
      <c r="AB703" s="25">
        <f t="shared" si="168"/>
        <v>-184.49199999999999</v>
      </c>
      <c r="AD703" s="24">
        <f>IF(D703="M",IF(AG703&lt;78,BMILMS!$D$5*AG703^3+BMILMS!$E$5*AG703^2+BMILMS!$F$5*AG703+BMILMS!$G$5,IF(AG703&lt;150,BMILMS!$D$6*AG703^3+BMILMS!$E$6*AG703^2+BMILMS!$F$6*AG703+BMILMS!$G$6,BMILMS!$D$7*AG703^3+BMILMS!$E$7*AG703^2+BMILMS!$F$7*AG703+BMILMS!$G$7)),IF(AG703&lt;69,BMILMS!$D$9*AG703^3+BMILMS!$E$9*AG703^2+BMILMS!$F$9*AG703+BMILMS!$G$9,IF(AG703&lt;150,BMILMS!$D$10*AG703^3+BMILMS!$E$10*AG703^2+BMILMS!$F$10*AG703+BMILMS!$G$10,BMILMS!$D$11*AG703^3+BMILMS!$E$11*AG703^2+BMILMS!$F$11*AG703+BMILMS!$G$11)))</f>
        <v>0.79584630099999998</v>
      </c>
      <c r="AE703" s="24">
        <f>IF(D703="M",(IF(AG703&lt;2.5,BMILMS!$D$21*AG703^3+BMILMS!$E$21*AG703^2+BMILMS!$F$21*AG703+BMILMS!$G$21,IF(AG703&lt;9.5,BMILMS!$D$22*AG703^3+BMILMS!$E$22*AG703^2+BMILMS!$F$22*AG703+BMILMS!$G$22,IF(AG703&lt;26.75,BMILMS!$D$23*AG703^3+BMILMS!$E$23*AG703^2+BMILMS!$F$23*AG703+BMILMS!$G$23,IF(AG703&lt;90,BMILMS!$D$24*AG703^3+BMILMS!$E$24*AG703^2+BMILMS!$F$24*AG703+BMILMS!$G$24,BMILMS!$D$25*AG703^3+BMILMS!$E$25*AG703^2+BMILMS!$F$25*AG703+BMILMS!$G$25))))),(IF(AG703&lt;2.5,BMILMS!$D$27*AG703^3+BMILMS!$E$27*AG703^2+BMILMS!$F$27*AG703+BMILMS!$G$27,IF(AG703&lt;9.5,BMILMS!$D$28*AG703^3+BMILMS!$E$28*AG703^2+BMILMS!$F$28*AG703+BMILMS!$G$28,IF(AG703&lt;26.75,BMILMS!$D$29*AG703^3+BMILMS!$E$29*AG703^2+BMILMS!$F$29*AG703+BMILMS!$G$29,IF(AG703&lt;90,BMILMS!$D$30*AG703^3+BMILMS!$E$30*AG703^2+BMILMS!$F$30*AG703+BMILMS!$G$30,IF(AG703&lt;150,BMILMS!$D$31*AG703^3+BMILMS!$E$31*AG703^2+BMILMS!$F$31*AG703+BMILMS!$G$31,BMILMS!$D$32*AG703^3+BMILMS!$E$32*AG703^2+BMILMS!$F$32*AG703+BMILMS!$G$32)))))))</f>
        <v>12.568967990000001</v>
      </c>
      <c r="AF703" s="24">
        <f>IF(D703="M",(IF(AG703&lt;90,BMILMS!$D$14*AG703^3+BMILMS!$E$14*AG703^2+BMILMS!$F$14*AG703+BMILMS!$G$14,BMILMS!$D$15*AG703^3+BMILMS!$E$15*AG703^2+BMILMS!$F$15*AG703+BMILMS!$G$15)),(IF(AG703&lt;90,BMILMS!$D$17*AG703^3+BMILMS!$E$17*AG703^2+BMILMS!$F$17*AG703+BMILMS!$G$17,BMILMS!$D$18*AG703^3+BMILMS!$E$18*AG703^2+BMILMS!$F$18*AG703+BMILMS!$G$18)))</f>
        <v>8.8969350000000003E-2</v>
      </c>
      <c r="AG703" s="24">
        <f t="shared" si="176"/>
        <v>0</v>
      </c>
      <c r="AI703" s="38">
        <f>IF(D703="M",WeightSDS!P$5*$AG703^7+WeightSDS!Q$5*$AG703^6+WeightSDS!R$5*$AG703^5+WeightSDS!S$5*$AG703^4+WeightSDS!T$5*$AG703^3+WeightSDS!U$5*$AG703^2+WeightSDS!V$5*$AG703+WeightSDS!W$5,IF($AG703&lt;186,WeightSDS!P$8*$AG703^7+WeightSDS!Q$8*$AG703^6+WeightSDS!R$8*$AG703^5+WeightSDS!S$8*$AG703^4+WeightSDS!T$8*$AG703^3+WeightSDS!U$8*$AG703^2+WeightSDS!V$8*$AG703+WeightSDS!W$8,WeightSDS!$U$9-WeightSDS!$V$9*($AG703-WeightSDS!$W$9)))</f>
        <v>0.75407122999999998</v>
      </c>
      <c r="AJ703" s="24">
        <f>IF(D703="M",IF($AG703&lt;45,WeightSDS!M$23*$AG703^10+WeightSDS!N$23*$AG703^9+WeightSDS!O$23*$AG703^8+WeightSDS!P$23*$AG703^7+WeightSDS!Q$23*$AG703^6+WeightSDS!R$23*$AG703^5+WeightSDS!S$23*$AG703^4+WeightSDS!T$23*$AG703^3+WeightSDS!U$23*$AG703^2+WeightSDS!V$23*$AG703+WeightSDS!W$23,IF($AG703&lt;153,WeightSDS!M$25*$AG703^10+WeightSDS!N$25*$AG703^9+WeightSDS!O$25*$AG703^8+WeightSDS!P$25*$AG703^7+WeightSDS!Q$25*$AG703^6+WeightSDS!R$25*$AG703^5+WeightSDS!S$25*$AG703^4+WeightSDS!T$25*$AG703^3+WeightSDS!U$25*$AG703^2+WeightSDS!V$25*$AG703+WeightSDS!W$25,WeightSDS!M$27+WeightSDS!N$27/(1+EXP(WeightSDS!O$27+WeightSDS!P$27*$AG703)))),IF($AG703&lt;43.8,WeightSDS!M$29*$AG703^10+WeightSDS!N$29*$AG703^9+WeightSDS!O$29*$AG703^8+WeightSDS!P$29*$AG703^7+WeightSDS!Q$29*$AG703^6+WeightSDS!R$29*$AG703^5+WeightSDS!S$29*$AG703^4+WeightSDS!T$29*$AG703^3+WeightSDS!U$29*$AG703^2+WeightSDS!V$29*$AG703+WeightSDS!W$29-0.010431*(1-$AG703/210),IF($AG703&lt;123,WeightSDS!M$30*$AG703^10+WeightSDS!N$30*$AG703^9+WeightSDS!O$30*$AG703^8+WeightSDS!P$30*$AG703^7+WeightSDS!Q$30*$AG703^6+WeightSDS!R$30*$AG703^5+WeightSDS!S$30*$AG703^4+WeightSDS!T$30*$AG703^3+WeightSDS!U$30*$AG703^2+WeightSDS!V$30*$AG703+WeightSDS!W$30-0.010431*(1-1/$AG703),WeightSDS!M$32+WeightSDS!N$32/(1+EXP(WeightSDS!O$32+WeightSDS!P$32*$AG703))-0.010431*(1-$AG703/210))))</f>
        <v>2.9500001032655536</v>
      </c>
      <c r="AK703" s="24">
        <f>IF(D703="M",IF($AG703&lt;162,WeightSDS!P$12*$AG703^7+WeightSDS!Q$12*$AG703^6+WeightSDS!R$12*$AG703^5+WeightSDS!S$12*$AG703^4+WeightSDS!T$12*$AG703^3+WeightSDS!U$12*$AG703^2+WeightSDS!V$12*$AG703+WeightSDS!W$12,WeightSDS!P$14*$AG703^7+WeightSDS!Q$14*$AG703^6+WeightSDS!R$14*$AG703^5+WeightSDS!S$14*$AG703^4+WeightSDS!T$14*$AG703^3+WeightSDS!U$14*$AG703^2+WeightSDS!V$14*$AG703+WeightSDS!W$14),IF($AG703&lt;156,WeightSDS!O$17*$AG703^8+WeightSDS!P$17*$AG703^7+WeightSDS!Q$17*$AG703^6+WeightSDS!R$17*$AG703^5+WeightSDS!S$17*$AG703^4+WeightSDS!T$17*$AG703^3+WeightSDS!U$17*$AG703^2+WeightSDS!V$17*$AG703+WeightSDS!W$17,IF($AG703&lt;186,WeightSDS!$U$18+(WeightSDS!$V$18-WeightSDS!$U$18)/24*($AG703-186)+WeightSDS!$W$18*(-$AG703+186)^2-0.005,WeightSDS!$U$18+(WeightSDS!$V$18-WeightSDS!$U$18)/24*($AG703-186)-0.005)))</f>
        <v>0.14604529399999999</v>
      </c>
    </row>
    <row r="704" spans="1:37">
      <c r="A704" s="4"/>
      <c r="B704" s="21"/>
      <c r="C704" s="21"/>
      <c r="D704" s="21"/>
      <c r="E704" s="22"/>
      <c r="F704" s="22"/>
      <c r="G704" s="23"/>
      <c r="H704" s="23"/>
      <c r="I704" s="8" t="str">
        <f t="shared" si="162"/>
        <v/>
      </c>
      <c r="J704" s="2" t="str">
        <f t="shared" si="169"/>
        <v/>
      </c>
      <c r="K704" s="2" t="str">
        <f t="shared" si="163"/>
        <v/>
      </c>
      <c r="L704" s="2" t="str">
        <f t="shared" si="170"/>
        <v/>
      </c>
      <c r="M704" s="2" t="str">
        <f t="shared" si="175"/>
        <v/>
      </c>
      <c r="N704" s="2" t="str">
        <f t="shared" si="171"/>
        <v/>
      </c>
      <c r="O704" s="8" t="str">
        <f t="shared" si="172"/>
        <v/>
      </c>
      <c r="P704" s="8" t="str">
        <f t="shared" si="173"/>
        <v/>
      </c>
      <c r="Q704" s="40" t="str">
        <f t="shared" si="164"/>
        <v/>
      </c>
      <c r="R704" s="48" t="str">
        <f t="shared" si="174"/>
        <v/>
      </c>
      <c r="S704" s="8"/>
      <c r="U704" s="35">
        <f t="shared" si="165"/>
        <v>0</v>
      </c>
      <c r="V704" s="24">
        <f t="shared" si="166"/>
        <v>0</v>
      </c>
      <c r="W704" s="41">
        <f t="shared" si="177"/>
        <v>0</v>
      </c>
      <c r="X704" s="31"/>
      <c r="Y704" s="31"/>
      <c r="Z704" s="31"/>
      <c r="AA704" s="25">
        <f t="shared" si="167"/>
        <v>9.0359999999999996</v>
      </c>
      <c r="AB704" s="25">
        <f t="shared" si="168"/>
        <v>-184.49199999999999</v>
      </c>
      <c r="AD704" s="24">
        <f>IF(D704="M",IF(AG704&lt;78,BMILMS!$D$5*AG704^3+BMILMS!$E$5*AG704^2+BMILMS!$F$5*AG704+BMILMS!$G$5,IF(AG704&lt;150,BMILMS!$D$6*AG704^3+BMILMS!$E$6*AG704^2+BMILMS!$F$6*AG704+BMILMS!$G$6,BMILMS!$D$7*AG704^3+BMILMS!$E$7*AG704^2+BMILMS!$F$7*AG704+BMILMS!$G$7)),IF(AG704&lt;69,BMILMS!$D$9*AG704^3+BMILMS!$E$9*AG704^2+BMILMS!$F$9*AG704+BMILMS!$G$9,IF(AG704&lt;150,BMILMS!$D$10*AG704^3+BMILMS!$E$10*AG704^2+BMILMS!$F$10*AG704+BMILMS!$G$10,BMILMS!$D$11*AG704^3+BMILMS!$E$11*AG704^2+BMILMS!$F$11*AG704+BMILMS!$G$11)))</f>
        <v>0.79584630099999998</v>
      </c>
      <c r="AE704" s="24">
        <f>IF(D704="M",(IF(AG704&lt;2.5,BMILMS!$D$21*AG704^3+BMILMS!$E$21*AG704^2+BMILMS!$F$21*AG704+BMILMS!$G$21,IF(AG704&lt;9.5,BMILMS!$D$22*AG704^3+BMILMS!$E$22*AG704^2+BMILMS!$F$22*AG704+BMILMS!$G$22,IF(AG704&lt;26.75,BMILMS!$D$23*AG704^3+BMILMS!$E$23*AG704^2+BMILMS!$F$23*AG704+BMILMS!$G$23,IF(AG704&lt;90,BMILMS!$D$24*AG704^3+BMILMS!$E$24*AG704^2+BMILMS!$F$24*AG704+BMILMS!$G$24,BMILMS!$D$25*AG704^3+BMILMS!$E$25*AG704^2+BMILMS!$F$25*AG704+BMILMS!$G$25))))),(IF(AG704&lt;2.5,BMILMS!$D$27*AG704^3+BMILMS!$E$27*AG704^2+BMILMS!$F$27*AG704+BMILMS!$G$27,IF(AG704&lt;9.5,BMILMS!$D$28*AG704^3+BMILMS!$E$28*AG704^2+BMILMS!$F$28*AG704+BMILMS!$G$28,IF(AG704&lt;26.75,BMILMS!$D$29*AG704^3+BMILMS!$E$29*AG704^2+BMILMS!$F$29*AG704+BMILMS!$G$29,IF(AG704&lt;90,BMILMS!$D$30*AG704^3+BMILMS!$E$30*AG704^2+BMILMS!$F$30*AG704+BMILMS!$G$30,IF(AG704&lt;150,BMILMS!$D$31*AG704^3+BMILMS!$E$31*AG704^2+BMILMS!$F$31*AG704+BMILMS!$G$31,BMILMS!$D$32*AG704^3+BMILMS!$E$32*AG704^2+BMILMS!$F$32*AG704+BMILMS!$G$32)))))))</f>
        <v>12.568967990000001</v>
      </c>
      <c r="AF704" s="24">
        <f>IF(D704="M",(IF(AG704&lt;90,BMILMS!$D$14*AG704^3+BMILMS!$E$14*AG704^2+BMILMS!$F$14*AG704+BMILMS!$G$14,BMILMS!$D$15*AG704^3+BMILMS!$E$15*AG704^2+BMILMS!$F$15*AG704+BMILMS!$G$15)),(IF(AG704&lt;90,BMILMS!$D$17*AG704^3+BMILMS!$E$17*AG704^2+BMILMS!$F$17*AG704+BMILMS!$G$17,BMILMS!$D$18*AG704^3+BMILMS!$E$18*AG704^2+BMILMS!$F$18*AG704+BMILMS!$G$18)))</f>
        <v>8.8969350000000003E-2</v>
      </c>
      <c r="AG704" s="24">
        <f t="shared" si="176"/>
        <v>0</v>
      </c>
      <c r="AI704" s="38">
        <f>IF(D704="M",WeightSDS!P$5*$AG704^7+WeightSDS!Q$5*$AG704^6+WeightSDS!R$5*$AG704^5+WeightSDS!S$5*$AG704^4+WeightSDS!T$5*$AG704^3+WeightSDS!U$5*$AG704^2+WeightSDS!V$5*$AG704+WeightSDS!W$5,IF($AG704&lt;186,WeightSDS!P$8*$AG704^7+WeightSDS!Q$8*$AG704^6+WeightSDS!R$8*$AG704^5+WeightSDS!S$8*$AG704^4+WeightSDS!T$8*$AG704^3+WeightSDS!U$8*$AG704^2+WeightSDS!V$8*$AG704+WeightSDS!W$8,WeightSDS!$U$9-WeightSDS!$V$9*($AG704-WeightSDS!$W$9)))</f>
        <v>0.75407122999999998</v>
      </c>
      <c r="AJ704" s="24">
        <f>IF(D704="M",IF($AG704&lt;45,WeightSDS!M$23*$AG704^10+WeightSDS!N$23*$AG704^9+WeightSDS!O$23*$AG704^8+WeightSDS!P$23*$AG704^7+WeightSDS!Q$23*$AG704^6+WeightSDS!R$23*$AG704^5+WeightSDS!S$23*$AG704^4+WeightSDS!T$23*$AG704^3+WeightSDS!U$23*$AG704^2+WeightSDS!V$23*$AG704+WeightSDS!W$23,IF($AG704&lt;153,WeightSDS!M$25*$AG704^10+WeightSDS!N$25*$AG704^9+WeightSDS!O$25*$AG704^8+WeightSDS!P$25*$AG704^7+WeightSDS!Q$25*$AG704^6+WeightSDS!R$25*$AG704^5+WeightSDS!S$25*$AG704^4+WeightSDS!T$25*$AG704^3+WeightSDS!U$25*$AG704^2+WeightSDS!V$25*$AG704+WeightSDS!W$25,WeightSDS!M$27+WeightSDS!N$27/(1+EXP(WeightSDS!O$27+WeightSDS!P$27*$AG704)))),IF($AG704&lt;43.8,WeightSDS!M$29*$AG704^10+WeightSDS!N$29*$AG704^9+WeightSDS!O$29*$AG704^8+WeightSDS!P$29*$AG704^7+WeightSDS!Q$29*$AG704^6+WeightSDS!R$29*$AG704^5+WeightSDS!S$29*$AG704^4+WeightSDS!T$29*$AG704^3+WeightSDS!U$29*$AG704^2+WeightSDS!V$29*$AG704+WeightSDS!W$29-0.010431*(1-$AG704/210),IF($AG704&lt;123,WeightSDS!M$30*$AG704^10+WeightSDS!N$30*$AG704^9+WeightSDS!O$30*$AG704^8+WeightSDS!P$30*$AG704^7+WeightSDS!Q$30*$AG704^6+WeightSDS!R$30*$AG704^5+WeightSDS!S$30*$AG704^4+WeightSDS!T$30*$AG704^3+WeightSDS!U$30*$AG704^2+WeightSDS!V$30*$AG704+WeightSDS!W$30-0.010431*(1-1/$AG704),WeightSDS!M$32+WeightSDS!N$32/(1+EXP(WeightSDS!O$32+WeightSDS!P$32*$AG704))-0.010431*(1-$AG704/210))))</f>
        <v>2.9500001032655536</v>
      </c>
      <c r="AK704" s="24">
        <f>IF(D704="M",IF($AG704&lt;162,WeightSDS!P$12*$AG704^7+WeightSDS!Q$12*$AG704^6+WeightSDS!R$12*$AG704^5+WeightSDS!S$12*$AG704^4+WeightSDS!T$12*$AG704^3+WeightSDS!U$12*$AG704^2+WeightSDS!V$12*$AG704+WeightSDS!W$12,WeightSDS!P$14*$AG704^7+WeightSDS!Q$14*$AG704^6+WeightSDS!R$14*$AG704^5+WeightSDS!S$14*$AG704^4+WeightSDS!T$14*$AG704^3+WeightSDS!U$14*$AG704^2+WeightSDS!V$14*$AG704+WeightSDS!W$14),IF($AG704&lt;156,WeightSDS!O$17*$AG704^8+WeightSDS!P$17*$AG704^7+WeightSDS!Q$17*$AG704^6+WeightSDS!R$17*$AG704^5+WeightSDS!S$17*$AG704^4+WeightSDS!T$17*$AG704^3+WeightSDS!U$17*$AG704^2+WeightSDS!V$17*$AG704+WeightSDS!W$17,IF($AG704&lt;186,WeightSDS!$U$18+(WeightSDS!$V$18-WeightSDS!$U$18)/24*($AG704-186)+WeightSDS!$W$18*(-$AG704+186)^2-0.005,WeightSDS!$U$18+(WeightSDS!$V$18-WeightSDS!$U$18)/24*($AG704-186)-0.005)))</f>
        <v>0.14604529399999999</v>
      </c>
    </row>
    <row r="705" spans="1:37">
      <c r="A705" s="4"/>
      <c r="B705" s="21"/>
      <c r="C705" s="21"/>
      <c r="D705" s="21"/>
      <c r="E705" s="22"/>
      <c r="F705" s="22"/>
      <c r="G705" s="23"/>
      <c r="H705" s="23"/>
      <c r="I705" s="8" t="str">
        <f t="shared" si="162"/>
        <v/>
      </c>
      <c r="J705" s="2" t="str">
        <f t="shared" si="169"/>
        <v/>
      </c>
      <c r="K705" s="2" t="str">
        <f t="shared" si="163"/>
        <v/>
      </c>
      <c r="L705" s="2" t="str">
        <f t="shared" si="170"/>
        <v/>
      </c>
      <c r="M705" s="2" t="str">
        <f t="shared" si="175"/>
        <v/>
      </c>
      <c r="N705" s="2" t="str">
        <f t="shared" si="171"/>
        <v/>
      </c>
      <c r="O705" s="8" t="str">
        <f t="shared" si="172"/>
        <v/>
      </c>
      <c r="P705" s="8" t="str">
        <f t="shared" si="173"/>
        <v/>
      </c>
      <c r="Q705" s="40" t="str">
        <f t="shared" si="164"/>
        <v/>
      </c>
      <c r="R705" s="48" t="str">
        <f t="shared" si="174"/>
        <v/>
      </c>
      <c r="S705" s="8"/>
      <c r="U705" s="35">
        <f t="shared" si="165"/>
        <v>0</v>
      </c>
      <c r="V705" s="24">
        <f t="shared" si="166"/>
        <v>0</v>
      </c>
      <c r="W705" s="41">
        <f t="shared" si="177"/>
        <v>0</v>
      </c>
      <c r="X705" s="31"/>
      <c r="Y705" s="31"/>
      <c r="Z705" s="31"/>
      <c r="AA705" s="25">
        <f t="shared" si="167"/>
        <v>9.0359999999999996</v>
      </c>
      <c r="AB705" s="25">
        <f t="shared" si="168"/>
        <v>-184.49199999999999</v>
      </c>
      <c r="AD705" s="24">
        <f>IF(D705="M",IF(AG705&lt;78,BMILMS!$D$5*AG705^3+BMILMS!$E$5*AG705^2+BMILMS!$F$5*AG705+BMILMS!$G$5,IF(AG705&lt;150,BMILMS!$D$6*AG705^3+BMILMS!$E$6*AG705^2+BMILMS!$F$6*AG705+BMILMS!$G$6,BMILMS!$D$7*AG705^3+BMILMS!$E$7*AG705^2+BMILMS!$F$7*AG705+BMILMS!$G$7)),IF(AG705&lt;69,BMILMS!$D$9*AG705^3+BMILMS!$E$9*AG705^2+BMILMS!$F$9*AG705+BMILMS!$G$9,IF(AG705&lt;150,BMILMS!$D$10*AG705^3+BMILMS!$E$10*AG705^2+BMILMS!$F$10*AG705+BMILMS!$G$10,BMILMS!$D$11*AG705^3+BMILMS!$E$11*AG705^2+BMILMS!$F$11*AG705+BMILMS!$G$11)))</f>
        <v>0.79584630099999998</v>
      </c>
      <c r="AE705" s="24">
        <f>IF(D705="M",(IF(AG705&lt;2.5,BMILMS!$D$21*AG705^3+BMILMS!$E$21*AG705^2+BMILMS!$F$21*AG705+BMILMS!$G$21,IF(AG705&lt;9.5,BMILMS!$D$22*AG705^3+BMILMS!$E$22*AG705^2+BMILMS!$F$22*AG705+BMILMS!$G$22,IF(AG705&lt;26.75,BMILMS!$D$23*AG705^3+BMILMS!$E$23*AG705^2+BMILMS!$F$23*AG705+BMILMS!$G$23,IF(AG705&lt;90,BMILMS!$D$24*AG705^3+BMILMS!$E$24*AG705^2+BMILMS!$F$24*AG705+BMILMS!$G$24,BMILMS!$D$25*AG705^3+BMILMS!$E$25*AG705^2+BMILMS!$F$25*AG705+BMILMS!$G$25))))),(IF(AG705&lt;2.5,BMILMS!$D$27*AG705^3+BMILMS!$E$27*AG705^2+BMILMS!$F$27*AG705+BMILMS!$G$27,IF(AG705&lt;9.5,BMILMS!$D$28*AG705^3+BMILMS!$E$28*AG705^2+BMILMS!$F$28*AG705+BMILMS!$G$28,IF(AG705&lt;26.75,BMILMS!$D$29*AG705^3+BMILMS!$E$29*AG705^2+BMILMS!$F$29*AG705+BMILMS!$G$29,IF(AG705&lt;90,BMILMS!$D$30*AG705^3+BMILMS!$E$30*AG705^2+BMILMS!$F$30*AG705+BMILMS!$G$30,IF(AG705&lt;150,BMILMS!$D$31*AG705^3+BMILMS!$E$31*AG705^2+BMILMS!$F$31*AG705+BMILMS!$G$31,BMILMS!$D$32*AG705^3+BMILMS!$E$32*AG705^2+BMILMS!$F$32*AG705+BMILMS!$G$32)))))))</f>
        <v>12.568967990000001</v>
      </c>
      <c r="AF705" s="24">
        <f>IF(D705="M",(IF(AG705&lt;90,BMILMS!$D$14*AG705^3+BMILMS!$E$14*AG705^2+BMILMS!$F$14*AG705+BMILMS!$G$14,BMILMS!$D$15*AG705^3+BMILMS!$E$15*AG705^2+BMILMS!$F$15*AG705+BMILMS!$G$15)),(IF(AG705&lt;90,BMILMS!$D$17*AG705^3+BMILMS!$E$17*AG705^2+BMILMS!$F$17*AG705+BMILMS!$G$17,BMILMS!$D$18*AG705^3+BMILMS!$E$18*AG705^2+BMILMS!$F$18*AG705+BMILMS!$G$18)))</f>
        <v>8.8969350000000003E-2</v>
      </c>
      <c r="AG705" s="24">
        <f t="shared" si="176"/>
        <v>0</v>
      </c>
      <c r="AI705" s="38">
        <f>IF(D705="M",WeightSDS!P$5*$AG705^7+WeightSDS!Q$5*$AG705^6+WeightSDS!R$5*$AG705^5+WeightSDS!S$5*$AG705^4+WeightSDS!T$5*$AG705^3+WeightSDS!U$5*$AG705^2+WeightSDS!V$5*$AG705+WeightSDS!W$5,IF($AG705&lt;186,WeightSDS!P$8*$AG705^7+WeightSDS!Q$8*$AG705^6+WeightSDS!R$8*$AG705^5+WeightSDS!S$8*$AG705^4+WeightSDS!T$8*$AG705^3+WeightSDS!U$8*$AG705^2+WeightSDS!V$8*$AG705+WeightSDS!W$8,WeightSDS!$U$9-WeightSDS!$V$9*($AG705-WeightSDS!$W$9)))</f>
        <v>0.75407122999999998</v>
      </c>
      <c r="AJ705" s="24">
        <f>IF(D705="M",IF($AG705&lt;45,WeightSDS!M$23*$AG705^10+WeightSDS!N$23*$AG705^9+WeightSDS!O$23*$AG705^8+WeightSDS!P$23*$AG705^7+WeightSDS!Q$23*$AG705^6+WeightSDS!R$23*$AG705^5+WeightSDS!S$23*$AG705^4+WeightSDS!T$23*$AG705^3+WeightSDS!U$23*$AG705^2+WeightSDS!V$23*$AG705+WeightSDS!W$23,IF($AG705&lt;153,WeightSDS!M$25*$AG705^10+WeightSDS!N$25*$AG705^9+WeightSDS!O$25*$AG705^8+WeightSDS!P$25*$AG705^7+WeightSDS!Q$25*$AG705^6+WeightSDS!R$25*$AG705^5+WeightSDS!S$25*$AG705^4+WeightSDS!T$25*$AG705^3+WeightSDS!U$25*$AG705^2+WeightSDS!V$25*$AG705+WeightSDS!W$25,WeightSDS!M$27+WeightSDS!N$27/(1+EXP(WeightSDS!O$27+WeightSDS!P$27*$AG705)))),IF($AG705&lt;43.8,WeightSDS!M$29*$AG705^10+WeightSDS!N$29*$AG705^9+WeightSDS!O$29*$AG705^8+WeightSDS!P$29*$AG705^7+WeightSDS!Q$29*$AG705^6+WeightSDS!R$29*$AG705^5+WeightSDS!S$29*$AG705^4+WeightSDS!T$29*$AG705^3+WeightSDS!U$29*$AG705^2+WeightSDS!V$29*$AG705+WeightSDS!W$29-0.010431*(1-$AG705/210),IF($AG705&lt;123,WeightSDS!M$30*$AG705^10+WeightSDS!N$30*$AG705^9+WeightSDS!O$30*$AG705^8+WeightSDS!P$30*$AG705^7+WeightSDS!Q$30*$AG705^6+WeightSDS!R$30*$AG705^5+WeightSDS!S$30*$AG705^4+WeightSDS!T$30*$AG705^3+WeightSDS!U$30*$AG705^2+WeightSDS!V$30*$AG705+WeightSDS!W$30-0.010431*(1-1/$AG705),WeightSDS!M$32+WeightSDS!N$32/(1+EXP(WeightSDS!O$32+WeightSDS!P$32*$AG705))-0.010431*(1-$AG705/210))))</f>
        <v>2.9500001032655536</v>
      </c>
      <c r="AK705" s="24">
        <f>IF(D705="M",IF($AG705&lt;162,WeightSDS!P$12*$AG705^7+WeightSDS!Q$12*$AG705^6+WeightSDS!R$12*$AG705^5+WeightSDS!S$12*$AG705^4+WeightSDS!T$12*$AG705^3+WeightSDS!U$12*$AG705^2+WeightSDS!V$12*$AG705+WeightSDS!W$12,WeightSDS!P$14*$AG705^7+WeightSDS!Q$14*$AG705^6+WeightSDS!R$14*$AG705^5+WeightSDS!S$14*$AG705^4+WeightSDS!T$14*$AG705^3+WeightSDS!U$14*$AG705^2+WeightSDS!V$14*$AG705+WeightSDS!W$14),IF($AG705&lt;156,WeightSDS!O$17*$AG705^8+WeightSDS!P$17*$AG705^7+WeightSDS!Q$17*$AG705^6+WeightSDS!R$17*$AG705^5+WeightSDS!S$17*$AG705^4+WeightSDS!T$17*$AG705^3+WeightSDS!U$17*$AG705^2+WeightSDS!V$17*$AG705+WeightSDS!W$17,IF($AG705&lt;186,WeightSDS!$U$18+(WeightSDS!$V$18-WeightSDS!$U$18)/24*($AG705-186)+WeightSDS!$W$18*(-$AG705+186)^2-0.005,WeightSDS!$U$18+(WeightSDS!$V$18-WeightSDS!$U$18)/24*($AG705-186)-0.005)))</f>
        <v>0.14604529399999999</v>
      </c>
    </row>
    <row r="706" spans="1:37">
      <c r="A706" s="4"/>
      <c r="B706" s="21"/>
      <c r="C706" s="21"/>
      <c r="D706" s="21"/>
      <c r="E706" s="22"/>
      <c r="F706" s="22"/>
      <c r="G706" s="23"/>
      <c r="H706" s="23"/>
      <c r="I706" s="8" t="str">
        <f t="shared" si="162"/>
        <v/>
      </c>
      <c r="J706" s="2" t="str">
        <f t="shared" si="169"/>
        <v/>
      </c>
      <c r="K706" s="2" t="str">
        <f t="shared" si="163"/>
        <v/>
      </c>
      <c r="L706" s="2" t="str">
        <f t="shared" si="170"/>
        <v/>
      </c>
      <c r="M706" s="2" t="str">
        <f t="shared" si="175"/>
        <v/>
      </c>
      <c r="N706" s="2" t="str">
        <f t="shared" si="171"/>
        <v/>
      </c>
      <c r="O706" s="8" t="str">
        <f t="shared" si="172"/>
        <v/>
      </c>
      <c r="P706" s="8" t="str">
        <f t="shared" si="173"/>
        <v/>
      </c>
      <c r="Q706" s="40" t="str">
        <f t="shared" si="164"/>
        <v/>
      </c>
      <c r="R706" s="48" t="str">
        <f t="shared" si="174"/>
        <v/>
      </c>
      <c r="S706" s="8"/>
      <c r="U706" s="35">
        <f t="shared" si="165"/>
        <v>0</v>
      </c>
      <c r="V706" s="24">
        <f t="shared" si="166"/>
        <v>0</v>
      </c>
      <c r="W706" s="41">
        <f t="shared" si="177"/>
        <v>0</v>
      </c>
      <c r="X706" s="31"/>
      <c r="Y706" s="31"/>
      <c r="Z706" s="31"/>
      <c r="AA706" s="25">
        <f t="shared" si="167"/>
        <v>9.0359999999999996</v>
      </c>
      <c r="AB706" s="25">
        <f t="shared" si="168"/>
        <v>-184.49199999999999</v>
      </c>
      <c r="AD706" s="24">
        <f>IF(D706="M",IF(AG706&lt;78,BMILMS!$D$5*AG706^3+BMILMS!$E$5*AG706^2+BMILMS!$F$5*AG706+BMILMS!$G$5,IF(AG706&lt;150,BMILMS!$D$6*AG706^3+BMILMS!$E$6*AG706^2+BMILMS!$F$6*AG706+BMILMS!$G$6,BMILMS!$D$7*AG706^3+BMILMS!$E$7*AG706^2+BMILMS!$F$7*AG706+BMILMS!$G$7)),IF(AG706&lt;69,BMILMS!$D$9*AG706^3+BMILMS!$E$9*AG706^2+BMILMS!$F$9*AG706+BMILMS!$G$9,IF(AG706&lt;150,BMILMS!$D$10*AG706^3+BMILMS!$E$10*AG706^2+BMILMS!$F$10*AG706+BMILMS!$G$10,BMILMS!$D$11*AG706^3+BMILMS!$E$11*AG706^2+BMILMS!$F$11*AG706+BMILMS!$G$11)))</f>
        <v>0.79584630099999998</v>
      </c>
      <c r="AE706" s="24">
        <f>IF(D706="M",(IF(AG706&lt;2.5,BMILMS!$D$21*AG706^3+BMILMS!$E$21*AG706^2+BMILMS!$F$21*AG706+BMILMS!$G$21,IF(AG706&lt;9.5,BMILMS!$D$22*AG706^3+BMILMS!$E$22*AG706^2+BMILMS!$F$22*AG706+BMILMS!$G$22,IF(AG706&lt;26.75,BMILMS!$D$23*AG706^3+BMILMS!$E$23*AG706^2+BMILMS!$F$23*AG706+BMILMS!$G$23,IF(AG706&lt;90,BMILMS!$D$24*AG706^3+BMILMS!$E$24*AG706^2+BMILMS!$F$24*AG706+BMILMS!$G$24,BMILMS!$D$25*AG706^3+BMILMS!$E$25*AG706^2+BMILMS!$F$25*AG706+BMILMS!$G$25))))),(IF(AG706&lt;2.5,BMILMS!$D$27*AG706^3+BMILMS!$E$27*AG706^2+BMILMS!$F$27*AG706+BMILMS!$G$27,IF(AG706&lt;9.5,BMILMS!$D$28*AG706^3+BMILMS!$E$28*AG706^2+BMILMS!$F$28*AG706+BMILMS!$G$28,IF(AG706&lt;26.75,BMILMS!$D$29*AG706^3+BMILMS!$E$29*AG706^2+BMILMS!$F$29*AG706+BMILMS!$G$29,IF(AG706&lt;90,BMILMS!$D$30*AG706^3+BMILMS!$E$30*AG706^2+BMILMS!$F$30*AG706+BMILMS!$G$30,IF(AG706&lt;150,BMILMS!$D$31*AG706^3+BMILMS!$E$31*AG706^2+BMILMS!$F$31*AG706+BMILMS!$G$31,BMILMS!$D$32*AG706^3+BMILMS!$E$32*AG706^2+BMILMS!$F$32*AG706+BMILMS!$G$32)))))))</f>
        <v>12.568967990000001</v>
      </c>
      <c r="AF706" s="24">
        <f>IF(D706="M",(IF(AG706&lt;90,BMILMS!$D$14*AG706^3+BMILMS!$E$14*AG706^2+BMILMS!$F$14*AG706+BMILMS!$G$14,BMILMS!$D$15*AG706^3+BMILMS!$E$15*AG706^2+BMILMS!$F$15*AG706+BMILMS!$G$15)),(IF(AG706&lt;90,BMILMS!$D$17*AG706^3+BMILMS!$E$17*AG706^2+BMILMS!$F$17*AG706+BMILMS!$G$17,BMILMS!$D$18*AG706^3+BMILMS!$E$18*AG706^2+BMILMS!$F$18*AG706+BMILMS!$G$18)))</f>
        <v>8.8969350000000003E-2</v>
      </c>
      <c r="AG706" s="24">
        <f t="shared" si="176"/>
        <v>0</v>
      </c>
      <c r="AI706" s="38">
        <f>IF(D706="M",WeightSDS!P$5*$AG706^7+WeightSDS!Q$5*$AG706^6+WeightSDS!R$5*$AG706^5+WeightSDS!S$5*$AG706^4+WeightSDS!T$5*$AG706^3+WeightSDS!U$5*$AG706^2+WeightSDS!V$5*$AG706+WeightSDS!W$5,IF($AG706&lt;186,WeightSDS!P$8*$AG706^7+WeightSDS!Q$8*$AG706^6+WeightSDS!R$8*$AG706^5+WeightSDS!S$8*$AG706^4+WeightSDS!T$8*$AG706^3+WeightSDS!U$8*$AG706^2+WeightSDS!V$8*$AG706+WeightSDS!W$8,WeightSDS!$U$9-WeightSDS!$V$9*($AG706-WeightSDS!$W$9)))</f>
        <v>0.75407122999999998</v>
      </c>
      <c r="AJ706" s="24">
        <f>IF(D706="M",IF($AG706&lt;45,WeightSDS!M$23*$AG706^10+WeightSDS!N$23*$AG706^9+WeightSDS!O$23*$AG706^8+WeightSDS!P$23*$AG706^7+WeightSDS!Q$23*$AG706^6+WeightSDS!R$23*$AG706^5+WeightSDS!S$23*$AG706^4+WeightSDS!T$23*$AG706^3+WeightSDS!U$23*$AG706^2+WeightSDS!V$23*$AG706+WeightSDS!W$23,IF($AG706&lt;153,WeightSDS!M$25*$AG706^10+WeightSDS!N$25*$AG706^9+WeightSDS!O$25*$AG706^8+WeightSDS!P$25*$AG706^7+WeightSDS!Q$25*$AG706^6+WeightSDS!R$25*$AG706^5+WeightSDS!S$25*$AG706^4+WeightSDS!T$25*$AG706^3+WeightSDS!U$25*$AG706^2+WeightSDS!V$25*$AG706+WeightSDS!W$25,WeightSDS!M$27+WeightSDS!N$27/(1+EXP(WeightSDS!O$27+WeightSDS!P$27*$AG706)))),IF($AG706&lt;43.8,WeightSDS!M$29*$AG706^10+WeightSDS!N$29*$AG706^9+WeightSDS!O$29*$AG706^8+WeightSDS!P$29*$AG706^7+WeightSDS!Q$29*$AG706^6+WeightSDS!R$29*$AG706^5+WeightSDS!S$29*$AG706^4+WeightSDS!T$29*$AG706^3+WeightSDS!U$29*$AG706^2+WeightSDS!V$29*$AG706+WeightSDS!W$29-0.010431*(1-$AG706/210),IF($AG706&lt;123,WeightSDS!M$30*$AG706^10+WeightSDS!N$30*$AG706^9+WeightSDS!O$30*$AG706^8+WeightSDS!P$30*$AG706^7+WeightSDS!Q$30*$AG706^6+WeightSDS!R$30*$AG706^5+WeightSDS!S$30*$AG706^4+WeightSDS!T$30*$AG706^3+WeightSDS!U$30*$AG706^2+WeightSDS!V$30*$AG706+WeightSDS!W$30-0.010431*(1-1/$AG706),WeightSDS!M$32+WeightSDS!N$32/(1+EXP(WeightSDS!O$32+WeightSDS!P$32*$AG706))-0.010431*(1-$AG706/210))))</f>
        <v>2.9500001032655536</v>
      </c>
      <c r="AK706" s="24">
        <f>IF(D706="M",IF($AG706&lt;162,WeightSDS!P$12*$AG706^7+WeightSDS!Q$12*$AG706^6+WeightSDS!R$12*$AG706^5+WeightSDS!S$12*$AG706^4+WeightSDS!T$12*$AG706^3+WeightSDS!U$12*$AG706^2+WeightSDS!V$12*$AG706+WeightSDS!W$12,WeightSDS!P$14*$AG706^7+WeightSDS!Q$14*$AG706^6+WeightSDS!R$14*$AG706^5+WeightSDS!S$14*$AG706^4+WeightSDS!T$14*$AG706^3+WeightSDS!U$14*$AG706^2+WeightSDS!V$14*$AG706+WeightSDS!W$14),IF($AG706&lt;156,WeightSDS!O$17*$AG706^8+WeightSDS!P$17*$AG706^7+WeightSDS!Q$17*$AG706^6+WeightSDS!R$17*$AG706^5+WeightSDS!S$17*$AG706^4+WeightSDS!T$17*$AG706^3+WeightSDS!U$17*$AG706^2+WeightSDS!V$17*$AG706+WeightSDS!W$17,IF($AG706&lt;186,WeightSDS!$U$18+(WeightSDS!$V$18-WeightSDS!$U$18)/24*($AG706-186)+WeightSDS!$W$18*(-$AG706+186)^2-0.005,WeightSDS!$U$18+(WeightSDS!$V$18-WeightSDS!$U$18)/24*($AG706-186)-0.005)))</f>
        <v>0.14604529399999999</v>
      </c>
    </row>
    <row r="707" spans="1:37">
      <c r="A707" s="4"/>
      <c r="B707" s="21"/>
      <c r="C707" s="21"/>
      <c r="D707" s="21"/>
      <c r="E707" s="22"/>
      <c r="F707" s="22"/>
      <c r="G707" s="23"/>
      <c r="H707" s="23"/>
      <c r="I707" s="8" t="str">
        <f t="shared" ref="I707:I770" si="178">IF(COUNTA(D707,E707,F707,G707,H707)=5,IF(Q707&gt;17.583,"       *",(G707-(INDEX(IF(D707="F",Hfemalemean,Hmalemean),V707+1,U707+1)))/(INDEX(IF(D707="F",Hfemalesd,Hmalesd),V707+1,U707+1))),"")</f>
        <v/>
      </c>
      <c r="J707" s="2" t="str">
        <f t="shared" si="169"/>
        <v/>
      </c>
      <c r="K707" s="2" t="str">
        <f t="shared" ref="K707:K770" si="179">IF(COUNTA(D707,E707,F707,G707,H707)&lt;5,"",IF(Q707&lt;6,"       *",IF(Q707&gt;=17.583,"       *",(H707-G707*INDEX(IF(D707="F",muratafemale,muratamale),U707-4,1)-INDEX(IF(D707="F",muratafemale,muratamale),U707-4,2))/(G707*INDEX(IF(D707="F",muratafemale,muratamale),U707-4,1)+INDEX(IF(D707="F",muratafemale,muratamale),U707-4,2))*100)))</f>
        <v/>
      </c>
      <c r="L707" s="2" t="str">
        <f t="shared" si="170"/>
        <v/>
      </c>
      <c r="M707" s="2" t="str">
        <f t="shared" si="175"/>
        <v/>
      </c>
      <c r="N707" s="2" t="str">
        <f t="shared" si="171"/>
        <v/>
      </c>
      <c r="O707" s="8" t="str">
        <f t="shared" si="172"/>
        <v/>
      </c>
      <c r="P707" s="8" t="str">
        <f t="shared" si="173"/>
        <v/>
      </c>
      <c r="Q707" s="40" t="str">
        <f t="shared" ref="Q707:Q770" si="180">IF(COUNTA(D707,E707,F707,G707,H707)=5,W707,"")</f>
        <v/>
      </c>
      <c r="R707" s="48" t="str">
        <f t="shared" si="174"/>
        <v/>
      </c>
      <c r="S707" s="8"/>
      <c r="U707" s="35">
        <f t="shared" ref="U707:U770" si="181">DATEDIF(E707,F707,"Y")</f>
        <v>0</v>
      </c>
      <c r="V707" s="24">
        <f t="shared" ref="V707:V770" si="182">DATEDIF(E707,F707,"YM")</f>
        <v>0</v>
      </c>
      <c r="W707" s="41">
        <f t="shared" si="177"/>
        <v>0</v>
      </c>
      <c r="X707" s="31"/>
      <c r="Y707" s="31"/>
      <c r="Z707" s="31"/>
      <c r="AA707" s="25">
        <f t="shared" ref="AA707:AA770" si="183">IF(D707="M",2.06*10^-3*G707^2-0.1166*G707+6.5273,2.49*10^-3*G707^2-0.1858*G707+9.036)</f>
        <v>9.0359999999999996</v>
      </c>
      <c r="AB707" s="25">
        <f t="shared" ref="AB707:AB770" si="184">((G707/100)^3*INDEX(itoOI,IF(D707="M",0,3)+IF(G707&lt;140,1,IF(G707&lt;=149,2,3)),1)+(G707/100)^2*INDEX(itoOI,IF(D707="M",0,3)+IF(G707&lt;140,1,IF(G707&lt;=149,2,3)),2)+(G707/100)*INDEX(itoOI,IF(D707="M",0,3)+IF(G707&lt;140,1,IF(G707&lt;=149,2,3)),3)+INDEX(itoOI,IF(D707="M",0,3)+IF(G707&lt;140,1,IF(G707&lt;=149,2,3)),4))</f>
        <v>-184.49199999999999</v>
      </c>
      <c r="AD707" s="24">
        <f>IF(D707="M",IF(AG707&lt;78,BMILMS!$D$5*AG707^3+BMILMS!$E$5*AG707^2+BMILMS!$F$5*AG707+BMILMS!$G$5,IF(AG707&lt;150,BMILMS!$D$6*AG707^3+BMILMS!$E$6*AG707^2+BMILMS!$F$6*AG707+BMILMS!$G$6,BMILMS!$D$7*AG707^3+BMILMS!$E$7*AG707^2+BMILMS!$F$7*AG707+BMILMS!$G$7)),IF(AG707&lt;69,BMILMS!$D$9*AG707^3+BMILMS!$E$9*AG707^2+BMILMS!$F$9*AG707+BMILMS!$G$9,IF(AG707&lt;150,BMILMS!$D$10*AG707^3+BMILMS!$E$10*AG707^2+BMILMS!$F$10*AG707+BMILMS!$G$10,BMILMS!$D$11*AG707^3+BMILMS!$E$11*AG707^2+BMILMS!$F$11*AG707+BMILMS!$G$11)))</f>
        <v>0.79584630099999998</v>
      </c>
      <c r="AE707" s="24">
        <f>IF(D707="M",(IF(AG707&lt;2.5,BMILMS!$D$21*AG707^3+BMILMS!$E$21*AG707^2+BMILMS!$F$21*AG707+BMILMS!$G$21,IF(AG707&lt;9.5,BMILMS!$D$22*AG707^3+BMILMS!$E$22*AG707^2+BMILMS!$F$22*AG707+BMILMS!$G$22,IF(AG707&lt;26.75,BMILMS!$D$23*AG707^3+BMILMS!$E$23*AG707^2+BMILMS!$F$23*AG707+BMILMS!$G$23,IF(AG707&lt;90,BMILMS!$D$24*AG707^3+BMILMS!$E$24*AG707^2+BMILMS!$F$24*AG707+BMILMS!$G$24,BMILMS!$D$25*AG707^3+BMILMS!$E$25*AG707^2+BMILMS!$F$25*AG707+BMILMS!$G$25))))),(IF(AG707&lt;2.5,BMILMS!$D$27*AG707^3+BMILMS!$E$27*AG707^2+BMILMS!$F$27*AG707+BMILMS!$G$27,IF(AG707&lt;9.5,BMILMS!$D$28*AG707^3+BMILMS!$E$28*AG707^2+BMILMS!$F$28*AG707+BMILMS!$G$28,IF(AG707&lt;26.75,BMILMS!$D$29*AG707^3+BMILMS!$E$29*AG707^2+BMILMS!$F$29*AG707+BMILMS!$G$29,IF(AG707&lt;90,BMILMS!$D$30*AG707^3+BMILMS!$E$30*AG707^2+BMILMS!$F$30*AG707+BMILMS!$G$30,IF(AG707&lt;150,BMILMS!$D$31*AG707^3+BMILMS!$E$31*AG707^2+BMILMS!$F$31*AG707+BMILMS!$G$31,BMILMS!$D$32*AG707^3+BMILMS!$E$32*AG707^2+BMILMS!$F$32*AG707+BMILMS!$G$32)))))))</f>
        <v>12.568967990000001</v>
      </c>
      <c r="AF707" s="24">
        <f>IF(D707="M",(IF(AG707&lt;90,BMILMS!$D$14*AG707^3+BMILMS!$E$14*AG707^2+BMILMS!$F$14*AG707+BMILMS!$G$14,BMILMS!$D$15*AG707^3+BMILMS!$E$15*AG707^2+BMILMS!$F$15*AG707+BMILMS!$G$15)),(IF(AG707&lt;90,BMILMS!$D$17*AG707^3+BMILMS!$E$17*AG707^2+BMILMS!$F$17*AG707+BMILMS!$G$17,BMILMS!$D$18*AG707^3+BMILMS!$E$18*AG707^2+BMILMS!$F$18*AG707+BMILMS!$G$18)))</f>
        <v>8.8969350000000003E-2</v>
      </c>
      <c r="AG707" s="24">
        <f t="shared" si="176"/>
        <v>0</v>
      </c>
      <c r="AI707" s="38">
        <f>IF(D707="M",WeightSDS!P$5*$AG707^7+WeightSDS!Q$5*$AG707^6+WeightSDS!R$5*$AG707^5+WeightSDS!S$5*$AG707^4+WeightSDS!T$5*$AG707^3+WeightSDS!U$5*$AG707^2+WeightSDS!V$5*$AG707+WeightSDS!W$5,IF($AG707&lt;186,WeightSDS!P$8*$AG707^7+WeightSDS!Q$8*$AG707^6+WeightSDS!R$8*$AG707^5+WeightSDS!S$8*$AG707^4+WeightSDS!T$8*$AG707^3+WeightSDS!U$8*$AG707^2+WeightSDS!V$8*$AG707+WeightSDS!W$8,WeightSDS!$U$9-WeightSDS!$V$9*($AG707-WeightSDS!$W$9)))</f>
        <v>0.75407122999999998</v>
      </c>
      <c r="AJ707" s="24">
        <f>IF(D707="M",IF($AG707&lt;45,WeightSDS!M$23*$AG707^10+WeightSDS!N$23*$AG707^9+WeightSDS!O$23*$AG707^8+WeightSDS!P$23*$AG707^7+WeightSDS!Q$23*$AG707^6+WeightSDS!R$23*$AG707^5+WeightSDS!S$23*$AG707^4+WeightSDS!T$23*$AG707^3+WeightSDS!U$23*$AG707^2+WeightSDS!V$23*$AG707+WeightSDS!W$23,IF($AG707&lt;153,WeightSDS!M$25*$AG707^10+WeightSDS!N$25*$AG707^9+WeightSDS!O$25*$AG707^8+WeightSDS!P$25*$AG707^7+WeightSDS!Q$25*$AG707^6+WeightSDS!R$25*$AG707^5+WeightSDS!S$25*$AG707^4+WeightSDS!T$25*$AG707^3+WeightSDS!U$25*$AG707^2+WeightSDS!V$25*$AG707+WeightSDS!W$25,WeightSDS!M$27+WeightSDS!N$27/(1+EXP(WeightSDS!O$27+WeightSDS!P$27*$AG707)))),IF($AG707&lt;43.8,WeightSDS!M$29*$AG707^10+WeightSDS!N$29*$AG707^9+WeightSDS!O$29*$AG707^8+WeightSDS!P$29*$AG707^7+WeightSDS!Q$29*$AG707^6+WeightSDS!R$29*$AG707^5+WeightSDS!S$29*$AG707^4+WeightSDS!T$29*$AG707^3+WeightSDS!U$29*$AG707^2+WeightSDS!V$29*$AG707+WeightSDS!W$29-0.010431*(1-$AG707/210),IF($AG707&lt;123,WeightSDS!M$30*$AG707^10+WeightSDS!N$30*$AG707^9+WeightSDS!O$30*$AG707^8+WeightSDS!P$30*$AG707^7+WeightSDS!Q$30*$AG707^6+WeightSDS!R$30*$AG707^5+WeightSDS!S$30*$AG707^4+WeightSDS!T$30*$AG707^3+WeightSDS!U$30*$AG707^2+WeightSDS!V$30*$AG707+WeightSDS!W$30-0.010431*(1-1/$AG707),WeightSDS!M$32+WeightSDS!N$32/(1+EXP(WeightSDS!O$32+WeightSDS!P$32*$AG707))-0.010431*(1-$AG707/210))))</f>
        <v>2.9500001032655536</v>
      </c>
      <c r="AK707" s="24">
        <f>IF(D707="M",IF($AG707&lt;162,WeightSDS!P$12*$AG707^7+WeightSDS!Q$12*$AG707^6+WeightSDS!R$12*$AG707^5+WeightSDS!S$12*$AG707^4+WeightSDS!T$12*$AG707^3+WeightSDS!U$12*$AG707^2+WeightSDS!V$12*$AG707+WeightSDS!W$12,WeightSDS!P$14*$AG707^7+WeightSDS!Q$14*$AG707^6+WeightSDS!R$14*$AG707^5+WeightSDS!S$14*$AG707^4+WeightSDS!T$14*$AG707^3+WeightSDS!U$14*$AG707^2+WeightSDS!V$14*$AG707+WeightSDS!W$14),IF($AG707&lt;156,WeightSDS!O$17*$AG707^8+WeightSDS!P$17*$AG707^7+WeightSDS!Q$17*$AG707^6+WeightSDS!R$17*$AG707^5+WeightSDS!S$17*$AG707^4+WeightSDS!T$17*$AG707^3+WeightSDS!U$17*$AG707^2+WeightSDS!V$17*$AG707+WeightSDS!W$17,IF($AG707&lt;186,WeightSDS!$U$18+(WeightSDS!$V$18-WeightSDS!$U$18)/24*($AG707-186)+WeightSDS!$W$18*(-$AG707+186)^2-0.005,WeightSDS!$U$18+(WeightSDS!$V$18-WeightSDS!$U$18)/24*($AG707-186)-0.005)))</f>
        <v>0.14604529399999999</v>
      </c>
    </row>
    <row r="708" spans="1:37">
      <c r="A708" s="4"/>
      <c r="B708" s="21"/>
      <c r="C708" s="21"/>
      <c r="D708" s="21"/>
      <c r="E708" s="22"/>
      <c r="F708" s="22"/>
      <c r="G708" s="23"/>
      <c r="H708" s="23"/>
      <c r="I708" s="8" t="str">
        <f t="shared" si="178"/>
        <v/>
      </c>
      <c r="J708" s="2" t="str">
        <f t="shared" ref="J708:J771" si="185">IF(COUNTA(D708,E708,F708,G708,H708)=5,IF(Q708&lt;1,"       *",IF(Q708&gt;=6,"       *",IF(G708&gt;=120,"       *",IF(G708&lt;70,"       *",(H708-AA708)/AA708*100)))),"")</f>
        <v/>
      </c>
      <c r="K708" s="2" t="str">
        <f t="shared" si="179"/>
        <v/>
      </c>
      <c r="L708" s="2" t="str">
        <f t="shared" ref="L708:L771" si="186">IF(COUNTA(D708,E708,F708,G708,H708)=5,IF(G708&gt;=IF(D708="M",181,174),"*",IF(G708&lt;101,"       *",IF(Q708&lt;6,"       *",IF(Q708&gt;=17.583,"*",(H708-AB708)/AB708*100)))),"")</f>
        <v/>
      </c>
      <c r="M708" s="2" t="str">
        <f t="shared" si="175"/>
        <v/>
      </c>
      <c r="N708" s="2" t="str">
        <f t="shared" ref="N708:N771" si="187">IF(COUNTA(D708,E708,F708,G708,H708)=5,IF(Q708&gt;17.583,"   *",NORMSDIST(((M708/AE708)^(AD708)-1)/AD708/AF708)*100),"")</f>
        <v/>
      </c>
      <c r="O708" s="8" t="str">
        <f t="shared" ref="O708:O771" si="188">IF(COUNTA(D708,E708,F708,G708,H708)=5,IF(Q708&gt;17.583,"   *",((M708/AE708)^(AD708)-1)/AD708/AF708),"")</f>
        <v/>
      </c>
      <c r="P708" s="8" t="str">
        <f t="shared" ref="P708:P771" si="189">IF(COUNTA(D708,E708,F708,G708,H708)=5,IF(Q708&gt;17.583,"   *",((H708/AJ708)^(AI708)-1)/AI708/AK708),"")</f>
        <v/>
      </c>
      <c r="Q708" s="40" t="str">
        <f t="shared" si="180"/>
        <v/>
      </c>
      <c r="R708" s="48" t="str">
        <f t="shared" ref="R708:R771" si="190">IF(COUNTA(D708,E708,F708,G708,H708)=5,U708&amp;"歳"&amp;V708&amp;"か月","")</f>
        <v/>
      </c>
      <c r="S708" s="8"/>
      <c r="U708" s="35">
        <f t="shared" si="181"/>
        <v>0</v>
      </c>
      <c r="V708" s="24">
        <f t="shared" si="182"/>
        <v>0</v>
      </c>
      <c r="W708" s="41">
        <f t="shared" si="177"/>
        <v>0</v>
      </c>
      <c r="X708" s="31"/>
      <c r="Y708" s="31"/>
      <c r="Z708" s="31"/>
      <c r="AA708" s="25">
        <f t="shared" si="183"/>
        <v>9.0359999999999996</v>
      </c>
      <c r="AB708" s="25">
        <f t="shared" si="184"/>
        <v>-184.49199999999999</v>
      </c>
      <c r="AD708" s="24">
        <f>IF(D708="M",IF(AG708&lt;78,BMILMS!$D$5*AG708^3+BMILMS!$E$5*AG708^2+BMILMS!$F$5*AG708+BMILMS!$G$5,IF(AG708&lt;150,BMILMS!$D$6*AG708^3+BMILMS!$E$6*AG708^2+BMILMS!$F$6*AG708+BMILMS!$G$6,BMILMS!$D$7*AG708^3+BMILMS!$E$7*AG708^2+BMILMS!$F$7*AG708+BMILMS!$G$7)),IF(AG708&lt;69,BMILMS!$D$9*AG708^3+BMILMS!$E$9*AG708^2+BMILMS!$F$9*AG708+BMILMS!$G$9,IF(AG708&lt;150,BMILMS!$D$10*AG708^3+BMILMS!$E$10*AG708^2+BMILMS!$F$10*AG708+BMILMS!$G$10,BMILMS!$D$11*AG708^3+BMILMS!$E$11*AG708^2+BMILMS!$F$11*AG708+BMILMS!$G$11)))</f>
        <v>0.79584630099999998</v>
      </c>
      <c r="AE708" s="24">
        <f>IF(D708="M",(IF(AG708&lt;2.5,BMILMS!$D$21*AG708^3+BMILMS!$E$21*AG708^2+BMILMS!$F$21*AG708+BMILMS!$G$21,IF(AG708&lt;9.5,BMILMS!$D$22*AG708^3+BMILMS!$E$22*AG708^2+BMILMS!$F$22*AG708+BMILMS!$G$22,IF(AG708&lt;26.75,BMILMS!$D$23*AG708^3+BMILMS!$E$23*AG708^2+BMILMS!$F$23*AG708+BMILMS!$G$23,IF(AG708&lt;90,BMILMS!$D$24*AG708^3+BMILMS!$E$24*AG708^2+BMILMS!$F$24*AG708+BMILMS!$G$24,BMILMS!$D$25*AG708^3+BMILMS!$E$25*AG708^2+BMILMS!$F$25*AG708+BMILMS!$G$25))))),(IF(AG708&lt;2.5,BMILMS!$D$27*AG708^3+BMILMS!$E$27*AG708^2+BMILMS!$F$27*AG708+BMILMS!$G$27,IF(AG708&lt;9.5,BMILMS!$D$28*AG708^3+BMILMS!$E$28*AG708^2+BMILMS!$F$28*AG708+BMILMS!$G$28,IF(AG708&lt;26.75,BMILMS!$D$29*AG708^3+BMILMS!$E$29*AG708^2+BMILMS!$F$29*AG708+BMILMS!$G$29,IF(AG708&lt;90,BMILMS!$D$30*AG708^3+BMILMS!$E$30*AG708^2+BMILMS!$F$30*AG708+BMILMS!$G$30,IF(AG708&lt;150,BMILMS!$D$31*AG708^3+BMILMS!$E$31*AG708^2+BMILMS!$F$31*AG708+BMILMS!$G$31,BMILMS!$D$32*AG708^3+BMILMS!$E$32*AG708^2+BMILMS!$F$32*AG708+BMILMS!$G$32)))))))</f>
        <v>12.568967990000001</v>
      </c>
      <c r="AF708" s="24">
        <f>IF(D708="M",(IF(AG708&lt;90,BMILMS!$D$14*AG708^3+BMILMS!$E$14*AG708^2+BMILMS!$F$14*AG708+BMILMS!$G$14,BMILMS!$D$15*AG708^3+BMILMS!$E$15*AG708^2+BMILMS!$F$15*AG708+BMILMS!$G$15)),(IF(AG708&lt;90,BMILMS!$D$17*AG708^3+BMILMS!$E$17*AG708^2+BMILMS!$F$17*AG708+BMILMS!$G$17,BMILMS!$D$18*AG708^3+BMILMS!$E$18*AG708^2+BMILMS!$F$18*AG708+BMILMS!$G$18)))</f>
        <v>8.8969350000000003E-2</v>
      </c>
      <c r="AG708" s="24">
        <f t="shared" si="176"/>
        <v>0</v>
      </c>
      <c r="AI708" s="38">
        <f>IF(D708="M",WeightSDS!P$5*$AG708^7+WeightSDS!Q$5*$AG708^6+WeightSDS!R$5*$AG708^5+WeightSDS!S$5*$AG708^4+WeightSDS!T$5*$AG708^3+WeightSDS!U$5*$AG708^2+WeightSDS!V$5*$AG708+WeightSDS!W$5,IF($AG708&lt;186,WeightSDS!P$8*$AG708^7+WeightSDS!Q$8*$AG708^6+WeightSDS!R$8*$AG708^5+WeightSDS!S$8*$AG708^4+WeightSDS!T$8*$AG708^3+WeightSDS!U$8*$AG708^2+WeightSDS!V$8*$AG708+WeightSDS!W$8,WeightSDS!$U$9-WeightSDS!$V$9*($AG708-WeightSDS!$W$9)))</f>
        <v>0.75407122999999998</v>
      </c>
      <c r="AJ708" s="24">
        <f>IF(D708="M",IF($AG708&lt;45,WeightSDS!M$23*$AG708^10+WeightSDS!N$23*$AG708^9+WeightSDS!O$23*$AG708^8+WeightSDS!P$23*$AG708^7+WeightSDS!Q$23*$AG708^6+WeightSDS!R$23*$AG708^5+WeightSDS!S$23*$AG708^4+WeightSDS!T$23*$AG708^3+WeightSDS!U$23*$AG708^2+WeightSDS!V$23*$AG708+WeightSDS!W$23,IF($AG708&lt;153,WeightSDS!M$25*$AG708^10+WeightSDS!N$25*$AG708^9+WeightSDS!O$25*$AG708^8+WeightSDS!P$25*$AG708^7+WeightSDS!Q$25*$AG708^6+WeightSDS!R$25*$AG708^5+WeightSDS!S$25*$AG708^4+WeightSDS!T$25*$AG708^3+WeightSDS!U$25*$AG708^2+WeightSDS!V$25*$AG708+WeightSDS!W$25,WeightSDS!M$27+WeightSDS!N$27/(1+EXP(WeightSDS!O$27+WeightSDS!P$27*$AG708)))),IF($AG708&lt;43.8,WeightSDS!M$29*$AG708^10+WeightSDS!N$29*$AG708^9+WeightSDS!O$29*$AG708^8+WeightSDS!P$29*$AG708^7+WeightSDS!Q$29*$AG708^6+WeightSDS!R$29*$AG708^5+WeightSDS!S$29*$AG708^4+WeightSDS!T$29*$AG708^3+WeightSDS!U$29*$AG708^2+WeightSDS!V$29*$AG708+WeightSDS!W$29-0.010431*(1-$AG708/210),IF($AG708&lt;123,WeightSDS!M$30*$AG708^10+WeightSDS!N$30*$AG708^9+WeightSDS!O$30*$AG708^8+WeightSDS!P$30*$AG708^7+WeightSDS!Q$30*$AG708^6+WeightSDS!R$30*$AG708^5+WeightSDS!S$30*$AG708^4+WeightSDS!T$30*$AG708^3+WeightSDS!U$30*$AG708^2+WeightSDS!V$30*$AG708+WeightSDS!W$30-0.010431*(1-1/$AG708),WeightSDS!M$32+WeightSDS!N$32/(1+EXP(WeightSDS!O$32+WeightSDS!P$32*$AG708))-0.010431*(1-$AG708/210))))</f>
        <v>2.9500001032655536</v>
      </c>
      <c r="AK708" s="24">
        <f>IF(D708="M",IF($AG708&lt;162,WeightSDS!P$12*$AG708^7+WeightSDS!Q$12*$AG708^6+WeightSDS!R$12*$AG708^5+WeightSDS!S$12*$AG708^4+WeightSDS!T$12*$AG708^3+WeightSDS!U$12*$AG708^2+WeightSDS!V$12*$AG708+WeightSDS!W$12,WeightSDS!P$14*$AG708^7+WeightSDS!Q$14*$AG708^6+WeightSDS!R$14*$AG708^5+WeightSDS!S$14*$AG708^4+WeightSDS!T$14*$AG708^3+WeightSDS!U$14*$AG708^2+WeightSDS!V$14*$AG708+WeightSDS!W$14),IF($AG708&lt;156,WeightSDS!O$17*$AG708^8+WeightSDS!P$17*$AG708^7+WeightSDS!Q$17*$AG708^6+WeightSDS!R$17*$AG708^5+WeightSDS!S$17*$AG708^4+WeightSDS!T$17*$AG708^3+WeightSDS!U$17*$AG708^2+WeightSDS!V$17*$AG708+WeightSDS!W$17,IF($AG708&lt;186,WeightSDS!$U$18+(WeightSDS!$V$18-WeightSDS!$U$18)/24*($AG708-186)+WeightSDS!$W$18*(-$AG708+186)^2-0.005,WeightSDS!$U$18+(WeightSDS!$V$18-WeightSDS!$U$18)/24*($AG708-186)-0.005)))</f>
        <v>0.14604529399999999</v>
      </c>
    </row>
    <row r="709" spans="1:37">
      <c r="A709" s="4"/>
      <c r="B709" s="21"/>
      <c r="C709" s="21"/>
      <c r="D709" s="21"/>
      <c r="E709" s="22"/>
      <c r="F709" s="22"/>
      <c r="G709" s="23"/>
      <c r="H709" s="23"/>
      <c r="I709" s="8" t="str">
        <f t="shared" si="178"/>
        <v/>
      </c>
      <c r="J709" s="2" t="str">
        <f t="shared" si="185"/>
        <v/>
      </c>
      <c r="K709" s="2" t="str">
        <f t="shared" si="179"/>
        <v/>
      </c>
      <c r="L709" s="2" t="str">
        <f t="shared" si="186"/>
        <v/>
      </c>
      <c r="M709" s="2" t="str">
        <f t="shared" si="175"/>
        <v/>
      </c>
      <c r="N709" s="2" t="str">
        <f t="shared" si="187"/>
        <v/>
      </c>
      <c r="O709" s="8" t="str">
        <f t="shared" si="188"/>
        <v/>
      </c>
      <c r="P709" s="8" t="str">
        <f t="shared" si="189"/>
        <v/>
      </c>
      <c r="Q709" s="40" t="str">
        <f t="shared" si="180"/>
        <v/>
      </c>
      <c r="R709" s="48" t="str">
        <f t="shared" si="190"/>
        <v/>
      </c>
      <c r="S709" s="8"/>
      <c r="U709" s="35">
        <f t="shared" si="181"/>
        <v>0</v>
      </c>
      <c r="V709" s="24">
        <f t="shared" si="182"/>
        <v>0</v>
      </c>
      <c r="W709" s="41">
        <f t="shared" si="177"/>
        <v>0</v>
      </c>
      <c r="X709" s="31"/>
      <c r="Y709" s="31"/>
      <c r="Z709" s="31"/>
      <c r="AA709" s="25">
        <f t="shared" si="183"/>
        <v>9.0359999999999996</v>
      </c>
      <c r="AB709" s="25">
        <f t="shared" si="184"/>
        <v>-184.49199999999999</v>
      </c>
      <c r="AD709" s="24">
        <f>IF(D709="M",IF(AG709&lt;78,BMILMS!$D$5*AG709^3+BMILMS!$E$5*AG709^2+BMILMS!$F$5*AG709+BMILMS!$G$5,IF(AG709&lt;150,BMILMS!$D$6*AG709^3+BMILMS!$E$6*AG709^2+BMILMS!$F$6*AG709+BMILMS!$G$6,BMILMS!$D$7*AG709^3+BMILMS!$E$7*AG709^2+BMILMS!$F$7*AG709+BMILMS!$G$7)),IF(AG709&lt;69,BMILMS!$D$9*AG709^3+BMILMS!$E$9*AG709^2+BMILMS!$F$9*AG709+BMILMS!$G$9,IF(AG709&lt;150,BMILMS!$D$10*AG709^3+BMILMS!$E$10*AG709^2+BMILMS!$F$10*AG709+BMILMS!$G$10,BMILMS!$D$11*AG709^3+BMILMS!$E$11*AG709^2+BMILMS!$F$11*AG709+BMILMS!$G$11)))</f>
        <v>0.79584630099999998</v>
      </c>
      <c r="AE709" s="24">
        <f>IF(D709="M",(IF(AG709&lt;2.5,BMILMS!$D$21*AG709^3+BMILMS!$E$21*AG709^2+BMILMS!$F$21*AG709+BMILMS!$G$21,IF(AG709&lt;9.5,BMILMS!$D$22*AG709^3+BMILMS!$E$22*AG709^2+BMILMS!$F$22*AG709+BMILMS!$G$22,IF(AG709&lt;26.75,BMILMS!$D$23*AG709^3+BMILMS!$E$23*AG709^2+BMILMS!$F$23*AG709+BMILMS!$G$23,IF(AG709&lt;90,BMILMS!$D$24*AG709^3+BMILMS!$E$24*AG709^2+BMILMS!$F$24*AG709+BMILMS!$G$24,BMILMS!$D$25*AG709^3+BMILMS!$E$25*AG709^2+BMILMS!$F$25*AG709+BMILMS!$G$25))))),(IF(AG709&lt;2.5,BMILMS!$D$27*AG709^3+BMILMS!$E$27*AG709^2+BMILMS!$F$27*AG709+BMILMS!$G$27,IF(AG709&lt;9.5,BMILMS!$D$28*AG709^3+BMILMS!$E$28*AG709^2+BMILMS!$F$28*AG709+BMILMS!$G$28,IF(AG709&lt;26.75,BMILMS!$D$29*AG709^3+BMILMS!$E$29*AG709^2+BMILMS!$F$29*AG709+BMILMS!$G$29,IF(AG709&lt;90,BMILMS!$D$30*AG709^3+BMILMS!$E$30*AG709^2+BMILMS!$F$30*AG709+BMILMS!$G$30,IF(AG709&lt;150,BMILMS!$D$31*AG709^3+BMILMS!$E$31*AG709^2+BMILMS!$F$31*AG709+BMILMS!$G$31,BMILMS!$D$32*AG709^3+BMILMS!$E$32*AG709^2+BMILMS!$F$32*AG709+BMILMS!$G$32)))))))</f>
        <v>12.568967990000001</v>
      </c>
      <c r="AF709" s="24">
        <f>IF(D709="M",(IF(AG709&lt;90,BMILMS!$D$14*AG709^3+BMILMS!$E$14*AG709^2+BMILMS!$F$14*AG709+BMILMS!$G$14,BMILMS!$D$15*AG709^3+BMILMS!$E$15*AG709^2+BMILMS!$F$15*AG709+BMILMS!$G$15)),(IF(AG709&lt;90,BMILMS!$D$17*AG709^3+BMILMS!$E$17*AG709^2+BMILMS!$F$17*AG709+BMILMS!$G$17,BMILMS!$D$18*AG709^3+BMILMS!$E$18*AG709^2+BMILMS!$F$18*AG709+BMILMS!$G$18)))</f>
        <v>8.8969350000000003E-2</v>
      </c>
      <c r="AG709" s="24">
        <f t="shared" si="176"/>
        <v>0</v>
      </c>
      <c r="AI709" s="38">
        <f>IF(D709="M",WeightSDS!P$5*$AG709^7+WeightSDS!Q$5*$AG709^6+WeightSDS!R$5*$AG709^5+WeightSDS!S$5*$AG709^4+WeightSDS!T$5*$AG709^3+WeightSDS!U$5*$AG709^2+WeightSDS!V$5*$AG709+WeightSDS!W$5,IF($AG709&lt;186,WeightSDS!P$8*$AG709^7+WeightSDS!Q$8*$AG709^6+WeightSDS!R$8*$AG709^5+WeightSDS!S$8*$AG709^4+WeightSDS!T$8*$AG709^3+WeightSDS!U$8*$AG709^2+WeightSDS!V$8*$AG709+WeightSDS!W$8,WeightSDS!$U$9-WeightSDS!$V$9*($AG709-WeightSDS!$W$9)))</f>
        <v>0.75407122999999998</v>
      </c>
      <c r="AJ709" s="24">
        <f>IF(D709="M",IF($AG709&lt;45,WeightSDS!M$23*$AG709^10+WeightSDS!N$23*$AG709^9+WeightSDS!O$23*$AG709^8+WeightSDS!P$23*$AG709^7+WeightSDS!Q$23*$AG709^6+WeightSDS!R$23*$AG709^5+WeightSDS!S$23*$AG709^4+WeightSDS!T$23*$AG709^3+WeightSDS!U$23*$AG709^2+WeightSDS!V$23*$AG709+WeightSDS!W$23,IF($AG709&lt;153,WeightSDS!M$25*$AG709^10+WeightSDS!N$25*$AG709^9+WeightSDS!O$25*$AG709^8+WeightSDS!P$25*$AG709^7+WeightSDS!Q$25*$AG709^6+WeightSDS!R$25*$AG709^5+WeightSDS!S$25*$AG709^4+WeightSDS!T$25*$AG709^3+WeightSDS!U$25*$AG709^2+WeightSDS!V$25*$AG709+WeightSDS!W$25,WeightSDS!M$27+WeightSDS!N$27/(1+EXP(WeightSDS!O$27+WeightSDS!P$27*$AG709)))),IF($AG709&lt;43.8,WeightSDS!M$29*$AG709^10+WeightSDS!N$29*$AG709^9+WeightSDS!O$29*$AG709^8+WeightSDS!P$29*$AG709^7+WeightSDS!Q$29*$AG709^6+WeightSDS!R$29*$AG709^5+WeightSDS!S$29*$AG709^4+WeightSDS!T$29*$AG709^3+WeightSDS!U$29*$AG709^2+WeightSDS!V$29*$AG709+WeightSDS!W$29-0.010431*(1-$AG709/210),IF($AG709&lt;123,WeightSDS!M$30*$AG709^10+WeightSDS!N$30*$AG709^9+WeightSDS!O$30*$AG709^8+WeightSDS!P$30*$AG709^7+WeightSDS!Q$30*$AG709^6+WeightSDS!R$30*$AG709^5+WeightSDS!S$30*$AG709^4+WeightSDS!T$30*$AG709^3+WeightSDS!U$30*$AG709^2+WeightSDS!V$30*$AG709+WeightSDS!W$30-0.010431*(1-1/$AG709),WeightSDS!M$32+WeightSDS!N$32/(1+EXP(WeightSDS!O$32+WeightSDS!P$32*$AG709))-0.010431*(1-$AG709/210))))</f>
        <v>2.9500001032655536</v>
      </c>
      <c r="AK709" s="24">
        <f>IF(D709="M",IF($AG709&lt;162,WeightSDS!P$12*$AG709^7+WeightSDS!Q$12*$AG709^6+WeightSDS!R$12*$AG709^5+WeightSDS!S$12*$AG709^4+WeightSDS!T$12*$AG709^3+WeightSDS!U$12*$AG709^2+WeightSDS!V$12*$AG709+WeightSDS!W$12,WeightSDS!P$14*$AG709^7+WeightSDS!Q$14*$AG709^6+WeightSDS!R$14*$AG709^5+WeightSDS!S$14*$AG709^4+WeightSDS!T$14*$AG709^3+WeightSDS!U$14*$AG709^2+WeightSDS!V$14*$AG709+WeightSDS!W$14),IF($AG709&lt;156,WeightSDS!O$17*$AG709^8+WeightSDS!P$17*$AG709^7+WeightSDS!Q$17*$AG709^6+WeightSDS!R$17*$AG709^5+WeightSDS!S$17*$AG709^4+WeightSDS!T$17*$AG709^3+WeightSDS!U$17*$AG709^2+WeightSDS!V$17*$AG709+WeightSDS!W$17,IF($AG709&lt;186,WeightSDS!$U$18+(WeightSDS!$V$18-WeightSDS!$U$18)/24*($AG709-186)+WeightSDS!$W$18*(-$AG709+186)^2-0.005,WeightSDS!$U$18+(WeightSDS!$V$18-WeightSDS!$U$18)/24*($AG709-186)-0.005)))</f>
        <v>0.14604529399999999</v>
      </c>
    </row>
    <row r="710" spans="1:37">
      <c r="A710" s="4"/>
      <c r="B710" s="21"/>
      <c r="C710" s="21"/>
      <c r="D710" s="21"/>
      <c r="E710" s="22"/>
      <c r="F710" s="22"/>
      <c r="G710" s="23"/>
      <c r="H710" s="23"/>
      <c r="I710" s="8" t="str">
        <f t="shared" si="178"/>
        <v/>
      </c>
      <c r="J710" s="2" t="str">
        <f t="shared" si="185"/>
        <v/>
      </c>
      <c r="K710" s="2" t="str">
        <f t="shared" si="179"/>
        <v/>
      </c>
      <c r="L710" s="2" t="str">
        <f t="shared" si="186"/>
        <v/>
      </c>
      <c r="M710" s="2" t="str">
        <f t="shared" si="175"/>
        <v/>
      </c>
      <c r="N710" s="2" t="str">
        <f t="shared" si="187"/>
        <v/>
      </c>
      <c r="O710" s="8" t="str">
        <f t="shared" si="188"/>
        <v/>
      </c>
      <c r="P710" s="8" t="str">
        <f t="shared" si="189"/>
        <v/>
      </c>
      <c r="Q710" s="40" t="str">
        <f t="shared" si="180"/>
        <v/>
      </c>
      <c r="R710" s="48" t="str">
        <f t="shared" si="190"/>
        <v/>
      </c>
      <c r="S710" s="8"/>
      <c r="U710" s="35">
        <f t="shared" si="181"/>
        <v>0</v>
      </c>
      <c r="V710" s="24">
        <f t="shared" si="182"/>
        <v>0</v>
      </c>
      <c r="W710" s="41">
        <f t="shared" si="177"/>
        <v>0</v>
      </c>
      <c r="X710" s="31"/>
      <c r="Y710" s="31"/>
      <c r="Z710" s="31"/>
      <c r="AA710" s="25">
        <f t="shared" si="183"/>
        <v>9.0359999999999996</v>
      </c>
      <c r="AB710" s="25">
        <f t="shared" si="184"/>
        <v>-184.49199999999999</v>
      </c>
      <c r="AD710" s="24">
        <f>IF(D710="M",IF(AG710&lt;78,BMILMS!$D$5*AG710^3+BMILMS!$E$5*AG710^2+BMILMS!$F$5*AG710+BMILMS!$G$5,IF(AG710&lt;150,BMILMS!$D$6*AG710^3+BMILMS!$E$6*AG710^2+BMILMS!$F$6*AG710+BMILMS!$G$6,BMILMS!$D$7*AG710^3+BMILMS!$E$7*AG710^2+BMILMS!$F$7*AG710+BMILMS!$G$7)),IF(AG710&lt;69,BMILMS!$D$9*AG710^3+BMILMS!$E$9*AG710^2+BMILMS!$F$9*AG710+BMILMS!$G$9,IF(AG710&lt;150,BMILMS!$D$10*AG710^3+BMILMS!$E$10*AG710^2+BMILMS!$F$10*AG710+BMILMS!$G$10,BMILMS!$D$11*AG710^3+BMILMS!$E$11*AG710^2+BMILMS!$F$11*AG710+BMILMS!$G$11)))</f>
        <v>0.79584630099999998</v>
      </c>
      <c r="AE710" s="24">
        <f>IF(D710="M",(IF(AG710&lt;2.5,BMILMS!$D$21*AG710^3+BMILMS!$E$21*AG710^2+BMILMS!$F$21*AG710+BMILMS!$G$21,IF(AG710&lt;9.5,BMILMS!$D$22*AG710^3+BMILMS!$E$22*AG710^2+BMILMS!$F$22*AG710+BMILMS!$G$22,IF(AG710&lt;26.75,BMILMS!$D$23*AG710^3+BMILMS!$E$23*AG710^2+BMILMS!$F$23*AG710+BMILMS!$G$23,IF(AG710&lt;90,BMILMS!$D$24*AG710^3+BMILMS!$E$24*AG710^2+BMILMS!$F$24*AG710+BMILMS!$G$24,BMILMS!$D$25*AG710^3+BMILMS!$E$25*AG710^2+BMILMS!$F$25*AG710+BMILMS!$G$25))))),(IF(AG710&lt;2.5,BMILMS!$D$27*AG710^3+BMILMS!$E$27*AG710^2+BMILMS!$F$27*AG710+BMILMS!$G$27,IF(AG710&lt;9.5,BMILMS!$D$28*AG710^3+BMILMS!$E$28*AG710^2+BMILMS!$F$28*AG710+BMILMS!$G$28,IF(AG710&lt;26.75,BMILMS!$D$29*AG710^3+BMILMS!$E$29*AG710^2+BMILMS!$F$29*AG710+BMILMS!$G$29,IF(AG710&lt;90,BMILMS!$D$30*AG710^3+BMILMS!$E$30*AG710^2+BMILMS!$F$30*AG710+BMILMS!$G$30,IF(AG710&lt;150,BMILMS!$D$31*AG710^3+BMILMS!$E$31*AG710^2+BMILMS!$F$31*AG710+BMILMS!$G$31,BMILMS!$D$32*AG710^3+BMILMS!$E$32*AG710^2+BMILMS!$F$32*AG710+BMILMS!$G$32)))))))</f>
        <v>12.568967990000001</v>
      </c>
      <c r="AF710" s="24">
        <f>IF(D710="M",(IF(AG710&lt;90,BMILMS!$D$14*AG710^3+BMILMS!$E$14*AG710^2+BMILMS!$F$14*AG710+BMILMS!$G$14,BMILMS!$D$15*AG710^3+BMILMS!$E$15*AG710^2+BMILMS!$F$15*AG710+BMILMS!$G$15)),(IF(AG710&lt;90,BMILMS!$D$17*AG710^3+BMILMS!$E$17*AG710^2+BMILMS!$F$17*AG710+BMILMS!$G$17,BMILMS!$D$18*AG710^3+BMILMS!$E$18*AG710^2+BMILMS!$F$18*AG710+BMILMS!$G$18)))</f>
        <v>8.8969350000000003E-2</v>
      </c>
      <c r="AG710" s="24">
        <f t="shared" si="176"/>
        <v>0</v>
      </c>
      <c r="AI710" s="38">
        <f>IF(D710="M",WeightSDS!P$5*$AG710^7+WeightSDS!Q$5*$AG710^6+WeightSDS!R$5*$AG710^5+WeightSDS!S$5*$AG710^4+WeightSDS!T$5*$AG710^3+WeightSDS!U$5*$AG710^2+WeightSDS!V$5*$AG710+WeightSDS!W$5,IF($AG710&lt;186,WeightSDS!P$8*$AG710^7+WeightSDS!Q$8*$AG710^6+WeightSDS!R$8*$AG710^5+WeightSDS!S$8*$AG710^4+WeightSDS!T$8*$AG710^3+WeightSDS!U$8*$AG710^2+WeightSDS!V$8*$AG710+WeightSDS!W$8,WeightSDS!$U$9-WeightSDS!$V$9*($AG710-WeightSDS!$W$9)))</f>
        <v>0.75407122999999998</v>
      </c>
      <c r="AJ710" s="24">
        <f>IF(D710="M",IF($AG710&lt;45,WeightSDS!M$23*$AG710^10+WeightSDS!N$23*$AG710^9+WeightSDS!O$23*$AG710^8+WeightSDS!P$23*$AG710^7+WeightSDS!Q$23*$AG710^6+WeightSDS!R$23*$AG710^5+WeightSDS!S$23*$AG710^4+WeightSDS!T$23*$AG710^3+WeightSDS!U$23*$AG710^2+WeightSDS!V$23*$AG710+WeightSDS!W$23,IF($AG710&lt;153,WeightSDS!M$25*$AG710^10+WeightSDS!N$25*$AG710^9+WeightSDS!O$25*$AG710^8+WeightSDS!P$25*$AG710^7+WeightSDS!Q$25*$AG710^6+WeightSDS!R$25*$AG710^5+WeightSDS!S$25*$AG710^4+WeightSDS!T$25*$AG710^3+WeightSDS!U$25*$AG710^2+WeightSDS!V$25*$AG710+WeightSDS!W$25,WeightSDS!M$27+WeightSDS!N$27/(1+EXP(WeightSDS!O$27+WeightSDS!P$27*$AG710)))),IF($AG710&lt;43.8,WeightSDS!M$29*$AG710^10+WeightSDS!N$29*$AG710^9+WeightSDS!O$29*$AG710^8+WeightSDS!P$29*$AG710^7+WeightSDS!Q$29*$AG710^6+WeightSDS!R$29*$AG710^5+WeightSDS!S$29*$AG710^4+WeightSDS!T$29*$AG710^3+WeightSDS!U$29*$AG710^2+WeightSDS!V$29*$AG710+WeightSDS!W$29-0.010431*(1-$AG710/210),IF($AG710&lt;123,WeightSDS!M$30*$AG710^10+WeightSDS!N$30*$AG710^9+WeightSDS!O$30*$AG710^8+WeightSDS!P$30*$AG710^7+WeightSDS!Q$30*$AG710^6+WeightSDS!R$30*$AG710^5+WeightSDS!S$30*$AG710^4+WeightSDS!T$30*$AG710^3+WeightSDS!U$30*$AG710^2+WeightSDS!V$30*$AG710+WeightSDS!W$30-0.010431*(1-1/$AG710),WeightSDS!M$32+WeightSDS!N$32/(1+EXP(WeightSDS!O$32+WeightSDS!P$32*$AG710))-0.010431*(1-$AG710/210))))</f>
        <v>2.9500001032655536</v>
      </c>
      <c r="AK710" s="24">
        <f>IF(D710="M",IF($AG710&lt;162,WeightSDS!P$12*$AG710^7+WeightSDS!Q$12*$AG710^6+WeightSDS!R$12*$AG710^5+WeightSDS!S$12*$AG710^4+WeightSDS!T$12*$AG710^3+WeightSDS!U$12*$AG710^2+WeightSDS!V$12*$AG710+WeightSDS!W$12,WeightSDS!P$14*$AG710^7+WeightSDS!Q$14*$AG710^6+WeightSDS!R$14*$AG710^5+WeightSDS!S$14*$AG710^4+WeightSDS!T$14*$AG710^3+WeightSDS!U$14*$AG710^2+WeightSDS!V$14*$AG710+WeightSDS!W$14),IF($AG710&lt;156,WeightSDS!O$17*$AG710^8+WeightSDS!P$17*$AG710^7+WeightSDS!Q$17*$AG710^6+WeightSDS!R$17*$AG710^5+WeightSDS!S$17*$AG710^4+WeightSDS!T$17*$AG710^3+WeightSDS!U$17*$AG710^2+WeightSDS!V$17*$AG710+WeightSDS!W$17,IF($AG710&lt;186,WeightSDS!$U$18+(WeightSDS!$V$18-WeightSDS!$U$18)/24*($AG710-186)+WeightSDS!$W$18*(-$AG710+186)^2-0.005,WeightSDS!$U$18+(WeightSDS!$V$18-WeightSDS!$U$18)/24*($AG710-186)-0.005)))</f>
        <v>0.14604529399999999</v>
      </c>
    </row>
    <row r="711" spans="1:37">
      <c r="A711" s="4"/>
      <c r="B711" s="21"/>
      <c r="C711" s="21"/>
      <c r="D711" s="21"/>
      <c r="E711" s="22"/>
      <c r="F711" s="22"/>
      <c r="G711" s="23"/>
      <c r="H711" s="23"/>
      <c r="I711" s="8" t="str">
        <f t="shared" si="178"/>
        <v/>
      </c>
      <c r="J711" s="2" t="str">
        <f t="shared" si="185"/>
        <v/>
      </c>
      <c r="K711" s="2" t="str">
        <f t="shared" si="179"/>
        <v/>
      </c>
      <c r="L711" s="2" t="str">
        <f t="shared" si="186"/>
        <v/>
      </c>
      <c r="M711" s="2" t="str">
        <f t="shared" si="175"/>
        <v/>
      </c>
      <c r="N711" s="2" t="str">
        <f t="shared" si="187"/>
        <v/>
      </c>
      <c r="O711" s="8" t="str">
        <f t="shared" si="188"/>
        <v/>
      </c>
      <c r="P711" s="8" t="str">
        <f t="shared" si="189"/>
        <v/>
      </c>
      <c r="Q711" s="40" t="str">
        <f t="shared" si="180"/>
        <v/>
      </c>
      <c r="R711" s="48" t="str">
        <f t="shared" si="190"/>
        <v/>
      </c>
      <c r="S711" s="8"/>
      <c r="U711" s="35">
        <f t="shared" si="181"/>
        <v>0</v>
      </c>
      <c r="V711" s="24">
        <f t="shared" si="182"/>
        <v>0</v>
      </c>
      <c r="W711" s="41">
        <f t="shared" si="177"/>
        <v>0</v>
      </c>
      <c r="X711" s="31"/>
      <c r="Y711" s="31"/>
      <c r="Z711" s="31"/>
      <c r="AA711" s="25">
        <f t="shared" si="183"/>
        <v>9.0359999999999996</v>
      </c>
      <c r="AB711" s="25">
        <f t="shared" si="184"/>
        <v>-184.49199999999999</v>
      </c>
      <c r="AD711" s="24">
        <f>IF(D711="M",IF(AG711&lt;78,BMILMS!$D$5*AG711^3+BMILMS!$E$5*AG711^2+BMILMS!$F$5*AG711+BMILMS!$G$5,IF(AG711&lt;150,BMILMS!$D$6*AG711^3+BMILMS!$E$6*AG711^2+BMILMS!$F$6*AG711+BMILMS!$G$6,BMILMS!$D$7*AG711^3+BMILMS!$E$7*AG711^2+BMILMS!$F$7*AG711+BMILMS!$G$7)),IF(AG711&lt;69,BMILMS!$D$9*AG711^3+BMILMS!$E$9*AG711^2+BMILMS!$F$9*AG711+BMILMS!$G$9,IF(AG711&lt;150,BMILMS!$D$10*AG711^3+BMILMS!$E$10*AG711^2+BMILMS!$F$10*AG711+BMILMS!$G$10,BMILMS!$D$11*AG711^3+BMILMS!$E$11*AG711^2+BMILMS!$F$11*AG711+BMILMS!$G$11)))</f>
        <v>0.79584630099999998</v>
      </c>
      <c r="AE711" s="24">
        <f>IF(D711="M",(IF(AG711&lt;2.5,BMILMS!$D$21*AG711^3+BMILMS!$E$21*AG711^2+BMILMS!$F$21*AG711+BMILMS!$G$21,IF(AG711&lt;9.5,BMILMS!$D$22*AG711^3+BMILMS!$E$22*AG711^2+BMILMS!$F$22*AG711+BMILMS!$G$22,IF(AG711&lt;26.75,BMILMS!$D$23*AG711^3+BMILMS!$E$23*AG711^2+BMILMS!$F$23*AG711+BMILMS!$G$23,IF(AG711&lt;90,BMILMS!$D$24*AG711^3+BMILMS!$E$24*AG711^2+BMILMS!$F$24*AG711+BMILMS!$G$24,BMILMS!$D$25*AG711^3+BMILMS!$E$25*AG711^2+BMILMS!$F$25*AG711+BMILMS!$G$25))))),(IF(AG711&lt;2.5,BMILMS!$D$27*AG711^3+BMILMS!$E$27*AG711^2+BMILMS!$F$27*AG711+BMILMS!$G$27,IF(AG711&lt;9.5,BMILMS!$D$28*AG711^3+BMILMS!$E$28*AG711^2+BMILMS!$F$28*AG711+BMILMS!$G$28,IF(AG711&lt;26.75,BMILMS!$D$29*AG711^3+BMILMS!$E$29*AG711^2+BMILMS!$F$29*AG711+BMILMS!$G$29,IF(AG711&lt;90,BMILMS!$D$30*AG711^3+BMILMS!$E$30*AG711^2+BMILMS!$F$30*AG711+BMILMS!$G$30,IF(AG711&lt;150,BMILMS!$D$31*AG711^3+BMILMS!$E$31*AG711^2+BMILMS!$F$31*AG711+BMILMS!$G$31,BMILMS!$D$32*AG711^3+BMILMS!$E$32*AG711^2+BMILMS!$F$32*AG711+BMILMS!$G$32)))))))</f>
        <v>12.568967990000001</v>
      </c>
      <c r="AF711" s="24">
        <f>IF(D711="M",(IF(AG711&lt;90,BMILMS!$D$14*AG711^3+BMILMS!$E$14*AG711^2+BMILMS!$F$14*AG711+BMILMS!$G$14,BMILMS!$D$15*AG711^3+BMILMS!$E$15*AG711^2+BMILMS!$F$15*AG711+BMILMS!$G$15)),(IF(AG711&lt;90,BMILMS!$D$17*AG711^3+BMILMS!$E$17*AG711^2+BMILMS!$F$17*AG711+BMILMS!$G$17,BMILMS!$D$18*AG711^3+BMILMS!$E$18*AG711^2+BMILMS!$F$18*AG711+BMILMS!$G$18)))</f>
        <v>8.8969350000000003E-2</v>
      </c>
      <c r="AG711" s="24">
        <f t="shared" si="176"/>
        <v>0</v>
      </c>
      <c r="AI711" s="38">
        <f>IF(D711="M",WeightSDS!P$5*$AG711^7+WeightSDS!Q$5*$AG711^6+WeightSDS!R$5*$AG711^5+WeightSDS!S$5*$AG711^4+WeightSDS!T$5*$AG711^3+WeightSDS!U$5*$AG711^2+WeightSDS!V$5*$AG711+WeightSDS!W$5,IF($AG711&lt;186,WeightSDS!P$8*$AG711^7+WeightSDS!Q$8*$AG711^6+WeightSDS!R$8*$AG711^5+WeightSDS!S$8*$AG711^4+WeightSDS!T$8*$AG711^3+WeightSDS!U$8*$AG711^2+WeightSDS!V$8*$AG711+WeightSDS!W$8,WeightSDS!$U$9-WeightSDS!$V$9*($AG711-WeightSDS!$W$9)))</f>
        <v>0.75407122999999998</v>
      </c>
      <c r="AJ711" s="24">
        <f>IF(D711="M",IF($AG711&lt;45,WeightSDS!M$23*$AG711^10+WeightSDS!N$23*$AG711^9+WeightSDS!O$23*$AG711^8+WeightSDS!P$23*$AG711^7+WeightSDS!Q$23*$AG711^6+WeightSDS!R$23*$AG711^5+WeightSDS!S$23*$AG711^4+WeightSDS!T$23*$AG711^3+WeightSDS!U$23*$AG711^2+WeightSDS!V$23*$AG711+WeightSDS!W$23,IF($AG711&lt;153,WeightSDS!M$25*$AG711^10+WeightSDS!N$25*$AG711^9+WeightSDS!O$25*$AG711^8+WeightSDS!P$25*$AG711^7+WeightSDS!Q$25*$AG711^6+WeightSDS!R$25*$AG711^5+WeightSDS!S$25*$AG711^4+WeightSDS!T$25*$AG711^3+WeightSDS!U$25*$AG711^2+WeightSDS!V$25*$AG711+WeightSDS!W$25,WeightSDS!M$27+WeightSDS!N$27/(1+EXP(WeightSDS!O$27+WeightSDS!P$27*$AG711)))),IF($AG711&lt;43.8,WeightSDS!M$29*$AG711^10+WeightSDS!N$29*$AG711^9+WeightSDS!O$29*$AG711^8+WeightSDS!P$29*$AG711^7+WeightSDS!Q$29*$AG711^6+WeightSDS!R$29*$AG711^5+WeightSDS!S$29*$AG711^4+WeightSDS!T$29*$AG711^3+WeightSDS!U$29*$AG711^2+WeightSDS!V$29*$AG711+WeightSDS!W$29-0.010431*(1-$AG711/210),IF($AG711&lt;123,WeightSDS!M$30*$AG711^10+WeightSDS!N$30*$AG711^9+WeightSDS!O$30*$AG711^8+WeightSDS!P$30*$AG711^7+WeightSDS!Q$30*$AG711^6+WeightSDS!R$30*$AG711^5+WeightSDS!S$30*$AG711^4+WeightSDS!T$30*$AG711^3+WeightSDS!U$30*$AG711^2+WeightSDS!V$30*$AG711+WeightSDS!W$30-0.010431*(1-1/$AG711),WeightSDS!M$32+WeightSDS!N$32/(1+EXP(WeightSDS!O$32+WeightSDS!P$32*$AG711))-0.010431*(1-$AG711/210))))</f>
        <v>2.9500001032655536</v>
      </c>
      <c r="AK711" s="24">
        <f>IF(D711="M",IF($AG711&lt;162,WeightSDS!P$12*$AG711^7+WeightSDS!Q$12*$AG711^6+WeightSDS!R$12*$AG711^5+WeightSDS!S$12*$AG711^4+WeightSDS!T$12*$AG711^3+WeightSDS!U$12*$AG711^2+WeightSDS!V$12*$AG711+WeightSDS!W$12,WeightSDS!P$14*$AG711^7+WeightSDS!Q$14*$AG711^6+WeightSDS!R$14*$AG711^5+WeightSDS!S$14*$AG711^4+WeightSDS!T$14*$AG711^3+WeightSDS!U$14*$AG711^2+WeightSDS!V$14*$AG711+WeightSDS!W$14),IF($AG711&lt;156,WeightSDS!O$17*$AG711^8+WeightSDS!P$17*$AG711^7+WeightSDS!Q$17*$AG711^6+WeightSDS!R$17*$AG711^5+WeightSDS!S$17*$AG711^4+WeightSDS!T$17*$AG711^3+WeightSDS!U$17*$AG711^2+WeightSDS!V$17*$AG711+WeightSDS!W$17,IF($AG711&lt;186,WeightSDS!$U$18+(WeightSDS!$V$18-WeightSDS!$U$18)/24*($AG711-186)+WeightSDS!$W$18*(-$AG711+186)^2-0.005,WeightSDS!$U$18+(WeightSDS!$V$18-WeightSDS!$U$18)/24*($AG711-186)-0.005)))</f>
        <v>0.14604529399999999</v>
      </c>
    </row>
    <row r="712" spans="1:37">
      <c r="A712" s="4"/>
      <c r="B712" s="21"/>
      <c r="C712" s="21"/>
      <c r="D712" s="21"/>
      <c r="E712" s="22"/>
      <c r="F712" s="22"/>
      <c r="G712" s="23"/>
      <c r="H712" s="23"/>
      <c r="I712" s="8" t="str">
        <f t="shared" si="178"/>
        <v/>
      </c>
      <c r="J712" s="2" t="str">
        <f t="shared" si="185"/>
        <v/>
      </c>
      <c r="K712" s="2" t="str">
        <f t="shared" si="179"/>
        <v/>
      </c>
      <c r="L712" s="2" t="str">
        <f t="shared" si="186"/>
        <v/>
      </c>
      <c r="M712" s="2" t="str">
        <f t="shared" ref="M712:M775" si="191">IF(COUNTA(D712,E712,F712,G712,H712)=5,H712/G712^2*10000,"")</f>
        <v/>
      </c>
      <c r="N712" s="2" t="str">
        <f t="shared" si="187"/>
        <v/>
      </c>
      <c r="O712" s="8" t="str">
        <f t="shared" si="188"/>
        <v/>
      </c>
      <c r="P712" s="8" t="str">
        <f t="shared" si="189"/>
        <v/>
      </c>
      <c r="Q712" s="40" t="str">
        <f t="shared" si="180"/>
        <v/>
      </c>
      <c r="R712" s="48" t="str">
        <f t="shared" si="190"/>
        <v/>
      </c>
      <c r="S712" s="8"/>
      <c r="U712" s="35">
        <f t="shared" si="181"/>
        <v>0</v>
      </c>
      <c r="V712" s="24">
        <f t="shared" si="182"/>
        <v>0</v>
      </c>
      <c r="W712" s="41">
        <f t="shared" si="177"/>
        <v>0</v>
      </c>
      <c r="X712" s="31"/>
      <c r="Y712" s="31"/>
      <c r="Z712" s="31"/>
      <c r="AA712" s="25">
        <f t="shared" si="183"/>
        <v>9.0359999999999996</v>
      </c>
      <c r="AB712" s="25">
        <f t="shared" si="184"/>
        <v>-184.49199999999999</v>
      </c>
      <c r="AD712" s="24">
        <f>IF(D712="M",IF(AG712&lt;78,BMILMS!$D$5*AG712^3+BMILMS!$E$5*AG712^2+BMILMS!$F$5*AG712+BMILMS!$G$5,IF(AG712&lt;150,BMILMS!$D$6*AG712^3+BMILMS!$E$6*AG712^2+BMILMS!$F$6*AG712+BMILMS!$G$6,BMILMS!$D$7*AG712^3+BMILMS!$E$7*AG712^2+BMILMS!$F$7*AG712+BMILMS!$G$7)),IF(AG712&lt;69,BMILMS!$D$9*AG712^3+BMILMS!$E$9*AG712^2+BMILMS!$F$9*AG712+BMILMS!$G$9,IF(AG712&lt;150,BMILMS!$D$10*AG712^3+BMILMS!$E$10*AG712^2+BMILMS!$F$10*AG712+BMILMS!$G$10,BMILMS!$D$11*AG712^3+BMILMS!$E$11*AG712^2+BMILMS!$F$11*AG712+BMILMS!$G$11)))</f>
        <v>0.79584630099999998</v>
      </c>
      <c r="AE712" s="24">
        <f>IF(D712="M",(IF(AG712&lt;2.5,BMILMS!$D$21*AG712^3+BMILMS!$E$21*AG712^2+BMILMS!$F$21*AG712+BMILMS!$G$21,IF(AG712&lt;9.5,BMILMS!$D$22*AG712^3+BMILMS!$E$22*AG712^2+BMILMS!$F$22*AG712+BMILMS!$G$22,IF(AG712&lt;26.75,BMILMS!$D$23*AG712^3+BMILMS!$E$23*AG712^2+BMILMS!$F$23*AG712+BMILMS!$G$23,IF(AG712&lt;90,BMILMS!$D$24*AG712^3+BMILMS!$E$24*AG712^2+BMILMS!$F$24*AG712+BMILMS!$G$24,BMILMS!$D$25*AG712^3+BMILMS!$E$25*AG712^2+BMILMS!$F$25*AG712+BMILMS!$G$25))))),(IF(AG712&lt;2.5,BMILMS!$D$27*AG712^3+BMILMS!$E$27*AG712^2+BMILMS!$F$27*AG712+BMILMS!$G$27,IF(AG712&lt;9.5,BMILMS!$D$28*AG712^3+BMILMS!$E$28*AG712^2+BMILMS!$F$28*AG712+BMILMS!$G$28,IF(AG712&lt;26.75,BMILMS!$D$29*AG712^3+BMILMS!$E$29*AG712^2+BMILMS!$F$29*AG712+BMILMS!$G$29,IF(AG712&lt;90,BMILMS!$D$30*AG712^3+BMILMS!$E$30*AG712^2+BMILMS!$F$30*AG712+BMILMS!$G$30,IF(AG712&lt;150,BMILMS!$D$31*AG712^3+BMILMS!$E$31*AG712^2+BMILMS!$F$31*AG712+BMILMS!$G$31,BMILMS!$D$32*AG712^3+BMILMS!$E$32*AG712^2+BMILMS!$F$32*AG712+BMILMS!$G$32)))))))</f>
        <v>12.568967990000001</v>
      </c>
      <c r="AF712" s="24">
        <f>IF(D712="M",(IF(AG712&lt;90,BMILMS!$D$14*AG712^3+BMILMS!$E$14*AG712^2+BMILMS!$F$14*AG712+BMILMS!$G$14,BMILMS!$D$15*AG712^3+BMILMS!$E$15*AG712^2+BMILMS!$F$15*AG712+BMILMS!$G$15)),(IF(AG712&lt;90,BMILMS!$D$17*AG712^3+BMILMS!$E$17*AG712^2+BMILMS!$F$17*AG712+BMILMS!$G$17,BMILMS!$D$18*AG712^3+BMILMS!$E$18*AG712^2+BMILMS!$F$18*AG712+BMILMS!$G$18)))</f>
        <v>8.8969350000000003E-2</v>
      </c>
      <c r="AG712" s="24">
        <f t="shared" ref="AG712:AG775" si="192">U712*12+V712</f>
        <v>0</v>
      </c>
      <c r="AI712" s="38">
        <f>IF(D712="M",WeightSDS!P$5*$AG712^7+WeightSDS!Q$5*$AG712^6+WeightSDS!R$5*$AG712^5+WeightSDS!S$5*$AG712^4+WeightSDS!T$5*$AG712^3+WeightSDS!U$5*$AG712^2+WeightSDS!V$5*$AG712+WeightSDS!W$5,IF($AG712&lt;186,WeightSDS!P$8*$AG712^7+WeightSDS!Q$8*$AG712^6+WeightSDS!R$8*$AG712^5+WeightSDS!S$8*$AG712^4+WeightSDS!T$8*$AG712^3+WeightSDS!U$8*$AG712^2+WeightSDS!V$8*$AG712+WeightSDS!W$8,WeightSDS!$U$9-WeightSDS!$V$9*($AG712-WeightSDS!$W$9)))</f>
        <v>0.75407122999999998</v>
      </c>
      <c r="AJ712" s="24">
        <f>IF(D712="M",IF($AG712&lt;45,WeightSDS!M$23*$AG712^10+WeightSDS!N$23*$AG712^9+WeightSDS!O$23*$AG712^8+WeightSDS!P$23*$AG712^7+WeightSDS!Q$23*$AG712^6+WeightSDS!R$23*$AG712^5+WeightSDS!S$23*$AG712^4+WeightSDS!T$23*$AG712^3+WeightSDS!U$23*$AG712^2+WeightSDS!V$23*$AG712+WeightSDS!W$23,IF($AG712&lt;153,WeightSDS!M$25*$AG712^10+WeightSDS!N$25*$AG712^9+WeightSDS!O$25*$AG712^8+WeightSDS!P$25*$AG712^7+WeightSDS!Q$25*$AG712^6+WeightSDS!R$25*$AG712^5+WeightSDS!S$25*$AG712^4+WeightSDS!T$25*$AG712^3+WeightSDS!U$25*$AG712^2+WeightSDS!V$25*$AG712+WeightSDS!W$25,WeightSDS!M$27+WeightSDS!N$27/(1+EXP(WeightSDS!O$27+WeightSDS!P$27*$AG712)))),IF($AG712&lt;43.8,WeightSDS!M$29*$AG712^10+WeightSDS!N$29*$AG712^9+WeightSDS!O$29*$AG712^8+WeightSDS!P$29*$AG712^7+WeightSDS!Q$29*$AG712^6+WeightSDS!R$29*$AG712^5+WeightSDS!S$29*$AG712^4+WeightSDS!T$29*$AG712^3+WeightSDS!U$29*$AG712^2+WeightSDS!V$29*$AG712+WeightSDS!W$29-0.010431*(1-$AG712/210),IF($AG712&lt;123,WeightSDS!M$30*$AG712^10+WeightSDS!N$30*$AG712^9+WeightSDS!O$30*$AG712^8+WeightSDS!P$30*$AG712^7+WeightSDS!Q$30*$AG712^6+WeightSDS!R$30*$AG712^5+WeightSDS!S$30*$AG712^4+WeightSDS!T$30*$AG712^3+WeightSDS!U$30*$AG712^2+WeightSDS!V$30*$AG712+WeightSDS!W$30-0.010431*(1-1/$AG712),WeightSDS!M$32+WeightSDS!N$32/(1+EXP(WeightSDS!O$32+WeightSDS!P$32*$AG712))-0.010431*(1-$AG712/210))))</f>
        <v>2.9500001032655536</v>
      </c>
      <c r="AK712" s="24">
        <f>IF(D712="M",IF($AG712&lt;162,WeightSDS!P$12*$AG712^7+WeightSDS!Q$12*$AG712^6+WeightSDS!R$12*$AG712^5+WeightSDS!S$12*$AG712^4+WeightSDS!T$12*$AG712^3+WeightSDS!U$12*$AG712^2+WeightSDS!V$12*$AG712+WeightSDS!W$12,WeightSDS!P$14*$AG712^7+WeightSDS!Q$14*$AG712^6+WeightSDS!R$14*$AG712^5+WeightSDS!S$14*$AG712^4+WeightSDS!T$14*$AG712^3+WeightSDS!U$14*$AG712^2+WeightSDS!V$14*$AG712+WeightSDS!W$14),IF($AG712&lt;156,WeightSDS!O$17*$AG712^8+WeightSDS!P$17*$AG712^7+WeightSDS!Q$17*$AG712^6+WeightSDS!R$17*$AG712^5+WeightSDS!S$17*$AG712^4+WeightSDS!T$17*$AG712^3+WeightSDS!U$17*$AG712^2+WeightSDS!V$17*$AG712+WeightSDS!W$17,IF($AG712&lt;186,WeightSDS!$U$18+(WeightSDS!$V$18-WeightSDS!$U$18)/24*($AG712-186)+WeightSDS!$W$18*(-$AG712+186)^2-0.005,WeightSDS!$U$18+(WeightSDS!$V$18-WeightSDS!$U$18)/24*($AG712-186)-0.005)))</f>
        <v>0.14604529399999999</v>
      </c>
    </row>
    <row r="713" spans="1:37">
      <c r="A713" s="4"/>
      <c r="B713" s="21"/>
      <c r="C713" s="21"/>
      <c r="D713" s="21"/>
      <c r="E713" s="22"/>
      <c r="F713" s="22"/>
      <c r="G713" s="23"/>
      <c r="H713" s="23"/>
      <c r="I713" s="8" t="str">
        <f t="shared" si="178"/>
        <v/>
      </c>
      <c r="J713" s="2" t="str">
        <f t="shared" si="185"/>
        <v/>
      </c>
      <c r="K713" s="2" t="str">
        <f t="shared" si="179"/>
        <v/>
      </c>
      <c r="L713" s="2" t="str">
        <f t="shared" si="186"/>
        <v/>
      </c>
      <c r="M713" s="2" t="str">
        <f t="shared" si="191"/>
        <v/>
      </c>
      <c r="N713" s="2" t="str">
        <f t="shared" si="187"/>
        <v/>
      </c>
      <c r="O713" s="8" t="str">
        <f t="shared" si="188"/>
        <v/>
      </c>
      <c r="P713" s="8" t="str">
        <f t="shared" si="189"/>
        <v/>
      </c>
      <c r="Q713" s="40" t="str">
        <f t="shared" si="180"/>
        <v/>
      </c>
      <c r="R713" s="48" t="str">
        <f t="shared" si="190"/>
        <v/>
      </c>
      <c r="S713" s="8"/>
      <c r="U713" s="35">
        <f t="shared" si="181"/>
        <v>0</v>
      </c>
      <c r="V713" s="24">
        <f t="shared" si="182"/>
        <v>0</v>
      </c>
      <c r="W713" s="41">
        <f t="shared" si="177"/>
        <v>0</v>
      </c>
      <c r="X713" s="31"/>
      <c r="Y713" s="31"/>
      <c r="Z713" s="31"/>
      <c r="AA713" s="25">
        <f t="shared" si="183"/>
        <v>9.0359999999999996</v>
      </c>
      <c r="AB713" s="25">
        <f t="shared" si="184"/>
        <v>-184.49199999999999</v>
      </c>
      <c r="AD713" s="24">
        <f>IF(D713="M",IF(AG713&lt;78,BMILMS!$D$5*AG713^3+BMILMS!$E$5*AG713^2+BMILMS!$F$5*AG713+BMILMS!$G$5,IF(AG713&lt;150,BMILMS!$D$6*AG713^3+BMILMS!$E$6*AG713^2+BMILMS!$F$6*AG713+BMILMS!$G$6,BMILMS!$D$7*AG713^3+BMILMS!$E$7*AG713^2+BMILMS!$F$7*AG713+BMILMS!$G$7)),IF(AG713&lt;69,BMILMS!$D$9*AG713^3+BMILMS!$E$9*AG713^2+BMILMS!$F$9*AG713+BMILMS!$G$9,IF(AG713&lt;150,BMILMS!$D$10*AG713^3+BMILMS!$E$10*AG713^2+BMILMS!$F$10*AG713+BMILMS!$G$10,BMILMS!$D$11*AG713^3+BMILMS!$E$11*AG713^2+BMILMS!$F$11*AG713+BMILMS!$G$11)))</f>
        <v>0.79584630099999998</v>
      </c>
      <c r="AE713" s="24">
        <f>IF(D713="M",(IF(AG713&lt;2.5,BMILMS!$D$21*AG713^3+BMILMS!$E$21*AG713^2+BMILMS!$F$21*AG713+BMILMS!$G$21,IF(AG713&lt;9.5,BMILMS!$D$22*AG713^3+BMILMS!$E$22*AG713^2+BMILMS!$F$22*AG713+BMILMS!$G$22,IF(AG713&lt;26.75,BMILMS!$D$23*AG713^3+BMILMS!$E$23*AG713^2+BMILMS!$F$23*AG713+BMILMS!$G$23,IF(AG713&lt;90,BMILMS!$D$24*AG713^3+BMILMS!$E$24*AG713^2+BMILMS!$F$24*AG713+BMILMS!$G$24,BMILMS!$D$25*AG713^3+BMILMS!$E$25*AG713^2+BMILMS!$F$25*AG713+BMILMS!$G$25))))),(IF(AG713&lt;2.5,BMILMS!$D$27*AG713^3+BMILMS!$E$27*AG713^2+BMILMS!$F$27*AG713+BMILMS!$G$27,IF(AG713&lt;9.5,BMILMS!$D$28*AG713^3+BMILMS!$E$28*AG713^2+BMILMS!$F$28*AG713+BMILMS!$G$28,IF(AG713&lt;26.75,BMILMS!$D$29*AG713^3+BMILMS!$E$29*AG713^2+BMILMS!$F$29*AG713+BMILMS!$G$29,IF(AG713&lt;90,BMILMS!$D$30*AG713^3+BMILMS!$E$30*AG713^2+BMILMS!$F$30*AG713+BMILMS!$G$30,IF(AG713&lt;150,BMILMS!$D$31*AG713^3+BMILMS!$E$31*AG713^2+BMILMS!$F$31*AG713+BMILMS!$G$31,BMILMS!$D$32*AG713^3+BMILMS!$E$32*AG713^2+BMILMS!$F$32*AG713+BMILMS!$G$32)))))))</f>
        <v>12.568967990000001</v>
      </c>
      <c r="AF713" s="24">
        <f>IF(D713="M",(IF(AG713&lt;90,BMILMS!$D$14*AG713^3+BMILMS!$E$14*AG713^2+BMILMS!$F$14*AG713+BMILMS!$G$14,BMILMS!$D$15*AG713^3+BMILMS!$E$15*AG713^2+BMILMS!$F$15*AG713+BMILMS!$G$15)),(IF(AG713&lt;90,BMILMS!$D$17*AG713^3+BMILMS!$E$17*AG713^2+BMILMS!$F$17*AG713+BMILMS!$G$17,BMILMS!$D$18*AG713^3+BMILMS!$E$18*AG713^2+BMILMS!$F$18*AG713+BMILMS!$G$18)))</f>
        <v>8.8969350000000003E-2</v>
      </c>
      <c r="AG713" s="24">
        <f t="shared" si="192"/>
        <v>0</v>
      </c>
      <c r="AI713" s="38">
        <f>IF(D713="M",WeightSDS!P$5*$AG713^7+WeightSDS!Q$5*$AG713^6+WeightSDS!R$5*$AG713^5+WeightSDS!S$5*$AG713^4+WeightSDS!T$5*$AG713^3+WeightSDS!U$5*$AG713^2+WeightSDS!V$5*$AG713+WeightSDS!W$5,IF($AG713&lt;186,WeightSDS!P$8*$AG713^7+WeightSDS!Q$8*$AG713^6+WeightSDS!R$8*$AG713^5+WeightSDS!S$8*$AG713^4+WeightSDS!T$8*$AG713^3+WeightSDS!U$8*$AG713^2+WeightSDS!V$8*$AG713+WeightSDS!W$8,WeightSDS!$U$9-WeightSDS!$V$9*($AG713-WeightSDS!$W$9)))</f>
        <v>0.75407122999999998</v>
      </c>
      <c r="AJ713" s="24">
        <f>IF(D713="M",IF($AG713&lt;45,WeightSDS!M$23*$AG713^10+WeightSDS!N$23*$AG713^9+WeightSDS!O$23*$AG713^8+WeightSDS!P$23*$AG713^7+WeightSDS!Q$23*$AG713^6+WeightSDS!R$23*$AG713^5+WeightSDS!S$23*$AG713^4+WeightSDS!T$23*$AG713^3+WeightSDS!U$23*$AG713^2+WeightSDS!V$23*$AG713+WeightSDS!W$23,IF($AG713&lt;153,WeightSDS!M$25*$AG713^10+WeightSDS!N$25*$AG713^9+WeightSDS!O$25*$AG713^8+WeightSDS!P$25*$AG713^7+WeightSDS!Q$25*$AG713^6+WeightSDS!R$25*$AG713^5+WeightSDS!S$25*$AG713^4+WeightSDS!T$25*$AG713^3+WeightSDS!U$25*$AG713^2+WeightSDS!V$25*$AG713+WeightSDS!W$25,WeightSDS!M$27+WeightSDS!N$27/(1+EXP(WeightSDS!O$27+WeightSDS!P$27*$AG713)))),IF($AG713&lt;43.8,WeightSDS!M$29*$AG713^10+WeightSDS!N$29*$AG713^9+WeightSDS!O$29*$AG713^8+WeightSDS!P$29*$AG713^7+WeightSDS!Q$29*$AG713^6+WeightSDS!R$29*$AG713^5+WeightSDS!S$29*$AG713^4+WeightSDS!T$29*$AG713^3+WeightSDS!U$29*$AG713^2+WeightSDS!V$29*$AG713+WeightSDS!W$29-0.010431*(1-$AG713/210),IF($AG713&lt;123,WeightSDS!M$30*$AG713^10+WeightSDS!N$30*$AG713^9+WeightSDS!O$30*$AG713^8+WeightSDS!P$30*$AG713^7+WeightSDS!Q$30*$AG713^6+WeightSDS!R$30*$AG713^5+WeightSDS!S$30*$AG713^4+WeightSDS!T$30*$AG713^3+WeightSDS!U$30*$AG713^2+WeightSDS!V$30*$AG713+WeightSDS!W$30-0.010431*(1-1/$AG713),WeightSDS!M$32+WeightSDS!N$32/(1+EXP(WeightSDS!O$32+WeightSDS!P$32*$AG713))-0.010431*(1-$AG713/210))))</f>
        <v>2.9500001032655536</v>
      </c>
      <c r="AK713" s="24">
        <f>IF(D713="M",IF($AG713&lt;162,WeightSDS!P$12*$AG713^7+WeightSDS!Q$12*$AG713^6+WeightSDS!R$12*$AG713^5+WeightSDS!S$12*$AG713^4+WeightSDS!T$12*$AG713^3+WeightSDS!U$12*$AG713^2+WeightSDS!V$12*$AG713+WeightSDS!W$12,WeightSDS!P$14*$AG713^7+WeightSDS!Q$14*$AG713^6+WeightSDS!R$14*$AG713^5+WeightSDS!S$14*$AG713^4+WeightSDS!T$14*$AG713^3+WeightSDS!U$14*$AG713^2+WeightSDS!V$14*$AG713+WeightSDS!W$14),IF($AG713&lt;156,WeightSDS!O$17*$AG713^8+WeightSDS!P$17*$AG713^7+WeightSDS!Q$17*$AG713^6+WeightSDS!R$17*$AG713^5+WeightSDS!S$17*$AG713^4+WeightSDS!T$17*$AG713^3+WeightSDS!U$17*$AG713^2+WeightSDS!V$17*$AG713+WeightSDS!W$17,IF($AG713&lt;186,WeightSDS!$U$18+(WeightSDS!$V$18-WeightSDS!$U$18)/24*($AG713-186)+WeightSDS!$W$18*(-$AG713+186)^2-0.005,WeightSDS!$U$18+(WeightSDS!$V$18-WeightSDS!$U$18)/24*($AG713-186)-0.005)))</f>
        <v>0.14604529399999999</v>
      </c>
    </row>
    <row r="714" spans="1:37">
      <c r="A714" s="4"/>
      <c r="B714" s="21"/>
      <c r="C714" s="21"/>
      <c r="D714" s="21"/>
      <c r="E714" s="22"/>
      <c r="F714" s="22"/>
      <c r="G714" s="23"/>
      <c r="H714" s="23"/>
      <c r="I714" s="8" t="str">
        <f t="shared" si="178"/>
        <v/>
      </c>
      <c r="J714" s="2" t="str">
        <f t="shared" si="185"/>
        <v/>
      </c>
      <c r="K714" s="2" t="str">
        <f t="shared" si="179"/>
        <v/>
      </c>
      <c r="L714" s="2" t="str">
        <f t="shared" si="186"/>
        <v/>
      </c>
      <c r="M714" s="2" t="str">
        <f t="shared" si="191"/>
        <v/>
      </c>
      <c r="N714" s="2" t="str">
        <f t="shared" si="187"/>
        <v/>
      </c>
      <c r="O714" s="8" t="str">
        <f t="shared" si="188"/>
        <v/>
      </c>
      <c r="P714" s="8" t="str">
        <f t="shared" si="189"/>
        <v/>
      </c>
      <c r="Q714" s="40" t="str">
        <f t="shared" si="180"/>
        <v/>
      </c>
      <c r="R714" s="48" t="str">
        <f t="shared" si="190"/>
        <v/>
      </c>
      <c r="S714" s="8"/>
      <c r="U714" s="35">
        <f t="shared" si="181"/>
        <v>0</v>
      </c>
      <c r="V714" s="24">
        <f t="shared" si="182"/>
        <v>0</v>
      </c>
      <c r="W714" s="41">
        <f t="shared" si="177"/>
        <v>0</v>
      </c>
      <c r="X714" s="31"/>
      <c r="Y714" s="31"/>
      <c r="Z714" s="31"/>
      <c r="AA714" s="25">
        <f t="shared" si="183"/>
        <v>9.0359999999999996</v>
      </c>
      <c r="AB714" s="25">
        <f t="shared" si="184"/>
        <v>-184.49199999999999</v>
      </c>
      <c r="AD714" s="24">
        <f>IF(D714="M",IF(AG714&lt;78,BMILMS!$D$5*AG714^3+BMILMS!$E$5*AG714^2+BMILMS!$F$5*AG714+BMILMS!$G$5,IF(AG714&lt;150,BMILMS!$D$6*AG714^3+BMILMS!$E$6*AG714^2+BMILMS!$F$6*AG714+BMILMS!$G$6,BMILMS!$D$7*AG714^3+BMILMS!$E$7*AG714^2+BMILMS!$F$7*AG714+BMILMS!$G$7)),IF(AG714&lt;69,BMILMS!$D$9*AG714^3+BMILMS!$E$9*AG714^2+BMILMS!$F$9*AG714+BMILMS!$G$9,IF(AG714&lt;150,BMILMS!$D$10*AG714^3+BMILMS!$E$10*AG714^2+BMILMS!$F$10*AG714+BMILMS!$G$10,BMILMS!$D$11*AG714^3+BMILMS!$E$11*AG714^2+BMILMS!$F$11*AG714+BMILMS!$G$11)))</f>
        <v>0.79584630099999998</v>
      </c>
      <c r="AE714" s="24">
        <f>IF(D714="M",(IF(AG714&lt;2.5,BMILMS!$D$21*AG714^3+BMILMS!$E$21*AG714^2+BMILMS!$F$21*AG714+BMILMS!$G$21,IF(AG714&lt;9.5,BMILMS!$D$22*AG714^3+BMILMS!$E$22*AG714^2+BMILMS!$F$22*AG714+BMILMS!$G$22,IF(AG714&lt;26.75,BMILMS!$D$23*AG714^3+BMILMS!$E$23*AG714^2+BMILMS!$F$23*AG714+BMILMS!$G$23,IF(AG714&lt;90,BMILMS!$D$24*AG714^3+BMILMS!$E$24*AG714^2+BMILMS!$F$24*AG714+BMILMS!$G$24,BMILMS!$D$25*AG714^3+BMILMS!$E$25*AG714^2+BMILMS!$F$25*AG714+BMILMS!$G$25))))),(IF(AG714&lt;2.5,BMILMS!$D$27*AG714^3+BMILMS!$E$27*AG714^2+BMILMS!$F$27*AG714+BMILMS!$G$27,IF(AG714&lt;9.5,BMILMS!$D$28*AG714^3+BMILMS!$E$28*AG714^2+BMILMS!$F$28*AG714+BMILMS!$G$28,IF(AG714&lt;26.75,BMILMS!$D$29*AG714^3+BMILMS!$E$29*AG714^2+BMILMS!$F$29*AG714+BMILMS!$G$29,IF(AG714&lt;90,BMILMS!$D$30*AG714^3+BMILMS!$E$30*AG714^2+BMILMS!$F$30*AG714+BMILMS!$G$30,IF(AG714&lt;150,BMILMS!$D$31*AG714^3+BMILMS!$E$31*AG714^2+BMILMS!$F$31*AG714+BMILMS!$G$31,BMILMS!$D$32*AG714^3+BMILMS!$E$32*AG714^2+BMILMS!$F$32*AG714+BMILMS!$G$32)))))))</f>
        <v>12.568967990000001</v>
      </c>
      <c r="AF714" s="24">
        <f>IF(D714="M",(IF(AG714&lt;90,BMILMS!$D$14*AG714^3+BMILMS!$E$14*AG714^2+BMILMS!$F$14*AG714+BMILMS!$G$14,BMILMS!$D$15*AG714^3+BMILMS!$E$15*AG714^2+BMILMS!$F$15*AG714+BMILMS!$G$15)),(IF(AG714&lt;90,BMILMS!$D$17*AG714^3+BMILMS!$E$17*AG714^2+BMILMS!$F$17*AG714+BMILMS!$G$17,BMILMS!$D$18*AG714^3+BMILMS!$E$18*AG714^2+BMILMS!$F$18*AG714+BMILMS!$G$18)))</f>
        <v>8.8969350000000003E-2</v>
      </c>
      <c r="AG714" s="24">
        <f t="shared" si="192"/>
        <v>0</v>
      </c>
      <c r="AI714" s="38">
        <f>IF(D714="M",WeightSDS!P$5*$AG714^7+WeightSDS!Q$5*$AG714^6+WeightSDS!R$5*$AG714^5+WeightSDS!S$5*$AG714^4+WeightSDS!T$5*$AG714^3+WeightSDS!U$5*$AG714^2+WeightSDS!V$5*$AG714+WeightSDS!W$5,IF($AG714&lt;186,WeightSDS!P$8*$AG714^7+WeightSDS!Q$8*$AG714^6+WeightSDS!R$8*$AG714^5+WeightSDS!S$8*$AG714^4+WeightSDS!T$8*$AG714^3+WeightSDS!U$8*$AG714^2+WeightSDS!V$8*$AG714+WeightSDS!W$8,WeightSDS!$U$9-WeightSDS!$V$9*($AG714-WeightSDS!$W$9)))</f>
        <v>0.75407122999999998</v>
      </c>
      <c r="AJ714" s="24">
        <f>IF(D714="M",IF($AG714&lt;45,WeightSDS!M$23*$AG714^10+WeightSDS!N$23*$AG714^9+WeightSDS!O$23*$AG714^8+WeightSDS!P$23*$AG714^7+WeightSDS!Q$23*$AG714^6+WeightSDS!R$23*$AG714^5+WeightSDS!S$23*$AG714^4+WeightSDS!T$23*$AG714^3+WeightSDS!U$23*$AG714^2+WeightSDS!V$23*$AG714+WeightSDS!W$23,IF($AG714&lt;153,WeightSDS!M$25*$AG714^10+WeightSDS!N$25*$AG714^9+WeightSDS!O$25*$AG714^8+WeightSDS!P$25*$AG714^7+WeightSDS!Q$25*$AG714^6+WeightSDS!R$25*$AG714^5+WeightSDS!S$25*$AG714^4+WeightSDS!T$25*$AG714^3+WeightSDS!U$25*$AG714^2+WeightSDS!V$25*$AG714+WeightSDS!W$25,WeightSDS!M$27+WeightSDS!N$27/(1+EXP(WeightSDS!O$27+WeightSDS!P$27*$AG714)))),IF($AG714&lt;43.8,WeightSDS!M$29*$AG714^10+WeightSDS!N$29*$AG714^9+WeightSDS!O$29*$AG714^8+WeightSDS!P$29*$AG714^7+WeightSDS!Q$29*$AG714^6+WeightSDS!R$29*$AG714^5+WeightSDS!S$29*$AG714^4+WeightSDS!T$29*$AG714^3+WeightSDS!U$29*$AG714^2+WeightSDS!V$29*$AG714+WeightSDS!W$29-0.010431*(1-$AG714/210),IF($AG714&lt;123,WeightSDS!M$30*$AG714^10+WeightSDS!N$30*$AG714^9+WeightSDS!O$30*$AG714^8+WeightSDS!P$30*$AG714^7+WeightSDS!Q$30*$AG714^6+WeightSDS!R$30*$AG714^5+WeightSDS!S$30*$AG714^4+WeightSDS!T$30*$AG714^3+WeightSDS!U$30*$AG714^2+WeightSDS!V$30*$AG714+WeightSDS!W$30-0.010431*(1-1/$AG714),WeightSDS!M$32+WeightSDS!N$32/(1+EXP(WeightSDS!O$32+WeightSDS!P$32*$AG714))-0.010431*(1-$AG714/210))))</f>
        <v>2.9500001032655536</v>
      </c>
      <c r="AK714" s="24">
        <f>IF(D714="M",IF($AG714&lt;162,WeightSDS!P$12*$AG714^7+WeightSDS!Q$12*$AG714^6+WeightSDS!R$12*$AG714^5+WeightSDS!S$12*$AG714^4+WeightSDS!T$12*$AG714^3+WeightSDS!U$12*$AG714^2+WeightSDS!V$12*$AG714+WeightSDS!W$12,WeightSDS!P$14*$AG714^7+WeightSDS!Q$14*$AG714^6+WeightSDS!R$14*$AG714^5+WeightSDS!S$14*$AG714^4+WeightSDS!T$14*$AG714^3+WeightSDS!U$14*$AG714^2+WeightSDS!V$14*$AG714+WeightSDS!W$14),IF($AG714&lt;156,WeightSDS!O$17*$AG714^8+WeightSDS!P$17*$AG714^7+WeightSDS!Q$17*$AG714^6+WeightSDS!R$17*$AG714^5+WeightSDS!S$17*$AG714^4+WeightSDS!T$17*$AG714^3+WeightSDS!U$17*$AG714^2+WeightSDS!V$17*$AG714+WeightSDS!W$17,IF($AG714&lt;186,WeightSDS!$U$18+(WeightSDS!$V$18-WeightSDS!$U$18)/24*($AG714-186)+WeightSDS!$W$18*(-$AG714+186)^2-0.005,WeightSDS!$U$18+(WeightSDS!$V$18-WeightSDS!$U$18)/24*($AG714-186)-0.005)))</f>
        <v>0.14604529399999999</v>
      </c>
    </row>
    <row r="715" spans="1:37">
      <c r="A715" s="4"/>
      <c r="B715" s="21"/>
      <c r="C715" s="21"/>
      <c r="D715" s="21"/>
      <c r="E715" s="22"/>
      <c r="F715" s="22"/>
      <c r="G715" s="23"/>
      <c r="H715" s="23"/>
      <c r="I715" s="8" t="str">
        <f t="shared" si="178"/>
        <v/>
      </c>
      <c r="J715" s="2" t="str">
        <f t="shared" si="185"/>
        <v/>
      </c>
      <c r="K715" s="2" t="str">
        <f t="shared" si="179"/>
        <v/>
      </c>
      <c r="L715" s="2" t="str">
        <f t="shared" si="186"/>
        <v/>
      </c>
      <c r="M715" s="2" t="str">
        <f t="shared" si="191"/>
        <v/>
      </c>
      <c r="N715" s="2" t="str">
        <f t="shared" si="187"/>
        <v/>
      </c>
      <c r="O715" s="8" t="str">
        <f t="shared" si="188"/>
        <v/>
      </c>
      <c r="P715" s="8" t="str">
        <f t="shared" si="189"/>
        <v/>
      </c>
      <c r="Q715" s="40" t="str">
        <f t="shared" si="180"/>
        <v/>
      </c>
      <c r="R715" s="48" t="str">
        <f t="shared" si="190"/>
        <v/>
      </c>
      <c r="S715" s="8"/>
      <c r="U715" s="35">
        <f t="shared" si="181"/>
        <v>0</v>
      </c>
      <c r="V715" s="24">
        <f t="shared" si="182"/>
        <v>0</v>
      </c>
      <c r="W715" s="41">
        <f t="shared" si="177"/>
        <v>0</v>
      </c>
      <c r="X715" s="31"/>
      <c r="Y715" s="31"/>
      <c r="Z715" s="31"/>
      <c r="AA715" s="25">
        <f t="shared" si="183"/>
        <v>9.0359999999999996</v>
      </c>
      <c r="AB715" s="25">
        <f t="shared" si="184"/>
        <v>-184.49199999999999</v>
      </c>
      <c r="AD715" s="24">
        <f>IF(D715="M",IF(AG715&lt;78,BMILMS!$D$5*AG715^3+BMILMS!$E$5*AG715^2+BMILMS!$F$5*AG715+BMILMS!$G$5,IF(AG715&lt;150,BMILMS!$D$6*AG715^3+BMILMS!$E$6*AG715^2+BMILMS!$F$6*AG715+BMILMS!$G$6,BMILMS!$D$7*AG715^3+BMILMS!$E$7*AG715^2+BMILMS!$F$7*AG715+BMILMS!$G$7)),IF(AG715&lt;69,BMILMS!$D$9*AG715^3+BMILMS!$E$9*AG715^2+BMILMS!$F$9*AG715+BMILMS!$G$9,IF(AG715&lt;150,BMILMS!$D$10*AG715^3+BMILMS!$E$10*AG715^2+BMILMS!$F$10*AG715+BMILMS!$G$10,BMILMS!$D$11*AG715^3+BMILMS!$E$11*AG715^2+BMILMS!$F$11*AG715+BMILMS!$G$11)))</f>
        <v>0.79584630099999998</v>
      </c>
      <c r="AE715" s="24">
        <f>IF(D715="M",(IF(AG715&lt;2.5,BMILMS!$D$21*AG715^3+BMILMS!$E$21*AG715^2+BMILMS!$F$21*AG715+BMILMS!$G$21,IF(AG715&lt;9.5,BMILMS!$D$22*AG715^3+BMILMS!$E$22*AG715^2+BMILMS!$F$22*AG715+BMILMS!$G$22,IF(AG715&lt;26.75,BMILMS!$D$23*AG715^3+BMILMS!$E$23*AG715^2+BMILMS!$F$23*AG715+BMILMS!$G$23,IF(AG715&lt;90,BMILMS!$D$24*AG715^3+BMILMS!$E$24*AG715^2+BMILMS!$F$24*AG715+BMILMS!$G$24,BMILMS!$D$25*AG715^3+BMILMS!$E$25*AG715^2+BMILMS!$F$25*AG715+BMILMS!$G$25))))),(IF(AG715&lt;2.5,BMILMS!$D$27*AG715^3+BMILMS!$E$27*AG715^2+BMILMS!$F$27*AG715+BMILMS!$G$27,IF(AG715&lt;9.5,BMILMS!$D$28*AG715^3+BMILMS!$E$28*AG715^2+BMILMS!$F$28*AG715+BMILMS!$G$28,IF(AG715&lt;26.75,BMILMS!$D$29*AG715^3+BMILMS!$E$29*AG715^2+BMILMS!$F$29*AG715+BMILMS!$G$29,IF(AG715&lt;90,BMILMS!$D$30*AG715^3+BMILMS!$E$30*AG715^2+BMILMS!$F$30*AG715+BMILMS!$G$30,IF(AG715&lt;150,BMILMS!$D$31*AG715^3+BMILMS!$E$31*AG715^2+BMILMS!$F$31*AG715+BMILMS!$G$31,BMILMS!$D$32*AG715^3+BMILMS!$E$32*AG715^2+BMILMS!$F$32*AG715+BMILMS!$G$32)))))))</f>
        <v>12.568967990000001</v>
      </c>
      <c r="AF715" s="24">
        <f>IF(D715="M",(IF(AG715&lt;90,BMILMS!$D$14*AG715^3+BMILMS!$E$14*AG715^2+BMILMS!$F$14*AG715+BMILMS!$G$14,BMILMS!$D$15*AG715^3+BMILMS!$E$15*AG715^2+BMILMS!$F$15*AG715+BMILMS!$G$15)),(IF(AG715&lt;90,BMILMS!$D$17*AG715^3+BMILMS!$E$17*AG715^2+BMILMS!$F$17*AG715+BMILMS!$G$17,BMILMS!$D$18*AG715^3+BMILMS!$E$18*AG715^2+BMILMS!$F$18*AG715+BMILMS!$G$18)))</f>
        <v>8.8969350000000003E-2</v>
      </c>
      <c r="AG715" s="24">
        <f t="shared" si="192"/>
        <v>0</v>
      </c>
      <c r="AI715" s="38">
        <f>IF(D715="M",WeightSDS!P$5*$AG715^7+WeightSDS!Q$5*$AG715^6+WeightSDS!R$5*$AG715^5+WeightSDS!S$5*$AG715^4+WeightSDS!T$5*$AG715^3+WeightSDS!U$5*$AG715^2+WeightSDS!V$5*$AG715+WeightSDS!W$5,IF($AG715&lt;186,WeightSDS!P$8*$AG715^7+WeightSDS!Q$8*$AG715^6+WeightSDS!R$8*$AG715^5+WeightSDS!S$8*$AG715^4+WeightSDS!T$8*$AG715^3+WeightSDS!U$8*$AG715^2+WeightSDS!V$8*$AG715+WeightSDS!W$8,WeightSDS!$U$9-WeightSDS!$V$9*($AG715-WeightSDS!$W$9)))</f>
        <v>0.75407122999999998</v>
      </c>
      <c r="AJ715" s="24">
        <f>IF(D715="M",IF($AG715&lt;45,WeightSDS!M$23*$AG715^10+WeightSDS!N$23*$AG715^9+WeightSDS!O$23*$AG715^8+WeightSDS!P$23*$AG715^7+WeightSDS!Q$23*$AG715^6+WeightSDS!R$23*$AG715^5+WeightSDS!S$23*$AG715^4+WeightSDS!T$23*$AG715^3+WeightSDS!U$23*$AG715^2+WeightSDS!V$23*$AG715+WeightSDS!W$23,IF($AG715&lt;153,WeightSDS!M$25*$AG715^10+WeightSDS!N$25*$AG715^9+WeightSDS!O$25*$AG715^8+WeightSDS!P$25*$AG715^7+WeightSDS!Q$25*$AG715^6+WeightSDS!R$25*$AG715^5+WeightSDS!S$25*$AG715^4+WeightSDS!T$25*$AG715^3+WeightSDS!U$25*$AG715^2+WeightSDS!V$25*$AG715+WeightSDS!W$25,WeightSDS!M$27+WeightSDS!N$27/(1+EXP(WeightSDS!O$27+WeightSDS!P$27*$AG715)))),IF($AG715&lt;43.8,WeightSDS!M$29*$AG715^10+WeightSDS!N$29*$AG715^9+WeightSDS!O$29*$AG715^8+WeightSDS!P$29*$AG715^7+WeightSDS!Q$29*$AG715^6+WeightSDS!R$29*$AG715^5+WeightSDS!S$29*$AG715^4+WeightSDS!T$29*$AG715^3+WeightSDS!U$29*$AG715^2+WeightSDS!V$29*$AG715+WeightSDS!W$29-0.010431*(1-$AG715/210),IF($AG715&lt;123,WeightSDS!M$30*$AG715^10+WeightSDS!N$30*$AG715^9+WeightSDS!O$30*$AG715^8+WeightSDS!P$30*$AG715^7+WeightSDS!Q$30*$AG715^6+WeightSDS!R$30*$AG715^5+WeightSDS!S$30*$AG715^4+WeightSDS!T$30*$AG715^3+WeightSDS!U$30*$AG715^2+WeightSDS!V$30*$AG715+WeightSDS!W$30-0.010431*(1-1/$AG715),WeightSDS!M$32+WeightSDS!N$32/(1+EXP(WeightSDS!O$32+WeightSDS!P$32*$AG715))-0.010431*(1-$AG715/210))))</f>
        <v>2.9500001032655536</v>
      </c>
      <c r="AK715" s="24">
        <f>IF(D715="M",IF($AG715&lt;162,WeightSDS!P$12*$AG715^7+WeightSDS!Q$12*$AG715^6+WeightSDS!R$12*$AG715^5+WeightSDS!S$12*$AG715^4+WeightSDS!T$12*$AG715^3+WeightSDS!U$12*$AG715^2+WeightSDS!V$12*$AG715+WeightSDS!W$12,WeightSDS!P$14*$AG715^7+WeightSDS!Q$14*$AG715^6+WeightSDS!R$14*$AG715^5+WeightSDS!S$14*$AG715^4+WeightSDS!T$14*$AG715^3+WeightSDS!U$14*$AG715^2+WeightSDS!V$14*$AG715+WeightSDS!W$14),IF($AG715&lt;156,WeightSDS!O$17*$AG715^8+WeightSDS!P$17*$AG715^7+WeightSDS!Q$17*$AG715^6+WeightSDS!R$17*$AG715^5+WeightSDS!S$17*$AG715^4+WeightSDS!T$17*$AG715^3+WeightSDS!U$17*$AG715^2+WeightSDS!V$17*$AG715+WeightSDS!W$17,IF($AG715&lt;186,WeightSDS!$U$18+(WeightSDS!$V$18-WeightSDS!$U$18)/24*($AG715-186)+WeightSDS!$W$18*(-$AG715+186)^2-0.005,WeightSDS!$U$18+(WeightSDS!$V$18-WeightSDS!$U$18)/24*($AG715-186)-0.005)))</f>
        <v>0.14604529399999999</v>
      </c>
    </row>
    <row r="716" spans="1:37">
      <c r="A716" s="4"/>
      <c r="B716" s="21"/>
      <c r="C716" s="21"/>
      <c r="D716" s="21"/>
      <c r="E716" s="22"/>
      <c r="F716" s="22"/>
      <c r="G716" s="23"/>
      <c r="H716" s="23"/>
      <c r="I716" s="8" t="str">
        <f t="shared" si="178"/>
        <v/>
      </c>
      <c r="J716" s="2" t="str">
        <f t="shared" si="185"/>
        <v/>
      </c>
      <c r="K716" s="2" t="str">
        <f t="shared" si="179"/>
        <v/>
      </c>
      <c r="L716" s="2" t="str">
        <f t="shared" si="186"/>
        <v/>
      </c>
      <c r="M716" s="2" t="str">
        <f t="shared" si="191"/>
        <v/>
      </c>
      <c r="N716" s="2" t="str">
        <f t="shared" si="187"/>
        <v/>
      </c>
      <c r="O716" s="8" t="str">
        <f t="shared" si="188"/>
        <v/>
      </c>
      <c r="P716" s="8" t="str">
        <f t="shared" si="189"/>
        <v/>
      </c>
      <c r="Q716" s="40" t="str">
        <f t="shared" si="180"/>
        <v/>
      </c>
      <c r="R716" s="48" t="str">
        <f t="shared" si="190"/>
        <v/>
      </c>
      <c r="S716" s="8"/>
      <c r="U716" s="35">
        <f t="shared" si="181"/>
        <v>0</v>
      </c>
      <c r="V716" s="24">
        <f t="shared" si="182"/>
        <v>0</v>
      </c>
      <c r="W716" s="41">
        <f t="shared" si="177"/>
        <v>0</v>
      </c>
      <c r="X716" s="31"/>
      <c r="Y716" s="31"/>
      <c r="Z716" s="31"/>
      <c r="AA716" s="25">
        <f t="shared" si="183"/>
        <v>9.0359999999999996</v>
      </c>
      <c r="AB716" s="25">
        <f t="shared" si="184"/>
        <v>-184.49199999999999</v>
      </c>
      <c r="AD716" s="24">
        <f>IF(D716="M",IF(AG716&lt;78,BMILMS!$D$5*AG716^3+BMILMS!$E$5*AG716^2+BMILMS!$F$5*AG716+BMILMS!$G$5,IF(AG716&lt;150,BMILMS!$D$6*AG716^3+BMILMS!$E$6*AG716^2+BMILMS!$F$6*AG716+BMILMS!$G$6,BMILMS!$D$7*AG716^3+BMILMS!$E$7*AG716^2+BMILMS!$F$7*AG716+BMILMS!$G$7)),IF(AG716&lt;69,BMILMS!$D$9*AG716^3+BMILMS!$E$9*AG716^2+BMILMS!$F$9*AG716+BMILMS!$G$9,IF(AG716&lt;150,BMILMS!$D$10*AG716^3+BMILMS!$E$10*AG716^2+BMILMS!$F$10*AG716+BMILMS!$G$10,BMILMS!$D$11*AG716^3+BMILMS!$E$11*AG716^2+BMILMS!$F$11*AG716+BMILMS!$G$11)))</f>
        <v>0.79584630099999998</v>
      </c>
      <c r="AE716" s="24">
        <f>IF(D716="M",(IF(AG716&lt;2.5,BMILMS!$D$21*AG716^3+BMILMS!$E$21*AG716^2+BMILMS!$F$21*AG716+BMILMS!$G$21,IF(AG716&lt;9.5,BMILMS!$D$22*AG716^3+BMILMS!$E$22*AG716^2+BMILMS!$F$22*AG716+BMILMS!$G$22,IF(AG716&lt;26.75,BMILMS!$D$23*AG716^3+BMILMS!$E$23*AG716^2+BMILMS!$F$23*AG716+BMILMS!$G$23,IF(AG716&lt;90,BMILMS!$D$24*AG716^3+BMILMS!$E$24*AG716^2+BMILMS!$F$24*AG716+BMILMS!$G$24,BMILMS!$D$25*AG716^3+BMILMS!$E$25*AG716^2+BMILMS!$F$25*AG716+BMILMS!$G$25))))),(IF(AG716&lt;2.5,BMILMS!$D$27*AG716^3+BMILMS!$E$27*AG716^2+BMILMS!$F$27*AG716+BMILMS!$G$27,IF(AG716&lt;9.5,BMILMS!$D$28*AG716^3+BMILMS!$E$28*AG716^2+BMILMS!$F$28*AG716+BMILMS!$G$28,IF(AG716&lt;26.75,BMILMS!$D$29*AG716^3+BMILMS!$E$29*AG716^2+BMILMS!$F$29*AG716+BMILMS!$G$29,IF(AG716&lt;90,BMILMS!$D$30*AG716^3+BMILMS!$E$30*AG716^2+BMILMS!$F$30*AG716+BMILMS!$G$30,IF(AG716&lt;150,BMILMS!$D$31*AG716^3+BMILMS!$E$31*AG716^2+BMILMS!$F$31*AG716+BMILMS!$G$31,BMILMS!$D$32*AG716^3+BMILMS!$E$32*AG716^2+BMILMS!$F$32*AG716+BMILMS!$G$32)))))))</f>
        <v>12.568967990000001</v>
      </c>
      <c r="AF716" s="24">
        <f>IF(D716="M",(IF(AG716&lt;90,BMILMS!$D$14*AG716^3+BMILMS!$E$14*AG716^2+BMILMS!$F$14*AG716+BMILMS!$G$14,BMILMS!$D$15*AG716^3+BMILMS!$E$15*AG716^2+BMILMS!$F$15*AG716+BMILMS!$G$15)),(IF(AG716&lt;90,BMILMS!$D$17*AG716^3+BMILMS!$E$17*AG716^2+BMILMS!$F$17*AG716+BMILMS!$G$17,BMILMS!$D$18*AG716^3+BMILMS!$E$18*AG716^2+BMILMS!$F$18*AG716+BMILMS!$G$18)))</f>
        <v>8.8969350000000003E-2</v>
      </c>
      <c r="AG716" s="24">
        <f t="shared" si="192"/>
        <v>0</v>
      </c>
      <c r="AI716" s="38">
        <f>IF(D716="M",WeightSDS!P$5*$AG716^7+WeightSDS!Q$5*$AG716^6+WeightSDS!R$5*$AG716^5+WeightSDS!S$5*$AG716^4+WeightSDS!T$5*$AG716^3+WeightSDS!U$5*$AG716^2+WeightSDS!V$5*$AG716+WeightSDS!W$5,IF($AG716&lt;186,WeightSDS!P$8*$AG716^7+WeightSDS!Q$8*$AG716^6+WeightSDS!R$8*$AG716^5+WeightSDS!S$8*$AG716^4+WeightSDS!T$8*$AG716^3+WeightSDS!U$8*$AG716^2+WeightSDS!V$8*$AG716+WeightSDS!W$8,WeightSDS!$U$9-WeightSDS!$V$9*($AG716-WeightSDS!$W$9)))</f>
        <v>0.75407122999999998</v>
      </c>
      <c r="AJ716" s="24">
        <f>IF(D716="M",IF($AG716&lt;45,WeightSDS!M$23*$AG716^10+WeightSDS!N$23*$AG716^9+WeightSDS!O$23*$AG716^8+WeightSDS!P$23*$AG716^7+WeightSDS!Q$23*$AG716^6+WeightSDS!R$23*$AG716^5+WeightSDS!S$23*$AG716^4+WeightSDS!T$23*$AG716^3+WeightSDS!U$23*$AG716^2+WeightSDS!V$23*$AG716+WeightSDS!W$23,IF($AG716&lt;153,WeightSDS!M$25*$AG716^10+WeightSDS!N$25*$AG716^9+WeightSDS!O$25*$AG716^8+WeightSDS!P$25*$AG716^7+WeightSDS!Q$25*$AG716^6+WeightSDS!R$25*$AG716^5+WeightSDS!S$25*$AG716^4+WeightSDS!T$25*$AG716^3+WeightSDS!U$25*$AG716^2+WeightSDS!V$25*$AG716+WeightSDS!W$25,WeightSDS!M$27+WeightSDS!N$27/(1+EXP(WeightSDS!O$27+WeightSDS!P$27*$AG716)))),IF($AG716&lt;43.8,WeightSDS!M$29*$AG716^10+WeightSDS!N$29*$AG716^9+WeightSDS!O$29*$AG716^8+WeightSDS!P$29*$AG716^7+WeightSDS!Q$29*$AG716^6+WeightSDS!R$29*$AG716^5+WeightSDS!S$29*$AG716^4+WeightSDS!T$29*$AG716^3+WeightSDS!U$29*$AG716^2+WeightSDS!V$29*$AG716+WeightSDS!W$29-0.010431*(1-$AG716/210),IF($AG716&lt;123,WeightSDS!M$30*$AG716^10+WeightSDS!N$30*$AG716^9+WeightSDS!O$30*$AG716^8+WeightSDS!P$30*$AG716^7+WeightSDS!Q$30*$AG716^6+WeightSDS!R$30*$AG716^5+WeightSDS!S$30*$AG716^4+WeightSDS!T$30*$AG716^3+WeightSDS!U$30*$AG716^2+WeightSDS!V$30*$AG716+WeightSDS!W$30-0.010431*(1-1/$AG716),WeightSDS!M$32+WeightSDS!N$32/(1+EXP(WeightSDS!O$32+WeightSDS!P$32*$AG716))-0.010431*(1-$AG716/210))))</f>
        <v>2.9500001032655536</v>
      </c>
      <c r="AK716" s="24">
        <f>IF(D716="M",IF($AG716&lt;162,WeightSDS!P$12*$AG716^7+WeightSDS!Q$12*$AG716^6+WeightSDS!R$12*$AG716^5+WeightSDS!S$12*$AG716^4+WeightSDS!T$12*$AG716^3+WeightSDS!U$12*$AG716^2+WeightSDS!V$12*$AG716+WeightSDS!W$12,WeightSDS!P$14*$AG716^7+WeightSDS!Q$14*$AG716^6+WeightSDS!R$14*$AG716^5+WeightSDS!S$14*$AG716^4+WeightSDS!T$14*$AG716^3+WeightSDS!U$14*$AG716^2+WeightSDS!V$14*$AG716+WeightSDS!W$14),IF($AG716&lt;156,WeightSDS!O$17*$AG716^8+WeightSDS!P$17*$AG716^7+WeightSDS!Q$17*$AG716^6+WeightSDS!R$17*$AG716^5+WeightSDS!S$17*$AG716^4+WeightSDS!T$17*$AG716^3+WeightSDS!U$17*$AG716^2+WeightSDS!V$17*$AG716+WeightSDS!W$17,IF($AG716&lt;186,WeightSDS!$U$18+(WeightSDS!$V$18-WeightSDS!$U$18)/24*($AG716-186)+WeightSDS!$W$18*(-$AG716+186)^2-0.005,WeightSDS!$U$18+(WeightSDS!$V$18-WeightSDS!$U$18)/24*($AG716-186)-0.005)))</f>
        <v>0.14604529399999999</v>
      </c>
    </row>
    <row r="717" spans="1:37">
      <c r="A717" s="4"/>
      <c r="B717" s="21"/>
      <c r="C717" s="21"/>
      <c r="D717" s="21"/>
      <c r="E717" s="22"/>
      <c r="F717" s="22"/>
      <c r="G717" s="23"/>
      <c r="H717" s="23"/>
      <c r="I717" s="8" t="str">
        <f t="shared" si="178"/>
        <v/>
      </c>
      <c r="J717" s="2" t="str">
        <f t="shared" si="185"/>
        <v/>
      </c>
      <c r="K717" s="2" t="str">
        <f t="shared" si="179"/>
        <v/>
      </c>
      <c r="L717" s="2" t="str">
        <f t="shared" si="186"/>
        <v/>
      </c>
      <c r="M717" s="2" t="str">
        <f t="shared" si="191"/>
        <v/>
      </c>
      <c r="N717" s="2" t="str">
        <f t="shared" si="187"/>
        <v/>
      </c>
      <c r="O717" s="8" t="str">
        <f t="shared" si="188"/>
        <v/>
      </c>
      <c r="P717" s="8" t="str">
        <f t="shared" si="189"/>
        <v/>
      </c>
      <c r="Q717" s="40" t="str">
        <f t="shared" si="180"/>
        <v/>
      </c>
      <c r="R717" s="48" t="str">
        <f t="shared" si="190"/>
        <v/>
      </c>
      <c r="S717" s="8"/>
      <c r="U717" s="35">
        <f t="shared" si="181"/>
        <v>0</v>
      </c>
      <c r="V717" s="24">
        <f t="shared" si="182"/>
        <v>0</v>
      </c>
      <c r="W717" s="41">
        <f t="shared" si="177"/>
        <v>0</v>
      </c>
      <c r="X717" s="31"/>
      <c r="Y717" s="31"/>
      <c r="Z717" s="31"/>
      <c r="AA717" s="25">
        <f t="shared" si="183"/>
        <v>9.0359999999999996</v>
      </c>
      <c r="AB717" s="25">
        <f t="shared" si="184"/>
        <v>-184.49199999999999</v>
      </c>
      <c r="AD717" s="24">
        <f>IF(D717="M",IF(AG717&lt;78,BMILMS!$D$5*AG717^3+BMILMS!$E$5*AG717^2+BMILMS!$F$5*AG717+BMILMS!$G$5,IF(AG717&lt;150,BMILMS!$D$6*AG717^3+BMILMS!$E$6*AG717^2+BMILMS!$F$6*AG717+BMILMS!$G$6,BMILMS!$D$7*AG717^3+BMILMS!$E$7*AG717^2+BMILMS!$F$7*AG717+BMILMS!$G$7)),IF(AG717&lt;69,BMILMS!$D$9*AG717^3+BMILMS!$E$9*AG717^2+BMILMS!$F$9*AG717+BMILMS!$G$9,IF(AG717&lt;150,BMILMS!$D$10*AG717^3+BMILMS!$E$10*AG717^2+BMILMS!$F$10*AG717+BMILMS!$G$10,BMILMS!$D$11*AG717^3+BMILMS!$E$11*AG717^2+BMILMS!$F$11*AG717+BMILMS!$G$11)))</f>
        <v>0.79584630099999998</v>
      </c>
      <c r="AE717" s="24">
        <f>IF(D717="M",(IF(AG717&lt;2.5,BMILMS!$D$21*AG717^3+BMILMS!$E$21*AG717^2+BMILMS!$F$21*AG717+BMILMS!$G$21,IF(AG717&lt;9.5,BMILMS!$D$22*AG717^3+BMILMS!$E$22*AG717^2+BMILMS!$F$22*AG717+BMILMS!$G$22,IF(AG717&lt;26.75,BMILMS!$D$23*AG717^3+BMILMS!$E$23*AG717^2+BMILMS!$F$23*AG717+BMILMS!$G$23,IF(AG717&lt;90,BMILMS!$D$24*AG717^3+BMILMS!$E$24*AG717^2+BMILMS!$F$24*AG717+BMILMS!$G$24,BMILMS!$D$25*AG717^3+BMILMS!$E$25*AG717^2+BMILMS!$F$25*AG717+BMILMS!$G$25))))),(IF(AG717&lt;2.5,BMILMS!$D$27*AG717^3+BMILMS!$E$27*AG717^2+BMILMS!$F$27*AG717+BMILMS!$G$27,IF(AG717&lt;9.5,BMILMS!$D$28*AG717^3+BMILMS!$E$28*AG717^2+BMILMS!$F$28*AG717+BMILMS!$G$28,IF(AG717&lt;26.75,BMILMS!$D$29*AG717^3+BMILMS!$E$29*AG717^2+BMILMS!$F$29*AG717+BMILMS!$G$29,IF(AG717&lt;90,BMILMS!$D$30*AG717^3+BMILMS!$E$30*AG717^2+BMILMS!$F$30*AG717+BMILMS!$G$30,IF(AG717&lt;150,BMILMS!$D$31*AG717^3+BMILMS!$E$31*AG717^2+BMILMS!$F$31*AG717+BMILMS!$G$31,BMILMS!$D$32*AG717^3+BMILMS!$E$32*AG717^2+BMILMS!$F$32*AG717+BMILMS!$G$32)))))))</f>
        <v>12.568967990000001</v>
      </c>
      <c r="AF717" s="24">
        <f>IF(D717="M",(IF(AG717&lt;90,BMILMS!$D$14*AG717^3+BMILMS!$E$14*AG717^2+BMILMS!$F$14*AG717+BMILMS!$G$14,BMILMS!$D$15*AG717^3+BMILMS!$E$15*AG717^2+BMILMS!$F$15*AG717+BMILMS!$G$15)),(IF(AG717&lt;90,BMILMS!$D$17*AG717^3+BMILMS!$E$17*AG717^2+BMILMS!$F$17*AG717+BMILMS!$G$17,BMILMS!$D$18*AG717^3+BMILMS!$E$18*AG717^2+BMILMS!$F$18*AG717+BMILMS!$G$18)))</f>
        <v>8.8969350000000003E-2</v>
      </c>
      <c r="AG717" s="24">
        <f t="shared" si="192"/>
        <v>0</v>
      </c>
      <c r="AI717" s="38">
        <f>IF(D717="M",WeightSDS!P$5*$AG717^7+WeightSDS!Q$5*$AG717^6+WeightSDS!R$5*$AG717^5+WeightSDS!S$5*$AG717^4+WeightSDS!T$5*$AG717^3+WeightSDS!U$5*$AG717^2+WeightSDS!V$5*$AG717+WeightSDS!W$5,IF($AG717&lt;186,WeightSDS!P$8*$AG717^7+WeightSDS!Q$8*$AG717^6+WeightSDS!R$8*$AG717^5+WeightSDS!S$8*$AG717^4+WeightSDS!T$8*$AG717^3+WeightSDS!U$8*$AG717^2+WeightSDS!V$8*$AG717+WeightSDS!W$8,WeightSDS!$U$9-WeightSDS!$V$9*($AG717-WeightSDS!$W$9)))</f>
        <v>0.75407122999999998</v>
      </c>
      <c r="AJ717" s="24">
        <f>IF(D717="M",IF($AG717&lt;45,WeightSDS!M$23*$AG717^10+WeightSDS!N$23*$AG717^9+WeightSDS!O$23*$AG717^8+WeightSDS!P$23*$AG717^7+WeightSDS!Q$23*$AG717^6+WeightSDS!R$23*$AG717^5+WeightSDS!S$23*$AG717^4+WeightSDS!T$23*$AG717^3+WeightSDS!U$23*$AG717^2+WeightSDS!V$23*$AG717+WeightSDS!W$23,IF($AG717&lt;153,WeightSDS!M$25*$AG717^10+WeightSDS!N$25*$AG717^9+WeightSDS!O$25*$AG717^8+WeightSDS!P$25*$AG717^7+WeightSDS!Q$25*$AG717^6+WeightSDS!R$25*$AG717^5+WeightSDS!S$25*$AG717^4+WeightSDS!T$25*$AG717^3+WeightSDS!U$25*$AG717^2+WeightSDS!V$25*$AG717+WeightSDS!W$25,WeightSDS!M$27+WeightSDS!N$27/(1+EXP(WeightSDS!O$27+WeightSDS!P$27*$AG717)))),IF($AG717&lt;43.8,WeightSDS!M$29*$AG717^10+WeightSDS!N$29*$AG717^9+WeightSDS!O$29*$AG717^8+WeightSDS!P$29*$AG717^7+WeightSDS!Q$29*$AG717^6+WeightSDS!R$29*$AG717^5+WeightSDS!S$29*$AG717^4+WeightSDS!T$29*$AG717^3+WeightSDS!U$29*$AG717^2+WeightSDS!V$29*$AG717+WeightSDS!W$29-0.010431*(1-$AG717/210),IF($AG717&lt;123,WeightSDS!M$30*$AG717^10+WeightSDS!N$30*$AG717^9+WeightSDS!O$30*$AG717^8+WeightSDS!P$30*$AG717^7+WeightSDS!Q$30*$AG717^6+WeightSDS!R$30*$AG717^5+WeightSDS!S$30*$AG717^4+WeightSDS!T$30*$AG717^3+WeightSDS!U$30*$AG717^2+WeightSDS!V$30*$AG717+WeightSDS!W$30-0.010431*(1-1/$AG717),WeightSDS!M$32+WeightSDS!N$32/(1+EXP(WeightSDS!O$32+WeightSDS!P$32*$AG717))-0.010431*(1-$AG717/210))))</f>
        <v>2.9500001032655536</v>
      </c>
      <c r="AK717" s="24">
        <f>IF(D717="M",IF($AG717&lt;162,WeightSDS!P$12*$AG717^7+WeightSDS!Q$12*$AG717^6+WeightSDS!R$12*$AG717^5+WeightSDS!S$12*$AG717^4+WeightSDS!T$12*$AG717^3+WeightSDS!U$12*$AG717^2+WeightSDS!V$12*$AG717+WeightSDS!W$12,WeightSDS!P$14*$AG717^7+WeightSDS!Q$14*$AG717^6+WeightSDS!R$14*$AG717^5+WeightSDS!S$14*$AG717^4+WeightSDS!T$14*$AG717^3+WeightSDS!U$14*$AG717^2+WeightSDS!V$14*$AG717+WeightSDS!W$14),IF($AG717&lt;156,WeightSDS!O$17*$AG717^8+WeightSDS!P$17*$AG717^7+WeightSDS!Q$17*$AG717^6+WeightSDS!R$17*$AG717^5+WeightSDS!S$17*$AG717^4+WeightSDS!T$17*$AG717^3+WeightSDS!U$17*$AG717^2+WeightSDS!V$17*$AG717+WeightSDS!W$17,IF($AG717&lt;186,WeightSDS!$U$18+(WeightSDS!$V$18-WeightSDS!$U$18)/24*($AG717-186)+WeightSDS!$W$18*(-$AG717+186)^2-0.005,WeightSDS!$U$18+(WeightSDS!$V$18-WeightSDS!$U$18)/24*($AG717-186)-0.005)))</f>
        <v>0.14604529399999999</v>
      </c>
    </row>
    <row r="718" spans="1:37">
      <c r="A718" s="4"/>
      <c r="B718" s="21"/>
      <c r="C718" s="21"/>
      <c r="D718" s="21"/>
      <c r="E718" s="22"/>
      <c r="F718" s="22"/>
      <c r="G718" s="23"/>
      <c r="H718" s="23"/>
      <c r="I718" s="8" t="str">
        <f t="shared" si="178"/>
        <v/>
      </c>
      <c r="J718" s="2" t="str">
        <f t="shared" si="185"/>
        <v/>
      </c>
      <c r="K718" s="2" t="str">
        <f t="shared" si="179"/>
        <v/>
      </c>
      <c r="L718" s="2" t="str">
        <f t="shared" si="186"/>
        <v/>
      </c>
      <c r="M718" s="2" t="str">
        <f t="shared" si="191"/>
        <v/>
      </c>
      <c r="N718" s="2" t="str">
        <f t="shared" si="187"/>
        <v/>
      </c>
      <c r="O718" s="8" t="str">
        <f t="shared" si="188"/>
        <v/>
      </c>
      <c r="P718" s="8" t="str">
        <f t="shared" si="189"/>
        <v/>
      </c>
      <c r="Q718" s="40" t="str">
        <f t="shared" si="180"/>
        <v/>
      </c>
      <c r="R718" s="48" t="str">
        <f t="shared" si="190"/>
        <v/>
      </c>
      <c r="S718" s="8"/>
      <c r="U718" s="35">
        <f t="shared" si="181"/>
        <v>0</v>
      </c>
      <c r="V718" s="24">
        <f t="shared" si="182"/>
        <v>0</v>
      </c>
      <c r="W718" s="41">
        <f t="shared" si="177"/>
        <v>0</v>
      </c>
      <c r="X718" s="31"/>
      <c r="Y718" s="31"/>
      <c r="Z718" s="31"/>
      <c r="AA718" s="25">
        <f t="shared" si="183"/>
        <v>9.0359999999999996</v>
      </c>
      <c r="AB718" s="25">
        <f t="shared" si="184"/>
        <v>-184.49199999999999</v>
      </c>
      <c r="AD718" s="24">
        <f>IF(D718="M",IF(AG718&lt;78,BMILMS!$D$5*AG718^3+BMILMS!$E$5*AG718^2+BMILMS!$F$5*AG718+BMILMS!$G$5,IF(AG718&lt;150,BMILMS!$D$6*AG718^3+BMILMS!$E$6*AG718^2+BMILMS!$F$6*AG718+BMILMS!$G$6,BMILMS!$D$7*AG718^3+BMILMS!$E$7*AG718^2+BMILMS!$F$7*AG718+BMILMS!$G$7)),IF(AG718&lt;69,BMILMS!$D$9*AG718^3+BMILMS!$E$9*AG718^2+BMILMS!$F$9*AG718+BMILMS!$G$9,IF(AG718&lt;150,BMILMS!$D$10*AG718^3+BMILMS!$E$10*AG718^2+BMILMS!$F$10*AG718+BMILMS!$G$10,BMILMS!$D$11*AG718^3+BMILMS!$E$11*AG718^2+BMILMS!$F$11*AG718+BMILMS!$G$11)))</f>
        <v>0.79584630099999998</v>
      </c>
      <c r="AE718" s="24">
        <f>IF(D718="M",(IF(AG718&lt;2.5,BMILMS!$D$21*AG718^3+BMILMS!$E$21*AG718^2+BMILMS!$F$21*AG718+BMILMS!$G$21,IF(AG718&lt;9.5,BMILMS!$D$22*AG718^3+BMILMS!$E$22*AG718^2+BMILMS!$F$22*AG718+BMILMS!$G$22,IF(AG718&lt;26.75,BMILMS!$D$23*AG718^3+BMILMS!$E$23*AG718^2+BMILMS!$F$23*AG718+BMILMS!$G$23,IF(AG718&lt;90,BMILMS!$D$24*AG718^3+BMILMS!$E$24*AG718^2+BMILMS!$F$24*AG718+BMILMS!$G$24,BMILMS!$D$25*AG718^3+BMILMS!$E$25*AG718^2+BMILMS!$F$25*AG718+BMILMS!$G$25))))),(IF(AG718&lt;2.5,BMILMS!$D$27*AG718^3+BMILMS!$E$27*AG718^2+BMILMS!$F$27*AG718+BMILMS!$G$27,IF(AG718&lt;9.5,BMILMS!$D$28*AG718^3+BMILMS!$E$28*AG718^2+BMILMS!$F$28*AG718+BMILMS!$G$28,IF(AG718&lt;26.75,BMILMS!$D$29*AG718^3+BMILMS!$E$29*AG718^2+BMILMS!$F$29*AG718+BMILMS!$G$29,IF(AG718&lt;90,BMILMS!$D$30*AG718^3+BMILMS!$E$30*AG718^2+BMILMS!$F$30*AG718+BMILMS!$G$30,IF(AG718&lt;150,BMILMS!$D$31*AG718^3+BMILMS!$E$31*AG718^2+BMILMS!$F$31*AG718+BMILMS!$G$31,BMILMS!$D$32*AG718^3+BMILMS!$E$32*AG718^2+BMILMS!$F$32*AG718+BMILMS!$G$32)))))))</f>
        <v>12.568967990000001</v>
      </c>
      <c r="AF718" s="24">
        <f>IF(D718="M",(IF(AG718&lt;90,BMILMS!$D$14*AG718^3+BMILMS!$E$14*AG718^2+BMILMS!$F$14*AG718+BMILMS!$G$14,BMILMS!$D$15*AG718^3+BMILMS!$E$15*AG718^2+BMILMS!$F$15*AG718+BMILMS!$G$15)),(IF(AG718&lt;90,BMILMS!$D$17*AG718^3+BMILMS!$E$17*AG718^2+BMILMS!$F$17*AG718+BMILMS!$G$17,BMILMS!$D$18*AG718^3+BMILMS!$E$18*AG718^2+BMILMS!$F$18*AG718+BMILMS!$G$18)))</f>
        <v>8.8969350000000003E-2</v>
      </c>
      <c r="AG718" s="24">
        <f t="shared" si="192"/>
        <v>0</v>
      </c>
      <c r="AI718" s="38">
        <f>IF(D718="M",WeightSDS!P$5*$AG718^7+WeightSDS!Q$5*$AG718^6+WeightSDS!R$5*$AG718^5+WeightSDS!S$5*$AG718^4+WeightSDS!T$5*$AG718^3+WeightSDS!U$5*$AG718^2+WeightSDS!V$5*$AG718+WeightSDS!W$5,IF($AG718&lt;186,WeightSDS!P$8*$AG718^7+WeightSDS!Q$8*$AG718^6+WeightSDS!R$8*$AG718^5+WeightSDS!S$8*$AG718^4+WeightSDS!T$8*$AG718^3+WeightSDS!U$8*$AG718^2+WeightSDS!V$8*$AG718+WeightSDS!W$8,WeightSDS!$U$9-WeightSDS!$V$9*($AG718-WeightSDS!$W$9)))</f>
        <v>0.75407122999999998</v>
      </c>
      <c r="AJ718" s="24">
        <f>IF(D718="M",IF($AG718&lt;45,WeightSDS!M$23*$AG718^10+WeightSDS!N$23*$AG718^9+WeightSDS!O$23*$AG718^8+WeightSDS!P$23*$AG718^7+WeightSDS!Q$23*$AG718^6+WeightSDS!R$23*$AG718^5+WeightSDS!S$23*$AG718^4+WeightSDS!T$23*$AG718^3+WeightSDS!U$23*$AG718^2+WeightSDS!V$23*$AG718+WeightSDS!W$23,IF($AG718&lt;153,WeightSDS!M$25*$AG718^10+WeightSDS!N$25*$AG718^9+WeightSDS!O$25*$AG718^8+WeightSDS!P$25*$AG718^7+WeightSDS!Q$25*$AG718^6+WeightSDS!R$25*$AG718^5+WeightSDS!S$25*$AG718^4+WeightSDS!T$25*$AG718^3+WeightSDS!U$25*$AG718^2+WeightSDS!V$25*$AG718+WeightSDS!W$25,WeightSDS!M$27+WeightSDS!N$27/(1+EXP(WeightSDS!O$27+WeightSDS!P$27*$AG718)))),IF($AG718&lt;43.8,WeightSDS!M$29*$AG718^10+WeightSDS!N$29*$AG718^9+WeightSDS!O$29*$AG718^8+WeightSDS!P$29*$AG718^7+WeightSDS!Q$29*$AG718^6+WeightSDS!R$29*$AG718^5+WeightSDS!S$29*$AG718^4+WeightSDS!T$29*$AG718^3+WeightSDS!U$29*$AG718^2+WeightSDS!V$29*$AG718+WeightSDS!W$29-0.010431*(1-$AG718/210),IF($AG718&lt;123,WeightSDS!M$30*$AG718^10+WeightSDS!N$30*$AG718^9+WeightSDS!O$30*$AG718^8+WeightSDS!P$30*$AG718^7+WeightSDS!Q$30*$AG718^6+WeightSDS!R$30*$AG718^5+WeightSDS!S$30*$AG718^4+WeightSDS!T$30*$AG718^3+WeightSDS!U$30*$AG718^2+WeightSDS!V$30*$AG718+WeightSDS!W$30-0.010431*(1-1/$AG718),WeightSDS!M$32+WeightSDS!N$32/(1+EXP(WeightSDS!O$32+WeightSDS!P$32*$AG718))-0.010431*(1-$AG718/210))))</f>
        <v>2.9500001032655536</v>
      </c>
      <c r="AK718" s="24">
        <f>IF(D718="M",IF($AG718&lt;162,WeightSDS!P$12*$AG718^7+WeightSDS!Q$12*$AG718^6+WeightSDS!R$12*$AG718^5+WeightSDS!S$12*$AG718^4+WeightSDS!T$12*$AG718^3+WeightSDS!U$12*$AG718^2+WeightSDS!V$12*$AG718+WeightSDS!W$12,WeightSDS!P$14*$AG718^7+WeightSDS!Q$14*$AG718^6+WeightSDS!R$14*$AG718^5+WeightSDS!S$14*$AG718^4+WeightSDS!T$14*$AG718^3+WeightSDS!U$14*$AG718^2+WeightSDS!V$14*$AG718+WeightSDS!W$14),IF($AG718&lt;156,WeightSDS!O$17*$AG718^8+WeightSDS!P$17*$AG718^7+WeightSDS!Q$17*$AG718^6+WeightSDS!R$17*$AG718^5+WeightSDS!S$17*$AG718^4+WeightSDS!T$17*$AG718^3+WeightSDS!U$17*$AG718^2+WeightSDS!V$17*$AG718+WeightSDS!W$17,IF($AG718&lt;186,WeightSDS!$U$18+(WeightSDS!$V$18-WeightSDS!$U$18)/24*($AG718-186)+WeightSDS!$W$18*(-$AG718+186)^2-0.005,WeightSDS!$U$18+(WeightSDS!$V$18-WeightSDS!$U$18)/24*($AG718-186)-0.005)))</f>
        <v>0.14604529399999999</v>
      </c>
    </row>
    <row r="719" spans="1:37">
      <c r="A719" s="4"/>
      <c r="B719" s="21"/>
      <c r="C719" s="21"/>
      <c r="D719" s="21"/>
      <c r="E719" s="22"/>
      <c r="F719" s="22"/>
      <c r="G719" s="23"/>
      <c r="H719" s="23"/>
      <c r="I719" s="8" t="str">
        <f t="shared" si="178"/>
        <v/>
      </c>
      <c r="J719" s="2" t="str">
        <f t="shared" si="185"/>
        <v/>
      </c>
      <c r="K719" s="2" t="str">
        <f t="shared" si="179"/>
        <v/>
      </c>
      <c r="L719" s="2" t="str">
        <f t="shared" si="186"/>
        <v/>
      </c>
      <c r="M719" s="2" t="str">
        <f t="shared" si="191"/>
        <v/>
      </c>
      <c r="N719" s="2" t="str">
        <f t="shared" si="187"/>
        <v/>
      </c>
      <c r="O719" s="8" t="str">
        <f t="shared" si="188"/>
        <v/>
      </c>
      <c r="P719" s="8" t="str">
        <f t="shared" si="189"/>
        <v/>
      </c>
      <c r="Q719" s="40" t="str">
        <f t="shared" si="180"/>
        <v/>
      </c>
      <c r="R719" s="48" t="str">
        <f t="shared" si="190"/>
        <v/>
      </c>
      <c r="S719" s="8"/>
      <c r="U719" s="35">
        <f t="shared" si="181"/>
        <v>0</v>
      </c>
      <c r="V719" s="24">
        <f t="shared" si="182"/>
        <v>0</v>
      </c>
      <c r="W719" s="41">
        <f t="shared" si="177"/>
        <v>0</v>
      </c>
      <c r="X719" s="31"/>
      <c r="Y719" s="31"/>
      <c r="Z719" s="31"/>
      <c r="AA719" s="25">
        <f t="shared" si="183"/>
        <v>9.0359999999999996</v>
      </c>
      <c r="AB719" s="25">
        <f t="shared" si="184"/>
        <v>-184.49199999999999</v>
      </c>
      <c r="AD719" s="24">
        <f>IF(D719="M",IF(AG719&lt;78,BMILMS!$D$5*AG719^3+BMILMS!$E$5*AG719^2+BMILMS!$F$5*AG719+BMILMS!$G$5,IF(AG719&lt;150,BMILMS!$D$6*AG719^3+BMILMS!$E$6*AG719^2+BMILMS!$F$6*AG719+BMILMS!$G$6,BMILMS!$D$7*AG719^3+BMILMS!$E$7*AG719^2+BMILMS!$F$7*AG719+BMILMS!$G$7)),IF(AG719&lt;69,BMILMS!$D$9*AG719^3+BMILMS!$E$9*AG719^2+BMILMS!$F$9*AG719+BMILMS!$G$9,IF(AG719&lt;150,BMILMS!$D$10*AG719^3+BMILMS!$E$10*AG719^2+BMILMS!$F$10*AG719+BMILMS!$G$10,BMILMS!$D$11*AG719^3+BMILMS!$E$11*AG719^2+BMILMS!$F$11*AG719+BMILMS!$G$11)))</f>
        <v>0.79584630099999998</v>
      </c>
      <c r="AE719" s="24">
        <f>IF(D719="M",(IF(AG719&lt;2.5,BMILMS!$D$21*AG719^3+BMILMS!$E$21*AG719^2+BMILMS!$F$21*AG719+BMILMS!$G$21,IF(AG719&lt;9.5,BMILMS!$D$22*AG719^3+BMILMS!$E$22*AG719^2+BMILMS!$F$22*AG719+BMILMS!$G$22,IF(AG719&lt;26.75,BMILMS!$D$23*AG719^3+BMILMS!$E$23*AG719^2+BMILMS!$F$23*AG719+BMILMS!$G$23,IF(AG719&lt;90,BMILMS!$D$24*AG719^3+BMILMS!$E$24*AG719^2+BMILMS!$F$24*AG719+BMILMS!$G$24,BMILMS!$D$25*AG719^3+BMILMS!$E$25*AG719^2+BMILMS!$F$25*AG719+BMILMS!$G$25))))),(IF(AG719&lt;2.5,BMILMS!$D$27*AG719^3+BMILMS!$E$27*AG719^2+BMILMS!$F$27*AG719+BMILMS!$G$27,IF(AG719&lt;9.5,BMILMS!$D$28*AG719^3+BMILMS!$E$28*AG719^2+BMILMS!$F$28*AG719+BMILMS!$G$28,IF(AG719&lt;26.75,BMILMS!$D$29*AG719^3+BMILMS!$E$29*AG719^2+BMILMS!$F$29*AG719+BMILMS!$G$29,IF(AG719&lt;90,BMILMS!$D$30*AG719^3+BMILMS!$E$30*AG719^2+BMILMS!$F$30*AG719+BMILMS!$G$30,IF(AG719&lt;150,BMILMS!$D$31*AG719^3+BMILMS!$E$31*AG719^2+BMILMS!$F$31*AG719+BMILMS!$G$31,BMILMS!$D$32*AG719^3+BMILMS!$E$32*AG719^2+BMILMS!$F$32*AG719+BMILMS!$G$32)))))))</f>
        <v>12.568967990000001</v>
      </c>
      <c r="AF719" s="24">
        <f>IF(D719="M",(IF(AG719&lt;90,BMILMS!$D$14*AG719^3+BMILMS!$E$14*AG719^2+BMILMS!$F$14*AG719+BMILMS!$G$14,BMILMS!$D$15*AG719^3+BMILMS!$E$15*AG719^2+BMILMS!$F$15*AG719+BMILMS!$G$15)),(IF(AG719&lt;90,BMILMS!$D$17*AG719^3+BMILMS!$E$17*AG719^2+BMILMS!$F$17*AG719+BMILMS!$G$17,BMILMS!$D$18*AG719^3+BMILMS!$E$18*AG719^2+BMILMS!$F$18*AG719+BMILMS!$G$18)))</f>
        <v>8.8969350000000003E-2</v>
      </c>
      <c r="AG719" s="24">
        <f t="shared" si="192"/>
        <v>0</v>
      </c>
      <c r="AI719" s="38">
        <f>IF(D719="M",WeightSDS!P$5*$AG719^7+WeightSDS!Q$5*$AG719^6+WeightSDS!R$5*$AG719^5+WeightSDS!S$5*$AG719^4+WeightSDS!T$5*$AG719^3+WeightSDS!U$5*$AG719^2+WeightSDS!V$5*$AG719+WeightSDS!W$5,IF($AG719&lt;186,WeightSDS!P$8*$AG719^7+WeightSDS!Q$8*$AG719^6+WeightSDS!R$8*$AG719^5+WeightSDS!S$8*$AG719^4+WeightSDS!T$8*$AG719^3+WeightSDS!U$8*$AG719^2+WeightSDS!V$8*$AG719+WeightSDS!W$8,WeightSDS!$U$9-WeightSDS!$V$9*($AG719-WeightSDS!$W$9)))</f>
        <v>0.75407122999999998</v>
      </c>
      <c r="AJ719" s="24">
        <f>IF(D719="M",IF($AG719&lt;45,WeightSDS!M$23*$AG719^10+WeightSDS!N$23*$AG719^9+WeightSDS!O$23*$AG719^8+WeightSDS!P$23*$AG719^7+WeightSDS!Q$23*$AG719^6+WeightSDS!R$23*$AG719^5+WeightSDS!S$23*$AG719^4+WeightSDS!T$23*$AG719^3+WeightSDS!U$23*$AG719^2+WeightSDS!V$23*$AG719+WeightSDS!W$23,IF($AG719&lt;153,WeightSDS!M$25*$AG719^10+WeightSDS!N$25*$AG719^9+WeightSDS!O$25*$AG719^8+WeightSDS!P$25*$AG719^7+WeightSDS!Q$25*$AG719^6+WeightSDS!R$25*$AG719^5+WeightSDS!S$25*$AG719^4+WeightSDS!T$25*$AG719^3+WeightSDS!U$25*$AG719^2+WeightSDS!V$25*$AG719+WeightSDS!W$25,WeightSDS!M$27+WeightSDS!N$27/(1+EXP(WeightSDS!O$27+WeightSDS!P$27*$AG719)))),IF($AG719&lt;43.8,WeightSDS!M$29*$AG719^10+WeightSDS!N$29*$AG719^9+WeightSDS!O$29*$AG719^8+WeightSDS!P$29*$AG719^7+WeightSDS!Q$29*$AG719^6+WeightSDS!R$29*$AG719^5+WeightSDS!S$29*$AG719^4+WeightSDS!T$29*$AG719^3+WeightSDS!U$29*$AG719^2+WeightSDS!V$29*$AG719+WeightSDS!W$29-0.010431*(1-$AG719/210),IF($AG719&lt;123,WeightSDS!M$30*$AG719^10+WeightSDS!N$30*$AG719^9+WeightSDS!O$30*$AG719^8+WeightSDS!P$30*$AG719^7+WeightSDS!Q$30*$AG719^6+WeightSDS!R$30*$AG719^5+WeightSDS!S$30*$AG719^4+WeightSDS!T$30*$AG719^3+WeightSDS!U$30*$AG719^2+WeightSDS!V$30*$AG719+WeightSDS!W$30-0.010431*(1-1/$AG719),WeightSDS!M$32+WeightSDS!N$32/(1+EXP(WeightSDS!O$32+WeightSDS!P$32*$AG719))-0.010431*(1-$AG719/210))))</f>
        <v>2.9500001032655536</v>
      </c>
      <c r="AK719" s="24">
        <f>IF(D719="M",IF($AG719&lt;162,WeightSDS!P$12*$AG719^7+WeightSDS!Q$12*$AG719^6+WeightSDS!R$12*$AG719^5+WeightSDS!S$12*$AG719^4+WeightSDS!T$12*$AG719^3+WeightSDS!U$12*$AG719^2+WeightSDS!V$12*$AG719+WeightSDS!W$12,WeightSDS!P$14*$AG719^7+WeightSDS!Q$14*$AG719^6+WeightSDS!R$14*$AG719^5+WeightSDS!S$14*$AG719^4+WeightSDS!T$14*$AG719^3+WeightSDS!U$14*$AG719^2+WeightSDS!V$14*$AG719+WeightSDS!W$14),IF($AG719&lt;156,WeightSDS!O$17*$AG719^8+WeightSDS!P$17*$AG719^7+WeightSDS!Q$17*$AG719^6+WeightSDS!R$17*$AG719^5+WeightSDS!S$17*$AG719^4+WeightSDS!T$17*$AG719^3+WeightSDS!U$17*$AG719^2+WeightSDS!V$17*$AG719+WeightSDS!W$17,IF($AG719&lt;186,WeightSDS!$U$18+(WeightSDS!$V$18-WeightSDS!$U$18)/24*($AG719-186)+WeightSDS!$W$18*(-$AG719+186)^2-0.005,WeightSDS!$U$18+(WeightSDS!$V$18-WeightSDS!$U$18)/24*($AG719-186)-0.005)))</f>
        <v>0.14604529399999999</v>
      </c>
    </row>
    <row r="720" spans="1:37">
      <c r="A720" s="4"/>
      <c r="B720" s="21"/>
      <c r="C720" s="21"/>
      <c r="D720" s="21"/>
      <c r="E720" s="22"/>
      <c r="F720" s="22"/>
      <c r="G720" s="23"/>
      <c r="H720" s="23"/>
      <c r="I720" s="8" t="str">
        <f t="shared" si="178"/>
        <v/>
      </c>
      <c r="J720" s="2" t="str">
        <f t="shared" si="185"/>
        <v/>
      </c>
      <c r="K720" s="2" t="str">
        <f t="shared" si="179"/>
        <v/>
      </c>
      <c r="L720" s="2" t="str">
        <f t="shared" si="186"/>
        <v/>
      </c>
      <c r="M720" s="2" t="str">
        <f t="shared" si="191"/>
        <v/>
      </c>
      <c r="N720" s="2" t="str">
        <f t="shared" si="187"/>
        <v/>
      </c>
      <c r="O720" s="8" t="str">
        <f t="shared" si="188"/>
        <v/>
      </c>
      <c r="P720" s="8" t="str">
        <f t="shared" si="189"/>
        <v/>
      </c>
      <c r="Q720" s="40" t="str">
        <f t="shared" si="180"/>
        <v/>
      </c>
      <c r="R720" s="48" t="str">
        <f t="shared" si="190"/>
        <v/>
      </c>
      <c r="S720" s="8"/>
      <c r="U720" s="35">
        <f t="shared" si="181"/>
        <v>0</v>
      </c>
      <c r="V720" s="24">
        <f t="shared" si="182"/>
        <v>0</v>
      </c>
      <c r="W720" s="41">
        <f t="shared" si="177"/>
        <v>0</v>
      </c>
      <c r="X720" s="31"/>
      <c r="Y720" s="31"/>
      <c r="Z720" s="31"/>
      <c r="AA720" s="25">
        <f t="shared" si="183"/>
        <v>9.0359999999999996</v>
      </c>
      <c r="AB720" s="25">
        <f t="shared" si="184"/>
        <v>-184.49199999999999</v>
      </c>
      <c r="AD720" s="24">
        <f>IF(D720="M",IF(AG720&lt;78,BMILMS!$D$5*AG720^3+BMILMS!$E$5*AG720^2+BMILMS!$F$5*AG720+BMILMS!$G$5,IF(AG720&lt;150,BMILMS!$D$6*AG720^3+BMILMS!$E$6*AG720^2+BMILMS!$F$6*AG720+BMILMS!$G$6,BMILMS!$D$7*AG720^3+BMILMS!$E$7*AG720^2+BMILMS!$F$7*AG720+BMILMS!$G$7)),IF(AG720&lt;69,BMILMS!$D$9*AG720^3+BMILMS!$E$9*AG720^2+BMILMS!$F$9*AG720+BMILMS!$G$9,IF(AG720&lt;150,BMILMS!$D$10*AG720^3+BMILMS!$E$10*AG720^2+BMILMS!$F$10*AG720+BMILMS!$G$10,BMILMS!$D$11*AG720^3+BMILMS!$E$11*AG720^2+BMILMS!$F$11*AG720+BMILMS!$G$11)))</f>
        <v>0.79584630099999998</v>
      </c>
      <c r="AE720" s="24">
        <f>IF(D720="M",(IF(AG720&lt;2.5,BMILMS!$D$21*AG720^3+BMILMS!$E$21*AG720^2+BMILMS!$F$21*AG720+BMILMS!$G$21,IF(AG720&lt;9.5,BMILMS!$D$22*AG720^3+BMILMS!$E$22*AG720^2+BMILMS!$F$22*AG720+BMILMS!$G$22,IF(AG720&lt;26.75,BMILMS!$D$23*AG720^3+BMILMS!$E$23*AG720^2+BMILMS!$F$23*AG720+BMILMS!$G$23,IF(AG720&lt;90,BMILMS!$D$24*AG720^3+BMILMS!$E$24*AG720^2+BMILMS!$F$24*AG720+BMILMS!$G$24,BMILMS!$D$25*AG720^3+BMILMS!$E$25*AG720^2+BMILMS!$F$25*AG720+BMILMS!$G$25))))),(IF(AG720&lt;2.5,BMILMS!$D$27*AG720^3+BMILMS!$E$27*AG720^2+BMILMS!$F$27*AG720+BMILMS!$G$27,IF(AG720&lt;9.5,BMILMS!$D$28*AG720^3+BMILMS!$E$28*AG720^2+BMILMS!$F$28*AG720+BMILMS!$G$28,IF(AG720&lt;26.75,BMILMS!$D$29*AG720^3+BMILMS!$E$29*AG720^2+BMILMS!$F$29*AG720+BMILMS!$G$29,IF(AG720&lt;90,BMILMS!$D$30*AG720^3+BMILMS!$E$30*AG720^2+BMILMS!$F$30*AG720+BMILMS!$G$30,IF(AG720&lt;150,BMILMS!$D$31*AG720^3+BMILMS!$E$31*AG720^2+BMILMS!$F$31*AG720+BMILMS!$G$31,BMILMS!$D$32*AG720^3+BMILMS!$E$32*AG720^2+BMILMS!$F$32*AG720+BMILMS!$G$32)))))))</f>
        <v>12.568967990000001</v>
      </c>
      <c r="AF720" s="24">
        <f>IF(D720="M",(IF(AG720&lt;90,BMILMS!$D$14*AG720^3+BMILMS!$E$14*AG720^2+BMILMS!$F$14*AG720+BMILMS!$G$14,BMILMS!$D$15*AG720^3+BMILMS!$E$15*AG720^2+BMILMS!$F$15*AG720+BMILMS!$G$15)),(IF(AG720&lt;90,BMILMS!$D$17*AG720^3+BMILMS!$E$17*AG720^2+BMILMS!$F$17*AG720+BMILMS!$G$17,BMILMS!$D$18*AG720^3+BMILMS!$E$18*AG720^2+BMILMS!$F$18*AG720+BMILMS!$G$18)))</f>
        <v>8.8969350000000003E-2</v>
      </c>
      <c r="AG720" s="24">
        <f t="shared" si="192"/>
        <v>0</v>
      </c>
      <c r="AI720" s="38">
        <f>IF(D720="M",WeightSDS!P$5*$AG720^7+WeightSDS!Q$5*$AG720^6+WeightSDS!R$5*$AG720^5+WeightSDS!S$5*$AG720^4+WeightSDS!T$5*$AG720^3+WeightSDS!U$5*$AG720^2+WeightSDS!V$5*$AG720+WeightSDS!W$5,IF($AG720&lt;186,WeightSDS!P$8*$AG720^7+WeightSDS!Q$8*$AG720^6+WeightSDS!R$8*$AG720^5+WeightSDS!S$8*$AG720^4+WeightSDS!T$8*$AG720^3+WeightSDS!U$8*$AG720^2+WeightSDS!V$8*$AG720+WeightSDS!W$8,WeightSDS!$U$9-WeightSDS!$V$9*($AG720-WeightSDS!$W$9)))</f>
        <v>0.75407122999999998</v>
      </c>
      <c r="AJ720" s="24">
        <f>IF(D720="M",IF($AG720&lt;45,WeightSDS!M$23*$AG720^10+WeightSDS!N$23*$AG720^9+WeightSDS!O$23*$AG720^8+WeightSDS!P$23*$AG720^7+WeightSDS!Q$23*$AG720^6+WeightSDS!R$23*$AG720^5+WeightSDS!S$23*$AG720^4+WeightSDS!T$23*$AG720^3+WeightSDS!U$23*$AG720^2+WeightSDS!V$23*$AG720+WeightSDS!W$23,IF($AG720&lt;153,WeightSDS!M$25*$AG720^10+WeightSDS!N$25*$AG720^9+WeightSDS!O$25*$AG720^8+WeightSDS!P$25*$AG720^7+WeightSDS!Q$25*$AG720^6+WeightSDS!R$25*$AG720^5+WeightSDS!S$25*$AG720^4+WeightSDS!T$25*$AG720^3+WeightSDS!U$25*$AG720^2+WeightSDS!V$25*$AG720+WeightSDS!W$25,WeightSDS!M$27+WeightSDS!N$27/(1+EXP(WeightSDS!O$27+WeightSDS!P$27*$AG720)))),IF($AG720&lt;43.8,WeightSDS!M$29*$AG720^10+WeightSDS!N$29*$AG720^9+WeightSDS!O$29*$AG720^8+WeightSDS!P$29*$AG720^7+WeightSDS!Q$29*$AG720^6+WeightSDS!R$29*$AG720^5+WeightSDS!S$29*$AG720^4+WeightSDS!T$29*$AG720^3+WeightSDS!U$29*$AG720^2+WeightSDS!V$29*$AG720+WeightSDS!W$29-0.010431*(1-$AG720/210),IF($AG720&lt;123,WeightSDS!M$30*$AG720^10+WeightSDS!N$30*$AG720^9+WeightSDS!O$30*$AG720^8+WeightSDS!P$30*$AG720^7+WeightSDS!Q$30*$AG720^6+WeightSDS!R$30*$AG720^5+WeightSDS!S$30*$AG720^4+WeightSDS!T$30*$AG720^3+WeightSDS!U$30*$AG720^2+WeightSDS!V$30*$AG720+WeightSDS!W$30-0.010431*(1-1/$AG720),WeightSDS!M$32+WeightSDS!N$32/(1+EXP(WeightSDS!O$32+WeightSDS!P$32*$AG720))-0.010431*(1-$AG720/210))))</f>
        <v>2.9500001032655536</v>
      </c>
      <c r="AK720" s="24">
        <f>IF(D720="M",IF($AG720&lt;162,WeightSDS!P$12*$AG720^7+WeightSDS!Q$12*$AG720^6+WeightSDS!R$12*$AG720^5+WeightSDS!S$12*$AG720^4+WeightSDS!T$12*$AG720^3+WeightSDS!U$12*$AG720^2+WeightSDS!V$12*$AG720+WeightSDS!W$12,WeightSDS!P$14*$AG720^7+WeightSDS!Q$14*$AG720^6+WeightSDS!R$14*$AG720^5+WeightSDS!S$14*$AG720^4+WeightSDS!T$14*$AG720^3+WeightSDS!U$14*$AG720^2+WeightSDS!V$14*$AG720+WeightSDS!W$14),IF($AG720&lt;156,WeightSDS!O$17*$AG720^8+WeightSDS!P$17*$AG720^7+WeightSDS!Q$17*$AG720^6+WeightSDS!R$17*$AG720^5+WeightSDS!S$17*$AG720^4+WeightSDS!T$17*$AG720^3+WeightSDS!U$17*$AG720^2+WeightSDS!V$17*$AG720+WeightSDS!W$17,IF($AG720&lt;186,WeightSDS!$U$18+(WeightSDS!$V$18-WeightSDS!$U$18)/24*($AG720-186)+WeightSDS!$W$18*(-$AG720+186)^2-0.005,WeightSDS!$U$18+(WeightSDS!$V$18-WeightSDS!$U$18)/24*($AG720-186)-0.005)))</f>
        <v>0.14604529399999999</v>
      </c>
    </row>
    <row r="721" spans="1:37">
      <c r="A721" s="4"/>
      <c r="B721" s="21"/>
      <c r="C721" s="21"/>
      <c r="D721" s="21"/>
      <c r="E721" s="22"/>
      <c r="F721" s="22"/>
      <c r="G721" s="23"/>
      <c r="H721" s="23"/>
      <c r="I721" s="8" t="str">
        <f t="shared" si="178"/>
        <v/>
      </c>
      <c r="J721" s="2" t="str">
        <f t="shared" si="185"/>
        <v/>
      </c>
      <c r="K721" s="2" t="str">
        <f t="shared" si="179"/>
        <v/>
      </c>
      <c r="L721" s="2" t="str">
        <f t="shared" si="186"/>
        <v/>
      </c>
      <c r="M721" s="2" t="str">
        <f t="shared" si="191"/>
        <v/>
      </c>
      <c r="N721" s="2" t="str">
        <f t="shared" si="187"/>
        <v/>
      </c>
      <c r="O721" s="8" t="str">
        <f t="shared" si="188"/>
        <v/>
      </c>
      <c r="P721" s="8" t="str">
        <f t="shared" si="189"/>
        <v/>
      </c>
      <c r="Q721" s="40" t="str">
        <f t="shared" si="180"/>
        <v/>
      </c>
      <c r="R721" s="48" t="str">
        <f t="shared" si="190"/>
        <v/>
      </c>
      <c r="S721" s="8"/>
      <c r="U721" s="35">
        <f t="shared" si="181"/>
        <v>0</v>
      </c>
      <c r="V721" s="24">
        <f t="shared" si="182"/>
        <v>0</v>
      </c>
      <c r="W721" s="41">
        <f t="shared" si="177"/>
        <v>0</v>
      </c>
      <c r="X721" s="31"/>
      <c r="Y721" s="31"/>
      <c r="Z721" s="31"/>
      <c r="AA721" s="25">
        <f t="shared" si="183"/>
        <v>9.0359999999999996</v>
      </c>
      <c r="AB721" s="25">
        <f t="shared" si="184"/>
        <v>-184.49199999999999</v>
      </c>
      <c r="AD721" s="24">
        <f>IF(D721="M",IF(AG721&lt;78,BMILMS!$D$5*AG721^3+BMILMS!$E$5*AG721^2+BMILMS!$F$5*AG721+BMILMS!$G$5,IF(AG721&lt;150,BMILMS!$D$6*AG721^3+BMILMS!$E$6*AG721^2+BMILMS!$F$6*AG721+BMILMS!$G$6,BMILMS!$D$7*AG721^3+BMILMS!$E$7*AG721^2+BMILMS!$F$7*AG721+BMILMS!$G$7)),IF(AG721&lt;69,BMILMS!$D$9*AG721^3+BMILMS!$E$9*AG721^2+BMILMS!$F$9*AG721+BMILMS!$G$9,IF(AG721&lt;150,BMILMS!$D$10*AG721^3+BMILMS!$E$10*AG721^2+BMILMS!$F$10*AG721+BMILMS!$G$10,BMILMS!$D$11*AG721^3+BMILMS!$E$11*AG721^2+BMILMS!$F$11*AG721+BMILMS!$G$11)))</f>
        <v>0.79584630099999998</v>
      </c>
      <c r="AE721" s="24">
        <f>IF(D721="M",(IF(AG721&lt;2.5,BMILMS!$D$21*AG721^3+BMILMS!$E$21*AG721^2+BMILMS!$F$21*AG721+BMILMS!$G$21,IF(AG721&lt;9.5,BMILMS!$D$22*AG721^3+BMILMS!$E$22*AG721^2+BMILMS!$F$22*AG721+BMILMS!$G$22,IF(AG721&lt;26.75,BMILMS!$D$23*AG721^3+BMILMS!$E$23*AG721^2+BMILMS!$F$23*AG721+BMILMS!$G$23,IF(AG721&lt;90,BMILMS!$D$24*AG721^3+BMILMS!$E$24*AG721^2+BMILMS!$F$24*AG721+BMILMS!$G$24,BMILMS!$D$25*AG721^3+BMILMS!$E$25*AG721^2+BMILMS!$F$25*AG721+BMILMS!$G$25))))),(IF(AG721&lt;2.5,BMILMS!$D$27*AG721^3+BMILMS!$E$27*AG721^2+BMILMS!$F$27*AG721+BMILMS!$G$27,IF(AG721&lt;9.5,BMILMS!$D$28*AG721^3+BMILMS!$E$28*AG721^2+BMILMS!$F$28*AG721+BMILMS!$G$28,IF(AG721&lt;26.75,BMILMS!$D$29*AG721^3+BMILMS!$E$29*AG721^2+BMILMS!$F$29*AG721+BMILMS!$G$29,IF(AG721&lt;90,BMILMS!$D$30*AG721^3+BMILMS!$E$30*AG721^2+BMILMS!$F$30*AG721+BMILMS!$G$30,IF(AG721&lt;150,BMILMS!$D$31*AG721^3+BMILMS!$E$31*AG721^2+BMILMS!$F$31*AG721+BMILMS!$G$31,BMILMS!$D$32*AG721^3+BMILMS!$E$32*AG721^2+BMILMS!$F$32*AG721+BMILMS!$G$32)))))))</f>
        <v>12.568967990000001</v>
      </c>
      <c r="AF721" s="24">
        <f>IF(D721="M",(IF(AG721&lt;90,BMILMS!$D$14*AG721^3+BMILMS!$E$14*AG721^2+BMILMS!$F$14*AG721+BMILMS!$G$14,BMILMS!$D$15*AG721^3+BMILMS!$E$15*AG721^2+BMILMS!$F$15*AG721+BMILMS!$G$15)),(IF(AG721&lt;90,BMILMS!$D$17*AG721^3+BMILMS!$E$17*AG721^2+BMILMS!$F$17*AG721+BMILMS!$G$17,BMILMS!$D$18*AG721^3+BMILMS!$E$18*AG721^2+BMILMS!$F$18*AG721+BMILMS!$G$18)))</f>
        <v>8.8969350000000003E-2</v>
      </c>
      <c r="AG721" s="24">
        <f t="shared" si="192"/>
        <v>0</v>
      </c>
      <c r="AI721" s="38">
        <f>IF(D721="M",WeightSDS!P$5*$AG721^7+WeightSDS!Q$5*$AG721^6+WeightSDS!R$5*$AG721^5+WeightSDS!S$5*$AG721^4+WeightSDS!T$5*$AG721^3+WeightSDS!U$5*$AG721^2+WeightSDS!V$5*$AG721+WeightSDS!W$5,IF($AG721&lt;186,WeightSDS!P$8*$AG721^7+WeightSDS!Q$8*$AG721^6+WeightSDS!R$8*$AG721^5+WeightSDS!S$8*$AG721^4+WeightSDS!T$8*$AG721^3+WeightSDS!U$8*$AG721^2+WeightSDS!V$8*$AG721+WeightSDS!W$8,WeightSDS!$U$9-WeightSDS!$V$9*($AG721-WeightSDS!$W$9)))</f>
        <v>0.75407122999999998</v>
      </c>
      <c r="AJ721" s="24">
        <f>IF(D721="M",IF($AG721&lt;45,WeightSDS!M$23*$AG721^10+WeightSDS!N$23*$AG721^9+WeightSDS!O$23*$AG721^8+WeightSDS!P$23*$AG721^7+WeightSDS!Q$23*$AG721^6+WeightSDS!R$23*$AG721^5+WeightSDS!S$23*$AG721^4+WeightSDS!T$23*$AG721^3+WeightSDS!U$23*$AG721^2+WeightSDS!V$23*$AG721+WeightSDS!W$23,IF($AG721&lt;153,WeightSDS!M$25*$AG721^10+WeightSDS!N$25*$AG721^9+WeightSDS!O$25*$AG721^8+WeightSDS!P$25*$AG721^7+WeightSDS!Q$25*$AG721^6+WeightSDS!R$25*$AG721^5+WeightSDS!S$25*$AG721^4+WeightSDS!T$25*$AG721^3+WeightSDS!U$25*$AG721^2+WeightSDS!V$25*$AG721+WeightSDS!W$25,WeightSDS!M$27+WeightSDS!N$27/(1+EXP(WeightSDS!O$27+WeightSDS!P$27*$AG721)))),IF($AG721&lt;43.8,WeightSDS!M$29*$AG721^10+WeightSDS!N$29*$AG721^9+WeightSDS!O$29*$AG721^8+WeightSDS!P$29*$AG721^7+WeightSDS!Q$29*$AG721^6+WeightSDS!R$29*$AG721^5+WeightSDS!S$29*$AG721^4+WeightSDS!T$29*$AG721^3+WeightSDS!U$29*$AG721^2+WeightSDS!V$29*$AG721+WeightSDS!W$29-0.010431*(1-$AG721/210),IF($AG721&lt;123,WeightSDS!M$30*$AG721^10+WeightSDS!N$30*$AG721^9+WeightSDS!O$30*$AG721^8+WeightSDS!P$30*$AG721^7+WeightSDS!Q$30*$AG721^6+WeightSDS!R$30*$AG721^5+WeightSDS!S$30*$AG721^4+WeightSDS!T$30*$AG721^3+WeightSDS!U$30*$AG721^2+WeightSDS!V$30*$AG721+WeightSDS!W$30-0.010431*(1-1/$AG721),WeightSDS!M$32+WeightSDS!N$32/(1+EXP(WeightSDS!O$32+WeightSDS!P$32*$AG721))-0.010431*(1-$AG721/210))))</f>
        <v>2.9500001032655536</v>
      </c>
      <c r="AK721" s="24">
        <f>IF(D721="M",IF($AG721&lt;162,WeightSDS!P$12*$AG721^7+WeightSDS!Q$12*$AG721^6+WeightSDS!R$12*$AG721^5+WeightSDS!S$12*$AG721^4+WeightSDS!T$12*$AG721^3+WeightSDS!U$12*$AG721^2+WeightSDS!V$12*$AG721+WeightSDS!W$12,WeightSDS!P$14*$AG721^7+WeightSDS!Q$14*$AG721^6+WeightSDS!R$14*$AG721^5+WeightSDS!S$14*$AG721^4+WeightSDS!T$14*$AG721^3+WeightSDS!U$14*$AG721^2+WeightSDS!V$14*$AG721+WeightSDS!W$14),IF($AG721&lt;156,WeightSDS!O$17*$AG721^8+WeightSDS!P$17*$AG721^7+WeightSDS!Q$17*$AG721^6+WeightSDS!R$17*$AG721^5+WeightSDS!S$17*$AG721^4+WeightSDS!T$17*$AG721^3+WeightSDS!U$17*$AG721^2+WeightSDS!V$17*$AG721+WeightSDS!W$17,IF($AG721&lt;186,WeightSDS!$U$18+(WeightSDS!$V$18-WeightSDS!$U$18)/24*($AG721-186)+WeightSDS!$W$18*(-$AG721+186)^2-0.005,WeightSDS!$U$18+(WeightSDS!$V$18-WeightSDS!$U$18)/24*($AG721-186)-0.005)))</f>
        <v>0.14604529399999999</v>
      </c>
    </row>
    <row r="722" spans="1:37">
      <c r="A722" s="4"/>
      <c r="B722" s="21"/>
      <c r="C722" s="21"/>
      <c r="D722" s="21"/>
      <c r="E722" s="22"/>
      <c r="F722" s="22"/>
      <c r="G722" s="23"/>
      <c r="H722" s="23"/>
      <c r="I722" s="8" t="str">
        <f t="shared" si="178"/>
        <v/>
      </c>
      <c r="J722" s="2" t="str">
        <f t="shared" si="185"/>
        <v/>
      </c>
      <c r="K722" s="2" t="str">
        <f t="shared" si="179"/>
        <v/>
      </c>
      <c r="L722" s="2" t="str">
        <f t="shared" si="186"/>
        <v/>
      </c>
      <c r="M722" s="2" t="str">
        <f t="shared" si="191"/>
        <v/>
      </c>
      <c r="N722" s="2" t="str">
        <f t="shared" si="187"/>
        <v/>
      </c>
      <c r="O722" s="8" t="str">
        <f t="shared" si="188"/>
        <v/>
      </c>
      <c r="P722" s="8" t="str">
        <f t="shared" si="189"/>
        <v/>
      </c>
      <c r="Q722" s="40" t="str">
        <f t="shared" si="180"/>
        <v/>
      </c>
      <c r="R722" s="48" t="str">
        <f t="shared" si="190"/>
        <v/>
      </c>
      <c r="S722" s="8"/>
      <c r="U722" s="35">
        <f t="shared" si="181"/>
        <v>0</v>
      </c>
      <c r="V722" s="24">
        <f t="shared" si="182"/>
        <v>0</v>
      </c>
      <c r="W722" s="41">
        <f t="shared" si="177"/>
        <v>0</v>
      </c>
      <c r="X722" s="31"/>
      <c r="Y722" s="31"/>
      <c r="Z722" s="31"/>
      <c r="AA722" s="25">
        <f t="shared" si="183"/>
        <v>9.0359999999999996</v>
      </c>
      <c r="AB722" s="25">
        <f t="shared" si="184"/>
        <v>-184.49199999999999</v>
      </c>
      <c r="AD722" s="24">
        <f>IF(D722="M",IF(AG722&lt;78,BMILMS!$D$5*AG722^3+BMILMS!$E$5*AG722^2+BMILMS!$F$5*AG722+BMILMS!$G$5,IF(AG722&lt;150,BMILMS!$D$6*AG722^3+BMILMS!$E$6*AG722^2+BMILMS!$F$6*AG722+BMILMS!$G$6,BMILMS!$D$7*AG722^3+BMILMS!$E$7*AG722^2+BMILMS!$F$7*AG722+BMILMS!$G$7)),IF(AG722&lt;69,BMILMS!$D$9*AG722^3+BMILMS!$E$9*AG722^2+BMILMS!$F$9*AG722+BMILMS!$G$9,IF(AG722&lt;150,BMILMS!$D$10*AG722^3+BMILMS!$E$10*AG722^2+BMILMS!$F$10*AG722+BMILMS!$G$10,BMILMS!$D$11*AG722^3+BMILMS!$E$11*AG722^2+BMILMS!$F$11*AG722+BMILMS!$G$11)))</f>
        <v>0.79584630099999998</v>
      </c>
      <c r="AE722" s="24">
        <f>IF(D722="M",(IF(AG722&lt;2.5,BMILMS!$D$21*AG722^3+BMILMS!$E$21*AG722^2+BMILMS!$F$21*AG722+BMILMS!$G$21,IF(AG722&lt;9.5,BMILMS!$D$22*AG722^3+BMILMS!$E$22*AG722^2+BMILMS!$F$22*AG722+BMILMS!$G$22,IF(AG722&lt;26.75,BMILMS!$D$23*AG722^3+BMILMS!$E$23*AG722^2+BMILMS!$F$23*AG722+BMILMS!$G$23,IF(AG722&lt;90,BMILMS!$D$24*AG722^3+BMILMS!$E$24*AG722^2+BMILMS!$F$24*AG722+BMILMS!$G$24,BMILMS!$D$25*AG722^3+BMILMS!$E$25*AG722^2+BMILMS!$F$25*AG722+BMILMS!$G$25))))),(IF(AG722&lt;2.5,BMILMS!$D$27*AG722^3+BMILMS!$E$27*AG722^2+BMILMS!$F$27*AG722+BMILMS!$G$27,IF(AG722&lt;9.5,BMILMS!$D$28*AG722^3+BMILMS!$E$28*AG722^2+BMILMS!$F$28*AG722+BMILMS!$G$28,IF(AG722&lt;26.75,BMILMS!$D$29*AG722^3+BMILMS!$E$29*AG722^2+BMILMS!$F$29*AG722+BMILMS!$G$29,IF(AG722&lt;90,BMILMS!$D$30*AG722^3+BMILMS!$E$30*AG722^2+BMILMS!$F$30*AG722+BMILMS!$G$30,IF(AG722&lt;150,BMILMS!$D$31*AG722^3+BMILMS!$E$31*AG722^2+BMILMS!$F$31*AG722+BMILMS!$G$31,BMILMS!$D$32*AG722^3+BMILMS!$E$32*AG722^2+BMILMS!$F$32*AG722+BMILMS!$G$32)))))))</f>
        <v>12.568967990000001</v>
      </c>
      <c r="AF722" s="24">
        <f>IF(D722="M",(IF(AG722&lt;90,BMILMS!$D$14*AG722^3+BMILMS!$E$14*AG722^2+BMILMS!$F$14*AG722+BMILMS!$G$14,BMILMS!$D$15*AG722^3+BMILMS!$E$15*AG722^2+BMILMS!$F$15*AG722+BMILMS!$G$15)),(IF(AG722&lt;90,BMILMS!$D$17*AG722^3+BMILMS!$E$17*AG722^2+BMILMS!$F$17*AG722+BMILMS!$G$17,BMILMS!$D$18*AG722^3+BMILMS!$E$18*AG722^2+BMILMS!$F$18*AG722+BMILMS!$G$18)))</f>
        <v>8.8969350000000003E-2</v>
      </c>
      <c r="AG722" s="24">
        <f t="shared" si="192"/>
        <v>0</v>
      </c>
      <c r="AI722" s="38">
        <f>IF(D722="M",WeightSDS!P$5*$AG722^7+WeightSDS!Q$5*$AG722^6+WeightSDS!R$5*$AG722^5+WeightSDS!S$5*$AG722^4+WeightSDS!T$5*$AG722^3+WeightSDS!U$5*$AG722^2+WeightSDS!V$5*$AG722+WeightSDS!W$5,IF($AG722&lt;186,WeightSDS!P$8*$AG722^7+WeightSDS!Q$8*$AG722^6+WeightSDS!R$8*$AG722^5+WeightSDS!S$8*$AG722^4+WeightSDS!T$8*$AG722^3+WeightSDS!U$8*$AG722^2+WeightSDS!V$8*$AG722+WeightSDS!W$8,WeightSDS!$U$9-WeightSDS!$V$9*($AG722-WeightSDS!$W$9)))</f>
        <v>0.75407122999999998</v>
      </c>
      <c r="AJ722" s="24">
        <f>IF(D722="M",IF($AG722&lt;45,WeightSDS!M$23*$AG722^10+WeightSDS!N$23*$AG722^9+WeightSDS!O$23*$AG722^8+WeightSDS!P$23*$AG722^7+WeightSDS!Q$23*$AG722^6+WeightSDS!R$23*$AG722^5+WeightSDS!S$23*$AG722^4+WeightSDS!T$23*$AG722^3+WeightSDS!U$23*$AG722^2+WeightSDS!V$23*$AG722+WeightSDS!W$23,IF($AG722&lt;153,WeightSDS!M$25*$AG722^10+WeightSDS!N$25*$AG722^9+WeightSDS!O$25*$AG722^8+WeightSDS!P$25*$AG722^7+WeightSDS!Q$25*$AG722^6+WeightSDS!R$25*$AG722^5+WeightSDS!S$25*$AG722^4+WeightSDS!T$25*$AG722^3+WeightSDS!U$25*$AG722^2+WeightSDS!V$25*$AG722+WeightSDS!W$25,WeightSDS!M$27+WeightSDS!N$27/(1+EXP(WeightSDS!O$27+WeightSDS!P$27*$AG722)))),IF($AG722&lt;43.8,WeightSDS!M$29*$AG722^10+WeightSDS!N$29*$AG722^9+WeightSDS!O$29*$AG722^8+WeightSDS!P$29*$AG722^7+WeightSDS!Q$29*$AG722^6+WeightSDS!R$29*$AG722^5+WeightSDS!S$29*$AG722^4+WeightSDS!T$29*$AG722^3+WeightSDS!U$29*$AG722^2+WeightSDS!V$29*$AG722+WeightSDS!W$29-0.010431*(1-$AG722/210),IF($AG722&lt;123,WeightSDS!M$30*$AG722^10+WeightSDS!N$30*$AG722^9+WeightSDS!O$30*$AG722^8+WeightSDS!P$30*$AG722^7+WeightSDS!Q$30*$AG722^6+WeightSDS!R$30*$AG722^5+WeightSDS!S$30*$AG722^4+WeightSDS!T$30*$AG722^3+WeightSDS!U$30*$AG722^2+WeightSDS!V$30*$AG722+WeightSDS!W$30-0.010431*(1-1/$AG722),WeightSDS!M$32+WeightSDS!N$32/(1+EXP(WeightSDS!O$32+WeightSDS!P$32*$AG722))-0.010431*(1-$AG722/210))))</f>
        <v>2.9500001032655536</v>
      </c>
      <c r="AK722" s="24">
        <f>IF(D722="M",IF($AG722&lt;162,WeightSDS!P$12*$AG722^7+WeightSDS!Q$12*$AG722^6+WeightSDS!R$12*$AG722^5+WeightSDS!S$12*$AG722^4+WeightSDS!T$12*$AG722^3+WeightSDS!U$12*$AG722^2+WeightSDS!V$12*$AG722+WeightSDS!W$12,WeightSDS!P$14*$AG722^7+WeightSDS!Q$14*$AG722^6+WeightSDS!R$14*$AG722^5+WeightSDS!S$14*$AG722^4+WeightSDS!T$14*$AG722^3+WeightSDS!U$14*$AG722^2+WeightSDS!V$14*$AG722+WeightSDS!W$14),IF($AG722&lt;156,WeightSDS!O$17*$AG722^8+WeightSDS!P$17*$AG722^7+WeightSDS!Q$17*$AG722^6+WeightSDS!R$17*$AG722^5+WeightSDS!S$17*$AG722^4+WeightSDS!T$17*$AG722^3+WeightSDS!U$17*$AG722^2+WeightSDS!V$17*$AG722+WeightSDS!W$17,IF($AG722&lt;186,WeightSDS!$U$18+(WeightSDS!$V$18-WeightSDS!$U$18)/24*($AG722-186)+WeightSDS!$W$18*(-$AG722+186)^2-0.005,WeightSDS!$U$18+(WeightSDS!$V$18-WeightSDS!$U$18)/24*($AG722-186)-0.005)))</f>
        <v>0.14604529399999999</v>
      </c>
    </row>
    <row r="723" spans="1:37">
      <c r="A723" s="4"/>
      <c r="B723" s="21"/>
      <c r="C723" s="21"/>
      <c r="D723" s="21"/>
      <c r="E723" s="22"/>
      <c r="F723" s="22"/>
      <c r="G723" s="23"/>
      <c r="H723" s="23"/>
      <c r="I723" s="8" t="str">
        <f t="shared" si="178"/>
        <v/>
      </c>
      <c r="J723" s="2" t="str">
        <f t="shared" si="185"/>
        <v/>
      </c>
      <c r="K723" s="2" t="str">
        <f t="shared" si="179"/>
        <v/>
      </c>
      <c r="L723" s="2" t="str">
        <f t="shared" si="186"/>
        <v/>
      </c>
      <c r="M723" s="2" t="str">
        <f t="shared" si="191"/>
        <v/>
      </c>
      <c r="N723" s="2" t="str">
        <f t="shared" si="187"/>
        <v/>
      </c>
      <c r="O723" s="8" t="str">
        <f t="shared" si="188"/>
        <v/>
      </c>
      <c r="P723" s="8" t="str">
        <f t="shared" si="189"/>
        <v/>
      </c>
      <c r="Q723" s="40" t="str">
        <f t="shared" si="180"/>
        <v/>
      </c>
      <c r="R723" s="48" t="str">
        <f t="shared" si="190"/>
        <v/>
      </c>
      <c r="S723" s="8"/>
      <c r="U723" s="35">
        <f t="shared" si="181"/>
        <v>0</v>
      </c>
      <c r="V723" s="24">
        <f t="shared" si="182"/>
        <v>0</v>
      </c>
      <c r="W723" s="41">
        <f t="shared" si="177"/>
        <v>0</v>
      </c>
      <c r="X723" s="31"/>
      <c r="Y723" s="31"/>
      <c r="Z723" s="31"/>
      <c r="AA723" s="25">
        <f t="shared" si="183"/>
        <v>9.0359999999999996</v>
      </c>
      <c r="AB723" s="25">
        <f t="shared" si="184"/>
        <v>-184.49199999999999</v>
      </c>
      <c r="AD723" s="24">
        <f>IF(D723="M",IF(AG723&lt;78,BMILMS!$D$5*AG723^3+BMILMS!$E$5*AG723^2+BMILMS!$F$5*AG723+BMILMS!$G$5,IF(AG723&lt;150,BMILMS!$D$6*AG723^3+BMILMS!$E$6*AG723^2+BMILMS!$F$6*AG723+BMILMS!$G$6,BMILMS!$D$7*AG723^3+BMILMS!$E$7*AG723^2+BMILMS!$F$7*AG723+BMILMS!$G$7)),IF(AG723&lt;69,BMILMS!$D$9*AG723^3+BMILMS!$E$9*AG723^2+BMILMS!$F$9*AG723+BMILMS!$G$9,IF(AG723&lt;150,BMILMS!$D$10*AG723^3+BMILMS!$E$10*AG723^2+BMILMS!$F$10*AG723+BMILMS!$G$10,BMILMS!$D$11*AG723^3+BMILMS!$E$11*AG723^2+BMILMS!$F$11*AG723+BMILMS!$G$11)))</f>
        <v>0.79584630099999998</v>
      </c>
      <c r="AE723" s="24">
        <f>IF(D723="M",(IF(AG723&lt;2.5,BMILMS!$D$21*AG723^3+BMILMS!$E$21*AG723^2+BMILMS!$F$21*AG723+BMILMS!$G$21,IF(AG723&lt;9.5,BMILMS!$D$22*AG723^3+BMILMS!$E$22*AG723^2+BMILMS!$F$22*AG723+BMILMS!$G$22,IF(AG723&lt;26.75,BMILMS!$D$23*AG723^3+BMILMS!$E$23*AG723^2+BMILMS!$F$23*AG723+BMILMS!$G$23,IF(AG723&lt;90,BMILMS!$D$24*AG723^3+BMILMS!$E$24*AG723^2+BMILMS!$F$24*AG723+BMILMS!$G$24,BMILMS!$D$25*AG723^3+BMILMS!$E$25*AG723^2+BMILMS!$F$25*AG723+BMILMS!$G$25))))),(IF(AG723&lt;2.5,BMILMS!$D$27*AG723^3+BMILMS!$E$27*AG723^2+BMILMS!$F$27*AG723+BMILMS!$G$27,IF(AG723&lt;9.5,BMILMS!$D$28*AG723^3+BMILMS!$E$28*AG723^2+BMILMS!$F$28*AG723+BMILMS!$G$28,IF(AG723&lt;26.75,BMILMS!$D$29*AG723^3+BMILMS!$E$29*AG723^2+BMILMS!$F$29*AG723+BMILMS!$G$29,IF(AG723&lt;90,BMILMS!$D$30*AG723^3+BMILMS!$E$30*AG723^2+BMILMS!$F$30*AG723+BMILMS!$G$30,IF(AG723&lt;150,BMILMS!$D$31*AG723^3+BMILMS!$E$31*AG723^2+BMILMS!$F$31*AG723+BMILMS!$G$31,BMILMS!$D$32*AG723^3+BMILMS!$E$32*AG723^2+BMILMS!$F$32*AG723+BMILMS!$G$32)))))))</f>
        <v>12.568967990000001</v>
      </c>
      <c r="AF723" s="24">
        <f>IF(D723="M",(IF(AG723&lt;90,BMILMS!$D$14*AG723^3+BMILMS!$E$14*AG723^2+BMILMS!$F$14*AG723+BMILMS!$G$14,BMILMS!$D$15*AG723^3+BMILMS!$E$15*AG723^2+BMILMS!$F$15*AG723+BMILMS!$G$15)),(IF(AG723&lt;90,BMILMS!$D$17*AG723^3+BMILMS!$E$17*AG723^2+BMILMS!$F$17*AG723+BMILMS!$G$17,BMILMS!$D$18*AG723^3+BMILMS!$E$18*AG723^2+BMILMS!$F$18*AG723+BMILMS!$G$18)))</f>
        <v>8.8969350000000003E-2</v>
      </c>
      <c r="AG723" s="24">
        <f t="shared" si="192"/>
        <v>0</v>
      </c>
      <c r="AI723" s="38">
        <f>IF(D723="M",WeightSDS!P$5*$AG723^7+WeightSDS!Q$5*$AG723^6+WeightSDS!R$5*$AG723^5+WeightSDS!S$5*$AG723^4+WeightSDS!T$5*$AG723^3+WeightSDS!U$5*$AG723^2+WeightSDS!V$5*$AG723+WeightSDS!W$5,IF($AG723&lt;186,WeightSDS!P$8*$AG723^7+WeightSDS!Q$8*$AG723^6+WeightSDS!R$8*$AG723^5+WeightSDS!S$8*$AG723^4+WeightSDS!T$8*$AG723^3+WeightSDS!U$8*$AG723^2+WeightSDS!V$8*$AG723+WeightSDS!W$8,WeightSDS!$U$9-WeightSDS!$V$9*($AG723-WeightSDS!$W$9)))</f>
        <v>0.75407122999999998</v>
      </c>
      <c r="AJ723" s="24">
        <f>IF(D723="M",IF($AG723&lt;45,WeightSDS!M$23*$AG723^10+WeightSDS!N$23*$AG723^9+WeightSDS!O$23*$AG723^8+WeightSDS!P$23*$AG723^7+WeightSDS!Q$23*$AG723^6+WeightSDS!R$23*$AG723^5+WeightSDS!S$23*$AG723^4+WeightSDS!T$23*$AG723^3+WeightSDS!U$23*$AG723^2+WeightSDS!V$23*$AG723+WeightSDS!W$23,IF($AG723&lt;153,WeightSDS!M$25*$AG723^10+WeightSDS!N$25*$AG723^9+WeightSDS!O$25*$AG723^8+WeightSDS!P$25*$AG723^7+WeightSDS!Q$25*$AG723^6+WeightSDS!R$25*$AG723^5+WeightSDS!S$25*$AG723^4+WeightSDS!T$25*$AG723^3+WeightSDS!U$25*$AG723^2+WeightSDS!V$25*$AG723+WeightSDS!W$25,WeightSDS!M$27+WeightSDS!N$27/(1+EXP(WeightSDS!O$27+WeightSDS!P$27*$AG723)))),IF($AG723&lt;43.8,WeightSDS!M$29*$AG723^10+WeightSDS!N$29*$AG723^9+WeightSDS!O$29*$AG723^8+WeightSDS!P$29*$AG723^7+WeightSDS!Q$29*$AG723^6+WeightSDS!R$29*$AG723^5+WeightSDS!S$29*$AG723^4+WeightSDS!T$29*$AG723^3+WeightSDS!U$29*$AG723^2+WeightSDS!V$29*$AG723+WeightSDS!W$29-0.010431*(1-$AG723/210),IF($AG723&lt;123,WeightSDS!M$30*$AG723^10+WeightSDS!N$30*$AG723^9+WeightSDS!O$30*$AG723^8+WeightSDS!P$30*$AG723^7+WeightSDS!Q$30*$AG723^6+WeightSDS!R$30*$AG723^5+WeightSDS!S$30*$AG723^4+WeightSDS!T$30*$AG723^3+WeightSDS!U$30*$AG723^2+WeightSDS!V$30*$AG723+WeightSDS!W$30-0.010431*(1-1/$AG723),WeightSDS!M$32+WeightSDS!N$32/(1+EXP(WeightSDS!O$32+WeightSDS!P$32*$AG723))-0.010431*(1-$AG723/210))))</f>
        <v>2.9500001032655536</v>
      </c>
      <c r="AK723" s="24">
        <f>IF(D723="M",IF($AG723&lt;162,WeightSDS!P$12*$AG723^7+WeightSDS!Q$12*$AG723^6+WeightSDS!R$12*$AG723^5+WeightSDS!S$12*$AG723^4+WeightSDS!T$12*$AG723^3+WeightSDS!U$12*$AG723^2+WeightSDS!V$12*$AG723+WeightSDS!W$12,WeightSDS!P$14*$AG723^7+WeightSDS!Q$14*$AG723^6+WeightSDS!R$14*$AG723^5+WeightSDS!S$14*$AG723^4+WeightSDS!T$14*$AG723^3+WeightSDS!U$14*$AG723^2+WeightSDS!V$14*$AG723+WeightSDS!W$14),IF($AG723&lt;156,WeightSDS!O$17*$AG723^8+WeightSDS!P$17*$AG723^7+WeightSDS!Q$17*$AG723^6+WeightSDS!R$17*$AG723^5+WeightSDS!S$17*$AG723^4+WeightSDS!T$17*$AG723^3+WeightSDS!U$17*$AG723^2+WeightSDS!V$17*$AG723+WeightSDS!W$17,IF($AG723&lt;186,WeightSDS!$U$18+(WeightSDS!$V$18-WeightSDS!$U$18)/24*($AG723-186)+WeightSDS!$W$18*(-$AG723+186)^2-0.005,WeightSDS!$U$18+(WeightSDS!$V$18-WeightSDS!$U$18)/24*($AG723-186)-0.005)))</f>
        <v>0.14604529399999999</v>
      </c>
    </row>
    <row r="724" spans="1:37">
      <c r="A724" s="4"/>
      <c r="B724" s="21"/>
      <c r="C724" s="21"/>
      <c r="D724" s="21"/>
      <c r="E724" s="22"/>
      <c r="F724" s="22"/>
      <c r="G724" s="23"/>
      <c r="H724" s="23"/>
      <c r="I724" s="8" t="str">
        <f t="shared" si="178"/>
        <v/>
      </c>
      <c r="J724" s="2" t="str">
        <f t="shared" si="185"/>
        <v/>
      </c>
      <c r="K724" s="2" t="str">
        <f t="shared" si="179"/>
        <v/>
      </c>
      <c r="L724" s="2" t="str">
        <f t="shared" si="186"/>
        <v/>
      </c>
      <c r="M724" s="2" t="str">
        <f t="shared" si="191"/>
        <v/>
      </c>
      <c r="N724" s="2" t="str">
        <f t="shared" si="187"/>
        <v/>
      </c>
      <c r="O724" s="8" t="str">
        <f t="shared" si="188"/>
        <v/>
      </c>
      <c r="P724" s="8" t="str">
        <f t="shared" si="189"/>
        <v/>
      </c>
      <c r="Q724" s="40" t="str">
        <f t="shared" si="180"/>
        <v/>
      </c>
      <c r="R724" s="48" t="str">
        <f t="shared" si="190"/>
        <v/>
      </c>
      <c r="S724" s="8"/>
      <c r="U724" s="35">
        <f t="shared" si="181"/>
        <v>0</v>
      </c>
      <c r="V724" s="24">
        <f t="shared" si="182"/>
        <v>0</v>
      </c>
      <c r="W724" s="41">
        <f t="shared" si="177"/>
        <v>0</v>
      </c>
      <c r="X724" s="31"/>
      <c r="Y724" s="31"/>
      <c r="Z724" s="31"/>
      <c r="AA724" s="25">
        <f t="shared" si="183"/>
        <v>9.0359999999999996</v>
      </c>
      <c r="AB724" s="25">
        <f t="shared" si="184"/>
        <v>-184.49199999999999</v>
      </c>
      <c r="AD724" s="24">
        <f>IF(D724="M",IF(AG724&lt;78,BMILMS!$D$5*AG724^3+BMILMS!$E$5*AG724^2+BMILMS!$F$5*AG724+BMILMS!$G$5,IF(AG724&lt;150,BMILMS!$D$6*AG724^3+BMILMS!$E$6*AG724^2+BMILMS!$F$6*AG724+BMILMS!$G$6,BMILMS!$D$7*AG724^3+BMILMS!$E$7*AG724^2+BMILMS!$F$7*AG724+BMILMS!$G$7)),IF(AG724&lt;69,BMILMS!$D$9*AG724^3+BMILMS!$E$9*AG724^2+BMILMS!$F$9*AG724+BMILMS!$G$9,IF(AG724&lt;150,BMILMS!$D$10*AG724^3+BMILMS!$E$10*AG724^2+BMILMS!$F$10*AG724+BMILMS!$G$10,BMILMS!$D$11*AG724^3+BMILMS!$E$11*AG724^2+BMILMS!$F$11*AG724+BMILMS!$G$11)))</f>
        <v>0.79584630099999998</v>
      </c>
      <c r="AE724" s="24">
        <f>IF(D724="M",(IF(AG724&lt;2.5,BMILMS!$D$21*AG724^3+BMILMS!$E$21*AG724^2+BMILMS!$F$21*AG724+BMILMS!$G$21,IF(AG724&lt;9.5,BMILMS!$D$22*AG724^3+BMILMS!$E$22*AG724^2+BMILMS!$F$22*AG724+BMILMS!$G$22,IF(AG724&lt;26.75,BMILMS!$D$23*AG724^3+BMILMS!$E$23*AG724^2+BMILMS!$F$23*AG724+BMILMS!$G$23,IF(AG724&lt;90,BMILMS!$D$24*AG724^3+BMILMS!$E$24*AG724^2+BMILMS!$F$24*AG724+BMILMS!$G$24,BMILMS!$D$25*AG724^3+BMILMS!$E$25*AG724^2+BMILMS!$F$25*AG724+BMILMS!$G$25))))),(IF(AG724&lt;2.5,BMILMS!$D$27*AG724^3+BMILMS!$E$27*AG724^2+BMILMS!$F$27*AG724+BMILMS!$G$27,IF(AG724&lt;9.5,BMILMS!$D$28*AG724^3+BMILMS!$E$28*AG724^2+BMILMS!$F$28*AG724+BMILMS!$G$28,IF(AG724&lt;26.75,BMILMS!$D$29*AG724^3+BMILMS!$E$29*AG724^2+BMILMS!$F$29*AG724+BMILMS!$G$29,IF(AG724&lt;90,BMILMS!$D$30*AG724^3+BMILMS!$E$30*AG724^2+BMILMS!$F$30*AG724+BMILMS!$G$30,IF(AG724&lt;150,BMILMS!$D$31*AG724^3+BMILMS!$E$31*AG724^2+BMILMS!$F$31*AG724+BMILMS!$G$31,BMILMS!$D$32*AG724^3+BMILMS!$E$32*AG724^2+BMILMS!$F$32*AG724+BMILMS!$G$32)))))))</f>
        <v>12.568967990000001</v>
      </c>
      <c r="AF724" s="24">
        <f>IF(D724="M",(IF(AG724&lt;90,BMILMS!$D$14*AG724^3+BMILMS!$E$14*AG724^2+BMILMS!$F$14*AG724+BMILMS!$G$14,BMILMS!$D$15*AG724^3+BMILMS!$E$15*AG724^2+BMILMS!$F$15*AG724+BMILMS!$G$15)),(IF(AG724&lt;90,BMILMS!$D$17*AG724^3+BMILMS!$E$17*AG724^2+BMILMS!$F$17*AG724+BMILMS!$G$17,BMILMS!$D$18*AG724^3+BMILMS!$E$18*AG724^2+BMILMS!$F$18*AG724+BMILMS!$G$18)))</f>
        <v>8.8969350000000003E-2</v>
      </c>
      <c r="AG724" s="24">
        <f t="shared" si="192"/>
        <v>0</v>
      </c>
      <c r="AI724" s="38">
        <f>IF(D724="M",WeightSDS!P$5*$AG724^7+WeightSDS!Q$5*$AG724^6+WeightSDS!R$5*$AG724^5+WeightSDS!S$5*$AG724^4+WeightSDS!T$5*$AG724^3+WeightSDS!U$5*$AG724^2+WeightSDS!V$5*$AG724+WeightSDS!W$5,IF($AG724&lt;186,WeightSDS!P$8*$AG724^7+WeightSDS!Q$8*$AG724^6+WeightSDS!R$8*$AG724^5+WeightSDS!S$8*$AG724^4+WeightSDS!T$8*$AG724^3+WeightSDS!U$8*$AG724^2+WeightSDS!V$8*$AG724+WeightSDS!W$8,WeightSDS!$U$9-WeightSDS!$V$9*($AG724-WeightSDS!$W$9)))</f>
        <v>0.75407122999999998</v>
      </c>
      <c r="AJ724" s="24">
        <f>IF(D724="M",IF($AG724&lt;45,WeightSDS!M$23*$AG724^10+WeightSDS!N$23*$AG724^9+WeightSDS!O$23*$AG724^8+WeightSDS!P$23*$AG724^7+WeightSDS!Q$23*$AG724^6+WeightSDS!R$23*$AG724^5+WeightSDS!S$23*$AG724^4+WeightSDS!T$23*$AG724^3+WeightSDS!U$23*$AG724^2+WeightSDS!V$23*$AG724+WeightSDS!W$23,IF($AG724&lt;153,WeightSDS!M$25*$AG724^10+WeightSDS!N$25*$AG724^9+WeightSDS!O$25*$AG724^8+WeightSDS!P$25*$AG724^7+WeightSDS!Q$25*$AG724^6+WeightSDS!R$25*$AG724^5+WeightSDS!S$25*$AG724^4+WeightSDS!T$25*$AG724^3+WeightSDS!U$25*$AG724^2+WeightSDS!V$25*$AG724+WeightSDS!W$25,WeightSDS!M$27+WeightSDS!N$27/(1+EXP(WeightSDS!O$27+WeightSDS!P$27*$AG724)))),IF($AG724&lt;43.8,WeightSDS!M$29*$AG724^10+WeightSDS!N$29*$AG724^9+WeightSDS!O$29*$AG724^8+WeightSDS!P$29*$AG724^7+WeightSDS!Q$29*$AG724^6+WeightSDS!R$29*$AG724^5+WeightSDS!S$29*$AG724^4+WeightSDS!T$29*$AG724^3+WeightSDS!U$29*$AG724^2+WeightSDS!V$29*$AG724+WeightSDS!W$29-0.010431*(1-$AG724/210),IF($AG724&lt;123,WeightSDS!M$30*$AG724^10+WeightSDS!N$30*$AG724^9+WeightSDS!O$30*$AG724^8+WeightSDS!P$30*$AG724^7+WeightSDS!Q$30*$AG724^6+WeightSDS!R$30*$AG724^5+WeightSDS!S$30*$AG724^4+WeightSDS!T$30*$AG724^3+WeightSDS!U$30*$AG724^2+WeightSDS!V$30*$AG724+WeightSDS!W$30-0.010431*(1-1/$AG724),WeightSDS!M$32+WeightSDS!N$32/(1+EXP(WeightSDS!O$32+WeightSDS!P$32*$AG724))-0.010431*(1-$AG724/210))))</f>
        <v>2.9500001032655536</v>
      </c>
      <c r="AK724" s="24">
        <f>IF(D724="M",IF($AG724&lt;162,WeightSDS!P$12*$AG724^7+WeightSDS!Q$12*$AG724^6+WeightSDS!R$12*$AG724^5+WeightSDS!S$12*$AG724^4+WeightSDS!T$12*$AG724^3+WeightSDS!U$12*$AG724^2+WeightSDS!V$12*$AG724+WeightSDS!W$12,WeightSDS!P$14*$AG724^7+WeightSDS!Q$14*$AG724^6+WeightSDS!R$14*$AG724^5+WeightSDS!S$14*$AG724^4+WeightSDS!T$14*$AG724^3+WeightSDS!U$14*$AG724^2+WeightSDS!V$14*$AG724+WeightSDS!W$14),IF($AG724&lt;156,WeightSDS!O$17*$AG724^8+WeightSDS!P$17*$AG724^7+WeightSDS!Q$17*$AG724^6+WeightSDS!R$17*$AG724^5+WeightSDS!S$17*$AG724^4+WeightSDS!T$17*$AG724^3+WeightSDS!U$17*$AG724^2+WeightSDS!V$17*$AG724+WeightSDS!W$17,IF($AG724&lt;186,WeightSDS!$U$18+(WeightSDS!$V$18-WeightSDS!$U$18)/24*($AG724-186)+WeightSDS!$W$18*(-$AG724+186)^2-0.005,WeightSDS!$U$18+(WeightSDS!$V$18-WeightSDS!$U$18)/24*($AG724-186)-0.005)))</f>
        <v>0.14604529399999999</v>
      </c>
    </row>
    <row r="725" spans="1:37">
      <c r="A725" s="4"/>
      <c r="B725" s="21"/>
      <c r="C725" s="21"/>
      <c r="D725" s="21"/>
      <c r="E725" s="22"/>
      <c r="F725" s="22"/>
      <c r="G725" s="23"/>
      <c r="H725" s="23"/>
      <c r="I725" s="8" t="str">
        <f t="shared" si="178"/>
        <v/>
      </c>
      <c r="J725" s="2" t="str">
        <f t="shared" si="185"/>
        <v/>
      </c>
      <c r="K725" s="2" t="str">
        <f t="shared" si="179"/>
        <v/>
      </c>
      <c r="L725" s="2" t="str">
        <f t="shared" si="186"/>
        <v/>
      </c>
      <c r="M725" s="2" t="str">
        <f t="shared" si="191"/>
        <v/>
      </c>
      <c r="N725" s="2" t="str">
        <f t="shared" si="187"/>
        <v/>
      </c>
      <c r="O725" s="8" t="str">
        <f t="shared" si="188"/>
        <v/>
      </c>
      <c r="P725" s="8" t="str">
        <f t="shared" si="189"/>
        <v/>
      </c>
      <c r="Q725" s="40" t="str">
        <f t="shared" si="180"/>
        <v/>
      </c>
      <c r="R725" s="48" t="str">
        <f t="shared" si="190"/>
        <v/>
      </c>
      <c r="S725" s="8"/>
      <c r="U725" s="35">
        <f t="shared" si="181"/>
        <v>0</v>
      </c>
      <c r="V725" s="24">
        <f t="shared" si="182"/>
        <v>0</v>
      </c>
      <c r="W725" s="41">
        <f t="shared" si="177"/>
        <v>0</v>
      </c>
      <c r="X725" s="31"/>
      <c r="Y725" s="31"/>
      <c r="Z725" s="31"/>
      <c r="AA725" s="25">
        <f t="shared" si="183"/>
        <v>9.0359999999999996</v>
      </c>
      <c r="AB725" s="25">
        <f t="shared" si="184"/>
        <v>-184.49199999999999</v>
      </c>
      <c r="AD725" s="24">
        <f>IF(D725="M",IF(AG725&lt;78,BMILMS!$D$5*AG725^3+BMILMS!$E$5*AG725^2+BMILMS!$F$5*AG725+BMILMS!$G$5,IF(AG725&lt;150,BMILMS!$D$6*AG725^3+BMILMS!$E$6*AG725^2+BMILMS!$F$6*AG725+BMILMS!$G$6,BMILMS!$D$7*AG725^3+BMILMS!$E$7*AG725^2+BMILMS!$F$7*AG725+BMILMS!$G$7)),IF(AG725&lt;69,BMILMS!$D$9*AG725^3+BMILMS!$E$9*AG725^2+BMILMS!$F$9*AG725+BMILMS!$G$9,IF(AG725&lt;150,BMILMS!$D$10*AG725^3+BMILMS!$E$10*AG725^2+BMILMS!$F$10*AG725+BMILMS!$G$10,BMILMS!$D$11*AG725^3+BMILMS!$E$11*AG725^2+BMILMS!$F$11*AG725+BMILMS!$G$11)))</f>
        <v>0.79584630099999998</v>
      </c>
      <c r="AE725" s="24">
        <f>IF(D725="M",(IF(AG725&lt;2.5,BMILMS!$D$21*AG725^3+BMILMS!$E$21*AG725^2+BMILMS!$F$21*AG725+BMILMS!$G$21,IF(AG725&lt;9.5,BMILMS!$D$22*AG725^3+BMILMS!$E$22*AG725^2+BMILMS!$F$22*AG725+BMILMS!$G$22,IF(AG725&lt;26.75,BMILMS!$D$23*AG725^3+BMILMS!$E$23*AG725^2+BMILMS!$F$23*AG725+BMILMS!$G$23,IF(AG725&lt;90,BMILMS!$D$24*AG725^3+BMILMS!$E$24*AG725^2+BMILMS!$F$24*AG725+BMILMS!$G$24,BMILMS!$D$25*AG725^3+BMILMS!$E$25*AG725^2+BMILMS!$F$25*AG725+BMILMS!$G$25))))),(IF(AG725&lt;2.5,BMILMS!$D$27*AG725^3+BMILMS!$E$27*AG725^2+BMILMS!$F$27*AG725+BMILMS!$G$27,IF(AG725&lt;9.5,BMILMS!$D$28*AG725^3+BMILMS!$E$28*AG725^2+BMILMS!$F$28*AG725+BMILMS!$G$28,IF(AG725&lt;26.75,BMILMS!$D$29*AG725^3+BMILMS!$E$29*AG725^2+BMILMS!$F$29*AG725+BMILMS!$G$29,IF(AG725&lt;90,BMILMS!$D$30*AG725^3+BMILMS!$E$30*AG725^2+BMILMS!$F$30*AG725+BMILMS!$G$30,IF(AG725&lt;150,BMILMS!$D$31*AG725^3+BMILMS!$E$31*AG725^2+BMILMS!$F$31*AG725+BMILMS!$G$31,BMILMS!$D$32*AG725^3+BMILMS!$E$32*AG725^2+BMILMS!$F$32*AG725+BMILMS!$G$32)))))))</f>
        <v>12.568967990000001</v>
      </c>
      <c r="AF725" s="24">
        <f>IF(D725="M",(IF(AG725&lt;90,BMILMS!$D$14*AG725^3+BMILMS!$E$14*AG725^2+BMILMS!$F$14*AG725+BMILMS!$G$14,BMILMS!$D$15*AG725^3+BMILMS!$E$15*AG725^2+BMILMS!$F$15*AG725+BMILMS!$G$15)),(IF(AG725&lt;90,BMILMS!$D$17*AG725^3+BMILMS!$E$17*AG725^2+BMILMS!$F$17*AG725+BMILMS!$G$17,BMILMS!$D$18*AG725^3+BMILMS!$E$18*AG725^2+BMILMS!$F$18*AG725+BMILMS!$G$18)))</f>
        <v>8.8969350000000003E-2</v>
      </c>
      <c r="AG725" s="24">
        <f t="shared" si="192"/>
        <v>0</v>
      </c>
      <c r="AI725" s="38">
        <f>IF(D725="M",WeightSDS!P$5*$AG725^7+WeightSDS!Q$5*$AG725^6+WeightSDS!R$5*$AG725^5+WeightSDS!S$5*$AG725^4+WeightSDS!T$5*$AG725^3+WeightSDS!U$5*$AG725^2+WeightSDS!V$5*$AG725+WeightSDS!W$5,IF($AG725&lt;186,WeightSDS!P$8*$AG725^7+WeightSDS!Q$8*$AG725^6+WeightSDS!R$8*$AG725^5+WeightSDS!S$8*$AG725^4+WeightSDS!T$8*$AG725^3+WeightSDS!U$8*$AG725^2+WeightSDS!V$8*$AG725+WeightSDS!W$8,WeightSDS!$U$9-WeightSDS!$V$9*($AG725-WeightSDS!$W$9)))</f>
        <v>0.75407122999999998</v>
      </c>
      <c r="AJ725" s="24">
        <f>IF(D725="M",IF($AG725&lt;45,WeightSDS!M$23*$AG725^10+WeightSDS!N$23*$AG725^9+WeightSDS!O$23*$AG725^8+WeightSDS!P$23*$AG725^7+WeightSDS!Q$23*$AG725^6+WeightSDS!R$23*$AG725^5+WeightSDS!S$23*$AG725^4+WeightSDS!T$23*$AG725^3+WeightSDS!U$23*$AG725^2+WeightSDS!V$23*$AG725+WeightSDS!W$23,IF($AG725&lt;153,WeightSDS!M$25*$AG725^10+WeightSDS!N$25*$AG725^9+WeightSDS!O$25*$AG725^8+WeightSDS!P$25*$AG725^7+WeightSDS!Q$25*$AG725^6+WeightSDS!R$25*$AG725^5+WeightSDS!S$25*$AG725^4+WeightSDS!T$25*$AG725^3+WeightSDS!U$25*$AG725^2+WeightSDS!V$25*$AG725+WeightSDS!W$25,WeightSDS!M$27+WeightSDS!N$27/(1+EXP(WeightSDS!O$27+WeightSDS!P$27*$AG725)))),IF($AG725&lt;43.8,WeightSDS!M$29*$AG725^10+WeightSDS!N$29*$AG725^9+WeightSDS!O$29*$AG725^8+WeightSDS!P$29*$AG725^7+WeightSDS!Q$29*$AG725^6+WeightSDS!R$29*$AG725^5+WeightSDS!S$29*$AG725^4+WeightSDS!T$29*$AG725^3+WeightSDS!U$29*$AG725^2+WeightSDS!V$29*$AG725+WeightSDS!W$29-0.010431*(1-$AG725/210),IF($AG725&lt;123,WeightSDS!M$30*$AG725^10+WeightSDS!N$30*$AG725^9+WeightSDS!O$30*$AG725^8+WeightSDS!P$30*$AG725^7+WeightSDS!Q$30*$AG725^6+WeightSDS!R$30*$AG725^5+WeightSDS!S$30*$AG725^4+WeightSDS!T$30*$AG725^3+WeightSDS!U$30*$AG725^2+WeightSDS!V$30*$AG725+WeightSDS!W$30-0.010431*(1-1/$AG725),WeightSDS!M$32+WeightSDS!N$32/(1+EXP(WeightSDS!O$32+WeightSDS!P$32*$AG725))-0.010431*(1-$AG725/210))))</f>
        <v>2.9500001032655536</v>
      </c>
      <c r="AK725" s="24">
        <f>IF(D725="M",IF($AG725&lt;162,WeightSDS!P$12*$AG725^7+WeightSDS!Q$12*$AG725^6+WeightSDS!R$12*$AG725^5+WeightSDS!S$12*$AG725^4+WeightSDS!T$12*$AG725^3+WeightSDS!U$12*$AG725^2+WeightSDS!V$12*$AG725+WeightSDS!W$12,WeightSDS!P$14*$AG725^7+WeightSDS!Q$14*$AG725^6+WeightSDS!R$14*$AG725^5+WeightSDS!S$14*$AG725^4+WeightSDS!T$14*$AG725^3+WeightSDS!U$14*$AG725^2+WeightSDS!V$14*$AG725+WeightSDS!W$14),IF($AG725&lt;156,WeightSDS!O$17*$AG725^8+WeightSDS!P$17*$AG725^7+WeightSDS!Q$17*$AG725^6+WeightSDS!R$17*$AG725^5+WeightSDS!S$17*$AG725^4+WeightSDS!T$17*$AG725^3+WeightSDS!U$17*$AG725^2+WeightSDS!V$17*$AG725+WeightSDS!W$17,IF($AG725&lt;186,WeightSDS!$U$18+(WeightSDS!$V$18-WeightSDS!$U$18)/24*($AG725-186)+WeightSDS!$W$18*(-$AG725+186)^2-0.005,WeightSDS!$U$18+(WeightSDS!$V$18-WeightSDS!$U$18)/24*($AG725-186)-0.005)))</f>
        <v>0.14604529399999999</v>
      </c>
    </row>
    <row r="726" spans="1:37">
      <c r="A726" s="4"/>
      <c r="B726" s="21"/>
      <c r="C726" s="21"/>
      <c r="D726" s="21"/>
      <c r="E726" s="22"/>
      <c r="F726" s="22"/>
      <c r="G726" s="23"/>
      <c r="H726" s="23"/>
      <c r="I726" s="8" t="str">
        <f t="shared" si="178"/>
        <v/>
      </c>
      <c r="J726" s="2" t="str">
        <f t="shared" si="185"/>
        <v/>
      </c>
      <c r="K726" s="2" t="str">
        <f t="shared" si="179"/>
        <v/>
      </c>
      <c r="L726" s="2" t="str">
        <f t="shared" si="186"/>
        <v/>
      </c>
      <c r="M726" s="2" t="str">
        <f t="shared" si="191"/>
        <v/>
      </c>
      <c r="N726" s="2" t="str">
        <f t="shared" si="187"/>
        <v/>
      </c>
      <c r="O726" s="8" t="str">
        <f t="shared" si="188"/>
        <v/>
      </c>
      <c r="P726" s="8" t="str">
        <f t="shared" si="189"/>
        <v/>
      </c>
      <c r="Q726" s="40" t="str">
        <f t="shared" si="180"/>
        <v/>
      </c>
      <c r="R726" s="48" t="str">
        <f t="shared" si="190"/>
        <v/>
      </c>
      <c r="S726" s="8"/>
      <c r="U726" s="35">
        <f t="shared" si="181"/>
        <v>0</v>
      </c>
      <c r="V726" s="24">
        <f t="shared" si="182"/>
        <v>0</v>
      </c>
      <c r="W726" s="41">
        <f t="shared" si="177"/>
        <v>0</v>
      </c>
      <c r="X726" s="31"/>
      <c r="Y726" s="31"/>
      <c r="Z726" s="31"/>
      <c r="AA726" s="25">
        <f t="shared" si="183"/>
        <v>9.0359999999999996</v>
      </c>
      <c r="AB726" s="25">
        <f t="shared" si="184"/>
        <v>-184.49199999999999</v>
      </c>
      <c r="AD726" s="24">
        <f>IF(D726="M",IF(AG726&lt;78,BMILMS!$D$5*AG726^3+BMILMS!$E$5*AG726^2+BMILMS!$F$5*AG726+BMILMS!$G$5,IF(AG726&lt;150,BMILMS!$D$6*AG726^3+BMILMS!$E$6*AG726^2+BMILMS!$F$6*AG726+BMILMS!$G$6,BMILMS!$D$7*AG726^3+BMILMS!$E$7*AG726^2+BMILMS!$F$7*AG726+BMILMS!$G$7)),IF(AG726&lt;69,BMILMS!$D$9*AG726^3+BMILMS!$E$9*AG726^2+BMILMS!$F$9*AG726+BMILMS!$G$9,IF(AG726&lt;150,BMILMS!$D$10*AG726^3+BMILMS!$E$10*AG726^2+BMILMS!$F$10*AG726+BMILMS!$G$10,BMILMS!$D$11*AG726^3+BMILMS!$E$11*AG726^2+BMILMS!$F$11*AG726+BMILMS!$G$11)))</f>
        <v>0.79584630099999998</v>
      </c>
      <c r="AE726" s="24">
        <f>IF(D726="M",(IF(AG726&lt;2.5,BMILMS!$D$21*AG726^3+BMILMS!$E$21*AG726^2+BMILMS!$F$21*AG726+BMILMS!$G$21,IF(AG726&lt;9.5,BMILMS!$D$22*AG726^3+BMILMS!$E$22*AG726^2+BMILMS!$F$22*AG726+BMILMS!$G$22,IF(AG726&lt;26.75,BMILMS!$D$23*AG726^3+BMILMS!$E$23*AG726^2+BMILMS!$F$23*AG726+BMILMS!$G$23,IF(AG726&lt;90,BMILMS!$D$24*AG726^3+BMILMS!$E$24*AG726^2+BMILMS!$F$24*AG726+BMILMS!$G$24,BMILMS!$D$25*AG726^3+BMILMS!$E$25*AG726^2+BMILMS!$F$25*AG726+BMILMS!$G$25))))),(IF(AG726&lt;2.5,BMILMS!$D$27*AG726^3+BMILMS!$E$27*AG726^2+BMILMS!$F$27*AG726+BMILMS!$G$27,IF(AG726&lt;9.5,BMILMS!$D$28*AG726^3+BMILMS!$E$28*AG726^2+BMILMS!$F$28*AG726+BMILMS!$G$28,IF(AG726&lt;26.75,BMILMS!$D$29*AG726^3+BMILMS!$E$29*AG726^2+BMILMS!$F$29*AG726+BMILMS!$G$29,IF(AG726&lt;90,BMILMS!$D$30*AG726^3+BMILMS!$E$30*AG726^2+BMILMS!$F$30*AG726+BMILMS!$G$30,IF(AG726&lt;150,BMILMS!$D$31*AG726^3+BMILMS!$E$31*AG726^2+BMILMS!$F$31*AG726+BMILMS!$G$31,BMILMS!$D$32*AG726^3+BMILMS!$E$32*AG726^2+BMILMS!$F$32*AG726+BMILMS!$G$32)))))))</f>
        <v>12.568967990000001</v>
      </c>
      <c r="AF726" s="24">
        <f>IF(D726="M",(IF(AG726&lt;90,BMILMS!$D$14*AG726^3+BMILMS!$E$14*AG726^2+BMILMS!$F$14*AG726+BMILMS!$G$14,BMILMS!$D$15*AG726^3+BMILMS!$E$15*AG726^2+BMILMS!$F$15*AG726+BMILMS!$G$15)),(IF(AG726&lt;90,BMILMS!$D$17*AG726^3+BMILMS!$E$17*AG726^2+BMILMS!$F$17*AG726+BMILMS!$G$17,BMILMS!$D$18*AG726^3+BMILMS!$E$18*AG726^2+BMILMS!$F$18*AG726+BMILMS!$G$18)))</f>
        <v>8.8969350000000003E-2</v>
      </c>
      <c r="AG726" s="24">
        <f t="shared" si="192"/>
        <v>0</v>
      </c>
      <c r="AI726" s="38">
        <f>IF(D726="M",WeightSDS!P$5*$AG726^7+WeightSDS!Q$5*$AG726^6+WeightSDS!R$5*$AG726^5+WeightSDS!S$5*$AG726^4+WeightSDS!T$5*$AG726^3+WeightSDS!U$5*$AG726^2+WeightSDS!V$5*$AG726+WeightSDS!W$5,IF($AG726&lt;186,WeightSDS!P$8*$AG726^7+WeightSDS!Q$8*$AG726^6+WeightSDS!R$8*$AG726^5+WeightSDS!S$8*$AG726^4+WeightSDS!T$8*$AG726^3+WeightSDS!U$8*$AG726^2+WeightSDS!V$8*$AG726+WeightSDS!W$8,WeightSDS!$U$9-WeightSDS!$V$9*($AG726-WeightSDS!$W$9)))</f>
        <v>0.75407122999999998</v>
      </c>
      <c r="AJ726" s="24">
        <f>IF(D726="M",IF($AG726&lt;45,WeightSDS!M$23*$AG726^10+WeightSDS!N$23*$AG726^9+WeightSDS!O$23*$AG726^8+WeightSDS!P$23*$AG726^7+WeightSDS!Q$23*$AG726^6+WeightSDS!R$23*$AG726^5+WeightSDS!S$23*$AG726^4+WeightSDS!T$23*$AG726^3+WeightSDS!U$23*$AG726^2+WeightSDS!V$23*$AG726+WeightSDS!W$23,IF($AG726&lt;153,WeightSDS!M$25*$AG726^10+WeightSDS!N$25*$AG726^9+WeightSDS!O$25*$AG726^8+WeightSDS!P$25*$AG726^7+WeightSDS!Q$25*$AG726^6+WeightSDS!R$25*$AG726^5+WeightSDS!S$25*$AG726^4+WeightSDS!T$25*$AG726^3+WeightSDS!U$25*$AG726^2+WeightSDS!V$25*$AG726+WeightSDS!W$25,WeightSDS!M$27+WeightSDS!N$27/(1+EXP(WeightSDS!O$27+WeightSDS!P$27*$AG726)))),IF($AG726&lt;43.8,WeightSDS!M$29*$AG726^10+WeightSDS!N$29*$AG726^9+WeightSDS!O$29*$AG726^8+WeightSDS!P$29*$AG726^7+WeightSDS!Q$29*$AG726^6+WeightSDS!R$29*$AG726^5+WeightSDS!S$29*$AG726^4+WeightSDS!T$29*$AG726^3+WeightSDS!U$29*$AG726^2+WeightSDS!V$29*$AG726+WeightSDS!W$29-0.010431*(1-$AG726/210),IF($AG726&lt;123,WeightSDS!M$30*$AG726^10+WeightSDS!N$30*$AG726^9+WeightSDS!O$30*$AG726^8+WeightSDS!P$30*$AG726^7+WeightSDS!Q$30*$AG726^6+WeightSDS!R$30*$AG726^5+WeightSDS!S$30*$AG726^4+WeightSDS!T$30*$AG726^3+WeightSDS!U$30*$AG726^2+WeightSDS!V$30*$AG726+WeightSDS!W$30-0.010431*(1-1/$AG726),WeightSDS!M$32+WeightSDS!N$32/(1+EXP(WeightSDS!O$32+WeightSDS!P$32*$AG726))-0.010431*(1-$AG726/210))))</f>
        <v>2.9500001032655536</v>
      </c>
      <c r="AK726" s="24">
        <f>IF(D726="M",IF($AG726&lt;162,WeightSDS!P$12*$AG726^7+WeightSDS!Q$12*$AG726^6+WeightSDS!R$12*$AG726^5+WeightSDS!S$12*$AG726^4+WeightSDS!T$12*$AG726^3+WeightSDS!U$12*$AG726^2+WeightSDS!V$12*$AG726+WeightSDS!W$12,WeightSDS!P$14*$AG726^7+WeightSDS!Q$14*$AG726^6+WeightSDS!R$14*$AG726^5+WeightSDS!S$14*$AG726^4+WeightSDS!T$14*$AG726^3+WeightSDS!U$14*$AG726^2+WeightSDS!V$14*$AG726+WeightSDS!W$14),IF($AG726&lt;156,WeightSDS!O$17*$AG726^8+WeightSDS!P$17*$AG726^7+WeightSDS!Q$17*$AG726^6+WeightSDS!R$17*$AG726^5+WeightSDS!S$17*$AG726^4+WeightSDS!T$17*$AG726^3+WeightSDS!U$17*$AG726^2+WeightSDS!V$17*$AG726+WeightSDS!W$17,IF($AG726&lt;186,WeightSDS!$U$18+(WeightSDS!$V$18-WeightSDS!$U$18)/24*($AG726-186)+WeightSDS!$W$18*(-$AG726+186)^2-0.005,WeightSDS!$U$18+(WeightSDS!$V$18-WeightSDS!$U$18)/24*($AG726-186)-0.005)))</f>
        <v>0.14604529399999999</v>
      </c>
    </row>
    <row r="727" spans="1:37">
      <c r="A727" s="4"/>
      <c r="B727" s="21"/>
      <c r="C727" s="21"/>
      <c r="D727" s="21"/>
      <c r="E727" s="22"/>
      <c r="F727" s="22"/>
      <c r="G727" s="23"/>
      <c r="H727" s="23"/>
      <c r="I727" s="8" t="str">
        <f t="shared" si="178"/>
        <v/>
      </c>
      <c r="J727" s="2" t="str">
        <f t="shared" si="185"/>
        <v/>
      </c>
      <c r="K727" s="2" t="str">
        <f t="shared" si="179"/>
        <v/>
      </c>
      <c r="L727" s="2" t="str">
        <f t="shared" si="186"/>
        <v/>
      </c>
      <c r="M727" s="2" t="str">
        <f t="shared" si="191"/>
        <v/>
      </c>
      <c r="N727" s="2" t="str">
        <f t="shared" si="187"/>
        <v/>
      </c>
      <c r="O727" s="8" t="str">
        <f t="shared" si="188"/>
        <v/>
      </c>
      <c r="P727" s="8" t="str">
        <f t="shared" si="189"/>
        <v/>
      </c>
      <c r="Q727" s="40" t="str">
        <f t="shared" si="180"/>
        <v/>
      </c>
      <c r="R727" s="48" t="str">
        <f t="shared" si="190"/>
        <v/>
      </c>
      <c r="S727" s="8"/>
      <c r="U727" s="35">
        <f t="shared" si="181"/>
        <v>0</v>
      </c>
      <c r="V727" s="24">
        <f t="shared" si="182"/>
        <v>0</v>
      </c>
      <c r="W727" s="41">
        <f t="shared" si="177"/>
        <v>0</v>
      </c>
      <c r="X727" s="31"/>
      <c r="Y727" s="31"/>
      <c r="Z727" s="31"/>
      <c r="AA727" s="25">
        <f t="shared" si="183"/>
        <v>9.0359999999999996</v>
      </c>
      <c r="AB727" s="25">
        <f t="shared" si="184"/>
        <v>-184.49199999999999</v>
      </c>
      <c r="AD727" s="24">
        <f>IF(D727="M",IF(AG727&lt;78,BMILMS!$D$5*AG727^3+BMILMS!$E$5*AG727^2+BMILMS!$F$5*AG727+BMILMS!$G$5,IF(AG727&lt;150,BMILMS!$D$6*AG727^3+BMILMS!$E$6*AG727^2+BMILMS!$F$6*AG727+BMILMS!$G$6,BMILMS!$D$7*AG727^3+BMILMS!$E$7*AG727^2+BMILMS!$F$7*AG727+BMILMS!$G$7)),IF(AG727&lt;69,BMILMS!$D$9*AG727^3+BMILMS!$E$9*AG727^2+BMILMS!$F$9*AG727+BMILMS!$G$9,IF(AG727&lt;150,BMILMS!$D$10*AG727^3+BMILMS!$E$10*AG727^2+BMILMS!$F$10*AG727+BMILMS!$G$10,BMILMS!$D$11*AG727^3+BMILMS!$E$11*AG727^2+BMILMS!$F$11*AG727+BMILMS!$G$11)))</f>
        <v>0.79584630099999998</v>
      </c>
      <c r="AE727" s="24">
        <f>IF(D727="M",(IF(AG727&lt;2.5,BMILMS!$D$21*AG727^3+BMILMS!$E$21*AG727^2+BMILMS!$F$21*AG727+BMILMS!$G$21,IF(AG727&lt;9.5,BMILMS!$D$22*AG727^3+BMILMS!$E$22*AG727^2+BMILMS!$F$22*AG727+BMILMS!$G$22,IF(AG727&lt;26.75,BMILMS!$D$23*AG727^3+BMILMS!$E$23*AG727^2+BMILMS!$F$23*AG727+BMILMS!$G$23,IF(AG727&lt;90,BMILMS!$D$24*AG727^3+BMILMS!$E$24*AG727^2+BMILMS!$F$24*AG727+BMILMS!$G$24,BMILMS!$D$25*AG727^3+BMILMS!$E$25*AG727^2+BMILMS!$F$25*AG727+BMILMS!$G$25))))),(IF(AG727&lt;2.5,BMILMS!$D$27*AG727^3+BMILMS!$E$27*AG727^2+BMILMS!$F$27*AG727+BMILMS!$G$27,IF(AG727&lt;9.5,BMILMS!$D$28*AG727^3+BMILMS!$E$28*AG727^2+BMILMS!$F$28*AG727+BMILMS!$G$28,IF(AG727&lt;26.75,BMILMS!$D$29*AG727^3+BMILMS!$E$29*AG727^2+BMILMS!$F$29*AG727+BMILMS!$G$29,IF(AG727&lt;90,BMILMS!$D$30*AG727^3+BMILMS!$E$30*AG727^2+BMILMS!$F$30*AG727+BMILMS!$G$30,IF(AG727&lt;150,BMILMS!$D$31*AG727^3+BMILMS!$E$31*AG727^2+BMILMS!$F$31*AG727+BMILMS!$G$31,BMILMS!$D$32*AG727^3+BMILMS!$E$32*AG727^2+BMILMS!$F$32*AG727+BMILMS!$G$32)))))))</f>
        <v>12.568967990000001</v>
      </c>
      <c r="AF727" s="24">
        <f>IF(D727="M",(IF(AG727&lt;90,BMILMS!$D$14*AG727^3+BMILMS!$E$14*AG727^2+BMILMS!$F$14*AG727+BMILMS!$G$14,BMILMS!$D$15*AG727^3+BMILMS!$E$15*AG727^2+BMILMS!$F$15*AG727+BMILMS!$G$15)),(IF(AG727&lt;90,BMILMS!$D$17*AG727^3+BMILMS!$E$17*AG727^2+BMILMS!$F$17*AG727+BMILMS!$G$17,BMILMS!$D$18*AG727^3+BMILMS!$E$18*AG727^2+BMILMS!$F$18*AG727+BMILMS!$G$18)))</f>
        <v>8.8969350000000003E-2</v>
      </c>
      <c r="AG727" s="24">
        <f t="shared" si="192"/>
        <v>0</v>
      </c>
      <c r="AI727" s="38">
        <f>IF(D727="M",WeightSDS!P$5*$AG727^7+WeightSDS!Q$5*$AG727^6+WeightSDS!R$5*$AG727^5+WeightSDS!S$5*$AG727^4+WeightSDS!T$5*$AG727^3+WeightSDS!U$5*$AG727^2+WeightSDS!V$5*$AG727+WeightSDS!W$5,IF($AG727&lt;186,WeightSDS!P$8*$AG727^7+WeightSDS!Q$8*$AG727^6+WeightSDS!R$8*$AG727^5+WeightSDS!S$8*$AG727^4+WeightSDS!T$8*$AG727^3+WeightSDS!U$8*$AG727^2+WeightSDS!V$8*$AG727+WeightSDS!W$8,WeightSDS!$U$9-WeightSDS!$V$9*($AG727-WeightSDS!$W$9)))</f>
        <v>0.75407122999999998</v>
      </c>
      <c r="AJ727" s="24">
        <f>IF(D727="M",IF($AG727&lt;45,WeightSDS!M$23*$AG727^10+WeightSDS!N$23*$AG727^9+WeightSDS!O$23*$AG727^8+WeightSDS!P$23*$AG727^7+WeightSDS!Q$23*$AG727^6+WeightSDS!R$23*$AG727^5+WeightSDS!S$23*$AG727^4+WeightSDS!T$23*$AG727^3+WeightSDS!U$23*$AG727^2+WeightSDS!V$23*$AG727+WeightSDS!W$23,IF($AG727&lt;153,WeightSDS!M$25*$AG727^10+WeightSDS!N$25*$AG727^9+WeightSDS!O$25*$AG727^8+WeightSDS!P$25*$AG727^7+WeightSDS!Q$25*$AG727^6+WeightSDS!R$25*$AG727^5+WeightSDS!S$25*$AG727^4+WeightSDS!T$25*$AG727^3+WeightSDS!U$25*$AG727^2+WeightSDS!V$25*$AG727+WeightSDS!W$25,WeightSDS!M$27+WeightSDS!N$27/(1+EXP(WeightSDS!O$27+WeightSDS!P$27*$AG727)))),IF($AG727&lt;43.8,WeightSDS!M$29*$AG727^10+WeightSDS!N$29*$AG727^9+WeightSDS!O$29*$AG727^8+WeightSDS!P$29*$AG727^7+WeightSDS!Q$29*$AG727^6+WeightSDS!R$29*$AG727^5+WeightSDS!S$29*$AG727^4+WeightSDS!T$29*$AG727^3+WeightSDS!U$29*$AG727^2+WeightSDS!V$29*$AG727+WeightSDS!W$29-0.010431*(1-$AG727/210),IF($AG727&lt;123,WeightSDS!M$30*$AG727^10+WeightSDS!N$30*$AG727^9+WeightSDS!O$30*$AG727^8+WeightSDS!P$30*$AG727^7+WeightSDS!Q$30*$AG727^6+WeightSDS!R$30*$AG727^5+WeightSDS!S$30*$AG727^4+WeightSDS!T$30*$AG727^3+WeightSDS!U$30*$AG727^2+WeightSDS!V$30*$AG727+WeightSDS!W$30-0.010431*(1-1/$AG727),WeightSDS!M$32+WeightSDS!N$32/(1+EXP(WeightSDS!O$32+WeightSDS!P$32*$AG727))-0.010431*(1-$AG727/210))))</f>
        <v>2.9500001032655536</v>
      </c>
      <c r="AK727" s="24">
        <f>IF(D727="M",IF($AG727&lt;162,WeightSDS!P$12*$AG727^7+WeightSDS!Q$12*$AG727^6+WeightSDS!R$12*$AG727^5+WeightSDS!S$12*$AG727^4+WeightSDS!T$12*$AG727^3+WeightSDS!U$12*$AG727^2+WeightSDS!V$12*$AG727+WeightSDS!W$12,WeightSDS!P$14*$AG727^7+WeightSDS!Q$14*$AG727^6+WeightSDS!R$14*$AG727^5+WeightSDS!S$14*$AG727^4+WeightSDS!T$14*$AG727^3+WeightSDS!U$14*$AG727^2+WeightSDS!V$14*$AG727+WeightSDS!W$14),IF($AG727&lt;156,WeightSDS!O$17*$AG727^8+WeightSDS!P$17*$AG727^7+WeightSDS!Q$17*$AG727^6+WeightSDS!R$17*$AG727^5+WeightSDS!S$17*$AG727^4+WeightSDS!T$17*$AG727^3+WeightSDS!U$17*$AG727^2+WeightSDS!V$17*$AG727+WeightSDS!W$17,IF($AG727&lt;186,WeightSDS!$U$18+(WeightSDS!$V$18-WeightSDS!$U$18)/24*($AG727-186)+WeightSDS!$W$18*(-$AG727+186)^2-0.005,WeightSDS!$U$18+(WeightSDS!$V$18-WeightSDS!$U$18)/24*($AG727-186)-0.005)))</f>
        <v>0.14604529399999999</v>
      </c>
    </row>
    <row r="728" spans="1:37">
      <c r="A728" s="4"/>
      <c r="B728" s="21"/>
      <c r="C728" s="21"/>
      <c r="D728" s="21"/>
      <c r="E728" s="22"/>
      <c r="F728" s="22"/>
      <c r="G728" s="23"/>
      <c r="H728" s="23"/>
      <c r="I728" s="8" t="str">
        <f t="shared" si="178"/>
        <v/>
      </c>
      <c r="J728" s="2" t="str">
        <f t="shared" si="185"/>
        <v/>
      </c>
      <c r="K728" s="2" t="str">
        <f t="shared" si="179"/>
        <v/>
      </c>
      <c r="L728" s="2" t="str">
        <f t="shared" si="186"/>
        <v/>
      </c>
      <c r="M728" s="2" t="str">
        <f t="shared" si="191"/>
        <v/>
      </c>
      <c r="N728" s="2" t="str">
        <f t="shared" si="187"/>
        <v/>
      </c>
      <c r="O728" s="8" t="str">
        <f t="shared" si="188"/>
        <v/>
      </c>
      <c r="P728" s="8" t="str">
        <f t="shared" si="189"/>
        <v/>
      </c>
      <c r="Q728" s="40" t="str">
        <f t="shared" si="180"/>
        <v/>
      </c>
      <c r="R728" s="48" t="str">
        <f t="shared" si="190"/>
        <v/>
      </c>
      <c r="S728" s="8"/>
      <c r="U728" s="35">
        <f t="shared" si="181"/>
        <v>0</v>
      </c>
      <c r="V728" s="24">
        <f t="shared" si="182"/>
        <v>0</v>
      </c>
      <c r="W728" s="41">
        <f t="shared" si="177"/>
        <v>0</v>
      </c>
      <c r="X728" s="31"/>
      <c r="Y728" s="31"/>
      <c r="Z728" s="31"/>
      <c r="AA728" s="25">
        <f t="shared" si="183"/>
        <v>9.0359999999999996</v>
      </c>
      <c r="AB728" s="25">
        <f t="shared" si="184"/>
        <v>-184.49199999999999</v>
      </c>
      <c r="AD728" s="24">
        <f>IF(D728="M",IF(AG728&lt;78,BMILMS!$D$5*AG728^3+BMILMS!$E$5*AG728^2+BMILMS!$F$5*AG728+BMILMS!$G$5,IF(AG728&lt;150,BMILMS!$D$6*AG728^3+BMILMS!$E$6*AG728^2+BMILMS!$F$6*AG728+BMILMS!$G$6,BMILMS!$D$7*AG728^3+BMILMS!$E$7*AG728^2+BMILMS!$F$7*AG728+BMILMS!$G$7)),IF(AG728&lt;69,BMILMS!$D$9*AG728^3+BMILMS!$E$9*AG728^2+BMILMS!$F$9*AG728+BMILMS!$G$9,IF(AG728&lt;150,BMILMS!$D$10*AG728^3+BMILMS!$E$10*AG728^2+BMILMS!$F$10*AG728+BMILMS!$G$10,BMILMS!$D$11*AG728^3+BMILMS!$E$11*AG728^2+BMILMS!$F$11*AG728+BMILMS!$G$11)))</f>
        <v>0.79584630099999998</v>
      </c>
      <c r="AE728" s="24">
        <f>IF(D728="M",(IF(AG728&lt;2.5,BMILMS!$D$21*AG728^3+BMILMS!$E$21*AG728^2+BMILMS!$F$21*AG728+BMILMS!$G$21,IF(AG728&lt;9.5,BMILMS!$D$22*AG728^3+BMILMS!$E$22*AG728^2+BMILMS!$F$22*AG728+BMILMS!$G$22,IF(AG728&lt;26.75,BMILMS!$D$23*AG728^3+BMILMS!$E$23*AG728^2+BMILMS!$F$23*AG728+BMILMS!$G$23,IF(AG728&lt;90,BMILMS!$D$24*AG728^3+BMILMS!$E$24*AG728^2+BMILMS!$F$24*AG728+BMILMS!$G$24,BMILMS!$D$25*AG728^3+BMILMS!$E$25*AG728^2+BMILMS!$F$25*AG728+BMILMS!$G$25))))),(IF(AG728&lt;2.5,BMILMS!$D$27*AG728^3+BMILMS!$E$27*AG728^2+BMILMS!$F$27*AG728+BMILMS!$G$27,IF(AG728&lt;9.5,BMILMS!$D$28*AG728^3+BMILMS!$E$28*AG728^2+BMILMS!$F$28*AG728+BMILMS!$G$28,IF(AG728&lt;26.75,BMILMS!$D$29*AG728^3+BMILMS!$E$29*AG728^2+BMILMS!$F$29*AG728+BMILMS!$G$29,IF(AG728&lt;90,BMILMS!$D$30*AG728^3+BMILMS!$E$30*AG728^2+BMILMS!$F$30*AG728+BMILMS!$G$30,IF(AG728&lt;150,BMILMS!$D$31*AG728^3+BMILMS!$E$31*AG728^2+BMILMS!$F$31*AG728+BMILMS!$G$31,BMILMS!$D$32*AG728^3+BMILMS!$E$32*AG728^2+BMILMS!$F$32*AG728+BMILMS!$G$32)))))))</f>
        <v>12.568967990000001</v>
      </c>
      <c r="AF728" s="24">
        <f>IF(D728="M",(IF(AG728&lt;90,BMILMS!$D$14*AG728^3+BMILMS!$E$14*AG728^2+BMILMS!$F$14*AG728+BMILMS!$G$14,BMILMS!$D$15*AG728^3+BMILMS!$E$15*AG728^2+BMILMS!$F$15*AG728+BMILMS!$G$15)),(IF(AG728&lt;90,BMILMS!$D$17*AG728^3+BMILMS!$E$17*AG728^2+BMILMS!$F$17*AG728+BMILMS!$G$17,BMILMS!$D$18*AG728^3+BMILMS!$E$18*AG728^2+BMILMS!$F$18*AG728+BMILMS!$G$18)))</f>
        <v>8.8969350000000003E-2</v>
      </c>
      <c r="AG728" s="24">
        <f t="shared" si="192"/>
        <v>0</v>
      </c>
      <c r="AI728" s="38">
        <f>IF(D728="M",WeightSDS!P$5*$AG728^7+WeightSDS!Q$5*$AG728^6+WeightSDS!R$5*$AG728^5+WeightSDS!S$5*$AG728^4+WeightSDS!T$5*$AG728^3+WeightSDS!U$5*$AG728^2+WeightSDS!V$5*$AG728+WeightSDS!W$5,IF($AG728&lt;186,WeightSDS!P$8*$AG728^7+WeightSDS!Q$8*$AG728^6+WeightSDS!R$8*$AG728^5+WeightSDS!S$8*$AG728^4+WeightSDS!T$8*$AG728^3+WeightSDS!U$8*$AG728^2+WeightSDS!V$8*$AG728+WeightSDS!W$8,WeightSDS!$U$9-WeightSDS!$V$9*($AG728-WeightSDS!$W$9)))</f>
        <v>0.75407122999999998</v>
      </c>
      <c r="AJ728" s="24">
        <f>IF(D728="M",IF($AG728&lt;45,WeightSDS!M$23*$AG728^10+WeightSDS!N$23*$AG728^9+WeightSDS!O$23*$AG728^8+WeightSDS!P$23*$AG728^7+WeightSDS!Q$23*$AG728^6+WeightSDS!R$23*$AG728^5+WeightSDS!S$23*$AG728^4+WeightSDS!T$23*$AG728^3+WeightSDS!U$23*$AG728^2+WeightSDS!V$23*$AG728+WeightSDS!W$23,IF($AG728&lt;153,WeightSDS!M$25*$AG728^10+WeightSDS!N$25*$AG728^9+WeightSDS!O$25*$AG728^8+WeightSDS!P$25*$AG728^7+WeightSDS!Q$25*$AG728^6+WeightSDS!R$25*$AG728^5+WeightSDS!S$25*$AG728^4+WeightSDS!T$25*$AG728^3+WeightSDS!U$25*$AG728^2+WeightSDS!V$25*$AG728+WeightSDS!W$25,WeightSDS!M$27+WeightSDS!N$27/(1+EXP(WeightSDS!O$27+WeightSDS!P$27*$AG728)))),IF($AG728&lt;43.8,WeightSDS!M$29*$AG728^10+WeightSDS!N$29*$AG728^9+WeightSDS!O$29*$AG728^8+WeightSDS!P$29*$AG728^7+WeightSDS!Q$29*$AG728^6+WeightSDS!R$29*$AG728^5+WeightSDS!S$29*$AG728^4+WeightSDS!T$29*$AG728^3+WeightSDS!U$29*$AG728^2+WeightSDS!V$29*$AG728+WeightSDS!W$29-0.010431*(1-$AG728/210),IF($AG728&lt;123,WeightSDS!M$30*$AG728^10+WeightSDS!N$30*$AG728^9+WeightSDS!O$30*$AG728^8+WeightSDS!P$30*$AG728^7+WeightSDS!Q$30*$AG728^6+WeightSDS!R$30*$AG728^5+WeightSDS!S$30*$AG728^4+WeightSDS!T$30*$AG728^3+WeightSDS!U$30*$AG728^2+WeightSDS!V$30*$AG728+WeightSDS!W$30-0.010431*(1-1/$AG728),WeightSDS!M$32+WeightSDS!N$32/(1+EXP(WeightSDS!O$32+WeightSDS!P$32*$AG728))-0.010431*(1-$AG728/210))))</f>
        <v>2.9500001032655536</v>
      </c>
      <c r="AK728" s="24">
        <f>IF(D728="M",IF($AG728&lt;162,WeightSDS!P$12*$AG728^7+WeightSDS!Q$12*$AG728^6+WeightSDS!R$12*$AG728^5+WeightSDS!S$12*$AG728^4+WeightSDS!T$12*$AG728^3+WeightSDS!U$12*$AG728^2+WeightSDS!V$12*$AG728+WeightSDS!W$12,WeightSDS!P$14*$AG728^7+WeightSDS!Q$14*$AG728^6+WeightSDS!R$14*$AG728^5+WeightSDS!S$14*$AG728^4+WeightSDS!T$14*$AG728^3+WeightSDS!U$14*$AG728^2+WeightSDS!V$14*$AG728+WeightSDS!W$14),IF($AG728&lt;156,WeightSDS!O$17*$AG728^8+WeightSDS!P$17*$AG728^7+WeightSDS!Q$17*$AG728^6+WeightSDS!R$17*$AG728^5+WeightSDS!S$17*$AG728^4+WeightSDS!T$17*$AG728^3+WeightSDS!U$17*$AG728^2+WeightSDS!V$17*$AG728+WeightSDS!W$17,IF($AG728&lt;186,WeightSDS!$U$18+(WeightSDS!$V$18-WeightSDS!$U$18)/24*($AG728-186)+WeightSDS!$W$18*(-$AG728+186)^2-0.005,WeightSDS!$U$18+(WeightSDS!$V$18-WeightSDS!$U$18)/24*($AG728-186)-0.005)))</f>
        <v>0.14604529399999999</v>
      </c>
    </row>
    <row r="729" spans="1:37">
      <c r="A729" s="4"/>
      <c r="B729" s="21"/>
      <c r="C729" s="21"/>
      <c r="D729" s="21"/>
      <c r="E729" s="22"/>
      <c r="F729" s="22"/>
      <c r="G729" s="23"/>
      <c r="H729" s="23"/>
      <c r="I729" s="8" t="str">
        <f t="shared" si="178"/>
        <v/>
      </c>
      <c r="J729" s="2" t="str">
        <f t="shared" si="185"/>
        <v/>
      </c>
      <c r="K729" s="2" t="str">
        <f t="shared" si="179"/>
        <v/>
      </c>
      <c r="L729" s="2" t="str">
        <f t="shared" si="186"/>
        <v/>
      </c>
      <c r="M729" s="2" t="str">
        <f t="shared" si="191"/>
        <v/>
      </c>
      <c r="N729" s="2" t="str">
        <f t="shared" si="187"/>
        <v/>
      </c>
      <c r="O729" s="8" t="str">
        <f t="shared" si="188"/>
        <v/>
      </c>
      <c r="P729" s="8" t="str">
        <f t="shared" si="189"/>
        <v/>
      </c>
      <c r="Q729" s="40" t="str">
        <f t="shared" si="180"/>
        <v/>
      </c>
      <c r="R729" s="48" t="str">
        <f t="shared" si="190"/>
        <v/>
      </c>
      <c r="S729" s="8"/>
      <c r="U729" s="35">
        <f t="shared" si="181"/>
        <v>0</v>
      </c>
      <c r="V729" s="24">
        <f t="shared" si="182"/>
        <v>0</v>
      </c>
      <c r="W729" s="41">
        <f t="shared" si="177"/>
        <v>0</v>
      </c>
      <c r="X729" s="31"/>
      <c r="Y729" s="31"/>
      <c r="Z729" s="31"/>
      <c r="AA729" s="25">
        <f t="shared" si="183"/>
        <v>9.0359999999999996</v>
      </c>
      <c r="AB729" s="25">
        <f t="shared" si="184"/>
        <v>-184.49199999999999</v>
      </c>
      <c r="AD729" s="24">
        <f>IF(D729="M",IF(AG729&lt;78,BMILMS!$D$5*AG729^3+BMILMS!$E$5*AG729^2+BMILMS!$F$5*AG729+BMILMS!$G$5,IF(AG729&lt;150,BMILMS!$D$6*AG729^3+BMILMS!$E$6*AG729^2+BMILMS!$F$6*AG729+BMILMS!$G$6,BMILMS!$D$7*AG729^3+BMILMS!$E$7*AG729^2+BMILMS!$F$7*AG729+BMILMS!$G$7)),IF(AG729&lt;69,BMILMS!$D$9*AG729^3+BMILMS!$E$9*AG729^2+BMILMS!$F$9*AG729+BMILMS!$G$9,IF(AG729&lt;150,BMILMS!$D$10*AG729^3+BMILMS!$E$10*AG729^2+BMILMS!$F$10*AG729+BMILMS!$G$10,BMILMS!$D$11*AG729^3+BMILMS!$E$11*AG729^2+BMILMS!$F$11*AG729+BMILMS!$G$11)))</f>
        <v>0.79584630099999998</v>
      </c>
      <c r="AE729" s="24">
        <f>IF(D729="M",(IF(AG729&lt;2.5,BMILMS!$D$21*AG729^3+BMILMS!$E$21*AG729^2+BMILMS!$F$21*AG729+BMILMS!$G$21,IF(AG729&lt;9.5,BMILMS!$D$22*AG729^3+BMILMS!$E$22*AG729^2+BMILMS!$F$22*AG729+BMILMS!$G$22,IF(AG729&lt;26.75,BMILMS!$D$23*AG729^3+BMILMS!$E$23*AG729^2+BMILMS!$F$23*AG729+BMILMS!$G$23,IF(AG729&lt;90,BMILMS!$D$24*AG729^3+BMILMS!$E$24*AG729^2+BMILMS!$F$24*AG729+BMILMS!$G$24,BMILMS!$D$25*AG729^3+BMILMS!$E$25*AG729^2+BMILMS!$F$25*AG729+BMILMS!$G$25))))),(IF(AG729&lt;2.5,BMILMS!$D$27*AG729^3+BMILMS!$E$27*AG729^2+BMILMS!$F$27*AG729+BMILMS!$G$27,IF(AG729&lt;9.5,BMILMS!$D$28*AG729^3+BMILMS!$E$28*AG729^2+BMILMS!$F$28*AG729+BMILMS!$G$28,IF(AG729&lt;26.75,BMILMS!$D$29*AG729^3+BMILMS!$E$29*AG729^2+BMILMS!$F$29*AG729+BMILMS!$G$29,IF(AG729&lt;90,BMILMS!$D$30*AG729^3+BMILMS!$E$30*AG729^2+BMILMS!$F$30*AG729+BMILMS!$G$30,IF(AG729&lt;150,BMILMS!$D$31*AG729^3+BMILMS!$E$31*AG729^2+BMILMS!$F$31*AG729+BMILMS!$G$31,BMILMS!$D$32*AG729^3+BMILMS!$E$32*AG729^2+BMILMS!$F$32*AG729+BMILMS!$G$32)))))))</f>
        <v>12.568967990000001</v>
      </c>
      <c r="AF729" s="24">
        <f>IF(D729="M",(IF(AG729&lt;90,BMILMS!$D$14*AG729^3+BMILMS!$E$14*AG729^2+BMILMS!$F$14*AG729+BMILMS!$G$14,BMILMS!$D$15*AG729^3+BMILMS!$E$15*AG729^2+BMILMS!$F$15*AG729+BMILMS!$G$15)),(IF(AG729&lt;90,BMILMS!$D$17*AG729^3+BMILMS!$E$17*AG729^2+BMILMS!$F$17*AG729+BMILMS!$G$17,BMILMS!$D$18*AG729^3+BMILMS!$E$18*AG729^2+BMILMS!$F$18*AG729+BMILMS!$G$18)))</f>
        <v>8.8969350000000003E-2</v>
      </c>
      <c r="AG729" s="24">
        <f t="shared" si="192"/>
        <v>0</v>
      </c>
      <c r="AI729" s="38">
        <f>IF(D729="M",WeightSDS!P$5*$AG729^7+WeightSDS!Q$5*$AG729^6+WeightSDS!R$5*$AG729^5+WeightSDS!S$5*$AG729^4+WeightSDS!T$5*$AG729^3+WeightSDS!U$5*$AG729^2+WeightSDS!V$5*$AG729+WeightSDS!W$5,IF($AG729&lt;186,WeightSDS!P$8*$AG729^7+WeightSDS!Q$8*$AG729^6+WeightSDS!R$8*$AG729^5+WeightSDS!S$8*$AG729^4+WeightSDS!T$8*$AG729^3+WeightSDS!U$8*$AG729^2+WeightSDS!V$8*$AG729+WeightSDS!W$8,WeightSDS!$U$9-WeightSDS!$V$9*($AG729-WeightSDS!$W$9)))</f>
        <v>0.75407122999999998</v>
      </c>
      <c r="AJ729" s="24">
        <f>IF(D729="M",IF($AG729&lt;45,WeightSDS!M$23*$AG729^10+WeightSDS!N$23*$AG729^9+WeightSDS!O$23*$AG729^8+WeightSDS!P$23*$AG729^7+WeightSDS!Q$23*$AG729^6+WeightSDS!R$23*$AG729^5+WeightSDS!S$23*$AG729^4+WeightSDS!T$23*$AG729^3+WeightSDS!U$23*$AG729^2+WeightSDS!V$23*$AG729+WeightSDS!W$23,IF($AG729&lt;153,WeightSDS!M$25*$AG729^10+WeightSDS!N$25*$AG729^9+WeightSDS!O$25*$AG729^8+WeightSDS!P$25*$AG729^7+WeightSDS!Q$25*$AG729^6+WeightSDS!R$25*$AG729^5+WeightSDS!S$25*$AG729^4+WeightSDS!T$25*$AG729^3+WeightSDS!U$25*$AG729^2+WeightSDS!V$25*$AG729+WeightSDS!W$25,WeightSDS!M$27+WeightSDS!N$27/(1+EXP(WeightSDS!O$27+WeightSDS!P$27*$AG729)))),IF($AG729&lt;43.8,WeightSDS!M$29*$AG729^10+WeightSDS!N$29*$AG729^9+WeightSDS!O$29*$AG729^8+WeightSDS!P$29*$AG729^7+WeightSDS!Q$29*$AG729^6+WeightSDS!R$29*$AG729^5+WeightSDS!S$29*$AG729^4+WeightSDS!T$29*$AG729^3+WeightSDS!U$29*$AG729^2+WeightSDS!V$29*$AG729+WeightSDS!W$29-0.010431*(1-$AG729/210),IF($AG729&lt;123,WeightSDS!M$30*$AG729^10+WeightSDS!N$30*$AG729^9+WeightSDS!O$30*$AG729^8+WeightSDS!P$30*$AG729^7+WeightSDS!Q$30*$AG729^6+WeightSDS!R$30*$AG729^5+WeightSDS!S$30*$AG729^4+WeightSDS!T$30*$AG729^3+WeightSDS!U$30*$AG729^2+WeightSDS!V$30*$AG729+WeightSDS!W$30-0.010431*(1-1/$AG729),WeightSDS!M$32+WeightSDS!N$32/(1+EXP(WeightSDS!O$32+WeightSDS!P$32*$AG729))-0.010431*(1-$AG729/210))))</f>
        <v>2.9500001032655536</v>
      </c>
      <c r="AK729" s="24">
        <f>IF(D729="M",IF($AG729&lt;162,WeightSDS!P$12*$AG729^7+WeightSDS!Q$12*$AG729^6+WeightSDS!R$12*$AG729^5+WeightSDS!S$12*$AG729^4+WeightSDS!T$12*$AG729^3+WeightSDS!U$12*$AG729^2+WeightSDS!V$12*$AG729+WeightSDS!W$12,WeightSDS!P$14*$AG729^7+WeightSDS!Q$14*$AG729^6+WeightSDS!R$14*$AG729^5+WeightSDS!S$14*$AG729^4+WeightSDS!T$14*$AG729^3+WeightSDS!U$14*$AG729^2+WeightSDS!V$14*$AG729+WeightSDS!W$14),IF($AG729&lt;156,WeightSDS!O$17*$AG729^8+WeightSDS!P$17*$AG729^7+WeightSDS!Q$17*$AG729^6+WeightSDS!R$17*$AG729^5+WeightSDS!S$17*$AG729^4+WeightSDS!T$17*$AG729^3+WeightSDS!U$17*$AG729^2+WeightSDS!V$17*$AG729+WeightSDS!W$17,IF($AG729&lt;186,WeightSDS!$U$18+(WeightSDS!$V$18-WeightSDS!$U$18)/24*($AG729-186)+WeightSDS!$W$18*(-$AG729+186)^2-0.005,WeightSDS!$U$18+(WeightSDS!$V$18-WeightSDS!$U$18)/24*($AG729-186)-0.005)))</f>
        <v>0.14604529399999999</v>
      </c>
    </row>
    <row r="730" spans="1:37">
      <c r="A730" s="4"/>
      <c r="B730" s="21"/>
      <c r="C730" s="21"/>
      <c r="D730" s="21"/>
      <c r="E730" s="22"/>
      <c r="F730" s="22"/>
      <c r="G730" s="23"/>
      <c r="H730" s="23"/>
      <c r="I730" s="8" t="str">
        <f t="shared" si="178"/>
        <v/>
      </c>
      <c r="J730" s="2" t="str">
        <f t="shared" si="185"/>
        <v/>
      </c>
      <c r="K730" s="2" t="str">
        <f t="shared" si="179"/>
        <v/>
      </c>
      <c r="L730" s="2" t="str">
        <f t="shared" si="186"/>
        <v/>
      </c>
      <c r="M730" s="2" t="str">
        <f t="shared" si="191"/>
        <v/>
      </c>
      <c r="N730" s="2" t="str">
        <f t="shared" si="187"/>
        <v/>
      </c>
      <c r="O730" s="8" t="str">
        <f t="shared" si="188"/>
        <v/>
      </c>
      <c r="P730" s="8" t="str">
        <f t="shared" si="189"/>
        <v/>
      </c>
      <c r="Q730" s="40" t="str">
        <f t="shared" si="180"/>
        <v/>
      </c>
      <c r="R730" s="48" t="str">
        <f t="shared" si="190"/>
        <v/>
      </c>
      <c r="S730" s="8"/>
      <c r="U730" s="35">
        <f t="shared" si="181"/>
        <v>0</v>
      </c>
      <c r="V730" s="24">
        <f t="shared" si="182"/>
        <v>0</v>
      </c>
      <c r="W730" s="41">
        <f t="shared" si="177"/>
        <v>0</v>
      </c>
      <c r="X730" s="31"/>
      <c r="Y730" s="31"/>
      <c r="Z730" s="31"/>
      <c r="AA730" s="25">
        <f t="shared" si="183"/>
        <v>9.0359999999999996</v>
      </c>
      <c r="AB730" s="25">
        <f t="shared" si="184"/>
        <v>-184.49199999999999</v>
      </c>
      <c r="AD730" s="24">
        <f>IF(D730="M",IF(AG730&lt;78,BMILMS!$D$5*AG730^3+BMILMS!$E$5*AG730^2+BMILMS!$F$5*AG730+BMILMS!$G$5,IF(AG730&lt;150,BMILMS!$D$6*AG730^3+BMILMS!$E$6*AG730^2+BMILMS!$F$6*AG730+BMILMS!$G$6,BMILMS!$D$7*AG730^3+BMILMS!$E$7*AG730^2+BMILMS!$F$7*AG730+BMILMS!$G$7)),IF(AG730&lt;69,BMILMS!$D$9*AG730^3+BMILMS!$E$9*AG730^2+BMILMS!$F$9*AG730+BMILMS!$G$9,IF(AG730&lt;150,BMILMS!$D$10*AG730^3+BMILMS!$E$10*AG730^2+BMILMS!$F$10*AG730+BMILMS!$G$10,BMILMS!$D$11*AG730^3+BMILMS!$E$11*AG730^2+BMILMS!$F$11*AG730+BMILMS!$G$11)))</f>
        <v>0.79584630099999998</v>
      </c>
      <c r="AE730" s="24">
        <f>IF(D730="M",(IF(AG730&lt;2.5,BMILMS!$D$21*AG730^3+BMILMS!$E$21*AG730^2+BMILMS!$F$21*AG730+BMILMS!$G$21,IF(AG730&lt;9.5,BMILMS!$D$22*AG730^3+BMILMS!$E$22*AG730^2+BMILMS!$F$22*AG730+BMILMS!$G$22,IF(AG730&lt;26.75,BMILMS!$D$23*AG730^3+BMILMS!$E$23*AG730^2+BMILMS!$F$23*AG730+BMILMS!$G$23,IF(AG730&lt;90,BMILMS!$D$24*AG730^3+BMILMS!$E$24*AG730^2+BMILMS!$F$24*AG730+BMILMS!$G$24,BMILMS!$D$25*AG730^3+BMILMS!$E$25*AG730^2+BMILMS!$F$25*AG730+BMILMS!$G$25))))),(IF(AG730&lt;2.5,BMILMS!$D$27*AG730^3+BMILMS!$E$27*AG730^2+BMILMS!$F$27*AG730+BMILMS!$G$27,IF(AG730&lt;9.5,BMILMS!$D$28*AG730^3+BMILMS!$E$28*AG730^2+BMILMS!$F$28*AG730+BMILMS!$G$28,IF(AG730&lt;26.75,BMILMS!$D$29*AG730^3+BMILMS!$E$29*AG730^2+BMILMS!$F$29*AG730+BMILMS!$G$29,IF(AG730&lt;90,BMILMS!$D$30*AG730^3+BMILMS!$E$30*AG730^2+BMILMS!$F$30*AG730+BMILMS!$G$30,IF(AG730&lt;150,BMILMS!$D$31*AG730^3+BMILMS!$E$31*AG730^2+BMILMS!$F$31*AG730+BMILMS!$G$31,BMILMS!$D$32*AG730^3+BMILMS!$E$32*AG730^2+BMILMS!$F$32*AG730+BMILMS!$G$32)))))))</f>
        <v>12.568967990000001</v>
      </c>
      <c r="AF730" s="24">
        <f>IF(D730="M",(IF(AG730&lt;90,BMILMS!$D$14*AG730^3+BMILMS!$E$14*AG730^2+BMILMS!$F$14*AG730+BMILMS!$G$14,BMILMS!$D$15*AG730^3+BMILMS!$E$15*AG730^2+BMILMS!$F$15*AG730+BMILMS!$G$15)),(IF(AG730&lt;90,BMILMS!$D$17*AG730^3+BMILMS!$E$17*AG730^2+BMILMS!$F$17*AG730+BMILMS!$G$17,BMILMS!$D$18*AG730^3+BMILMS!$E$18*AG730^2+BMILMS!$F$18*AG730+BMILMS!$G$18)))</f>
        <v>8.8969350000000003E-2</v>
      </c>
      <c r="AG730" s="24">
        <f t="shared" si="192"/>
        <v>0</v>
      </c>
      <c r="AI730" s="38">
        <f>IF(D730="M",WeightSDS!P$5*$AG730^7+WeightSDS!Q$5*$AG730^6+WeightSDS!R$5*$AG730^5+WeightSDS!S$5*$AG730^4+WeightSDS!T$5*$AG730^3+WeightSDS!U$5*$AG730^2+WeightSDS!V$5*$AG730+WeightSDS!W$5,IF($AG730&lt;186,WeightSDS!P$8*$AG730^7+WeightSDS!Q$8*$AG730^6+WeightSDS!R$8*$AG730^5+WeightSDS!S$8*$AG730^4+WeightSDS!T$8*$AG730^3+WeightSDS!U$8*$AG730^2+WeightSDS!V$8*$AG730+WeightSDS!W$8,WeightSDS!$U$9-WeightSDS!$V$9*($AG730-WeightSDS!$W$9)))</f>
        <v>0.75407122999999998</v>
      </c>
      <c r="AJ730" s="24">
        <f>IF(D730="M",IF($AG730&lt;45,WeightSDS!M$23*$AG730^10+WeightSDS!N$23*$AG730^9+WeightSDS!O$23*$AG730^8+WeightSDS!P$23*$AG730^7+WeightSDS!Q$23*$AG730^6+WeightSDS!R$23*$AG730^5+WeightSDS!S$23*$AG730^4+WeightSDS!T$23*$AG730^3+WeightSDS!U$23*$AG730^2+WeightSDS!V$23*$AG730+WeightSDS!W$23,IF($AG730&lt;153,WeightSDS!M$25*$AG730^10+WeightSDS!N$25*$AG730^9+WeightSDS!O$25*$AG730^8+WeightSDS!P$25*$AG730^7+WeightSDS!Q$25*$AG730^6+WeightSDS!R$25*$AG730^5+WeightSDS!S$25*$AG730^4+WeightSDS!T$25*$AG730^3+WeightSDS!U$25*$AG730^2+WeightSDS!V$25*$AG730+WeightSDS!W$25,WeightSDS!M$27+WeightSDS!N$27/(1+EXP(WeightSDS!O$27+WeightSDS!P$27*$AG730)))),IF($AG730&lt;43.8,WeightSDS!M$29*$AG730^10+WeightSDS!N$29*$AG730^9+WeightSDS!O$29*$AG730^8+WeightSDS!P$29*$AG730^7+WeightSDS!Q$29*$AG730^6+WeightSDS!R$29*$AG730^5+WeightSDS!S$29*$AG730^4+WeightSDS!T$29*$AG730^3+WeightSDS!U$29*$AG730^2+WeightSDS!V$29*$AG730+WeightSDS!W$29-0.010431*(1-$AG730/210),IF($AG730&lt;123,WeightSDS!M$30*$AG730^10+WeightSDS!N$30*$AG730^9+WeightSDS!O$30*$AG730^8+WeightSDS!P$30*$AG730^7+WeightSDS!Q$30*$AG730^6+WeightSDS!R$30*$AG730^5+WeightSDS!S$30*$AG730^4+WeightSDS!T$30*$AG730^3+WeightSDS!U$30*$AG730^2+WeightSDS!V$30*$AG730+WeightSDS!W$30-0.010431*(1-1/$AG730),WeightSDS!M$32+WeightSDS!N$32/(1+EXP(WeightSDS!O$32+WeightSDS!P$32*$AG730))-0.010431*(1-$AG730/210))))</f>
        <v>2.9500001032655536</v>
      </c>
      <c r="AK730" s="24">
        <f>IF(D730="M",IF($AG730&lt;162,WeightSDS!P$12*$AG730^7+WeightSDS!Q$12*$AG730^6+WeightSDS!R$12*$AG730^5+WeightSDS!S$12*$AG730^4+WeightSDS!T$12*$AG730^3+WeightSDS!U$12*$AG730^2+WeightSDS!V$12*$AG730+WeightSDS!W$12,WeightSDS!P$14*$AG730^7+WeightSDS!Q$14*$AG730^6+WeightSDS!R$14*$AG730^5+WeightSDS!S$14*$AG730^4+WeightSDS!T$14*$AG730^3+WeightSDS!U$14*$AG730^2+WeightSDS!V$14*$AG730+WeightSDS!W$14),IF($AG730&lt;156,WeightSDS!O$17*$AG730^8+WeightSDS!P$17*$AG730^7+WeightSDS!Q$17*$AG730^6+WeightSDS!R$17*$AG730^5+WeightSDS!S$17*$AG730^4+WeightSDS!T$17*$AG730^3+WeightSDS!U$17*$AG730^2+WeightSDS!V$17*$AG730+WeightSDS!W$17,IF($AG730&lt;186,WeightSDS!$U$18+(WeightSDS!$V$18-WeightSDS!$U$18)/24*($AG730-186)+WeightSDS!$W$18*(-$AG730+186)^2-0.005,WeightSDS!$U$18+(WeightSDS!$V$18-WeightSDS!$U$18)/24*($AG730-186)-0.005)))</f>
        <v>0.14604529399999999</v>
      </c>
    </row>
    <row r="731" spans="1:37">
      <c r="A731" s="4"/>
      <c r="B731" s="21"/>
      <c r="C731" s="21"/>
      <c r="D731" s="21"/>
      <c r="E731" s="22"/>
      <c r="F731" s="22"/>
      <c r="G731" s="23"/>
      <c r="H731" s="23"/>
      <c r="I731" s="8" t="str">
        <f t="shared" si="178"/>
        <v/>
      </c>
      <c r="J731" s="2" t="str">
        <f t="shared" si="185"/>
        <v/>
      </c>
      <c r="K731" s="2" t="str">
        <f t="shared" si="179"/>
        <v/>
      </c>
      <c r="L731" s="2" t="str">
        <f t="shared" si="186"/>
        <v/>
      </c>
      <c r="M731" s="2" t="str">
        <f t="shared" si="191"/>
        <v/>
      </c>
      <c r="N731" s="2" t="str">
        <f t="shared" si="187"/>
        <v/>
      </c>
      <c r="O731" s="8" t="str">
        <f t="shared" si="188"/>
        <v/>
      </c>
      <c r="P731" s="8" t="str">
        <f t="shared" si="189"/>
        <v/>
      </c>
      <c r="Q731" s="40" t="str">
        <f t="shared" si="180"/>
        <v/>
      </c>
      <c r="R731" s="48" t="str">
        <f t="shared" si="190"/>
        <v/>
      </c>
      <c r="S731" s="8"/>
      <c r="U731" s="35">
        <f t="shared" si="181"/>
        <v>0</v>
      </c>
      <c r="V731" s="24">
        <f t="shared" si="182"/>
        <v>0</v>
      </c>
      <c r="W731" s="41">
        <f t="shared" si="177"/>
        <v>0</v>
      </c>
      <c r="X731" s="31"/>
      <c r="Y731" s="31"/>
      <c r="Z731" s="31"/>
      <c r="AA731" s="25">
        <f t="shared" si="183"/>
        <v>9.0359999999999996</v>
      </c>
      <c r="AB731" s="25">
        <f t="shared" si="184"/>
        <v>-184.49199999999999</v>
      </c>
      <c r="AD731" s="24">
        <f>IF(D731="M",IF(AG731&lt;78,BMILMS!$D$5*AG731^3+BMILMS!$E$5*AG731^2+BMILMS!$F$5*AG731+BMILMS!$G$5,IF(AG731&lt;150,BMILMS!$D$6*AG731^3+BMILMS!$E$6*AG731^2+BMILMS!$F$6*AG731+BMILMS!$G$6,BMILMS!$D$7*AG731^3+BMILMS!$E$7*AG731^2+BMILMS!$F$7*AG731+BMILMS!$G$7)),IF(AG731&lt;69,BMILMS!$D$9*AG731^3+BMILMS!$E$9*AG731^2+BMILMS!$F$9*AG731+BMILMS!$G$9,IF(AG731&lt;150,BMILMS!$D$10*AG731^3+BMILMS!$E$10*AG731^2+BMILMS!$F$10*AG731+BMILMS!$G$10,BMILMS!$D$11*AG731^3+BMILMS!$E$11*AG731^2+BMILMS!$F$11*AG731+BMILMS!$G$11)))</f>
        <v>0.79584630099999998</v>
      </c>
      <c r="AE731" s="24">
        <f>IF(D731="M",(IF(AG731&lt;2.5,BMILMS!$D$21*AG731^3+BMILMS!$E$21*AG731^2+BMILMS!$F$21*AG731+BMILMS!$G$21,IF(AG731&lt;9.5,BMILMS!$D$22*AG731^3+BMILMS!$E$22*AG731^2+BMILMS!$F$22*AG731+BMILMS!$G$22,IF(AG731&lt;26.75,BMILMS!$D$23*AG731^3+BMILMS!$E$23*AG731^2+BMILMS!$F$23*AG731+BMILMS!$G$23,IF(AG731&lt;90,BMILMS!$D$24*AG731^3+BMILMS!$E$24*AG731^2+BMILMS!$F$24*AG731+BMILMS!$G$24,BMILMS!$D$25*AG731^3+BMILMS!$E$25*AG731^2+BMILMS!$F$25*AG731+BMILMS!$G$25))))),(IF(AG731&lt;2.5,BMILMS!$D$27*AG731^3+BMILMS!$E$27*AG731^2+BMILMS!$F$27*AG731+BMILMS!$G$27,IF(AG731&lt;9.5,BMILMS!$D$28*AG731^3+BMILMS!$E$28*AG731^2+BMILMS!$F$28*AG731+BMILMS!$G$28,IF(AG731&lt;26.75,BMILMS!$D$29*AG731^3+BMILMS!$E$29*AG731^2+BMILMS!$F$29*AG731+BMILMS!$G$29,IF(AG731&lt;90,BMILMS!$D$30*AG731^3+BMILMS!$E$30*AG731^2+BMILMS!$F$30*AG731+BMILMS!$G$30,IF(AG731&lt;150,BMILMS!$D$31*AG731^3+BMILMS!$E$31*AG731^2+BMILMS!$F$31*AG731+BMILMS!$G$31,BMILMS!$D$32*AG731^3+BMILMS!$E$32*AG731^2+BMILMS!$F$32*AG731+BMILMS!$G$32)))))))</f>
        <v>12.568967990000001</v>
      </c>
      <c r="AF731" s="24">
        <f>IF(D731="M",(IF(AG731&lt;90,BMILMS!$D$14*AG731^3+BMILMS!$E$14*AG731^2+BMILMS!$F$14*AG731+BMILMS!$G$14,BMILMS!$D$15*AG731^3+BMILMS!$E$15*AG731^2+BMILMS!$F$15*AG731+BMILMS!$G$15)),(IF(AG731&lt;90,BMILMS!$D$17*AG731^3+BMILMS!$E$17*AG731^2+BMILMS!$F$17*AG731+BMILMS!$G$17,BMILMS!$D$18*AG731^3+BMILMS!$E$18*AG731^2+BMILMS!$F$18*AG731+BMILMS!$G$18)))</f>
        <v>8.8969350000000003E-2</v>
      </c>
      <c r="AG731" s="24">
        <f t="shared" si="192"/>
        <v>0</v>
      </c>
      <c r="AI731" s="38">
        <f>IF(D731="M",WeightSDS!P$5*$AG731^7+WeightSDS!Q$5*$AG731^6+WeightSDS!R$5*$AG731^5+WeightSDS!S$5*$AG731^4+WeightSDS!T$5*$AG731^3+WeightSDS!U$5*$AG731^2+WeightSDS!V$5*$AG731+WeightSDS!W$5,IF($AG731&lt;186,WeightSDS!P$8*$AG731^7+WeightSDS!Q$8*$AG731^6+WeightSDS!R$8*$AG731^5+WeightSDS!S$8*$AG731^4+WeightSDS!T$8*$AG731^3+WeightSDS!U$8*$AG731^2+WeightSDS!V$8*$AG731+WeightSDS!W$8,WeightSDS!$U$9-WeightSDS!$V$9*($AG731-WeightSDS!$W$9)))</f>
        <v>0.75407122999999998</v>
      </c>
      <c r="AJ731" s="24">
        <f>IF(D731="M",IF($AG731&lt;45,WeightSDS!M$23*$AG731^10+WeightSDS!N$23*$AG731^9+WeightSDS!O$23*$AG731^8+WeightSDS!P$23*$AG731^7+WeightSDS!Q$23*$AG731^6+WeightSDS!R$23*$AG731^5+WeightSDS!S$23*$AG731^4+WeightSDS!T$23*$AG731^3+WeightSDS!U$23*$AG731^2+WeightSDS!V$23*$AG731+WeightSDS!W$23,IF($AG731&lt;153,WeightSDS!M$25*$AG731^10+WeightSDS!N$25*$AG731^9+WeightSDS!O$25*$AG731^8+WeightSDS!P$25*$AG731^7+WeightSDS!Q$25*$AG731^6+WeightSDS!R$25*$AG731^5+WeightSDS!S$25*$AG731^4+WeightSDS!T$25*$AG731^3+WeightSDS!U$25*$AG731^2+WeightSDS!V$25*$AG731+WeightSDS!W$25,WeightSDS!M$27+WeightSDS!N$27/(1+EXP(WeightSDS!O$27+WeightSDS!P$27*$AG731)))),IF($AG731&lt;43.8,WeightSDS!M$29*$AG731^10+WeightSDS!N$29*$AG731^9+WeightSDS!O$29*$AG731^8+WeightSDS!P$29*$AG731^7+WeightSDS!Q$29*$AG731^6+WeightSDS!R$29*$AG731^5+WeightSDS!S$29*$AG731^4+WeightSDS!T$29*$AG731^3+WeightSDS!U$29*$AG731^2+WeightSDS!V$29*$AG731+WeightSDS!W$29-0.010431*(1-$AG731/210),IF($AG731&lt;123,WeightSDS!M$30*$AG731^10+WeightSDS!N$30*$AG731^9+WeightSDS!O$30*$AG731^8+WeightSDS!P$30*$AG731^7+WeightSDS!Q$30*$AG731^6+WeightSDS!R$30*$AG731^5+WeightSDS!S$30*$AG731^4+WeightSDS!T$30*$AG731^3+WeightSDS!U$30*$AG731^2+WeightSDS!V$30*$AG731+WeightSDS!W$30-0.010431*(1-1/$AG731),WeightSDS!M$32+WeightSDS!N$32/(1+EXP(WeightSDS!O$32+WeightSDS!P$32*$AG731))-0.010431*(1-$AG731/210))))</f>
        <v>2.9500001032655536</v>
      </c>
      <c r="AK731" s="24">
        <f>IF(D731="M",IF($AG731&lt;162,WeightSDS!P$12*$AG731^7+WeightSDS!Q$12*$AG731^6+WeightSDS!R$12*$AG731^5+WeightSDS!S$12*$AG731^4+WeightSDS!T$12*$AG731^3+WeightSDS!U$12*$AG731^2+WeightSDS!V$12*$AG731+WeightSDS!W$12,WeightSDS!P$14*$AG731^7+WeightSDS!Q$14*$AG731^6+WeightSDS!R$14*$AG731^5+WeightSDS!S$14*$AG731^4+WeightSDS!T$14*$AG731^3+WeightSDS!U$14*$AG731^2+WeightSDS!V$14*$AG731+WeightSDS!W$14),IF($AG731&lt;156,WeightSDS!O$17*$AG731^8+WeightSDS!P$17*$AG731^7+WeightSDS!Q$17*$AG731^6+WeightSDS!R$17*$AG731^5+WeightSDS!S$17*$AG731^4+WeightSDS!T$17*$AG731^3+WeightSDS!U$17*$AG731^2+WeightSDS!V$17*$AG731+WeightSDS!W$17,IF($AG731&lt;186,WeightSDS!$U$18+(WeightSDS!$V$18-WeightSDS!$U$18)/24*($AG731-186)+WeightSDS!$W$18*(-$AG731+186)^2-0.005,WeightSDS!$U$18+(WeightSDS!$V$18-WeightSDS!$U$18)/24*($AG731-186)-0.005)))</f>
        <v>0.14604529399999999</v>
      </c>
    </row>
    <row r="732" spans="1:37">
      <c r="A732" s="4"/>
      <c r="B732" s="21"/>
      <c r="C732" s="21"/>
      <c r="D732" s="21"/>
      <c r="E732" s="22"/>
      <c r="F732" s="22"/>
      <c r="G732" s="23"/>
      <c r="H732" s="23"/>
      <c r="I732" s="8" t="str">
        <f t="shared" si="178"/>
        <v/>
      </c>
      <c r="J732" s="2" t="str">
        <f t="shared" si="185"/>
        <v/>
      </c>
      <c r="K732" s="2" t="str">
        <f t="shared" si="179"/>
        <v/>
      </c>
      <c r="L732" s="2" t="str">
        <f t="shared" si="186"/>
        <v/>
      </c>
      <c r="M732" s="2" t="str">
        <f t="shared" si="191"/>
        <v/>
      </c>
      <c r="N732" s="2" t="str">
        <f t="shared" si="187"/>
        <v/>
      </c>
      <c r="O732" s="8" t="str">
        <f t="shared" si="188"/>
        <v/>
      </c>
      <c r="P732" s="8" t="str">
        <f t="shared" si="189"/>
        <v/>
      </c>
      <c r="Q732" s="40" t="str">
        <f t="shared" si="180"/>
        <v/>
      </c>
      <c r="R732" s="48" t="str">
        <f t="shared" si="190"/>
        <v/>
      </c>
      <c r="S732" s="8"/>
      <c r="U732" s="35">
        <f t="shared" si="181"/>
        <v>0</v>
      </c>
      <c r="V732" s="24">
        <f t="shared" si="182"/>
        <v>0</v>
      </c>
      <c r="W732" s="41">
        <f t="shared" si="177"/>
        <v>0</v>
      </c>
      <c r="X732" s="31"/>
      <c r="Y732" s="31"/>
      <c r="Z732" s="31"/>
      <c r="AA732" s="25">
        <f t="shared" si="183"/>
        <v>9.0359999999999996</v>
      </c>
      <c r="AB732" s="25">
        <f t="shared" si="184"/>
        <v>-184.49199999999999</v>
      </c>
      <c r="AD732" s="24">
        <f>IF(D732="M",IF(AG732&lt;78,BMILMS!$D$5*AG732^3+BMILMS!$E$5*AG732^2+BMILMS!$F$5*AG732+BMILMS!$G$5,IF(AG732&lt;150,BMILMS!$D$6*AG732^3+BMILMS!$E$6*AG732^2+BMILMS!$F$6*AG732+BMILMS!$G$6,BMILMS!$D$7*AG732^3+BMILMS!$E$7*AG732^2+BMILMS!$F$7*AG732+BMILMS!$G$7)),IF(AG732&lt;69,BMILMS!$D$9*AG732^3+BMILMS!$E$9*AG732^2+BMILMS!$F$9*AG732+BMILMS!$G$9,IF(AG732&lt;150,BMILMS!$D$10*AG732^3+BMILMS!$E$10*AG732^2+BMILMS!$F$10*AG732+BMILMS!$G$10,BMILMS!$D$11*AG732^3+BMILMS!$E$11*AG732^2+BMILMS!$F$11*AG732+BMILMS!$G$11)))</f>
        <v>0.79584630099999998</v>
      </c>
      <c r="AE732" s="24">
        <f>IF(D732="M",(IF(AG732&lt;2.5,BMILMS!$D$21*AG732^3+BMILMS!$E$21*AG732^2+BMILMS!$F$21*AG732+BMILMS!$G$21,IF(AG732&lt;9.5,BMILMS!$D$22*AG732^3+BMILMS!$E$22*AG732^2+BMILMS!$F$22*AG732+BMILMS!$G$22,IF(AG732&lt;26.75,BMILMS!$D$23*AG732^3+BMILMS!$E$23*AG732^2+BMILMS!$F$23*AG732+BMILMS!$G$23,IF(AG732&lt;90,BMILMS!$D$24*AG732^3+BMILMS!$E$24*AG732^2+BMILMS!$F$24*AG732+BMILMS!$G$24,BMILMS!$D$25*AG732^3+BMILMS!$E$25*AG732^2+BMILMS!$F$25*AG732+BMILMS!$G$25))))),(IF(AG732&lt;2.5,BMILMS!$D$27*AG732^3+BMILMS!$E$27*AG732^2+BMILMS!$F$27*AG732+BMILMS!$G$27,IF(AG732&lt;9.5,BMILMS!$D$28*AG732^3+BMILMS!$E$28*AG732^2+BMILMS!$F$28*AG732+BMILMS!$G$28,IF(AG732&lt;26.75,BMILMS!$D$29*AG732^3+BMILMS!$E$29*AG732^2+BMILMS!$F$29*AG732+BMILMS!$G$29,IF(AG732&lt;90,BMILMS!$D$30*AG732^3+BMILMS!$E$30*AG732^2+BMILMS!$F$30*AG732+BMILMS!$G$30,IF(AG732&lt;150,BMILMS!$D$31*AG732^3+BMILMS!$E$31*AG732^2+BMILMS!$F$31*AG732+BMILMS!$G$31,BMILMS!$D$32*AG732^3+BMILMS!$E$32*AG732^2+BMILMS!$F$32*AG732+BMILMS!$G$32)))))))</f>
        <v>12.568967990000001</v>
      </c>
      <c r="AF732" s="24">
        <f>IF(D732="M",(IF(AG732&lt;90,BMILMS!$D$14*AG732^3+BMILMS!$E$14*AG732^2+BMILMS!$F$14*AG732+BMILMS!$G$14,BMILMS!$D$15*AG732^3+BMILMS!$E$15*AG732^2+BMILMS!$F$15*AG732+BMILMS!$G$15)),(IF(AG732&lt;90,BMILMS!$D$17*AG732^3+BMILMS!$E$17*AG732^2+BMILMS!$F$17*AG732+BMILMS!$G$17,BMILMS!$D$18*AG732^3+BMILMS!$E$18*AG732^2+BMILMS!$F$18*AG732+BMILMS!$G$18)))</f>
        <v>8.8969350000000003E-2</v>
      </c>
      <c r="AG732" s="24">
        <f t="shared" si="192"/>
        <v>0</v>
      </c>
      <c r="AI732" s="38">
        <f>IF(D732="M",WeightSDS!P$5*$AG732^7+WeightSDS!Q$5*$AG732^6+WeightSDS!R$5*$AG732^5+WeightSDS!S$5*$AG732^4+WeightSDS!T$5*$AG732^3+WeightSDS!U$5*$AG732^2+WeightSDS!V$5*$AG732+WeightSDS!W$5,IF($AG732&lt;186,WeightSDS!P$8*$AG732^7+WeightSDS!Q$8*$AG732^6+WeightSDS!R$8*$AG732^5+WeightSDS!S$8*$AG732^4+WeightSDS!T$8*$AG732^3+WeightSDS!U$8*$AG732^2+WeightSDS!V$8*$AG732+WeightSDS!W$8,WeightSDS!$U$9-WeightSDS!$V$9*($AG732-WeightSDS!$W$9)))</f>
        <v>0.75407122999999998</v>
      </c>
      <c r="AJ732" s="24">
        <f>IF(D732="M",IF($AG732&lt;45,WeightSDS!M$23*$AG732^10+WeightSDS!N$23*$AG732^9+WeightSDS!O$23*$AG732^8+WeightSDS!P$23*$AG732^7+WeightSDS!Q$23*$AG732^6+WeightSDS!R$23*$AG732^5+WeightSDS!S$23*$AG732^4+WeightSDS!T$23*$AG732^3+WeightSDS!U$23*$AG732^2+WeightSDS!V$23*$AG732+WeightSDS!W$23,IF($AG732&lt;153,WeightSDS!M$25*$AG732^10+WeightSDS!N$25*$AG732^9+WeightSDS!O$25*$AG732^8+WeightSDS!P$25*$AG732^7+WeightSDS!Q$25*$AG732^6+WeightSDS!R$25*$AG732^5+WeightSDS!S$25*$AG732^4+WeightSDS!T$25*$AG732^3+WeightSDS!U$25*$AG732^2+WeightSDS!V$25*$AG732+WeightSDS!W$25,WeightSDS!M$27+WeightSDS!N$27/(1+EXP(WeightSDS!O$27+WeightSDS!P$27*$AG732)))),IF($AG732&lt;43.8,WeightSDS!M$29*$AG732^10+WeightSDS!N$29*$AG732^9+WeightSDS!O$29*$AG732^8+WeightSDS!P$29*$AG732^7+WeightSDS!Q$29*$AG732^6+WeightSDS!R$29*$AG732^5+WeightSDS!S$29*$AG732^4+WeightSDS!T$29*$AG732^3+WeightSDS!U$29*$AG732^2+WeightSDS!V$29*$AG732+WeightSDS!W$29-0.010431*(1-$AG732/210),IF($AG732&lt;123,WeightSDS!M$30*$AG732^10+WeightSDS!N$30*$AG732^9+WeightSDS!O$30*$AG732^8+WeightSDS!P$30*$AG732^7+WeightSDS!Q$30*$AG732^6+WeightSDS!R$30*$AG732^5+WeightSDS!S$30*$AG732^4+WeightSDS!T$30*$AG732^3+WeightSDS!U$30*$AG732^2+WeightSDS!V$30*$AG732+WeightSDS!W$30-0.010431*(1-1/$AG732),WeightSDS!M$32+WeightSDS!N$32/(1+EXP(WeightSDS!O$32+WeightSDS!P$32*$AG732))-0.010431*(1-$AG732/210))))</f>
        <v>2.9500001032655536</v>
      </c>
      <c r="AK732" s="24">
        <f>IF(D732="M",IF($AG732&lt;162,WeightSDS!P$12*$AG732^7+WeightSDS!Q$12*$AG732^6+WeightSDS!R$12*$AG732^5+WeightSDS!S$12*$AG732^4+WeightSDS!T$12*$AG732^3+WeightSDS!U$12*$AG732^2+WeightSDS!V$12*$AG732+WeightSDS!W$12,WeightSDS!P$14*$AG732^7+WeightSDS!Q$14*$AG732^6+WeightSDS!R$14*$AG732^5+WeightSDS!S$14*$AG732^4+WeightSDS!T$14*$AG732^3+WeightSDS!U$14*$AG732^2+WeightSDS!V$14*$AG732+WeightSDS!W$14),IF($AG732&lt;156,WeightSDS!O$17*$AG732^8+WeightSDS!P$17*$AG732^7+WeightSDS!Q$17*$AG732^6+WeightSDS!R$17*$AG732^5+WeightSDS!S$17*$AG732^4+WeightSDS!T$17*$AG732^3+WeightSDS!U$17*$AG732^2+WeightSDS!V$17*$AG732+WeightSDS!W$17,IF($AG732&lt;186,WeightSDS!$U$18+(WeightSDS!$V$18-WeightSDS!$U$18)/24*($AG732-186)+WeightSDS!$W$18*(-$AG732+186)^2-0.005,WeightSDS!$U$18+(WeightSDS!$V$18-WeightSDS!$U$18)/24*($AG732-186)-0.005)))</f>
        <v>0.14604529399999999</v>
      </c>
    </row>
    <row r="733" spans="1:37">
      <c r="A733" s="4"/>
      <c r="B733" s="21"/>
      <c r="C733" s="21"/>
      <c r="D733" s="21"/>
      <c r="E733" s="22"/>
      <c r="F733" s="22"/>
      <c r="G733" s="23"/>
      <c r="H733" s="23"/>
      <c r="I733" s="8" t="str">
        <f t="shared" si="178"/>
        <v/>
      </c>
      <c r="J733" s="2" t="str">
        <f t="shared" si="185"/>
        <v/>
      </c>
      <c r="K733" s="2" t="str">
        <f t="shared" si="179"/>
        <v/>
      </c>
      <c r="L733" s="2" t="str">
        <f t="shared" si="186"/>
        <v/>
      </c>
      <c r="M733" s="2" t="str">
        <f t="shared" si="191"/>
        <v/>
      </c>
      <c r="N733" s="2" t="str">
        <f t="shared" si="187"/>
        <v/>
      </c>
      <c r="O733" s="8" t="str">
        <f t="shared" si="188"/>
        <v/>
      </c>
      <c r="P733" s="8" t="str">
        <f t="shared" si="189"/>
        <v/>
      </c>
      <c r="Q733" s="40" t="str">
        <f t="shared" si="180"/>
        <v/>
      </c>
      <c r="R733" s="48" t="str">
        <f t="shared" si="190"/>
        <v/>
      </c>
      <c r="S733" s="8"/>
      <c r="U733" s="35">
        <f t="shared" si="181"/>
        <v>0</v>
      </c>
      <c r="V733" s="24">
        <f t="shared" si="182"/>
        <v>0</v>
      </c>
      <c r="W733" s="41">
        <f t="shared" si="177"/>
        <v>0</v>
      </c>
      <c r="X733" s="31"/>
      <c r="Y733" s="31"/>
      <c r="Z733" s="31"/>
      <c r="AA733" s="25">
        <f t="shared" si="183"/>
        <v>9.0359999999999996</v>
      </c>
      <c r="AB733" s="25">
        <f t="shared" si="184"/>
        <v>-184.49199999999999</v>
      </c>
      <c r="AD733" s="24">
        <f>IF(D733="M",IF(AG733&lt;78,BMILMS!$D$5*AG733^3+BMILMS!$E$5*AG733^2+BMILMS!$F$5*AG733+BMILMS!$G$5,IF(AG733&lt;150,BMILMS!$D$6*AG733^3+BMILMS!$E$6*AG733^2+BMILMS!$F$6*AG733+BMILMS!$G$6,BMILMS!$D$7*AG733^3+BMILMS!$E$7*AG733^2+BMILMS!$F$7*AG733+BMILMS!$G$7)),IF(AG733&lt;69,BMILMS!$D$9*AG733^3+BMILMS!$E$9*AG733^2+BMILMS!$F$9*AG733+BMILMS!$G$9,IF(AG733&lt;150,BMILMS!$D$10*AG733^3+BMILMS!$E$10*AG733^2+BMILMS!$F$10*AG733+BMILMS!$G$10,BMILMS!$D$11*AG733^3+BMILMS!$E$11*AG733^2+BMILMS!$F$11*AG733+BMILMS!$G$11)))</f>
        <v>0.79584630099999998</v>
      </c>
      <c r="AE733" s="24">
        <f>IF(D733="M",(IF(AG733&lt;2.5,BMILMS!$D$21*AG733^3+BMILMS!$E$21*AG733^2+BMILMS!$F$21*AG733+BMILMS!$G$21,IF(AG733&lt;9.5,BMILMS!$D$22*AG733^3+BMILMS!$E$22*AG733^2+BMILMS!$F$22*AG733+BMILMS!$G$22,IF(AG733&lt;26.75,BMILMS!$D$23*AG733^3+BMILMS!$E$23*AG733^2+BMILMS!$F$23*AG733+BMILMS!$G$23,IF(AG733&lt;90,BMILMS!$D$24*AG733^3+BMILMS!$E$24*AG733^2+BMILMS!$F$24*AG733+BMILMS!$G$24,BMILMS!$D$25*AG733^3+BMILMS!$E$25*AG733^2+BMILMS!$F$25*AG733+BMILMS!$G$25))))),(IF(AG733&lt;2.5,BMILMS!$D$27*AG733^3+BMILMS!$E$27*AG733^2+BMILMS!$F$27*AG733+BMILMS!$G$27,IF(AG733&lt;9.5,BMILMS!$D$28*AG733^3+BMILMS!$E$28*AG733^2+BMILMS!$F$28*AG733+BMILMS!$G$28,IF(AG733&lt;26.75,BMILMS!$D$29*AG733^3+BMILMS!$E$29*AG733^2+BMILMS!$F$29*AG733+BMILMS!$G$29,IF(AG733&lt;90,BMILMS!$D$30*AG733^3+BMILMS!$E$30*AG733^2+BMILMS!$F$30*AG733+BMILMS!$G$30,IF(AG733&lt;150,BMILMS!$D$31*AG733^3+BMILMS!$E$31*AG733^2+BMILMS!$F$31*AG733+BMILMS!$G$31,BMILMS!$D$32*AG733^3+BMILMS!$E$32*AG733^2+BMILMS!$F$32*AG733+BMILMS!$G$32)))))))</f>
        <v>12.568967990000001</v>
      </c>
      <c r="AF733" s="24">
        <f>IF(D733="M",(IF(AG733&lt;90,BMILMS!$D$14*AG733^3+BMILMS!$E$14*AG733^2+BMILMS!$F$14*AG733+BMILMS!$G$14,BMILMS!$D$15*AG733^3+BMILMS!$E$15*AG733^2+BMILMS!$F$15*AG733+BMILMS!$G$15)),(IF(AG733&lt;90,BMILMS!$D$17*AG733^3+BMILMS!$E$17*AG733^2+BMILMS!$F$17*AG733+BMILMS!$G$17,BMILMS!$D$18*AG733^3+BMILMS!$E$18*AG733^2+BMILMS!$F$18*AG733+BMILMS!$G$18)))</f>
        <v>8.8969350000000003E-2</v>
      </c>
      <c r="AG733" s="24">
        <f t="shared" si="192"/>
        <v>0</v>
      </c>
      <c r="AI733" s="38">
        <f>IF(D733="M",WeightSDS!P$5*$AG733^7+WeightSDS!Q$5*$AG733^6+WeightSDS!R$5*$AG733^5+WeightSDS!S$5*$AG733^4+WeightSDS!T$5*$AG733^3+WeightSDS!U$5*$AG733^2+WeightSDS!V$5*$AG733+WeightSDS!W$5,IF($AG733&lt;186,WeightSDS!P$8*$AG733^7+WeightSDS!Q$8*$AG733^6+WeightSDS!R$8*$AG733^5+WeightSDS!S$8*$AG733^4+WeightSDS!T$8*$AG733^3+WeightSDS!U$8*$AG733^2+WeightSDS!V$8*$AG733+WeightSDS!W$8,WeightSDS!$U$9-WeightSDS!$V$9*($AG733-WeightSDS!$W$9)))</f>
        <v>0.75407122999999998</v>
      </c>
      <c r="AJ733" s="24">
        <f>IF(D733="M",IF($AG733&lt;45,WeightSDS!M$23*$AG733^10+WeightSDS!N$23*$AG733^9+WeightSDS!O$23*$AG733^8+WeightSDS!P$23*$AG733^7+WeightSDS!Q$23*$AG733^6+WeightSDS!R$23*$AG733^5+WeightSDS!S$23*$AG733^4+WeightSDS!T$23*$AG733^3+WeightSDS!U$23*$AG733^2+WeightSDS!V$23*$AG733+WeightSDS!W$23,IF($AG733&lt;153,WeightSDS!M$25*$AG733^10+WeightSDS!N$25*$AG733^9+WeightSDS!O$25*$AG733^8+WeightSDS!P$25*$AG733^7+WeightSDS!Q$25*$AG733^6+WeightSDS!R$25*$AG733^5+WeightSDS!S$25*$AG733^4+WeightSDS!T$25*$AG733^3+WeightSDS!U$25*$AG733^2+WeightSDS!V$25*$AG733+WeightSDS!W$25,WeightSDS!M$27+WeightSDS!N$27/(1+EXP(WeightSDS!O$27+WeightSDS!P$27*$AG733)))),IF($AG733&lt;43.8,WeightSDS!M$29*$AG733^10+WeightSDS!N$29*$AG733^9+WeightSDS!O$29*$AG733^8+WeightSDS!P$29*$AG733^7+WeightSDS!Q$29*$AG733^6+WeightSDS!R$29*$AG733^5+WeightSDS!S$29*$AG733^4+WeightSDS!T$29*$AG733^3+WeightSDS!U$29*$AG733^2+WeightSDS!V$29*$AG733+WeightSDS!W$29-0.010431*(1-$AG733/210),IF($AG733&lt;123,WeightSDS!M$30*$AG733^10+WeightSDS!N$30*$AG733^9+WeightSDS!O$30*$AG733^8+WeightSDS!P$30*$AG733^7+WeightSDS!Q$30*$AG733^6+WeightSDS!R$30*$AG733^5+WeightSDS!S$30*$AG733^4+WeightSDS!T$30*$AG733^3+WeightSDS!U$30*$AG733^2+WeightSDS!V$30*$AG733+WeightSDS!W$30-0.010431*(1-1/$AG733),WeightSDS!M$32+WeightSDS!N$32/(1+EXP(WeightSDS!O$32+WeightSDS!P$32*$AG733))-0.010431*(1-$AG733/210))))</f>
        <v>2.9500001032655536</v>
      </c>
      <c r="AK733" s="24">
        <f>IF(D733="M",IF($AG733&lt;162,WeightSDS!P$12*$AG733^7+WeightSDS!Q$12*$AG733^6+WeightSDS!R$12*$AG733^5+WeightSDS!S$12*$AG733^4+WeightSDS!T$12*$AG733^3+WeightSDS!U$12*$AG733^2+WeightSDS!V$12*$AG733+WeightSDS!W$12,WeightSDS!P$14*$AG733^7+WeightSDS!Q$14*$AG733^6+WeightSDS!R$14*$AG733^5+WeightSDS!S$14*$AG733^4+WeightSDS!T$14*$AG733^3+WeightSDS!U$14*$AG733^2+WeightSDS!V$14*$AG733+WeightSDS!W$14),IF($AG733&lt;156,WeightSDS!O$17*$AG733^8+WeightSDS!P$17*$AG733^7+WeightSDS!Q$17*$AG733^6+WeightSDS!R$17*$AG733^5+WeightSDS!S$17*$AG733^4+WeightSDS!T$17*$AG733^3+WeightSDS!U$17*$AG733^2+WeightSDS!V$17*$AG733+WeightSDS!W$17,IF($AG733&lt;186,WeightSDS!$U$18+(WeightSDS!$V$18-WeightSDS!$U$18)/24*($AG733-186)+WeightSDS!$W$18*(-$AG733+186)^2-0.005,WeightSDS!$U$18+(WeightSDS!$V$18-WeightSDS!$U$18)/24*($AG733-186)-0.005)))</f>
        <v>0.14604529399999999</v>
      </c>
    </row>
    <row r="734" spans="1:37">
      <c r="A734" s="4"/>
      <c r="B734" s="21"/>
      <c r="C734" s="21"/>
      <c r="D734" s="21"/>
      <c r="E734" s="22"/>
      <c r="F734" s="22"/>
      <c r="G734" s="23"/>
      <c r="H734" s="23"/>
      <c r="I734" s="8" t="str">
        <f t="shared" si="178"/>
        <v/>
      </c>
      <c r="J734" s="2" t="str">
        <f t="shared" si="185"/>
        <v/>
      </c>
      <c r="K734" s="2" t="str">
        <f t="shared" si="179"/>
        <v/>
      </c>
      <c r="L734" s="2" t="str">
        <f t="shared" si="186"/>
        <v/>
      </c>
      <c r="M734" s="2" t="str">
        <f t="shared" si="191"/>
        <v/>
      </c>
      <c r="N734" s="2" t="str">
        <f t="shared" si="187"/>
        <v/>
      </c>
      <c r="O734" s="8" t="str">
        <f t="shared" si="188"/>
        <v/>
      </c>
      <c r="P734" s="8" t="str">
        <f t="shared" si="189"/>
        <v/>
      </c>
      <c r="Q734" s="40" t="str">
        <f t="shared" si="180"/>
        <v/>
      </c>
      <c r="R734" s="48" t="str">
        <f t="shared" si="190"/>
        <v/>
      </c>
      <c r="S734" s="8"/>
      <c r="U734" s="35">
        <f t="shared" si="181"/>
        <v>0</v>
      </c>
      <c r="V734" s="24">
        <f t="shared" si="182"/>
        <v>0</v>
      </c>
      <c r="W734" s="41">
        <f t="shared" ref="W734:W797" si="193">DATEDIF(E734,F734,"Y")+(F734-(DATE(YEAR(E734)+DATEDIF(E734,F734,"Y"),MONTH(E734),DAY(E734))))/(365+IF(MOD(YEAR((DATE(YEAR(F734)-1,MONTH(E734),DAY(E734)))),4)=0,IF((DATE(YEAR(F734)-1,MONTH(E734),DAY(E734)))&gt;DATE(YEAR((DATE(YEAR(F734)-1,MONTH(E734),DAY(E734)))),2,29),0,1),0)+IF(MOD(YEAR(F734),4)=0,IF(F734&gt;DATE(YEAR(F734),2,29),1,0),0))</f>
        <v>0</v>
      </c>
      <c r="X734" s="31"/>
      <c r="Y734" s="31"/>
      <c r="Z734" s="31"/>
      <c r="AA734" s="25">
        <f t="shared" si="183"/>
        <v>9.0359999999999996</v>
      </c>
      <c r="AB734" s="25">
        <f t="shared" si="184"/>
        <v>-184.49199999999999</v>
      </c>
      <c r="AD734" s="24">
        <f>IF(D734="M",IF(AG734&lt;78,BMILMS!$D$5*AG734^3+BMILMS!$E$5*AG734^2+BMILMS!$F$5*AG734+BMILMS!$G$5,IF(AG734&lt;150,BMILMS!$D$6*AG734^3+BMILMS!$E$6*AG734^2+BMILMS!$F$6*AG734+BMILMS!$G$6,BMILMS!$D$7*AG734^3+BMILMS!$E$7*AG734^2+BMILMS!$F$7*AG734+BMILMS!$G$7)),IF(AG734&lt;69,BMILMS!$D$9*AG734^3+BMILMS!$E$9*AG734^2+BMILMS!$F$9*AG734+BMILMS!$G$9,IF(AG734&lt;150,BMILMS!$D$10*AG734^3+BMILMS!$E$10*AG734^2+BMILMS!$F$10*AG734+BMILMS!$G$10,BMILMS!$D$11*AG734^3+BMILMS!$E$11*AG734^2+BMILMS!$F$11*AG734+BMILMS!$G$11)))</f>
        <v>0.79584630099999998</v>
      </c>
      <c r="AE734" s="24">
        <f>IF(D734="M",(IF(AG734&lt;2.5,BMILMS!$D$21*AG734^3+BMILMS!$E$21*AG734^2+BMILMS!$F$21*AG734+BMILMS!$G$21,IF(AG734&lt;9.5,BMILMS!$D$22*AG734^3+BMILMS!$E$22*AG734^2+BMILMS!$F$22*AG734+BMILMS!$G$22,IF(AG734&lt;26.75,BMILMS!$D$23*AG734^3+BMILMS!$E$23*AG734^2+BMILMS!$F$23*AG734+BMILMS!$G$23,IF(AG734&lt;90,BMILMS!$D$24*AG734^3+BMILMS!$E$24*AG734^2+BMILMS!$F$24*AG734+BMILMS!$G$24,BMILMS!$D$25*AG734^3+BMILMS!$E$25*AG734^2+BMILMS!$F$25*AG734+BMILMS!$G$25))))),(IF(AG734&lt;2.5,BMILMS!$D$27*AG734^3+BMILMS!$E$27*AG734^2+BMILMS!$F$27*AG734+BMILMS!$G$27,IF(AG734&lt;9.5,BMILMS!$D$28*AG734^3+BMILMS!$E$28*AG734^2+BMILMS!$F$28*AG734+BMILMS!$G$28,IF(AG734&lt;26.75,BMILMS!$D$29*AG734^3+BMILMS!$E$29*AG734^2+BMILMS!$F$29*AG734+BMILMS!$G$29,IF(AG734&lt;90,BMILMS!$D$30*AG734^3+BMILMS!$E$30*AG734^2+BMILMS!$F$30*AG734+BMILMS!$G$30,IF(AG734&lt;150,BMILMS!$D$31*AG734^3+BMILMS!$E$31*AG734^2+BMILMS!$F$31*AG734+BMILMS!$G$31,BMILMS!$D$32*AG734^3+BMILMS!$E$32*AG734^2+BMILMS!$F$32*AG734+BMILMS!$G$32)))))))</f>
        <v>12.568967990000001</v>
      </c>
      <c r="AF734" s="24">
        <f>IF(D734="M",(IF(AG734&lt;90,BMILMS!$D$14*AG734^3+BMILMS!$E$14*AG734^2+BMILMS!$F$14*AG734+BMILMS!$G$14,BMILMS!$D$15*AG734^3+BMILMS!$E$15*AG734^2+BMILMS!$F$15*AG734+BMILMS!$G$15)),(IF(AG734&lt;90,BMILMS!$D$17*AG734^3+BMILMS!$E$17*AG734^2+BMILMS!$F$17*AG734+BMILMS!$G$17,BMILMS!$D$18*AG734^3+BMILMS!$E$18*AG734^2+BMILMS!$F$18*AG734+BMILMS!$G$18)))</f>
        <v>8.8969350000000003E-2</v>
      </c>
      <c r="AG734" s="24">
        <f t="shared" si="192"/>
        <v>0</v>
      </c>
      <c r="AI734" s="38">
        <f>IF(D734="M",WeightSDS!P$5*$AG734^7+WeightSDS!Q$5*$AG734^6+WeightSDS!R$5*$AG734^5+WeightSDS!S$5*$AG734^4+WeightSDS!T$5*$AG734^3+WeightSDS!U$5*$AG734^2+WeightSDS!V$5*$AG734+WeightSDS!W$5,IF($AG734&lt;186,WeightSDS!P$8*$AG734^7+WeightSDS!Q$8*$AG734^6+WeightSDS!R$8*$AG734^5+WeightSDS!S$8*$AG734^4+WeightSDS!T$8*$AG734^3+WeightSDS!U$8*$AG734^2+WeightSDS!V$8*$AG734+WeightSDS!W$8,WeightSDS!$U$9-WeightSDS!$V$9*($AG734-WeightSDS!$W$9)))</f>
        <v>0.75407122999999998</v>
      </c>
      <c r="AJ734" s="24">
        <f>IF(D734="M",IF($AG734&lt;45,WeightSDS!M$23*$AG734^10+WeightSDS!N$23*$AG734^9+WeightSDS!O$23*$AG734^8+WeightSDS!P$23*$AG734^7+WeightSDS!Q$23*$AG734^6+WeightSDS!R$23*$AG734^5+WeightSDS!S$23*$AG734^4+WeightSDS!T$23*$AG734^3+WeightSDS!U$23*$AG734^2+WeightSDS!V$23*$AG734+WeightSDS!W$23,IF($AG734&lt;153,WeightSDS!M$25*$AG734^10+WeightSDS!N$25*$AG734^9+WeightSDS!O$25*$AG734^8+WeightSDS!P$25*$AG734^7+WeightSDS!Q$25*$AG734^6+WeightSDS!R$25*$AG734^5+WeightSDS!S$25*$AG734^4+WeightSDS!T$25*$AG734^3+WeightSDS!U$25*$AG734^2+WeightSDS!V$25*$AG734+WeightSDS!W$25,WeightSDS!M$27+WeightSDS!N$27/(1+EXP(WeightSDS!O$27+WeightSDS!P$27*$AG734)))),IF($AG734&lt;43.8,WeightSDS!M$29*$AG734^10+WeightSDS!N$29*$AG734^9+WeightSDS!O$29*$AG734^8+WeightSDS!P$29*$AG734^7+WeightSDS!Q$29*$AG734^6+WeightSDS!R$29*$AG734^5+WeightSDS!S$29*$AG734^4+WeightSDS!T$29*$AG734^3+WeightSDS!U$29*$AG734^2+WeightSDS!V$29*$AG734+WeightSDS!W$29-0.010431*(1-$AG734/210),IF($AG734&lt;123,WeightSDS!M$30*$AG734^10+WeightSDS!N$30*$AG734^9+WeightSDS!O$30*$AG734^8+WeightSDS!P$30*$AG734^7+WeightSDS!Q$30*$AG734^6+WeightSDS!R$30*$AG734^5+WeightSDS!S$30*$AG734^4+WeightSDS!T$30*$AG734^3+WeightSDS!U$30*$AG734^2+WeightSDS!V$30*$AG734+WeightSDS!W$30-0.010431*(1-1/$AG734),WeightSDS!M$32+WeightSDS!N$32/(1+EXP(WeightSDS!O$32+WeightSDS!P$32*$AG734))-0.010431*(1-$AG734/210))))</f>
        <v>2.9500001032655536</v>
      </c>
      <c r="AK734" s="24">
        <f>IF(D734="M",IF($AG734&lt;162,WeightSDS!P$12*$AG734^7+WeightSDS!Q$12*$AG734^6+WeightSDS!R$12*$AG734^5+WeightSDS!S$12*$AG734^4+WeightSDS!T$12*$AG734^3+WeightSDS!U$12*$AG734^2+WeightSDS!V$12*$AG734+WeightSDS!W$12,WeightSDS!P$14*$AG734^7+WeightSDS!Q$14*$AG734^6+WeightSDS!R$14*$AG734^5+WeightSDS!S$14*$AG734^4+WeightSDS!T$14*$AG734^3+WeightSDS!U$14*$AG734^2+WeightSDS!V$14*$AG734+WeightSDS!W$14),IF($AG734&lt;156,WeightSDS!O$17*$AG734^8+WeightSDS!P$17*$AG734^7+WeightSDS!Q$17*$AG734^6+WeightSDS!R$17*$AG734^5+WeightSDS!S$17*$AG734^4+WeightSDS!T$17*$AG734^3+WeightSDS!U$17*$AG734^2+WeightSDS!V$17*$AG734+WeightSDS!W$17,IF($AG734&lt;186,WeightSDS!$U$18+(WeightSDS!$V$18-WeightSDS!$U$18)/24*($AG734-186)+WeightSDS!$W$18*(-$AG734+186)^2-0.005,WeightSDS!$U$18+(WeightSDS!$V$18-WeightSDS!$U$18)/24*($AG734-186)-0.005)))</f>
        <v>0.14604529399999999</v>
      </c>
    </row>
    <row r="735" spans="1:37">
      <c r="A735" s="4"/>
      <c r="B735" s="21"/>
      <c r="C735" s="21"/>
      <c r="D735" s="21"/>
      <c r="E735" s="22"/>
      <c r="F735" s="22"/>
      <c r="G735" s="23"/>
      <c r="H735" s="23"/>
      <c r="I735" s="8" t="str">
        <f t="shared" si="178"/>
        <v/>
      </c>
      <c r="J735" s="2" t="str">
        <f t="shared" si="185"/>
        <v/>
      </c>
      <c r="K735" s="2" t="str">
        <f t="shared" si="179"/>
        <v/>
      </c>
      <c r="L735" s="2" t="str">
        <f t="shared" si="186"/>
        <v/>
      </c>
      <c r="M735" s="2" t="str">
        <f t="shared" si="191"/>
        <v/>
      </c>
      <c r="N735" s="2" t="str">
        <f t="shared" si="187"/>
        <v/>
      </c>
      <c r="O735" s="8" t="str">
        <f t="shared" si="188"/>
        <v/>
      </c>
      <c r="P735" s="8" t="str">
        <f t="shared" si="189"/>
        <v/>
      </c>
      <c r="Q735" s="40" t="str">
        <f t="shared" si="180"/>
        <v/>
      </c>
      <c r="R735" s="48" t="str">
        <f t="shared" si="190"/>
        <v/>
      </c>
      <c r="S735" s="8"/>
      <c r="U735" s="35">
        <f t="shared" si="181"/>
        <v>0</v>
      </c>
      <c r="V735" s="24">
        <f t="shared" si="182"/>
        <v>0</v>
      </c>
      <c r="W735" s="41">
        <f t="shared" si="193"/>
        <v>0</v>
      </c>
      <c r="X735" s="31"/>
      <c r="Y735" s="31"/>
      <c r="Z735" s="31"/>
      <c r="AA735" s="25">
        <f t="shared" si="183"/>
        <v>9.0359999999999996</v>
      </c>
      <c r="AB735" s="25">
        <f t="shared" si="184"/>
        <v>-184.49199999999999</v>
      </c>
      <c r="AD735" s="24">
        <f>IF(D735="M",IF(AG735&lt;78,BMILMS!$D$5*AG735^3+BMILMS!$E$5*AG735^2+BMILMS!$F$5*AG735+BMILMS!$G$5,IF(AG735&lt;150,BMILMS!$D$6*AG735^3+BMILMS!$E$6*AG735^2+BMILMS!$F$6*AG735+BMILMS!$G$6,BMILMS!$D$7*AG735^3+BMILMS!$E$7*AG735^2+BMILMS!$F$7*AG735+BMILMS!$G$7)),IF(AG735&lt;69,BMILMS!$D$9*AG735^3+BMILMS!$E$9*AG735^2+BMILMS!$F$9*AG735+BMILMS!$G$9,IF(AG735&lt;150,BMILMS!$D$10*AG735^3+BMILMS!$E$10*AG735^2+BMILMS!$F$10*AG735+BMILMS!$G$10,BMILMS!$D$11*AG735^3+BMILMS!$E$11*AG735^2+BMILMS!$F$11*AG735+BMILMS!$G$11)))</f>
        <v>0.79584630099999998</v>
      </c>
      <c r="AE735" s="24">
        <f>IF(D735="M",(IF(AG735&lt;2.5,BMILMS!$D$21*AG735^3+BMILMS!$E$21*AG735^2+BMILMS!$F$21*AG735+BMILMS!$G$21,IF(AG735&lt;9.5,BMILMS!$D$22*AG735^3+BMILMS!$E$22*AG735^2+BMILMS!$F$22*AG735+BMILMS!$G$22,IF(AG735&lt;26.75,BMILMS!$D$23*AG735^3+BMILMS!$E$23*AG735^2+BMILMS!$F$23*AG735+BMILMS!$G$23,IF(AG735&lt;90,BMILMS!$D$24*AG735^3+BMILMS!$E$24*AG735^2+BMILMS!$F$24*AG735+BMILMS!$G$24,BMILMS!$D$25*AG735^3+BMILMS!$E$25*AG735^2+BMILMS!$F$25*AG735+BMILMS!$G$25))))),(IF(AG735&lt;2.5,BMILMS!$D$27*AG735^3+BMILMS!$E$27*AG735^2+BMILMS!$F$27*AG735+BMILMS!$G$27,IF(AG735&lt;9.5,BMILMS!$D$28*AG735^3+BMILMS!$E$28*AG735^2+BMILMS!$F$28*AG735+BMILMS!$G$28,IF(AG735&lt;26.75,BMILMS!$D$29*AG735^3+BMILMS!$E$29*AG735^2+BMILMS!$F$29*AG735+BMILMS!$G$29,IF(AG735&lt;90,BMILMS!$D$30*AG735^3+BMILMS!$E$30*AG735^2+BMILMS!$F$30*AG735+BMILMS!$G$30,IF(AG735&lt;150,BMILMS!$D$31*AG735^3+BMILMS!$E$31*AG735^2+BMILMS!$F$31*AG735+BMILMS!$G$31,BMILMS!$D$32*AG735^3+BMILMS!$E$32*AG735^2+BMILMS!$F$32*AG735+BMILMS!$G$32)))))))</f>
        <v>12.568967990000001</v>
      </c>
      <c r="AF735" s="24">
        <f>IF(D735="M",(IF(AG735&lt;90,BMILMS!$D$14*AG735^3+BMILMS!$E$14*AG735^2+BMILMS!$F$14*AG735+BMILMS!$G$14,BMILMS!$D$15*AG735^3+BMILMS!$E$15*AG735^2+BMILMS!$F$15*AG735+BMILMS!$G$15)),(IF(AG735&lt;90,BMILMS!$D$17*AG735^3+BMILMS!$E$17*AG735^2+BMILMS!$F$17*AG735+BMILMS!$G$17,BMILMS!$D$18*AG735^3+BMILMS!$E$18*AG735^2+BMILMS!$F$18*AG735+BMILMS!$G$18)))</f>
        <v>8.8969350000000003E-2</v>
      </c>
      <c r="AG735" s="24">
        <f t="shared" si="192"/>
        <v>0</v>
      </c>
      <c r="AI735" s="38">
        <f>IF(D735="M",WeightSDS!P$5*$AG735^7+WeightSDS!Q$5*$AG735^6+WeightSDS!R$5*$AG735^5+WeightSDS!S$5*$AG735^4+WeightSDS!T$5*$AG735^3+WeightSDS!U$5*$AG735^2+WeightSDS!V$5*$AG735+WeightSDS!W$5,IF($AG735&lt;186,WeightSDS!P$8*$AG735^7+WeightSDS!Q$8*$AG735^6+WeightSDS!R$8*$AG735^5+WeightSDS!S$8*$AG735^4+WeightSDS!T$8*$AG735^3+WeightSDS!U$8*$AG735^2+WeightSDS!V$8*$AG735+WeightSDS!W$8,WeightSDS!$U$9-WeightSDS!$V$9*($AG735-WeightSDS!$W$9)))</f>
        <v>0.75407122999999998</v>
      </c>
      <c r="AJ735" s="24">
        <f>IF(D735="M",IF($AG735&lt;45,WeightSDS!M$23*$AG735^10+WeightSDS!N$23*$AG735^9+WeightSDS!O$23*$AG735^8+WeightSDS!P$23*$AG735^7+WeightSDS!Q$23*$AG735^6+WeightSDS!R$23*$AG735^5+WeightSDS!S$23*$AG735^4+WeightSDS!T$23*$AG735^3+WeightSDS!U$23*$AG735^2+WeightSDS!V$23*$AG735+WeightSDS!W$23,IF($AG735&lt;153,WeightSDS!M$25*$AG735^10+WeightSDS!N$25*$AG735^9+WeightSDS!O$25*$AG735^8+WeightSDS!P$25*$AG735^7+WeightSDS!Q$25*$AG735^6+WeightSDS!R$25*$AG735^5+WeightSDS!S$25*$AG735^4+WeightSDS!T$25*$AG735^3+WeightSDS!U$25*$AG735^2+WeightSDS!V$25*$AG735+WeightSDS!W$25,WeightSDS!M$27+WeightSDS!N$27/(1+EXP(WeightSDS!O$27+WeightSDS!P$27*$AG735)))),IF($AG735&lt;43.8,WeightSDS!M$29*$AG735^10+WeightSDS!N$29*$AG735^9+WeightSDS!O$29*$AG735^8+WeightSDS!P$29*$AG735^7+WeightSDS!Q$29*$AG735^6+WeightSDS!R$29*$AG735^5+WeightSDS!S$29*$AG735^4+WeightSDS!T$29*$AG735^3+WeightSDS!U$29*$AG735^2+WeightSDS!V$29*$AG735+WeightSDS!W$29-0.010431*(1-$AG735/210),IF($AG735&lt;123,WeightSDS!M$30*$AG735^10+WeightSDS!N$30*$AG735^9+WeightSDS!O$30*$AG735^8+WeightSDS!P$30*$AG735^7+WeightSDS!Q$30*$AG735^6+WeightSDS!R$30*$AG735^5+WeightSDS!S$30*$AG735^4+WeightSDS!T$30*$AG735^3+WeightSDS!U$30*$AG735^2+WeightSDS!V$30*$AG735+WeightSDS!W$30-0.010431*(1-1/$AG735),WeightSDS!M$32+WeightSDS!N$32/(1+EXP(WeightSDS!O$32+WeightSDS!P$32*$AG735))-0.010431*(1-$AG735/210))))</f>
        <v>2.9500001032655536</v>
      </c>
      <c r="AK735" s="24">
        <f>IF(D735="M",IF($AG735&lt;162,WeightSDS!P$12*$AG735^7+WeightSDS!Q$12*$AG735^6+WeightSDS!R$12*$AG735^5+WeightSDS!S$12*$AG735^4+WeightSDS!T$12*$AG735^3+WeightSDS!U$12*$AG735^2+WeightSDS!V$12*$AG735+WeightSDS!W$12,WeightSDS!P$14*$AG735^7+WeightSDS!Q$14*$AG735^6+WeightSDS!R$14*$AG735^5+WeightSDS!S$14*$AG735^4+WeightSDS!T$14*$AG735^3+WeightSDS!U$14*$AG735^2+WeightSDS!V$14*$AG735+WeightSDS!W$14),IF($AG735&lt;156,WeightSDS!O$17*$AG735^8+WeightSDS!P$17*$AG735^7+WeightSDS!Q$17*$AG735^6+WeightSDS!R$17*$AG735^5+WeightSDS!S$17*$AG735^4+WeightSDS!T$17*$AG735^3+WeightSDS!U$17*$AG735^2+WeightSDS!V$17*$AG735+WeightSDS!W$17,IF($AG735&lt;186,WeightSDS!$U$18+(WeightSDS!$V$18-WeightSDS!$U$18)/24*($AG735-186)+WeightSDS!$W$18*(-$AG735+186)^2-0.005,WeightSDS!$U$18+(WeightSDS!$V$18-WeightSDS!$U$18)/24*($AG735-186)-0.005)))</f>
        <v>0.14604529399999999</v>
      </c>
    </row>
    <row r="736" spans="1:37">
      <c r="A736" s="4"/>
      <c r="B736" s="21"/>
      <c r="C736" s="21"/>
      <c r="D736" s="21"/>
      <c r="E736" s="22"/>
      <c r="F736" s="22"/>
      <c r="G736" s="23"/>
      <c r="H736" s="23"/>
      <c r="I736" s="8" t="str">
        <f t="shared" si="178"/>
        <v/>
      </c>
      <c r="J736" s="2" t="str">
        <f t="shared" si="185"/>
        <v/>
      </c>
      <c r="K736" s="2" t="str">
        <f t="shared" si="179"/>
        <v/>
      </c>
      <c r="L736" s="2" t="str">
        <f t="shared" si="186"/>
        <v/>
      </c>
      <c r="M736" s="2" t="str">
        <f t="shared" si="191"/>
        <v/>
      </c>
      <c r="N736" s="2" t="str">
        <f t="shared" si="187"/>
        <v/>
      </c>
      <c r="O736" s="8" t="str">
        <f t="shared" si="188"/>
        <v/>
      </c>
      <c r="P736" s="8" t="str">
        <f t="shared" si="189"/>
        <v/>
      </c>
      <c r="Q736" s="40" t="str">
        <f t="shared" si="180"/>
        <v/>
      </c>
      <c r="R736" s="48" t="str">
        <f t="shared" si="190"/>
        <v/>
      </c>
      <c r="S736" s="8"/>
      <c r="U736" s="35">
        <f t="shared" si="181"/>
        <v>0</v>
      </c>
      <c r="V736" s="24">
        <f t="shared" si="182"/>
        <v>0</v>
      </c>
      <c r="W736" s="41">
        <f t="shared" si="193"/>
        <v>0</v>
      </c>
      <c r="X736" s="31"/>
      <c r="Y736" s="31"/>
      <c r="Z736" s="31"/>
      <c r="AA736" s="25">
        <f t="shared" si="183"/>
        <v>9.0359999999999996</v>
      </c>
      <c r="AB736" s="25">
        <f t="shared" si="184"/>
        <v>-184.49199999999999</v>
      </c>
      <c r="AD736" s="24">
        <f>IF(D736="M",IF(AG736&lt;78,BMILMS!$D$5*AG736^3+BMILMS!$E$5*AG736^2+BMILMS!$F$5*AG736+BMILMS!$G$5,IF(AG736&lt;150,BMILMS!$D$6*AG736^3+BMILMS!$E$6*AG736^2+BMILMS!$F$6*AG736+BMILMS!$G$6,BMILMS!$D$7*AG736^3+BMILMS!$E$7*AG736^2+BMILMS!$F$7*AG736+BMILMS!$G$7)),IF(AG736&lt;69,BMILMS!$D$9*AG736^3+BMILMS!$E$9*AG736^2+BMILMS!$F$9*AG736+BMILMS!$G$9,IF(AG736&lt;150,BMILMS!$D$10*AG736^3+BMILMS!$E$10*AG736^2+BMILMS!$F$10*AG736+BMILMS!$G$10,BMILMS!$D$11*AG736^3+BMILMS!$E$11*AG736^2+BMILMS!$F$11*AG736+BMILMS!$G$11)))</f>
        <v>0.79584630099999998</v>
      </c>
      <c r="AE736" s="24">
        <f>IF(D736="M",(IF(AG736&lt;2.5,BMILMS!$D$21*AG736^3+BMILMS!$E$21*AG736^2+BMILMS!$F$21*AG736+BMILMS!$G$21,IF(AG736&lt;9.5,BMILMS!$D$22*AG736^3+BMILMS!$E$22*AG736^2+BMILMS!$F$22*AG736+BMILMS!$G$22,IF(AG736&lt;26.75,BMILMS!$D$23*AG736^3+BMILMS!$E$23*AG736^2+BMILMS!$F$23*AG736+BMILMS!$G$23,IF(AG736&lt;90,BMILMS!$D$24*AG736^3+BMILMS!$E$24*AG736^2+BMILMS!$F$24*AG736+BMILMS!$G$24,BMILMS!$D$25*AG736^3+BMILMS!$E$25*AG736^2+BMILMS!$F$25*AG736+BMILMS!$G$25))))),(IF(AG736&lt;2.5,BMILMS!$D$27*AG736^3+BMILMS!$E$27*AG736^2+BMILMS!$F$27*AG736+BMILMS!$G$27,IF(AG736&lt;9.5,BMILMS!$D$28*AG736^3+BMILMS!$E$28*AG736^2+BMILMS!$F$28*AG736+BMILMS!$G$28,IF(AG736&lt;26.75,BMILMS!$D$29*AG736^3+BMILMS!$E$29*AG736^2+BMILMS!$F$29*AG736+BMILMS!$G$29,IF(AG736&lt;90,BMILMS!$D$30*AG736^3+BMILMS!$E$30*AG736^2+BMILMS!$F$30*AG736+BMILMS!$G$30,IF(AG736&lt;150,BMILMS!$D$31*AG736^3+BMILMS!$E$31*AG736^2+BMILMS!$F$31*AG736+BMILMS!$G$31,BMILMS!$D$32*AG736^3+BMILMS!$E$32*AG736^2+BMILMS!$F$32*AG736+BMILMS!$G$32)))))))</f>
        <v>12.568967990000001</v>
      </c>
      <c r="AF736" s="24">
        <f>IF(D736="M",(IF(AG736&lt;90,BMILMS!$D$14*AG736^3+BMILMS!$E$14*AG736^2+BMILMS!$F$14*AG736+BMILMS!$G$14,BMILMS!$D$15*AG736^3+BMILMS!$E$15*AG736^2+BMILMS!$F$15*AG736+BMILMS!$G$15)),(IF(AG736&lt;90,BMILMS!$D$17*AG736^3+BMILMS!$E$17*AG736^2+BMILMS!$F$17*AG736+BMILMS!$G$17,BMILMS!$D$18*AG736^3+BMILMS!$E$18*AG736^2+BMILMS!$F$18*AG736+BMILMS!$G$18)))</f>
        <v>8.8969350000000003E-2</v>
      </c>
      <c r="AG736" s="24">
        <f t="shared" si="192"/>
        <v>0</v>
      </c>
      <c r="AI736" s="38">
        <f>IF(D736="M",WeightSDS!P$5*$AG736^7+WeightSDS!Q$5*$AG736^6+WeightSDS!R$5*$AG736^5+WeightSDS!S$5*$AG736^4+WeightSDS!T$5*$AG736^3+WeightSDS!U$5*$AG736^2+WeightSDS!V$5*$AG736+WeightSDS!W$5,IF($AG736&lt;186,WeightSDS!P$8*$AG736^7+WeightSDS!Q$8*$AG736^6+WeightSDS!R$8*$AG736^5+WeightSDS!S$8*$AG736^4+WeightSDS!T$8*$AG736^3+WeightSDS!U$8*$AG736^2+WeightSDS!V$8*$AG736+WeightSDS!W$8,WeightSDS!$U$9-WeightSDS!$V$9*($AG736-WeightSDS!$W$9)))</f>
        <v>0.75407122999999998</v>
      </c>
      <c r="AJ736" s="24">
        <f>IF(D736="M",IF($AG736&lt;45,WeightSDS!M$23*$AG736^10+WeightSDS!N$23*$AG736^9+WeightSDS!O$23*$AG736^8+WeightSDS!P$23*$AG736^7+WeightSDS!Q$23*$AG736^6+WeightSDS!R$23*$AG736^5+WeightSDS!S$23*$AG736^4+WeightSDS!T$23*$AG736^3+WeightSDS!U$23*$AG736^2+WeightSDS!V$23*$AG736+WeightSDS!W$23,IF($AG736&lt;153,WeightSDS!M$25*$AG736^10+WeightSDS!N$25*$AG736^9+WeightSDS!O$25*$AG736^8+WeightSDS!P$25*$AG736^7+WeightSDS!Q$25*$AG736^6+WeightSDS!R$25*$AG736^5+WeightSDS!S$25*$AG736^4+WeightSDS!T$25*$AG736^3+WeightSDS!U$25*$AG736^2+WeightSDS!V$25*$AG736+WeightSDS!W$25,WeightSDS!M$27+WeightSDS!N$27/(1+EXP(WeightSDS!O$27+WeightSDS!P$27*$AG736)))),IF($AG736&lt;43.8,WeightSDS!M$29*$AG736^10+WeightSDS!N$29*$AG736^9+WeightSDS!O$29*$AG736^8+WeightSDS!P$29*$AG736^7+WeightSDS!Q$29*$AG736^6+WeightSDS!R$29*$AG736^5+WeightSDS!S$29*$AG736^4+WeightSDS!T$29*$AG736^3+WeightSDS!U$29*$AG736^2+WeightSDS!V$29*$AG736+WeightSDS!W$29-0.010431*(1-$AG736/210),IF($AG736&lt;123,WeightSDS!M$30*$AG736^10+WeightSDS!N$30*$AG736^9+WeightSDS!O$30*$AG736^8+WeightSDS!P$30*$AG736^7+WeightSDS!Q$30*$AG736^6+WeightSDS!R$30*$AG736^5+WeightSDS!S$30*$AG736^4+WeightSDS!T$30*$AG736^3+WeightSDS!U$30*$AG736^2+WeightSDS!V$30*$AG736+WeightSDS!W$30-0.010431*(1-1/$AG736),WeightSDS!M$32+WeightSDS!N$32/(1+EXP(WeightSDS!O$32+WeightSDS!P$32*$AG736))-0.010431*(1-$AG736/210))))</f>
        <v>2.9500001032655536</v>
      </c>
      <c r="AK736" s="24">
        <f>IF(D736="M",IF($AG736&lt;162,WeightSDS!P$12*$AG736^7+WeightSDS!Q$12*$AG736^6+WeightSDS!R$12*$AG736^5+WeightSDS!S$12*$AG736^4+WeightSDS!T$12*$AG736^3+WeightSDS!U$12*$AG736^2+WeightSDS!V$12*$AG736+WeightSDS!W$12,WeightSDS!P$14*$AG736^7+WeightSDS!Q$14*$AG736^6+WeightSDS!R$14*$AG736^5+WeightSDS!S$14*$AG736^4+WeightSDS!T$14*$AG736^3+WeightSDS!U$14*$AG736^2+WeightSDS!V$14*$AG736+WeightSDS!W$14),IF($AG736&lt;156,WeightSDS!O$17*$AG736^8+WeightSDS!P$17*$AG736^7+WeightSDS!Q$17*$AG736^6+WeightSDS!R$17*$AG736^5+WeightSDS!S$17*$AG736^4+WeightSDS!T$17*$AG736^3+WeightSDS!U$17*$AG736^2+WeightSDS!V$17*$AG736+WeightSDS!W$17,IF($AG736&lt;186,WeightSDS!$U$18+(WeightSDS!$V$18-WeightSDS!$U$18)/24*($AG736-186)+WeightSDS!$W$18*(-$AG736+186)^2-0.005,WeightSDS!$U$18+(WeightSDS!$V$18-WeightSDS!$U$18)/24*($AG736-186)-0.005)))</f>
        <v>0.14604529399999999</v>
      </c>
    </row>
    <row r="737" spans="1:37">
      <c r="A737" s="4"/>
      <c r="B737" s="21"/>
      <c r="C737" s="21"/>
      <c r="D737" s="21"/>
      <c r="E737" s="22"/>
      <c r="F737" s="22"/>
      <c r="G737" s="23"/>
      <c r="H737" s="23"/>
      <c r="I737" s="8" t="str">
        <f t="shared" si="178"/>
        <v/>
      </c>
      <c r="J737" s="2" t="str">
        <f t="shared" si="185"/>
        <v/>
      </c>
      <c r="K737" s="2" t="str">
        <f t="shared" si="179"/>
        <v/>
      </c>
      <c r="L737" s="2" t="str">
        <f t="shared" si="186"/>
        <v/>
      </c>
      <c r="M737" s="2" t="str">
        <f t="shared" si="191"/>
        <v/>
      </c>
      <c r="N737" s="2" t="str">
        <f t="shared" si="187"/>
        <v/>
      </c>
      <c r="O737" s="8" t="str">
        <f t="shared" si="188"/>
        <v/>
      </c>
      <c r="P737" s="8" t="str">
        <f t="shared" si="189"/>
        <v/>
      </c>
      <c r="Q737" s="40" t="str">
        <f t="shared" si="180"/>
        <v/>
      </c>
      <c r="R737" s="48" t="str">
        <f t="shared" si="190"/>
        <v/>
      </c>
      <c r="S737" s="8"/>
      <c r="U737" s="35">
        <f t="shared" si="181"/>
        <v>0</v>
      </c>
      <c r="V737" s="24">
        <f t="shared" si="182"/>
        <v>0</v>
      </c>
      <c r="W737" s="41">
        <f t="shared" si="193"/>
        <v>0</v>
      </c>
      <c r="X737" s="31"/>
      <c r="Y737" s="31"/>
      <c r="Z737" s="31"/>
      <c r="AA737" s="25">
        <f t="shared" si="183"/>
        <v>9.0359999999999996</v>
      </c>
      <c r="AB737" s="25">
        <f t="shared" si="184"/>
        <v>-184.49199999999999</v>
      </c>
      <c r="AD737" s="24">
        <f>IF(D737="M",IF(AG737&lt;78,BMILMS!$D$5*AG737^3+BMILMS!$E$5*AG737^2+BMILMS!$F$5*AG737+BMILMS!$G$5,IF(AG737&lt;150,BMILMS!$D$6*AG737^3+BMILMS!$E$6*AG737^2+BMILMS!$F$6*AG737+BMILMS!$G$6,BMILMS!$D$7*AG737^3+BMILMS!$E$7*AG737^2+BMILMS!$F$7*AG737+BMILMS!$G$7)),IF(AG737&lt;69,BMILMS!$D$9*AG737^3+BMILMS!$E$9*AG737^2+BMILMS!$F$9*AG737+BMILMS!$G$9,IF(AG737&lt;150,BMILMS!$D$10*AG737^3+BMILMS!$E$10*AG737^2+BMILMS!$F$10*AG737+BMILMS!$G$10,BMILMS!$D$11*AG737^3+BMILMS!$E$11*AG737^2+BMILMS!$F$11*AG737+BMILMS!$G$11)))</f>
        <v>0.79584630099999998</v>
      </c>
      <c r="AE737" s="24">
        <f>IF(D737="M",(IF(AG737&lt;2.5,BMILMS!$D$21*AG737^3+BMILMS!$E$21*AG737^2+BMILMS!$F$21*AG737+BMILMS!$G$21,IF(AG737&lt;9.5,BMILMS!$D$22*AG737^3+BMILMS!$E$22*AG737^2+BMILMS!$F$22*AG737+BMILMS!$G$22,IF(AG737&lt;26.75,BMILMS!$D$23*AG737^3+BMILMS!$E$23*AG737^2+BMILMS!$F$23*AG737+BMILMS!$G$23,IF(AG737&lt;90,BMILMS!$D$24*AG737^3+BMILMS!$E$24*AG737^2+BMILMS!$F$24*AG737+BMILMS!$G$24,BMILMS!$D$25*AG737^3+BMILMS!$E$25*AG737^2+BMILMS!$F$25*AG737+BMILMS!$G$25))))),(IF(AG737&lt;2.5,BMILMS!$D$27*AG737^3+BMILMS!$E$27*AG737^2+BMILMS!$F$27*AG737+BMILMS!$G$27,IF(AG737&lt;9.5,BMILMS!$D$28*AG737^3+BMILMS!$E$28*AG737^2+BMILMS!$F$28*AG737+BMILMS!$G$28,IF(AG737&lt;26.75,BMILMS!$D$29*AG737^3+BMILMS!$E$29*AG737^2+BMILMS!$F$29*AG737+BMILMS!$G$29,IF(AG737&lt;90,BMILMS!$D$30*AG737^3+BMILMS!$E$30*AG737^2+BMILMS!$F$30*AG737+BMILMS!$G$30,IF(AG737&lt;150,BMILMS!$D$31*AG737^3+BMILMS!$E$31*AG737^2+BMILMS!$F$31*AG737+BMILMS!$G$31,BMILMS!$D$32*AG737^3+BMILMS!$E$32*AG737^2+BMILMS!$F$32*AG737+BMILMS!$G$32)))))))</f>
        <v>12.568967990000001</v>
      </c>
      <c r="AF737" s="24">
        <f>IF(D737="M",(IF(AG737&lt;90,BMILMS!$D$14*AG737^3+BMILMS!$E$14*AG737^2+BMILMS!$F$14*AG737+BMILMS!$G$14,BMILMS!$D$15*AG737^3+BMILMS!$E$15*AG737^2+BMILMS!$F$15*AG737+BMILMS!$G$15)),(IF(AG737&lt;90,BMILMS!$D$17*AG737^3+BMILMS!$E$17*AG737^2+BMILMS!$F$17*AG737+BMILMS!$G$17,BMILMS!$D$18*AG737^3+BMILMS!$E$18*AG737^2+BMILMS!$F$18*AG737+BMILMS!$G$18)))</f>
        <v>8.8969350000000003E-2</v>
      </c>
      <c r="AG737" s="24">
        <f t="shared" si="192"/>
        <v>0</v>
      </c>
      <c r="AI737" s="38">
        <f>IF(D737="M",WeightSDS!P$5*$AG737^7+WeightSDS!Q$5*$AG737^6+WeightSDS!R$5*$AG737^5+WeightSDS!S$5*$AG737^4+WeightSDS!T$5*$AG737^3+WeightSDS!U$5*$AG737^2+WeightSDS!V$5*$AG737+WeightSDS!W$5,IF($AG737&lt;186,WeightSDS!P$8*$AG737^7+WeightSDS!Q$8*$AG737^6+WeightSDS!R$8*$AG737^5+WeightSDS!S$8*$AG737^4+WeightSDS!T$8*$AG737^3+WeightSDS!U$8*$AG737^2+WeightSDS!V$8*$AG737+WeightSDS!W$8,WeightSDS!$U$9-WeightSDS!$V$9*($AG737-WeightSDS!$W$9)))</f>
        <v>0.75407122999999998</v>
      </c>
      <c r="AJ737" s="24">
        <f>IF(D737="M",IF($AG737&lt;45,WeightSDS!M$23*$AG737^10+WeightSDS!N$23*$AG737^9+WeightSDS!O$23*$AG737^8+WeightSDS!P$23*$AG737^7+WeightSDS!Q$23*$AG737^6+WeightSDS!R$23*$AG737^5+WeightSDS!S$23*$AG737^4+WeightSDS!T$23*$AG737^3+WeightSDS!U$23*$AG737^2+WeightSDS!V$23*$AG737+WeightSDS!W$23,IF($AG737&lt;153,WeightSDS!M$25*$AG737^10+WeightSDS!N$25*$AG737^9+WeightSDS!O$25*$AG737^8+WeightSDS!P$25*$AG737^7+WeightSDS!Q$25*$AG737^6+WeightSDS!R$25*$AG737^5+WeightSDS!S$25*$AG737^4+WeightSDS!T$25*$AG737^3+WeightSDS!U$25*$AG737^2+WeightSDS!V$25*$AG737+WeightSDS!W$25,WeightSDS!M$27+WeightSDS!N$27/(1+EXP(WeightSDS!O$27+WeightSDS!P$27*$AG737)))),IF($AG737&lt;43.8,WeightSDS!M$29*$AG737^10+WeightSDS!N$29*$AG737^9+WeightSDS!O$29*$AG737^8+WeightSDS!P$29*$AG737^7+WeightSDS!Q$29*$AG737^6+WeightSDS!R$29*$AG737^5+WeightSDS!S$29*$AG737^4+WeightSDS!T$29*$AG737^3+WeightSDS!U$29*$AG737^2+WeightSDS!V$29*$AG737+WeightSDS!W$29-0.010431*(1-$AG737/210),IF($AG737&lt;123,WeightSDS!M$30*$AG737^10+WeightSDS!N$30*$AG737^9+WeightSDS!O$30*$AG737^8+WeightSDS!P$30*$AG737^7+WeightSDS!Q$30*$AG737^6+WeightSDS!R$30*$AG737^5+WeightSDS!S$30*$AG737^4+WeightSDS!T$30*$AG737^3+WeightSDS!U$30*$AG737^2+WeightSDS!V$30*$AG737+WeightSDS!W$30-0.010431*(1-1/$AG737),WeightSDS!M$32+WeightSDS!N$32/(1+EXP(WeightSDS!O$32+WeightSDS!P$32*$AG737))-0.010431*(1-$AG737/210))))</f>
        <v>2.9500001032655536</v>
      </c>
      <c r="AK737" s="24">
        <f>IF(D737="M",IF($AG737&lt;162,WeightSDS!P$12*$AG737^7+WeightSDS!Q$12*$AG737^6+WeightSDS!R$12*$AG737^5+WeightSDS!S$12*$AG737^4+WeightSDS!T$12*$AG737^3+WeightSDS!U$12*$AG737^2+WeightSDS!V$12*$AG737+WeightSDS!W$12,WeightSDS!P$14*$AG737^7+WeightSDS!Q$14*$AG737^6+WeightSDS!R$14*$AG737^5+WeightSDS!S$14*$AG737^4+WeightSDS!T$14*$AG737^3+WeightSDS!U$14*$AG737^2+WeightSDS!V$14*$AG737+WeightSDS!W$14),IF($AG737&lt;156,WeightSDS!O$17*$AG737^8+WeightSDS!P$17*$AG737^7+WeightSDS!Q$17*$AG737^6+WeightSDS!R$17*$AG737^5+WeightSDS!S$17*$AG737^4+WeightSDS!T$17*$AG737^3+WeightSDS!U$17*$AG737^2+WeightSDS!V$17*$AG737+WeightSDS!W$17,IF($AG737&lt;186,WeightSDS!$U$18+(WeightSDS!$V$18-WeightSDS!$U$18)/24*($AG737-186)+WeightSDS!$W$18*(-$AG737+186)^2-0.005,WeightSDS!$U$18+(WeightSDS!$V$18-WeightSDS!$U$18)/24*($AG737-186)-0.005)))</f>
        <v>0.14604529399999999</v>
      </c>
    </row>
    <row r="738" spans="1:37">
      <c r="A738" s="4"/>
      <c r="B738" s="21"/>
      <c r="C738" s="21"/>
      <c r="D738" s="21"/>
      <c r="E738" s="22"/>
      <c r="F738" s="22"/>
      <c r="G738" s="23"/>
      <c r="H738" s="23"/>
      <c r="I738" s="8" t="str">
        <f t="shared" si="178"/>
        <v/>
      </c>
      <c r="J738" s="2" t="str">
        <f t="shared" si="185"/>
        <v/>
      </c>
      <c r="K738" s="2" t="str">
        <f t="shared" si="179"/>
        <v/>
      </c>
      <c r="L738" s="2" t="str">
        <f t="shared" si="186"/>
        <v/>
      </c>
      <c r="M738" s="2" t="str">
        <f t="shared" si="191"/>
        <v/>
      </c>
      <c r="N738" s="2" t="str">
        <f t="shared" si="187"/>
        <v/>
      </c>
      <c r="O738" s="8" t="str">
        <f t="shared" si="188"/>
        <v/>
      </c>
      <c r="P738" s="8" t="str">
        <f t="shared" si="189"/>
        <v/>
      </c>
      <c r="Q738" s="40" t="str">
        <f t="shared" si="180"/>
        <v/>
      </c>
      <c r="R738" s="48" t="str">
        <f t="shared" si="190"/>
        <v/>
      </c>
      <c r="S738" s="8"/>
      <c r="U738" s="35">
        <f t="shared" si="181"/>
        <v>0</v>
      </c>
      <c r="V738" s="24">
        <f t="shared" si="182"/>
        <v>0</v>
      </c>
      <c r="W738" s="41">
        <f t="shared" si="193"/>
        <v>0</v>
      </c>
      <c r="X738" s="31"/>
      <c r="Y738" s="31"/>
      <c r="Z738" s="31"/>
      <c r="AA738" s="25">
        <f t="shared" si="183"/>
        <v>9.0359999999999996</v>
      </c>
      <c r="AB738" s="25">
        <f t="shared" si="184"/>
        <v>-184.49199999999999</v>
      </c>
      <c r="AD738" s="24">
        <f>IF(D738="M",IF(AG738&lt;78,BMILMS!$D$5*AG738^3+BMILMS!$E$5*AG738^2+BMILMS!$F$5*AG738+BMILMS!$G$5,IF(AG738&lt;150,BMILMS!$D$6*AG738^3+BMILMS!$E$6*AG738^2+BMILMS!$F$6*AG738+BMILMS!$G$6,BMILMS!$D$7*AG738^3+BMILMS!$E$7*AG738^2+BMILMS!$F$7*AG738+BMILMS!$G$7)),IF(AG738&lt;69,BMILMS!$D$9*AG738^3+BMILMS!$E$9*AG738^2+BMILMS!$F$9*AG738+BMILMS!$G$9,IF(AG738&lt;150,BMILMS!$D$10*AG738^3+BMILMS!$E$10*AG738^2+BMILMS!$F$10*AG738+BMILMS!$G$10,BMILMS!$D$11*AG738^3+BMILMS!$E$11*AG738^2+BMILMS!$F$11*AG738+BMILMS!$G$11)))</f>
        <v>0.79584630099999998</v>
      </c>
      <c r="AE738" s="24">
        <f>IF(D738="M",(IF(AG738&lt;2.5,BMILMS!$D$21*AG738^3+BMILMS!$E$21*AG738^2+BMILMS!$F$21*AG738+BMILMS!$G$21,IF(AG738&lt;9.5,BMILMS!$D$22*AG738^3+BMILMS!$E$22*AG738^2+BMILMS!$F$22*AG738+BMILMS!$G$22,IF(AG738&lt;26.75,BMILMS!$D$23*AG738^3+BMILMS!$E$23*AG738^2+BMILMS!$F$23*AG738+BMILMS!$G$23,IF(AG738&lt;90,BMILMS!$D$24*AG738^3+BMILMS!$E$24*AG738^2+BMILMS!$F$24*AG738+BMILMS!$G$24,BMILMS!$D$25*AG738^3+BMILMS!$E$25*AG738^2+BMILMS!$F$25*AG738+BMILMS!$G$25))))),(IF(AG738&lt;2.5,BMILMS!$D$27*AG738^3+BMILMS!$E$27*AG738^2+BMILMS!$F$27*AG738+BMILMS!$G$27,IF(AG738&lt;9.5,BMILMS!$D$28*AG738^3+BMILMS!$E$28*AG738^2+BMILMS!$F$28*AG738+BMILMS!$G$28,IF(AG738&lt;26.75,BMILMS!$D$29*AG738^3+BMILMS!$E$29*AG738^2+BMILMS!$F$29*AG738+BMILMS!$G$29,IF(AG738&lt;90,BMILMS!$D$30*AG738^3+BMILMS!$E$30*AG738^2+BMILMS!$F$30*AG738+BMILMS!$G$30,IF(AG738&lt;150,BMILMS!$D$31*AG738^3+BMILMS!$E$31*AG738^2+BMILMS!$F$31*AG738+BMILMS!$G$31,BMILMS!$D$32*AG738^3+BMILMS!$E$32*AG738^2+BMILMS!$F$32*AG738+BMILMS!$G$32)))))))</f>
        <v>12.568967990000001</v>
      </c>
      <c r="AF738" s="24">
        <f>IF(D738="M",(IF(AG738&lt;90,BMILMS!$D$14*AG738^3+BMILMS!$E$14*AG738^2+BMILMS!$F$14*AG738+BMILMS!$G$14,BMILMS!$D$15*AG738^3+BMILMS!$E$15*AG738^2+BMILMS!$F$15*AG738+BMILMS!$G$15)),(IF(AG738&lt;90,BMILMS!$D$17*AG738^3+BMILMS!$E$17*AG738^2+BMILMS!$F$17*AG738+BMILMS!$G$17,BMILMS!$D$18*AG738^3+BMILMS!$E$18*AG738^2+BMILMS!$F$18*AG738+BMILMS!$G$18)))</f>
        <v>8.8969350000000003E-2</v>
      </c>
      <c r="AG738" s="24">
        <f t="shared" si="192"/>
        <v>0</v>
      </c>
      <c r="AI738" s="38">
        <f>IF(D738="M",WeightSDS!P$5*$AG738^7+WeightSDS!Q$5*$AG738^6+WeightSDS!R$5*$AG738^5+WeightSDS!S$5*$AG738^4+WeightSDS!T$5*$AG738^3+WeightSDS!U$5*$AG738^2+WeightSDS!V$5*$AG738+WeightSDS!W$5,IF($AG738&lt;186,WeightSDS!P$8*$AG738^7+WeightSDS!Q$8*$AG738^6+WeightSDS!R$8*$AG738^5+WeightSDS!S$8*$AG738^4+WeightSDS!T$8*$AG738^3+WeightSDS!U$8*$AG738^2+WeightSDS!V$8*$AG738+WeightSDS!W$8,WeightSDS!$U$9-WeightSDS!$V$9*($AG738-WeightSDS!$W$9)))</f>
        <v>0.75407122999999998</v>
      </c>
      <c r="AJ738" s="24">
        <f>IF(D738="M",IF($AG738&lt;45,WeightSDS!M$23*$AG738^10+WeightSDS!N$23*$AG738^9+WeightSDS!O$23*$AG738^8+WeightSDS!P$23*$AG738^7+WeightSDS!Q$23*$AG738^6+WeightSDS!R$23*$AG738^5+WeightSDS!S$23*$AG738^4+WeightSDS!T$23*$AG738^3+WeightSDS!U$23*$AG738^2+WeightSDS!V$23*$AG738+WeightSDS!W$23,IF($AG738&lt;153,WeightSDS!M$25*$AG738^10+WeightSDS!N$25*$AG738^9+WeightSDS!O$25*$AG738^8+WeightSDS!P$25*$AG738^7+WeightSDS!Q$25*$AG738^6+WeightSDS!R$25*$AG738^5+WeightSDS!S$25*$AG738^4+WeightSDS!T$25*$AG738^3+WeightSDS!U$25*$AG738^2+WeightSDS!V$25*$AG738+WeightSDS!W$25,WeightSDS!M$27+WeightSDS!N$27/(1+EXP(WeightSDS!O$27+WeightSDS!P$27*$AG738)))),IF($AG738&lt;43.8,WeightSDS!M$29*$AG738^10+WeightSDS!N$29*$AG738^9+WeightSDS!O$29*$AG738^8+WeightSDS!P$29*$AG738^7+WeightSDS!Q$29*$AG738^6+WeightSDS!R$29*$AG738^5+WeightSDS!S$29*$AG738^4+WeightSDS!T$29*$AG738^3+WeightSDS!U$29*$AG738^2+WeightSDS!V$29*$AG738+WeightSDS!W$29-0.010431*(1-$AG738/210),IF($AG738&lt;123,WeightSDS!M$30*$AG738^10+WeightSDS!N$30*$AG738^9+WeightSDS!O$30*$AG738^8+WeightSDS!P$30*$AG738^7+WeightSDS!Q$30*$AG738^6+WeightSDS!R$30*$AG738^5+WeightSDS!S$30*$AG738^4+WeightSDS!T$30*$AG738^3+WeightSDS!U$30*$AG738^2+WeightSDS!V$30*$AG738+WeightSDS!W$30-0.010431*(1-1/$AG738),WeightSDS!M$32+WeightSDS!N$32/(1+EXP(WeightSDS!O$32+WeightSDS!P$32*$AG738))-0.010431*(1-$AG738/210))))</f>
        <v>2.9500001032655536</v>
      </c>
      <c r="AK738" s="24">
        <f>IF(D738="M",IF($AG738&lt;162,WeightSDS!P$12*$AG738^7+WeightSDS!Q$12*$AG738^6+WeightSDS!R$12*$AG738^5+WeightSDS!S$12*$AG738^4+WeightSDS!T$12*$AG738^3+WeightSDS!U$12*$AG738^2+WeightSDS!V$12*$AG738+WeightSDS!W$12,WeightSDS!P$14*$AG738^7+WeightSDS!Q$14*$AG738^6+WeightSDS!R$14*$AG738^5+WeightSDS!S$14*$AG738^4+WeightSDS!T$14*$AG738^3+WeightSDS!U$14*$AG738^2+WeightSDS!V$14*$AG738+WeightSDS!W$14),IF($AG738&lt;156,WeightSDS!O$17*$AG738^8+WeightSDS!P$17*$AG738^7+WeightSDS!Q$17*$AG738^6+WeightSDS!R$17*$AG738^5+WeightSDS!S$17*$AG738^4+WeightSDS!T$17*$AG738^3+WeightSDS!U$17*$AG738^2+WeightSDS!V$17*$AG738+WeightSDS!W$17,IF($AG738&lt;186,WeightSDS!$U$18+(WeightSDS!$V$18-WeightSDS!$U$18)/24*($AG738-186)+WeightSDS!$W$18*(-$AG738+186)^2-0.005,WeightSDS!$U$18+(WeightSDS!$V$18-WeightSDS!$U$18)/24*($AG738-186)-0.005)))</f>
        <v>0.14604529399999999</v>
      </c>
    </row>
    <row r="739" spans="1:37">
      <c r="A739" s="4"/>
      <c r="B739" s="21"/>
      <c r="C739" s="21"/>
      <c r="D739" s="21"/>
      <c r="E739" s="22"/>
      <c r="F739" s="22"/>
      <c r="G739" s="23"/>
      <c r="H739" s="23"/>
      <c r="I739" s="8" t="str">
        <f t="shared" si="178"/>
        <v/>
      </c>
      <c r="J739" s="2" t="str">
        <f t="shared" si="185"/>
        <v/>
      </c>
      <c r="K739" s="2" t="str">
        <f t="shared" si="179"/>
        <v/>
      </c>
      <c r="L739" s="2" t="str">
        <f t="shared" si="186"/>
        <v/>
      </c>
      <c r="M739" s="2" t="str">
        <f t="shared" si="191"/>
        <v/>
      </c>
      <c r="N739" s="2" t="str">
        <f t="shared" si="187"/>
        <v/>
      </c>
      <c r="O739" s="8" t="str">
        <f t="shared" si="188"/>
        <v/>
      </c>
      <c r="P739" s="8" t="str">
        <f t="shared" si="189"/>
        <v/>
      </c>
      <c r="Q739" s="40" t="str">
        <f t="shared" si="180"/>
        <v/>
      </c>
      <c r="R739" s="48" t="str">
        <f t="shared" si="190"/>
        <v/>
      </c>
      <c r="S739" s="8"/>
      <c r="U739" s="35">
        <f t="shared" si="181"/>
        <v>0</v>
      </c>
      <c r="V739" s="24">
        <f t="shared" si="182"/>
        <v>0</v>
      </c>
      <c r="W739" s="41">
        <f t="shared" si="193"/>
        <v>0</v>
      </c>
      <c r="X739" s="31"/>
      <c r="Y739" s="31"/>
      <c r="Z739" s="31"/>
      <c r="AA739" s="25">
        <f t="shared" si="183"/>
        <v>9.0359999999999996</v>
      </c>
      <c r="AB739" s="25">
        <f t="shared" si="184"/>
        <v>-184.49199999999999</v>
      </c>
      <c r="AD739" s="24">
        <f>IF(D739="M",IF(AG739&lt;78,BMILMS!$D$5*AG739^3+BMILMS!$E$5*AG739^2+BMILMS!$F$5*AG739+BMILMS!$G$5,IF(AG739&lt;150,BMILMS!$D$6*AG739^3+BMILMS!$E$6*AG739^2+BMILMS!$F$6*AG739+BMILMS!$G$6,BMILMS!$D$7*AG739^3+BMILMS!$E$7*AG739^2+BMILMS!$F$7*AG739+BMILMS!$G$7)),IF(AG739&lt;69,BMILMS!$D$9*AG739^3+BMILMS!$E$9*AG739^2+BMILMS!$F$9*AG739+BMILMS!$G$9,IF(AG739&lt;150,BMILMS!$D$10*AG739^3+BMILMS!$E$10*AG739^2+BMILMS!$F$10*AG739+BMILMS!$G$10,BMILMS!$D$11*AG739^3+BMILMS!$E$11*AG739^2+BMILMS!$F$11*AG739+BMILMS!$G$11)))</f>
        <v>0.79584630099999998</v>
      </c>
      <c r="AE739" s="24">
        <f>IF(D739="M",(IF(AG739&lt;2.5,BMILMS!$D$21*AG739^3+BMILMS!$E$21*AG739^2+BMILMS!$F$21*AG739+BMILMS!$G$21,IF(AG739&lt;9.5,BMILMS!$D$22*AG739^3+BMILMS!$E$22*AG739^2+BMILMS!$F$22*AG739+BMILMS!$G$22,IF(AG739&lt;26.75,BMILMS!$D$23*AG739^3+BMILMS!$E$23*AG739^2+BMILMS!$F$23*AG739+BMILMS!$G$23,IF(AG739&lt;90,BMILMS!$D$24*AG739^3+BMILMS!$E$24*AG739^2+BMILMS!$F$24*AG739+BMILMS!$G$24,BMILMS!$D$25*AG739^3+BMILMS!$E$25*AG739^2+BMILMS!$F$25*AG739+BMILMS!$G$25))))),(IF(AG739&lt;2.5,BMILMS!$D$27*AG739^3+BMILMS!$E$27*AG739^2+BMILMS!$F$27*AG739+BMILMS!$G$27,IF(AG739&lt;9.5,BMILMS!$D$28*AG739^3+BMILMS!$E$28*AG739^2+BMILMS!$F$28*AG739+BMILMS!$G$28,IF(AG739&lt;26.75,BMILMS!$D$29*AG739^3+BMILMS!$E$29*AG739^2+BMILMS!$F$29*AG739+BMILMS!$G$29,IF(AG739&lt;90,BMILMS!$D$30*AG739^3+BMILMS!$E$30*AG739^2+BMILMS!$F$30*AG739+BMILMS!$G$30,IF(AG739&lt;150,BMILMS!$D$31*AG739^3+BMILMS!$E$31*AG739^2+BMILMS!$F$31*AG739+BMILMS!$G$31,BMILMS!$D$32*AG739^3+BMILMS!$E$32*AG739^2+BMILMS!$F$32*AG739+BMILMS!$G$32)))))))</f>
        <v>12.568967990000001</v>
      </c>
      <c r="AF739" s="24">
        <f>IF(D739="M",(IF(AG739&lt;90,BMILMS!$D$14*AG739^3+BMILMS!$E$14*AG739^2+BMILMS!$F$14*AG739+BMILMS!$G$14,BMILMS!$D$15*AG739^3+BMILMS!$E$15*AG739^2+BMILMS!$F$15*AG739+BMILMS!$G$15)),(IF(AG739&lt;90,BMILMS!$D$17*AG739^3+BMILMS!$E$17*AG739^2+BMILMS!$F$17*AG739+BMILMS!$G$17,BMILMS!$D$18*AG739^3+BMILMS!$E$18*AG739^2+BMILMS!$F$18*AG739+BMILMS!$G$18)))</f>
        <v>8.8969350000000003E-2</v>
      </c>
      <c r="AG739" s="24">
        <f t="shared" si="192"/>
        <v>0</v>
      </c>
      <c r="AI739" s="38">
        <f>IF(D739="M",WeightSDS!P$5*$AG739^7+WeightSDS!Q$5*$AG739^6+WeightSDS!R$5*$AG739^5+WeightSDS!S$5*$AG739^4+WeightSDS!T$5*$AG739^3+WeightSDS!U$5*$AG739^2+WeightSDS!V$5*$AG739+WeightSDS!W$5,IF($AG739&lt;186,WeightSDS!P$8*$AG739^7+WeightSDS!Q$8*$AG739^6+WeightSDS!R$8*$AG739^5+WeightSDS!S$8*$AG739^4+WeightSDS!T$8*$AG739^3+WeightSDS!U$8*$AG739^2+WeightSDS!V$8*$AG739+WeightSDS!W$8,WeightSDS!$U$9-WeightSDS!$V$9*($AG739-WeightSDS!$W$9)))</f>
        <v>0.75407122999999998</v>
      </c>
      <c r="AJ739" s="24">
        <f>IF(D739="M",IF($AG739&lt;45,WeightSDS!M$23*$AG739^10+WeightSDS!N$23*$AG739^9+WeightSDS!O$23*$AG739^8+WeightSDS!P$23*$AG739^7+WeightSDS!Q$23*$AG739^6+WeightSDS!R$23*$AG739^5+WeightSDS!S$23*$AG739^4+WeightSDS!T$23*$AG739^3+WeightSDS!U$23*$AG739^2+WeightSDS!V$23*$AG739+WeightSDS!W$23,IF($AG739&lt;153,WeightSDS!M$25*$AG739^10+WeightSDS!N$25*$AG739^9+WeightSDS!O$25*$AG739^8+WeightSDS!P$25*$AG739^7+WeightSDS!Q$25*$AG739^6+WeightSDS!R$25*$AG739^5+WeightSDS!S$25*$AG739^4+WeightSDS!T$25*$AG739^3+WeightSDS!U$25*$AG739^2+WeightSDS!V$25*$AG739+WeightSDS!W$25,WeightSDS!M$27+WeightSDS!N$27/(1+EXP(WeightSDS!O$27+WeightSDS!P$27*$AG739)))),IF($AG739&lt;43.8,WeightSDS!M$29*$AG739^10+WeightSDS!N$29*$AG739^9+WeightSDS!O$29*$AG739^8+WeightSDS!P$29*$AG739^7+WeightSDS!Q$29*$AG739^6+WeightSDS!R$29*$AG739^5+WeightSDS!S$29*$AG739^4+WeightSDS!T$29*$AG739^3+WeightSDS!U$29*$AG739^2+WeightSDS!V$29*$AG739+WeightSDS!W$29-0.010431*(1-$AG739/210),IF($AG739&lt;123,WeightSDS!M$30*$AG739^10+WeightSDS!N$30*$AG739^9+WeightSDS!O$30*$AG739^8+WeightSDS!P$30*$AG739^7+WeightSDS!Q$30*$AG739^6+WeightSDS!R$30*$AG739^5+WeightSDS!S$30*$AG739^4+WeightSDS!T$30*$AG739^3+WeightSDS!U$30*$AG739^2+WeightSDS!V$30*$AG739+WeightSDS!W$30-0.010431*(1-1/$AG739),WeightSDS!M$32+WeightSDS!N$32/(1+EXP(WeightSDS!O$32+WeightSDS!P$32*$AG739))-0.010431*(1-$AG739/210))))</f>
        <v>2.9500001032655536</v>
      </c>
      <c r="AK739" s="24">
        <f>IF(D739="M",IF($AG739&lt;162,WeightSDS!P$12*$AG739^7+WeightSDS!Q$12*$AG739^6+WeightSDS!R$12*$AG739^5+WeightSDS!S$12*$AG739^4+WeightSDS!T$12*$AG739^3+WeightSDS!U$12*$AG739^2+WeightSDS!V$12*$AG739+WeightSDS!W$12,WeightSDS!P$14*$AG739^7+WeightSDS!Q$14*$AG739^6+WeightSDS!R$14*$AG739^5+WeightSDS!S$14*$AG739^4+WeightSDS!T$14*$AG739^3+WeightSDS!U$14*$AG739^2+WeightSDS!V$14*$AG739+WeightSDS!W$14),IF($AG739&lt;156,WeightSDS!O$17*$AG739^8+WeightSDS!P$17*$AG739^7+WeightSDS!Q$17*$AG739^6+WeightSDS!R$17*$AG739^5+WeightSDS!S$17*$AG739^4+WeightSDS!T$17*$AG739^3+WeightSDS!U$17*$AG739^2+WeightSDS!V$17*$AG739+WeightSDS!W$17,IF($AG739&lt;186,WeightSDS!$U$18+(WeightSDS!$V$18-WeightSDS!$U$18)/24*($AG739-186)+WeightSDS!$W$18*(-$AG739+186)^2-0.005,WeightSDS!$U$18+(WeightSDS!$V$18-WeightSDS!$U$18)/24*($AG739-186)-0.005)))</f>
        <v>0.14604529399999999</v>
      </c>
    </row>
    <row r="740" spans="1:37">
      <c r="A740" s="4"/>
      <c r="B740" s="21"/>
      <c r="C740" s="21"/>
      <c r="D740" s="21"/>
      <c r="E740" s="22"/>
      <c r="F740" s="22"/>
      <c r="G740" s="23"/>
      <c r="H740" s="23"/>
      <c r="I740" s="8" t="str">
        <f t="shared" si="178"/>
        <v/>
      </c>
      <c r="J740" s="2" t="str">
        <f t="shared" si="185"/>
        <v/>
      </c>
      <c r="K740" s="2" t="str">
        <f t="shared" si="179"/>
        <v/>
      </c>
      <c r="L740" s="2" t="str">
        <f t="shared" si="186"/>
        <v/>
      </c>
      <c r="M740" s="2" t="str">
        <f t="shared" si="191"/>
        <v/>
      </c>
      <c r="N740" s="2" t="str">
        <f t="shared" si="187"/>
        <v/>
      </c>
      <c r="O740" s="8" t="str">
        <f t="shared" si="188"/>
        <v/>
      </c>
      <c r="P740" s="8" t="str">
        <f t="shared" si="189"/>
        <v/>
      </c>
      <c r="Q740" s="40" t="str">
        <f t="shared" si="180"/>
        <v/>
      </c>
      <c r="R740" s="48" t="str">
        <f t="shared" si="190"/>
        <v/>
      </c>
      <c r="S740" s="8"/>
      <c r="U740" s="35">
        <f t="shared" si="181"/>
        <v>0</v>
      </c>
      <c r="V740" s="24">
        <f t="shared" si="182"/>
        <v>0</v>
      </c>
      <c r="W740" s="41">
        <f t="shared" si="193"/>
        <v>0</v>
      </c>
      <c r="X740" s="31"/>
      <c r="Y740" s="31"/>
      <c r="Z740" s="31"/>
      <c r="AA740" s="25">
        <f t="shared" si="183"/>
        <v>9.0359999999999996</v>
      </c>
      <c r="AB740" s="25">
        <f t="shared" si="184"/>
        <v>-184.49199999999999</v>
      </c>
      <c r="AD740" s="24">
        <f>IF(D740="M",IF(AG740&lt;78,BMILMS!$D$5*AG740^3+BMILMS!$E$5*AG740^2+BMILMS!$F$5*AG740+BMILMS!$G$5,IF(AG740&lt;150,BMILMS!$D$6*AG740^3+BMILMS!$E$6*AG740^2+BMILMS!$F$6*AG740+BMILMS!$G$6,BMILMS!$D$7*AG740^3+BMILMS!$E$7*AG740^2+BMILMS!$F$7*AG740+BMILMS!$G$7)),IF(AG740&lt;69,BMILMS!$D$9*AG740^3+BMILMS!$E$9*AG740^2+BMILMS!$F$9*AG740+BMILMS!$G$9,IF(AG740&lt;150,BMILMS!$D$10*AG740^3+BMILMS!$E$10*AG740^2+BMILMS!$F$10*AG740+BMILMS!$G$10,BMILMS!$D$11*AG740^3+BMILMS!$E$11*AG740^2+BMILMS!$F$11*AG740+BMILMS!$G$11)))</f>
        <v>0.79584630099999998</v>
      </c>
      <c r="AE740" s="24">
        <f>IF(D740="M",(IF(AG740&lt;2.5,BMILMS!$D$21*AG740^3+BMILMS!$E$21*AG740^2+BMILMS!$F$21*AG740+BMILMS!$G$21,IF(AG740&lt;9.5,BMILMS!$D$22*AG740^3+BMILMS!$E$22*AG740^2+BMILMS!$F$22*AG740+BMILMS!$G$22,IF(AG740&lt;26.75,BMILMS!$D$23*AG740^3+BMILMS!$E$23*AG740^2+BMILMS!$F$23*AG740+BMILMS!$G$23,IF(AG740&lt;90,BMILMS!$D$24*AG740^3+BMILMS!$E$24*AG740^2+BMILMS!$F$24*AG740+BMILMS!$G$24,BMILMS!$D$25*AG740^3+BMILMS!$E$25*AG740^2+BMILMS!$F$25*AG740+BMILMS!$G$25))))),(IF(AG740&lt;2.5,BMILMS!$D$27*AG740^3+BMILMS!$E$27*AG740^2+BMILMS!$F$27*AG740+BMILMS!$G$27,IF(AG740&lt;9.5,BMILMS!$D$28*AG740^3+BMILMS!$E$28*AG740^2+BMILMS!$F$28*AG740+BMILMS!$G$28,IF(AG740&lt;26.75,BMILMS!$D$29*AG740^3+BMILMS!$E$29*AG740^2+BMILMS!$F$29*AG740+BMILMS!$G$29,IF(AG740&lt;90,BMILMS!$D$30*AG740^3+BMILMS!$E$30*AG740^2+BMILMS!$F$30*AG740+BMILMS!$G$30,IF(AG740&lt;150,BMILMS!$D$31*AG740^3+BMILMS!$E$31*AG740^2+BMILMS!$F$31*AG740+BMILMS!$G$31,BMILMS!$D$32*AG740^3+BMILMS!$E$32*AG740^2+BMILMS!$F$32*AG740+BMILMS!$G$32)))))))</f>
        <v>12.568967990000001</v>
      </c>
      <c r="AF740" s="24">
        <f>IF(D740="M",(IF(AG740&lt;90,BMILMS!$D$14*AG740^3+BMILMS!$E$14*AG740^2+BMILMS!$F$14*AG740+BMILMS!$G$14,BMILMS!$D$15*AG740^3+BMILMS!$E$15*AG740^2+BMILMS!$F$15*AG740+BMILMS!$G$15)),(IF(AG740&lt;90,BMILMS!$D$17*AG740^3+BMILMS!$E$17*AG740^2+BMILMS!$F$17*AG740+BMILMS!$G$17,BMILMS!$D$18*AG740^3+BMILMS!$E$18*AG740^2+BMILMS!$F$18*AG740+BMILMS!$G$18)))</f>
        <v>8.8969350000000003E-2</v>
      </c>
      <c r="AG740" s="24">
        <f t="shared" si="192"/>
        <v>0</v>
      </c>
      <c r="AI740" s="38">
        <f>IF(D740="M",WeightSDS!P$5*$AG740^7+WeightSDS!Q$5*$AG740^6+WeightSDS!R$5*$AG740^5+WeightSDS!S$5*$AG740^4+WeightSDS!T$5*$AG740^3+WeightSDS!U$5*$AG740^2+WeightSDS!V$5*$AG740+WeightSDS!W$5,IF($AG740&lt;186,WeightSDS!P$8*$AG740^7+WeightSDS!Q$8*$AG740^6+WeightSDS!R$8*$AG740^5+WeightSDS!S$8*$AG740^4+WeightSDS!T$8*$AG740^3+WeightSDS!U$8*$AG740^2+WeightSDS!V$8*$AG740+WeightSDS!W$8,WeightSDS!$U$9-WeightSDS!$V$9*($AG740-WeightSDS!$W$9)))</f>
        <v>0.75407122999999998</v>
      </c>
      <c r="AJ740" s="24">
        <f>IF(D740="M",IF($AG740&lt;45,WeightSDS!M$23*$AG740^10+WeightSDS!N$23*$AG740^9+WeightSDS!O$23*$AG740^8+WeightSDS!P$23*$AG740^7+WeightSDS!Q$23*$AG740^6+WeightSDS!R$23*$AG740^5+WeightSDS!S$23*$AG740^4+WeightSDS!T$23*$AG740^3+WeightSDS!U$23*$AG740^2+WeightSDS!V$23*$AG740+WeightSDS!W$23,IF($AG740&lt;153,WeightSDS!M$25*$AG740^10+WeightSDS!N$25*$AG740^9+WeightSDS!O$25*$AG740^8+WeightSDS!P$25*$AG740^7+WeightSDS!Q$25*$AG740^6+WeightSDS!R$25*$AG740^5+WeightSDS!S$25*$AG740^4+WeightSDS!T$25*$AG740^3+WeightSDS!U$25*$AG740^2+WeightSDS!V$25*$AG740+WeightSDS!W$25,WeightSDS!M$27+WeightSDS!N$27/(1+EXP(WeightSDS!O$27+WeightSDS!P$27*$AG740)))),IF($AG740&lt;43.8,WeightSDS!M$29*$AG740^10+WeightSDS!N$29*$AG740^9+WeightSDS!O$29*$AG740^8+WeightSDS!P$29*$AG740^7+WeightSDS!Q$29*$AG740^6+WeightSDS!R$29*$AG740^5+WeightSDS!S$29*$AG740^4+WeightSDS!T$29*$AG740^3+WeightSDS!U$29*$AG740^2+WeightSDS!V$29*$AG740+WeightSDS!W$29-0.010431*(1-$AG740/210),IF($AG740&lt;123,WeightSDS!M$30*$AG740^10+WeightSDS!N$30*$AG740^9+WeightSDS!O$30*$AG740^8+WeightSDS!P$30*$AG740^7+WeightSDS!Q$30*$AG740^6+WeightSDS!R$30*$AG740^5+WeightSDS!S$30*$AG740^4+WeightSDS!T$30*$AG740^3+WeightSDS!U$30*$AG740^2+WeightSDS!V$30*$AG740+WeightSDS!W$30-0.010431*(1-1/$AG740),WeightSDS!M$32+WeightSDS!N$32/(1+EXP(WeightSDS!O$32+WeightSDS!P$32*$AG740))-0.010431*(1-$AG740/210))))</f>
        <v>2.9500001032655536</v>
      </c>
      <c r="AK740" s="24">
        <f>IF(D740="M",IF($AG740&lt;162,WeightSDS!P$12*$AG740^7+WeightSDS!Q$12*$AG740^6+WeightSDS!R$12*$AG740^5+WeightSDS!S$12*$AG740^4+WeightSDS!T$12*$AG740^3+WeightSDS!U$12*$AG740^2+WeightSDS!V$12*$AG740+WeightSDS!W$12,WeightSDS!P$14*$AG740^7+WeightSDS!Q$14*$AG740^6+WeightSDS!R$14*$AG740^5+WeightSDS!S$14*$AG740^4+WeightSDS!T$14*$AG740^3+WeightSDS!U$14*$AG740^2+WeightSDS!V$14*$AG740+WeightSDS!W$14),IF($AG740&lt;156,WeightSDS!O$17*$AG740^8+WeightSDS!P$17*$AG740^7+WeightSDS!Q$17*$AG740^6+WeightSDS!R$17*$AG740^5+WeightSDS!S$17*$AG740^4+WeightSDS!T$17*$AG740^3+WeightSDS!U$17*$AG740^2+WeightSDS!V$17*$AG740+WeightSDS!W$17,IF($AG740&lt;186,WeightSDS!$U$18+(WeightSDS!$V$18-WeightSDS!$U$18)/24*($AG740-186)+WeightSDS!$W$18*(-$AG740+186)^2-0.005,WeightSDS!$U$18+(WeightSDS!$V$18-WeightSDS!$U$18)/24*($AG740-186)-0.005)))</f>
        <v>0.14604529399999999</v>
      </c>
    </row>
    <row r="741" spans="1:37">
      <c r="A741" s="4"/>
      <c r="B741" s="21"/>
      <c r="C741" s="21"/>
      <c r="D741" s="21"/>
      <c r="E741" s="22"/>
      <c r="F741" s="22"/>
      <c r="G741" s="23"/>
      <c r="H741" s="23"/>
      <c r="I741" s="8" t="str">
        <f t="shared" si="178"/>
        <v/>
      </c>
      <c r="J741" s="2" t="str">
        <f t="shared" si="185"/>
        <v/>
      </c>
      <c r="K741" s="2" t="str">
        <f t="shared" si="179"/>
        <v/>
      </c>
      <c r="L741" s="2" t="str">
        <f t="shared" si="186"/>
        <v/>
      </c>
      <c r="M741" s="2" t="str">
        <f t="shared" si="191"/>
        <v/>
      </c>
      <c r="N741" s="2" t="str">
        <f t="shared" si="187"/>
        <v/>
      </c>
      <c r="O741" s="8" t="str">
        <f t="shared" si="188"/>
        <v/>
      </c>
      <c r="P741" s="8" t="str">
        <f t="shared" si="189"/>
        <v/>
      </c>
      <c r="Q741" s="40" t="str">
        <f t="shared" si="180"/>
        <v/>
      </c>
      <c r="R741" s="48" t="str">
        <f t="shared" si="190"/>
        <v/>
      </c>
      <c r="S741" s="8"/>
      <c r="U741" s="35">
        <f t="shared" si="181"/>
        <v>0</v>
      </c>
      <c r="V741" s="24">
        <f t="shared" si="182"/>
        <v>0</v>
      </c>
      <c r="W741" s="41">
        <f t="shared" si="193"/>
        <v>0</v>
      </c>
      <c r="X741" s="31"/>
      <c r="Y741" s="31"/>
      <c r="Z741" s="31"/>
      <c r="AA741" s="25">
        <f t="shared" si="183"/>
        <v>9.0359999999999996</v>
      </c>
      <c r="AB741" s="25">
        <f t="shared" si="184"/>
        <v>-184.49199999999999</v>
      </c>
      <c r="AD741" s="24">
        <f>IF(D741="M",IF(AG741&lt;78,BMILMS!$D$5*AG741^3+BMILMS!$E$5*AG741^2+BMILMS!$F$5*AG741+BMILMS!$G$5,IF(AG741&lt;150,BMILMS!$D$6*AG741^3+BMILMS!$E$6*AG741^2+BMILMS!$F$6*AG741+BMILMS!$G$6,BMILMS!$D$7*AG741^3+BMILMS!$E$7*AG741^2+BMILMS!$F$7*AG741+BMILMS!$G$7)),IF(AG741&lt;69,BMILMS!$D$9*AG741^3+BMILMS!$E$9*AG741^2+BMILMS!$F$9*AG741+BMILMS!$G$9,IF(AG741&lt;150,BMILMS!$D$10*AG741^3+BMILMS!$E$10*AG741^2+BMILMS!$F$10*AG741+BMILMS!$G$10,BMILMS!$D$11*AG741^3+BMILMS!$E$11*AG741^2+BMILMS!$F$11*AG741+BMILMS!$G$11)))</f>
        <v>0.79584630099999998</v>
      </c>
      <c r="AE741" s="24">
        <f>IF(D741="M",(IF(AG741&lt;2.5,BMILMS!$D$21*AG741^3+BMILMS!$E$21*AG741^2+BMILMS!$F$21*AG741+BMILMS!$G$21,IF(AG741&lt;9.5,BMILMS!$D$22*AG741^3+BMILMS!$E$22*AG741^2+BMILMS!$F$22*AG741+BMILMS!$G$22,IF(AG741&lt;26.75,BMILMS!$D$23*AG741^3+BMILMS!$E$23*AG741^2+BMILMS!$F$23*AG741+BMILMS!$G$23,IF(AG741&lt;90,BMILMS!$D$24*AG741^3+BMILMS!$E$24*AG741^2+BMILMS!$F$24*AG741+BMILMS!$G$24,BMILMS!$D$25*AG741^3+BMILMS!$E$25*AG741^2+BMILMS!$F$25*AG741+BMILMS!$G$25))))),(IF(AG741&lt;2.5,BMILMS!$D$27*AG741^3+BMILMS!$E$27*AG741^2+BMILMS!$F$27*AG741+BMILMS!$G$27,IF(AG741&lt;9.5,BMILMS!$D$28*AG741^3+BMILMS!$E$28*AG741^2+BMILMS!$F$28*AG741+BMILMS!$G$28,IF(AG741&lt;26.75,BMILMS!$D$29*AG741^3+BMILMS!$E$29*AG741^2+BMILMS!$F$29*AG741+BMILMS!$G$29,IF(AG741&lt;90,BMILMS!$D$30*AG741^3+BMILMS!$E$30*AG741^2+BMILMS!$F$30*AG741+BMILMS!$G$30,IF(AG741&lt;150,BMILMS!$D$31*AG741^3+BMILMS!$E$31*AG741^2+BMILMS!$F$31*AG741+BMILMS!$G$31,BMILMS!$D$32*AG741^3+BMILMS!$E$32*AG741^2+BMILMS!$F$32*AG741+BMILMS!$G$32)))))))</f>
        <v>12.568967990000001</v>
      </c>
      <c r="AF741" s="24">
        <f>IF(D741="M",(IF(AG741&lt;90,BMILMS!$D$14*AG741^3+BMILMS!$E$14*AG741^2+BMILMS!$F$14*AG741+BMILMS!$G$14,BMILMS!$D$15*AG741^3+BMILMS!$E$15*AG741^2+BMILMS!$F$15*AG741+BMILMS!$G$15)),(IF(AG741&lt;90,BMILMS!$D$17*AG741^3+BMILMS!$E$17*AG741^2+BMILMS!$F$17*AG741+BMILMS!$G$17,BMILMS!$D$18*AG741^3+BMILMS!$E$18*AG741^2+BMILMS!$F$18*AG741+BMILMS!$G$18)))</f>
        <v>8.8969350000000003E-2</v>
      </c>
      <c r="AG741" s="24">
        <f t="shared" si="192"/>
        <v>0</v>
      </c>
      <c r="AI741" s="38">
        <f>IF(D741="M",WeightSDS!P$5*$AG741^7+WeightSDS!Q$5*$AG741^6+WeightSDS!R$5*$AG741^5+WeightSDS!S$5*$AG741^4+WeightSDS!T$5*$AG741^3+WeightSDS!U$5*$AG741^2+WeightSDS!V$5*$AG741+WeightSDS!W$5,IF($AG741&lt;186,WeightSDS!P$8*$AG741^7+WeightSDS!Q$8*$AG741^6+WeightSDS!R$8*$AG741^5+WeightSDS!S$8*$AG741^4+WeightSDS!T$8*$AG741^3+WeightSDS!U$8*$AG741^2+WeightSDS!V$8*$AG741+WeightSDS!W$8,WeightSDS!$U$9-WeightSDS!$V$9*($AG741-WeightSDS!$W$9)))</f>
        <v>0.75407122999999998</v>
      </c>
      <c r="AJ741" s="24">
        <f>IF(D741="M",IF($AG741&lt;45,WeightSDS!M$23*$AG741^10+WeightSDS!N$23*$AG741^9+WeightSDS!O$23*$AG741^8+WeightSDS!P$23*$AG741^7+WeightSDS!Q$23*$AG741^6+WeightSDS!R$23*$AG741^5+WeightSDS!S$23*$AG741^4+WeightSDS!T$23*$AG741^3+WeightSDS!U$23*$AG741^2+WeightSDS!V$23*$AG741+WeightSDS!W$23,IF($AG741&lt;153,WeightSDS!M$25*$AG741^10+WeightSDS!N$25*$AG741^9+WeightSDS!O$25*$AG741^8+WeightSDS!P$25*$AG741^7+WeightSDS!Q$25*$AG741^6+WeightSDS!R$25*$AG741^5+WeightSDS!S$25*$AG741^4+WeightSDS!T$25*$AG741^3+WeightSDS!U$25*$AG741^2+WeightSDS!V$25*$AG741+WeightSDS!W$25,WeightSDS!M$27+WeightSDS!N$27/(1+EXP(WeightSDS!O$27+WeightSDS!P$27*$AG741)))),IF($AG741&lt;43.8,WeightSDS!M$29*$AG741^10+WeightSDS!N$29*$AG741^9+WeightSDS!O$29*$AG741^8+WeightSDS!P$29*$AG741^7+WeightSDS!Q$29*$AG741^6+WeightSDS!R$29*$AG741^5+WeightSDS!S$29*$AG741^4+WeightSDS!T$29*$AG741^3+WeightSDS!U$29*$AG741^2+WeightSDS!V$29*$AG741+WeightSDS!W$29-0.010431*(1-$AG741/210),IF($AG741&lt;123,WeightSDS!M$30*$AG741^10+WeightSDS!N$30*$AG741^9+WeightSDS!O$30*$AG741^8+WeightSDS!P$30*$AG741^7+WeightSDS!Q$30*$AG741^6+WeightSDS!R$30*$AG741^5+WeightSDS!S$30*$AG741^4+WeightSDS!T$30*$AG741^3+WeightSDS!U$30*$AG741^2+WeightSDS!V$30*$AG741+WeightSDS!W$30-0.010431*(1-1/$AG741),WeightSDS!M$32+WeightSDS!N$32/(1+EXP(WeightSDS!O$32+WeightSDS!P$32*$AG741))-0.010431*(1-$AG741/210))))</f>
        <v>2.9500001032655536</v>
      </c>
      <c r="AK741" s="24">
        <f>IF(D741="M",IF($AG741&lt;162,WeightSDS!P$12*$AG741^7+WeightSDS!Q$12*$AG741^6+WeightSDS!R$12*$AG741^5+WeightSDS!S$12*$AG741^4+WeightSDS!T$12*$AG741^3+WeightSDS!U$12*$AG741^2+WeightSDS!V$12*$AG741+WeightSDS!W$12,WeightSDS!P$14*$AG741^7+WeightSDS!Q$14*$AG741^6+WeightSDS!R$14*$AG741^5+WeightSDS!S$14*$AG741^4+WeightSDS!T$14*$AG741^3+WeightSDS!U$14*$AG741^2+WeightSDS!V$14*$AG741+WeightSDS!W$14),IF($AG741&lt;156,WeightSDS!O$17*$AG741^8+WeightSDS!P$17*$AG741^7+WeightSDS!Q$17*$AG741^6+WeightSDS!R$17*$AG741^5+WeightSDS!S$17*$AG741^4+WeightSDS!T$17*$AG741^3+WeightSDS!U$17*$AG741^2+WeightSDS!V$17*$AG741+WeightSDS!W$17,IF($AG741&lt;186,WeightSDS!$U$18+(WeightSDS!$V$18-WeightSDS!$U$18)/24*($AG741-186)+WeightSDS!$W$18*(-$AG741+186)^2-0.005,WeightSDS!$U$18+(WeightSDS!$V$18-WeightSDS!$U$18)/24*($AG741-186)-0.005)))</f>
        <v>0.14604529399999999</v>
      </c>
    </row>
    <row r="742" spans="1:37">
      <c r="A742" s="4"/>
      <c r="B742" s="21"/>
      <c r="C742" s="21"/>
      <c r="D742" s="21"/>
      <c r="E742" s="22"/>
      <c r="F742" s="22"/>
      <c r="G742" s="23"/>
      <c r="H742" s="23"/>
      <c r="I742" s="8" t="str">
        <f t="shared" si="178"/>
        <v/>
      </c>
      <c r="J742" s="2" t="str">
        <f t="shared" si="185"/>
        <v/>
      </c>
      <c r="K742" s="2" t="str">
        <f t="shared" si="179"/>
        <v/>
      </c>
      <c r="L742" s="2" t="str">
        <f t="shared" si="186"/>
        <v/>
      </c>
      <c r="M742" s="2" t="str">
        <f t="shared" si="191"/>
        <v/>
      </c>
      <c r="N742" s="2" t="str">
        <f t="shared" si="187"/>
        <v/>
      </c>
      <c r="O742" s="8" t="str">
        <f t="shared" si="188"/>
        <v/>
      </c>
      <c r="P742" s="8" t="str">
        <f t="shared" si="189"/>
        <v/>
      </c>
      <c r="Q742" s="40" t="str">
        <f t="shared" si="180"/>
        <v/>
      </c>
      <c r="R742" s="48" t="str">
        <f t="shared" si="190"/>
        <v/>
      </c>
      <c r="S742" s="8"/>
      <c r="U742" s="35">
        <f t="shared" si="181"/>
        <v>0</v>
      </c>
      <c r="V742" s="24">
        <f t="shared" si="182"/>
        <v>0</v>
      </c>
      <c r="W742" s="41">
        <f t="shared" si="193"/>
        <v>0</v>
      </c>
      <c r="X742" s="31"/>
      <c r="Y742" s="31"/>
      <c r="Z742" s="31"/>
      <c r="AA742" s="25">
        <f t="shared" si="183"/>
        <v>9.0359999999999996</v>
      </c>
      <c r="AB742" s="25">
        <f t="shared" si="184"/>
        <v>-184.49199999999999</v>
      </c>
      <c r="AD742" s="24">
        <f>IF(D742="M",IF(AG742&lt;78,BMILMS!$D$5*AG742^3+BMILMS!$E$5*AG742^2+BMILMS!$F$5*AG742+BMILMS!$G$5,IF(AG742&lt;150,BMILMS!$D$6*AG742^3+BMILMS!$E$6*AG742^2+BMILMS!$F$6*AG742+BMILMS!$G$6,BMILMS!$D$7*AG742^3+BMILMS!$E$7*AG742^2+BMILMS!$F$7*AG742+BMILMS!$G$7)),IF(AG742&lt;69,BMILMS!$D$9*AG742^3+BMILMS!$E$9*AG742^2+BMILMS!$F$9*AG742+BMILMS!$G$9,IF(AG742&lt;150,BMILMS!$D$10*AG742^3+BMILMS!$E$10*AG742^2+BMILMS!$F$10*AG742+BMILMS!$G$10,BMILMS!$D$11*AG742^3+BMILMS!$E$11*AG742^2+BMILMS!$F$11*AG742+BMILMS!$G$11)))</f>
        <v>0.79584630099999998</v>
      </c>
      <c r="AE742" s="24">
        <f>IF(D742="M",(IF(AG742&lt;2.5,BMILMS!$D$21*AG742^3+BMILMS!$E$21*AG742^2+BMILMS!$F$21*AG742+BMILMS!$G$21,IF(AG742&lt;9.5,BMILMS!$D$22*AG742^3+BMILMS!$E$22*AG742^2+BMILMS!$F$22*AG742+BMILMS!$G$22,IF(AG742&lt;26.75,BMILMS!$D$23*AG742^3+BMILMS!$E$23*AG742^2+BMILMS!$F$23*AG742+BMILMS!$G$23,IF(AG742&lt;90,BMILMS!$D$24*AG742^3+BMILMS!$E$24*AG742^2+BMILMS!$F$24*AG742+BMILMS!$G$24,BMILMS!$D$25*AG742^3+BMILMS!$E$25*AG742^2+BMILMS!$F$25*AG742+BMILMS!$G$25))))),(IF(AG742&lt;2.5,BMILMS!$D$27*AG742^3+BMILMS!$E$27*AG742^2+BMILMS!$F$27*AG742+BMILMS!$G$27,IF(AG742&lt;9.5,BMILMS!$D$28*AG742^3+BMILMS!$E$28*AG742^2+BMILMS!$F$28*AG742+BMILMS!$G$28,IF(AG742&lt;26.75,BMILMS!$D$29*AG742^3+BMILMS!$E$29*AG742^2+BMILMS!$F$29*AG742+BMILMS!$G$29,IF(AG742&lt;90,BMILMS!$D$30*AG742^3+BMILMS!$E$30*AG742^2+BMILMS!$F$30*AG742+BMILMS!$G$30,IF(AG742&lt;150,BMILMS!$D$31*AG742^3+BMILMS!$E$31*AG742^2+BMILMS!$F$31*AG742+BMILMS!$G$31,BMILMS!$D$32*AG742^3+BMILMS!$E$32*AG742^2+BMILMS!$F$32*AG742+BMILMS!$G$32)))))))</f>
        <v>12.568967990000001</v>
      </c>
      <c r="AF742" s="24">
        <f>IF(D742="M",(IF(AG742&lt;90,BMILMS!$D$14*AG742^3+BMILMS!$E$14*AG742^2+BMILMS!$F$14*AG742+BMILMS!$G$14,BMILMS!$D$15*AG742^3+BMILMS!$E$15*AG742^2+BMILMS!$F$15*AG742+BMILMS!$G$15)),(IF(AG742&lt;90,BMILMS!$D$17*AG742^3+BMILMS!$E$17*AG742^2+BMILMS!$F$17*AG742+BMILMS!$G$17,BMILMS!$D$18*AG742^3+BMILMS!$E$18*AG742^2+BMILMS!$F$18*AG742+BMILMS!$G$18)))</f>
        <v>8.8969350000000003E-2</v>
      </c>
      <c r="AG742" s="24">
        <f t="shared" si="192"/>
        <v>0</v>
      </c>
      <c r="AI742" s="38">
        <f>IF(D742="M",WeightSDS!P$5*$AG742^7+WeightSDS!Q$5*$AG742^6+WeightSDS!R$5*$AG742^5+WeightSDS!S$5*$AG742^4+WeightSDS!T$5*$AG742^3+WeightSDS!U$5*$AG742^2+WeightSDS!V$5*$AG742+WeightSDS!W$5,IF($AG742&lt;186,WeightSDS!P$8*$AG742^7+WeightSDS!Q$8*$AG742^6+WeightSDS!R$8*$AG742^5+WeightSDS!S$8*$AG742^4+WeightSDS!T$8*$AG742^3+WeightSDS!U$8*$AG742^2+WeightSDS!V$8*$AG742+WeightSDS!W$8,WeightSDS!$U$9-WeightSDS!$V$9*($AG742-WeightSDS!$W$9)))</f>
        <v>0.75407122999999998</v>
      </c>
      <c r="AJ742" s="24">
        <f>IF(D742="M",IF($AG742&lt;45,WeightSDS!M$23*$AG742^10+WeightSDS!N$23*$AG742^9+WeightSDS!O$23*$AG742^8+WeightSDS!P$23*$AG742^7+WeightSDS!Q$23*$AG742^6+WeightSDS!R$23*$AG742^5+WeightSDS!S$23*$AG742^4+WeightSDS!T$23*$AG742^3+WeightSDS!U$23*$AG742^2+WeightSDS!V$23*$AG742+WeightSDS!W$23,IF($AG742&lt;153,WeightSDS!M$25*$AG742^10+WeightSDS!N$25*$AG742^9+WeightSDS!O$25*$AG742^8+WeightSDS!P$25*$AG742^7+WeightSDS!Q$25*$AG742^6+WeightSDS!R$25*$AG742^5+WeightSDS!S$25*$AG742^4+WeightSDS!T$25*$AG742^3+WeightSDS!U$25*$AG742^2+WeightSDS!V$25*$AG742+WeightSDS!W$25,WeightSDS!M$27+WeightSDS!N$27/(1+EXP(WeightSDS!O$27+WeightSDS!P$27*$AG742)))),IF($AG742&lt;43.8,WeightSDS!M$29*$AG742^10+WeightSDS!N$29*$AG742^9+WeightSDS!O$29*$AG742^8+WeightSDS!P$29*$AG742^7+WeightSDS!Q$29*$AG742^6+WeightSDS!R$29*$AG742^5+WeightSDS!S$29*$AG742^4+WeightSDS!T$29*$AG742^3+WeightSDS!U$29*$AG742^2+WeightSDS!V$29*$AG742+WeightSDS!W$29-0.010431*(1-$AG742/210),IF($AG742&lt;123,WeightSDS!M$30*$AG742^10+WeightSDS!N$30*$AG742^9+WeightSDS!O$30*$AG742^8+WeightSDS!P$30*$AG742^7+WeightSDS!Q$30*$AG742^6+WeightSDS!R$30*$AG742^5+WeightSDS!S$30*$AG742^4+WeightSDS!T$30*$AG742^3+WeightSDS!U$30*$AG742^2+WeightSDS!V$30*$AG742+WeightSDS!W$30-0.010431*(1-1/$AG742),WeightSDS!M$32+WeightSDS!N$32/(1+EXP(WeightSDS!O$32+WeightSDS!P$32*$AG742))-0.010431*(1-$AG742/210))))</f>
        <v>2.9500001032655536</v>
      </c>
      <c r="AK742" s="24">
        <f>IF(D742="M",IF($AG742&lt;162,WeightSDS!P$12*$AG742^7+WeightSDS!Q$12*$AG742^6+WeightSDS!R$12*$AG742^5+WeightSDS!S$12*$AG742^4+WeightSDS!T$12*$AG742^3+WeightSDS!U$12*$AG742^2+WeightSDS!V$12*$AG742+WeightSDS!W$12,WeightSDS!P$14*$AG742^7+WeightSDS!Q$14*$AG742^6+WeightSDS!R$14*$AG742^5+WeightSDS!S$14*$AG742^4+WeightSDS!T$14*$AG742^3+WeightSDS!U$14*$AG742^2+WeightSDS!V$14*$AG742+WeightSDS!W$14),IF($AG742&lt;156,WeightSDS!O$17*$AG742^8+WeightSDS!P$17*$AG742^7+WeightSDS!Q$17*$AG742^6+WeightSDS!R$17*$AG742^5+WeightSDS!S$17*$AG742^4+WeightSDS!T$17*$AG742^3+WeightSDS!U$17*$AG742^2+WeightSDS!V$17*$AG742+WeightSDS!W$17,IF($AG742&lt;186,WeightSDS!$U$18+(WeightSDS!$V$18-WeightSDS!$U$18)/24*($AG742-186)+WeightSDS!$W$18*(-$AG742+186)^2-0.005,WeightSDS!$U$18+(WeightSDS!$V$18-WeightSDS!$U$18)/24*($AG742-186)-0.005)))</f>
        <v>0.14604529399999999</v>
      </c>
    </row>
    <row r="743" spans="1:37">
      <c r="A743" s="4"/>
      <c r="B743" s="21"/>
      <c r="C743" s="21"/>
      <c r="D743" s="21"/>
      <c r="E743" s="22"/>
      <c r="F743" s="22"/>
      <c r="G743" s="23"/>
      <c r="H743" s="23"/>
      <c r="I743" s="8" t="str">
        <f t="shared" si="178"/>
        <v/>
      </c>
      <c r="J743" s="2" t="str">
        <f t="shared" si="185"/>
        <v/>
      </c>
      <c r="K743" s="2" t="str">
        <f t="shared" si="179"/>
        <v/>
      </c>
      <c r="L743" s="2" t="str">
        <f t="shared" si="186"/>
        <v/>
      </c>
      <c r="M743" s="2" t="str">
        <f t="shared" si="191"/>
        <v/>
      </c>
      <c r="N743" s="2" t="str">
        <f t="shared" si="187"/>
        <v/>
      </c>
      <c r="O743" s="8" t="str">
        <f t="shared" si="188"/>
        <v/>
      </c>
      <c r="P743" s="8" t="str">
        <f t="shared" si="189"/>
        <v/>
      </c>
      <c r="Q743" s="40" t="str">
        <f t="shared" si="180"/>
        <v/>
      </c>
      <c r="R743" s="48" t="str">
        <f t="shared" si="190"/>
        <v/>
      </c>
      <c r="S743" s="8"/>
      <c r="U743" s="35">
        <f t="shared" si="181"/>
        <v>0</v>
      </c>
      <c r="V743" s="24">
        <f t="shared" si="182"/>
        <v>0</v>
      </c>
      <c r="W743" s="41">
        <f t="shared" si="193"/>
        <v>0</v>
      </c>
      <c r="X743" s="31"/>
      <c r="Y743" s="31"/>
      <c r="Z743" s="31"/>
      <c r="AA743" s="25">
        <f t="shared" si="183"/>
        <v>9.0359999999999996</v>
      </c>
      <c r="AB743" s="25">
        <f t="shared" si="184"/>
        <v>-184.49199999999999</v>
      </c>
      <c r="AD743" s="24">
        <f>IF(D743="M",IF(AG743&lt;78,BMILMS!$D$5*AG743^3+BMILMS!$E$5*AG743^2+BMILMS!$F$5*AG743+BMILMS!$G$5,IF(AG743&lt;150,BMILMS!$D$6*AG743^3+BMILMS!$E$6*AG743^2+BMILMS!$F$6*AG743+BMILMS!$G$6,BMILMS!$D$7*AG743^3+BMILMS!$E$7*AG743^2+BMILMS!$F$7*AG743+BMILMS!$G$7)),IF(AG743&lt;69,BMILMS!$D$9*AG743^3+BMILMS!$E$9*AG743^2+BMILMS!$F$9*AG743+BMILMS!$G$9,IF(AG743&lt;150,BMILMS!$D$10*AG743^3+BMILMS!$E$10*AG743^2+BMILMS!$F$10*AG743+BMILMS!$G$10,BMILMS!$D$11*AG743^3+BMILMS!$E$11*AG743^2+BMILMS!$F$11*AG743+BMILMS!$G$11)))</f>
        <v>0.79584630099999998</v>
      </c>
      <c r="AE743" s="24">
        <f>IF(D743="M",(IF(AG743&lt;2.5,BMILMS!$D$21*AG743^3+BMILMS!$E$21*AG743^2+BMILMS!$F$21*AG743+BMILMS!$G$21,IF(AG743&lt;9.5,BMILMS!$D$22*AG743^3+BMILMS!$E$22*AG743^2+BMILMS!$F$22*AG743+BMILMS!$G$22,IF(AG743&lt;26.75,BMILMS!$D$23*AG743^3+BMILMS!$E$23*AG743^2+BMILMS!$F$23*AG743+BMILMS!$G$23,IF(AG743&lt;90,BMILMS!$D$24*AG743^3+BMILMS!$E$24*AG743^2+BMILMS!$F$24*AG743+BMILMS!$G$24,BMILMS!$D$25*AG743^3+BMILMS!$E$25*AG743^2+BMILMS!$F$25*AG743+BMILMS!$G$25))))),(IF(AG743&lt;2.5,BMILMS!$D$27*AG743^3+BMILMS!$E$27*AG743^2+BMILMS!$F$27*AG743+BMILMS!$G$27,IF(AG743&lt;9.5,BMILMS!$D$28*AG743^3+BMILMS!$E$28*AG743^2+BMILMS!$F$28*AG743+BMILMS!$G$28,IF(AG743&lt;26.75,BMILMS!$D$29*AG743^3+BMILMS!$E$29*AG743^2+BMILMS!$F$29*AG743+BMILMS!$G$29,IF(AG743&lt;90,BMILMS!$D$30*AG743^3+BMILMS!$E$30*AG743^2+BMILMS!$F$30*AG743+BMILMS!$G$30,IF(AG743&lt;150,BMILMS!$D$31*AG743^3+BMILMS!$E$31*AG743^2+BMILMS!$F$31*AG743+BMILMS!$G$31,BMILMS!$D$32*AG743^3+BMILMS!$E$32*AG743^2+BMILMS!$F$32*AG743+BMILMS!$G$32)))))))</f>
        <v>12.568967990000001</v>
      </c>
      <c r="AF743" s="24">
        <f>IF(D743="M",(IF(AG743&lt;90,BMILMS!$D$14*AG743^3+BMILMS!$E$14*AG743^2+BMILMS!$F$14*AG743+BMILMS!$G$14,BMILMS!$D$15*AG743^3+BMILMS!$E$15*AG743^2+BMILMS!$F$15*AG743+BMILMS!$G$15)),(IF(AG743&lt;90,BMILMS!$D$17*AG743^3+BMILMS!$E$17*AG743^2+BMILMS!$F$17*AG743+BMILMS!$G$17,BMILMS!$D$18*AG743^3+BMILMS!$E$18*AG743^2+BMILMS!$F$18*AG743+BMILMS!$G$18)))</f>
        <v>8.8969350000000003E-2</v>
      </c>
      <c r="AG743" s="24">
        <f t="shared" si="192"/>
        <v>0</v>
      </c>
      <c r="AI743" s="38">
        <f>IF(D743="M",WeightSDS!P$5*$AG743^7+WeightSDS!Q$5*$AG743^6+WeightSDS!R$5*$AG743^5+WeightSDS!S$5*$AG743^4+WeightSDS!T$5*$AG743^3+WeightSDS!U$5*$AG743^2+WeightSDS!V$5*$AG743+WeightSDS!W$5,IF($AG743&lt;186,WeightSDS!P$8*$AG743^7+WeightSDS!Q$8*$AG743^6+WeightSDS!R$8*$AG743^5+WeightSDS!S$8*$AG743^4+WeightSDS!T$8*$AG743^3+WeightSDS!U$8*$AG743^2+WeightSDS!V$8*$AG743+WeightSDS!W$8,WeightSDS!$U$9-WeightSDS!$V$9*($AG743-WeightSDS!$W$9)))</f>
        <v>0.75407122999999998</v>
      </c>
      <c r="AJ743" s="24">
        <f>IF(D743="M",IF($AG743&lt;45,WeightSDS!M$23*$AG743^10+WeightSDS!N$23*$AG743^9+WeightSDS!O$23*$AG743^8+WeightSDS!P$23*$AG743^7+WeightSDS!Q$23*$AG743^6+WeightSDS!R$23*$AG743^5+WeightSDS!S$23*$AG743^4+WeightSDS!T$23*$AG743^3+WeightSDS!U$23*$AG743^2+WeightSDS!V$23*$AG743+WeightSDS!W$23,IF($AG743&lt;153,WeightSDS!M$25*$AG743^10+WeightSDS!N$25*$AG743^9+WeightSDS!O$25*$AG743^8+WeightSDS!P$25*$AG743^7+WeightSDS!Q$25*$AG743^6+WeightSDS!R$25*$AG743^5+WeightSDS!S$25*$AG743^4+WeightSDS!T$25*$AG743^3+WeightSDS!U$25*$AG743^2+WeightSDS!V$25*$AG743+WeightSDS!W$25,WeightSDS!M$27+WeightSDS!N$27/(1+EXP(WeightSDS!O$27+WeightSDS!P$27*$AG743)))),IF($AG743&lt;43.8,WeightSDS!M$29*$AG743^10+WeightSDS!N$29*$AG743^9+WeightSDS!O$29*$AG743^8+WeightSDS!P$29*$AG743^7+WeightSDS!Q$29*$AG743^6+WeightSDS!R$29*$AG743^5+WeightSDS!S$29*$AG743^4+WeightSDS!T$29*$AG743^3+WeightSDS!U$29*$AG743^2+WeightSDS!V$29*$AG743+WeightSDS!W$29-0.010431*(1-$AG743/210),IF($AG743&lt;123,WeightSDS!M$30*$AG743^10+WeightSDS!N$30*$AG743^9+WeightSDS!O$30*$AG743^8+WeightSDS!P$30*$AG743^7+WeightSDS!Q$30*$AG743^6+WeightSDS!R$30*$AG743^5+WeightSDS!S$30*$AG743^4+WeightSDS!T$30*$AG743^3+WeightSDS!U$30*$AG743^2+WeightSDS!V$30*$AG743+WeightSDS!W$30-0.010431*(1-1/$AG743),WeightSDS!M$32+WeightSDS!N$32/(1+EXP(WeightSDS!O$32+WeightSDS!P$32*$AG743))-0.010431*(1-$AG743/210))))</f>
        <v>2.9500001032655536</v>
      </c>
      <c r="AK743" s="24">
        <f>IF(D743="M",IF($AG743&lt;162,WeightSDS!P$12*$AG743^7+WeightSDS!Q$12*$AG743^6+WeightSDS!R$12*$AG743^5+WeightSDS!S$12*$AG743^4+WeightSDS!T$12*$AG743^3+WeightSDS!U$12*$AG743^2+WeightSDS!V$12*$AG743+WeightSDS!W$12,WeightSDS!P$14*$AG743^7+WeightSDS!Q$14*$AG743^6+WeightSDS!R$14*$AG743^5+WeightSDS!S$14*$AG743^4+WeightSDS!T$14*$AG743^3+WeightSDS!U$14*$AG743^2+WeightSDS!V$14*$AG743+WeightSDS!W$14),IF($AG743&lt;156,WeightSDS!O$17*$AG743^8+WeightSDS!P$17*$AG743^7+WeightSDS!Q$17*$AG743^6+WeightSDS!R$17*$AG743^5+WeightSDS!S$17*$AG743^4+WeightSDS!T$17*$AG743^3+WeightSDS!U$17*$AG743^2+WeightSDS!V$17*$AG743+WeightSDS!W$17,IF($AG743&lt;186,WeightSDS!$U$18+(WeightSDS!$V$18-WeightSDS!$U$18)/24*($AG743-186)+WeightSDS!$W$18*(-$AG743+186)^2-0.005,WeightSDS!$U$18+(WeightSDS!$V$18-WeightSDS!$U$18)/24*($AG743-186)-0.005)))</f>
        <v>0.14604529399999999</v>
      </c>
    </row>
    <row r="744" spans="1:37">
      <c r="A744" s="4"/>
      <c r="B744" s="21"/>
      <c r="C744" s="21"/>
      <c r="D744" s="21"/>
      <c r="E744" s="22"/>
      <c r="F744" s="22"/>
      <c r="G744" s="23"/>
      <c r="H744" s="23"/>
      <c r="I744" s="8" t="str">
        <f t="shared" si="178"/>
        <v/>
      </c>
      <c r="J744" s="2" t="str">
        <f t="shared" si="185"/>
        <v/>
      </c>
      <c r="K744" s="2" t="str">
        <f t="shared" si="179"/>
        <v/>
      </c>
      <c r="L744" s="2" t="str">
        <f t="shared" si="186"/>
        <v/>
      </c>
      <c r="M744" s="2" t="str">
        <f t="shared" si="191"/>
        <v/>
      </c>
      <c r="N744" s="2" t="str">
        <f t="shared" si="187"/>
        <v/>
      </c>
      <c r="O744" s="8" t="str">
        <f t="shared" si="188"/>
        <v/>
      </c>
      <c r="P744" s="8" t="str">
        <f t="shared" si="189"/>
        <v/>
      </c>
      <c r="Q744" s="40" t="str">
        <f t="shared" si="180"/>
        <v/>
      </c>
      <c r="R744" s="48" t="str">
        <f t="shared" si="190"/>
        <v/>
      </c>
      <c r="S744" s="8"/>
      <c r="U744" s="35">
        <f t="shared" si="181"/>
        <v>0</v>
      </c>
      <c r="V744" s="24">
        <f t="shared" si="182"/>
        <v>0</v>
      </c>
      <c r="W744" s="41">
        <f t="shared" si="193"/>
        <v>0</v>
      </c>
      <c r="X744" s="31"/>
      <c r="Y744" s="31"/>
      <c r="Z744" s="31"/>
      <c r="AA744" s="25">
        <f t="shared" si="183"/>
        <v>9.0359999999999996</v>
      </c>
      <c r="AB744" s="25">
        <f t="shared" si="184"/>
        <v>-184.49199999999999</v>
      </c>
      <c r="AD744" s="24">
        <f>IF(D744="M",IF(AG744&lt;78,BMILMS!$D$5*AG744^3+BMILMS!$E$5*AG744^2+BMILMS!$F$5*AG744+BMILMS!$G$5,IF(AG744&lt;150,BMILMS!$D$6*AG744^3+BMILMS!$E$6*AG744^2+BMILMS!$F$6*AG744+BMILMS!$G$6,BMILMS!$D$7*AG744^3+BMILMS!$E$7*AG744^2+BMILMS!$F$7*AG744+BMILMS!$G$7)),IF(AG744&lt;69,BMILMS!$D$9*AG744^3+BMILMS!$E$9*AG744^2+BMILMS!$F$9*AG744+BMILMS!$G$9,IF(AG744&lt;150,BMILMS!$D$10*AG744^3+BMILMS!$E$10*AG744^2+BMILMS!$F$10*AG744+BMILMS!$G$10,BMILMS!$D$11*AG744^3+BMILMS!$E$11*AG744^2+BMILMS!$F$11*AG744+BMILMS!$G$11)))</f>
        <v>0.79584630099999998</v>
      </c>
      <c r="AE744" s="24">
        <f>IF(D744="M",(IF(AG744&lt;2.5,BMILMS!$D$21*AG744^3+BMILMS!$E$21*AG744^2+BMILMS!$F$21*AG744+BMILMS!$G$21,IF(AG744&lt;9.5,BMILMS!$D$22*AG744^3+BMILMS!$E$22*AG744^2+BMILMS!$F$22*AG744+BMILMS!$G$22,IF(AG744&lt;26.75,BMILMS!$D$23*AG744^3+BMILMS!$E$23*AG744^2+BMILMS!$F$23*AG744+BMILMS!$G$23,IF(AG744&lt;90,BMILMS!$D$24*AG744^3+BMILMS!$E$24*AG744^2+BMILMS!$F$24*AG744+BMILMS!$G$24,BMILMS!$D$25*AG744^3+BMILMS!$E$25*AG744^2+BMILMS!$F$25*AG744+BMILMS!$G$25))))),(IF(AG744&lt;2.5,BMILMS!$D$27*AG744^3+BMILMS!$E$27*AG744^2+BMILMS!$F$27*AG744+BMILMS!$G$27,IF(AG744&lt;9.5,BMILMS!$D$28*AG744^3+BMILMS!$E$28*AG744^2+BMILMS!$F$28*AG744+BMILMS!$G$28,IF(AG744&lt;26.75,BMILMS!$D$29*AG744^3+BMILMS!$E$29*AG744^2+BMILMS!$F$29*AG744+BMILMS!$G$29,IF(AG744&lt;90,BMILMS!$D$30*AG744^3+BMILMS!$E$30*AG744^2+BMILMS!$F$30*AG744+BMILMS!$G$30,IF(AG744&lt;150,BMILMS!$D$31*AG744^3+BMILMS!$E$31*AG744^2+BMILMS!$F$31*AG744+BMILMS!$G$31,BMILMS!$D$32*AG744^3+BMILMS!$E$32*AG744^2+BMILMS!$F$32*AG744+BMILMS!$G$32)))))))</f>
        <v>12.568967990000001</v>
      </c>
      <c r="AF744" s="24">
        <f>IF(D744="M",(IF(AG744&lt;90,BMILMS!$D$14*AG744^3+BMILMS!$E$14*AG744^2+BMILMS!$F$14*AG744+BMILMS!$G$14,BMILMS!$D$15*AG744^3+BMILMS!$E$15*AG744^2+BMILMS!$F$15*AG744+BMILMS!$G$15)),(IF(AG744&lt;90,BMILMS!$D$17*AG744^3+BMILMS!$E$17*AG744^2+BMILMS!$F$17*AG744+BMILMS!$G$17,BMILMS!$D$18*AG744^3+BMILMS!$E$18*AG744^2+BMILMS!$F$18*AG744+BMILMS!$G$18)))</f>
        <v>8.8969350000000003E-2</v>
      </c>
      <c r="AG744" s="24">
        <f t="shared" si="192"/>
        <v>0</v>
      </c>
      <c r="AI744" s="38">
        <f>IF(D744="M",WeightSDS!P$5*$AG744^7+WeightSDS!Q$5*$AG744^6+WeightSDS!R$5*$AG744^5+WeightSDS!S$5*$AG744^4+WeightSDS!T$5*$AG744^3+WeightSDS!U$5*$AG744^2+WeightSDS!V$5*$AG744+WeightSDS!W$5,IF($AG744&lt;186,WeightSDS!P$8*$AG744^7+WeightSDS!Q$8*$AG744^6+WeightSDS!R$8*$AG744^5+WeightSDS!S$8*$AG744^4+WeightSDS!T$8*$AG744^3+WeightSDS!U$8*$AG744^2+WeightSDS!V$8*$AG744+WeightSDS!W$8,WeightSDS!$U$9-WeightSDS!$V$9*($AG744-WeightSDS!$W$9)))</f>
        <v>0.75407122999999998</v>
      </c>
      <c r="AJ744" s="24">
        <f>IF(D744="M",IF($AG744&lt;45,WeightSDS!M$23*$AG744^10+WeightSDS!N$23*$AG744^9+WeightSDS!O$23*$AG744^8+WeightSDS!P$23*$AG744^7+WeightSDS!Q$23*$AG744^6+WeightSDS!R$23*$AG744^5+WeightSDS!S$23*$AG744^4+WeightSDS!T$23*$AG744^3+WeightSDS!U$23*$AG744^2+WeightSDS!V$23*$AG744+WeightSDS!W$23,IF($AG744&lt;153,WeightSDS!M$25*$AG744^10+WeightSDS!N$25*$AG744^9+WeightSDS!O$25*$AG744^8+WeightSDS!P$25*$AG744^7+WeightSDS!Q$25*$AG744^6+WeightSDS!R$25*$AG744^5+WeightSDS!S$25*$AG744^4+WeightSDS!T$25*$AG744^3+WeightSDS!U$25*$AG744^2+WeightSDS!V$25*$AG744+WeightSDS!W$25,WeightSDS!M$27+WeightSDS!N$27/(1+EXP(WeightSDS!O$27+WeightSDS!P$27*$AG744)))),IF($AG744&lt;43.8,WeightSDS!M$29*$AG744^10+WeightSDS!N$29*$AG744^9+WeightSDS!O$29*$AG744^8+WeightSDS!P$29*$AG744^7+WeightSDS!Q$29*$AG744^6+WeightSDS!R$29*$AG744^5+WeightSDS!S$29*$AG744^4+WeightSDS!T$29*$AG744^3+WeightSDS!U$29*$AG744^2+WeightSDS!V$29*$AG744+WeightSDS!W$29-0.010431*(1-$AG744/210),IF($AG744&lt;123,WeightSDS!M$30*$AG744^10+WeightSDS!N$30*$AG744^9+WeightSDS!O$30*$AG744^8+WeightSDS!P$30*$AG744^7+WeightSDS!Q$30*$AG744^6+WeightSDS!R$30*$AG744^5+WeightSDS!S$30*$AG744^4+WeightSDS!T$30*$AG744^3+WeightSDS!U$30*$AG744^2+WeightSDS!V$30*$AG744+WeightSDS!W$30-0.010431*(1-1/$AG744),WeightSDS!M$32+WeightSDS!N$32/(1+EXP(WeightSDS!O$32+WeightSDS!P$32*$AG744))-0.010431*(1-$AG744/210))))</f>
        <v>2.9500001032655536</v>
      </c>
      <c r="AK744" s="24">
        <f>IF(D744="M",IF($AG744&lt;162,WeightSDS!P$12*$AG744^7+WeightSDS!Q$12*$AG744^6+WeightSDS!R$12*$AG744^5+WeightSDS!S$12*$AG744^4+WeightSDS!T$12*$AG744^3+WeightSDS!U$12*$AG744^2+WeightSDS!V$12*$AG744+WeightSDS!W$12,WeightSDS!P$14*$AG744^7+WeightSDS!Q$14*$AG744^6+WeightSDS!R$14*$AG744^5+WeightSDS!S$14*$AG744^4+WeightSDS!T$14*$AG744^3+WeightSDS!U$14*$AG744^2+WeightSDS!V$14*$AG744+WeightSDS!W$14),IF($AG744&lt;156,WeightSDS!O$17*$AG744^8+WeightSDS!P$17*$AG744^7+WeightSDS!Q$17*$AG744^6+WeightSDS!R$17*$AG744^5+WeightSDS!S$17*$AG744^4+WeightSDS!T$17*$AG744^3+WeightSDS!U$17*$AG744^2+WeightSDS!V$17*$AG744+WeightSDS!W$17,IF($AG744&lt;186,WeightSDS!$U$18+(WeightSDS!$V$18-WeightSDS!$U$18)/24*($AG744-186)+WeightSDS!$W$18*(-$AG744+186)^2-0.005,WeightSDS!$U$18+(WeightSDS!$V$18-WeightSDS!$U$18)/24*($AG744-186)-0.005)))</f>
        <v>0.14604529399999999</v>
      </c>
    </row>
    <row r="745" spans="1:37">
      <c r="A745" s="4"/>
      <c r="B745" s="21"/>
      <c r="C745" s="21"/>
      <c r="D745" s="21"/>
      <c r="E745" s="22"/>
      <c r="F745" s="22"/>
      <c r="G745" s="23"/>
      <c r="H745" s="23"/>
      <c r="I745" s="8" t="str">
        <f t="shared" si="178"/>
        <v/>
      </c>
      <c r="J745" s="2" t="str">
        <f t="shared" si="185"/>
        <v/>
      </c>
      <c r="K745" s="2" t="str">
        <f t="shared" si="179"/>
        <v/>
      </c>
      <c r="L745" s="2" t="str">
        <f t="shared" si="186"/>
        <v/>
      </c>
      <c r="M745" s="2" t="str">
        <f t="shared" si="191"/>
        <v/>
      </c>
      <c r="N745" s="2" t="str">
        <f t="shared" si="187"/>
        <v/>
      </c>
      <c r="O745" s="8" t="str">
        <f t="shared" si="188"/>
        <v/>
      </c>
      <c r="P745" s="8" t="str">
        <f t="shared" si="189"/>
        <v/>
      </c>
      <c r="Q745" s="40" t="str">
        <f t="shared" si="180"/>
        <v/>
      </c>
      <c r="R745" s="48" t="str">
        <f t="shared" si="190"/>
        <v/>
      </c>
      <c r="S745" s="8"/>
      <c r="U745" s="35">
        <f t="shared" si="181"/>
        <v>0</v>
      </c>
      <c r="V745" s="24">
        <f t="shared" si="182"/>
        <v>0</v>
      </c>
      <c r="W745" s="41">
        <f t="shared" si="193"/>
        <v>0</v>
      </c>
      <c r="X745" s="31"/>
      <c r="Y745" s="31"/>
      <c r="Z745" s="31"/>
      <c r="AA745" s="25">
        <f t="shared" si="183"/>
        <v>9.0359999999999996</v>
      </c>
      <c r="AB745" s="25">
        <f t="shared" si="184"/>
        <v>-184.49199999999999</v>
      </c>
      <c r="AD745" s="24">
        <f>IF(D745="M",IF(AG745&lt;78,BMILMS!$D$5*AG745^3+BMILMS!$E$5*AG745^2+BMILMS!$F$5*AG745+BMILMS!$G$5,IF(AG745&lt;150,BMILMS!$D$6*AG745^3+BMILMS!$E$6*AG745^2+BMILMS!$F$6*AG745+BMILMS!$G$6,BMILMS!$D$7*AG745^3+BMILMS!$E$7*AG745^2+BMILMS!$F$7*AG745+BMILMS!$G$7)),IF(AG745&lt;69,BMILMS!$D$9*AG745^3+BMILMS!$E$9*AG745^2+BMILMS!$F$9*AG745+BMILMS!$G$9,IF(AG745&lt;150,BMILMS!$D$10*AG745^3+BMILMS!$E$10*AG745^2+BMILMS!$F$10*AG745+BMILMS!$G$10,BMILMS!$D$11*AG745^3+BMILMS!$E$11*AG745^2+BMILMS!$F$11*AG745+BMILMS!$G$11)))</f>
        <v>0.79584630099999998</v>
      </c>
      <c r="AE745" s="24">
        <f>IF(D745="M",(IF(AG745&lt;2.5,BMILMS!$D$21*AG745^3+BMILMS!$E$21*AG745^2+BMILMS!$F$21*AG745+BMILMS!$G$21,IF(AG745&lt;9.5,BMILMS!$D$22*AG745^3+BMILMS!$E$22*AG745^2+BMILMS!$F$22*AG745+BMILMS!$G$22,IF(AG745&lt;26.75,BMILMS!$D$23*AG745^3+BMILMS!$E$23*AG745^2+BMILMS!$F$23*AG745+BMILMS!$G$23,IF(AG745&lt;90,BMILMS!$D$24*AG745^3+BMILMS!$E$24*AG745^2+BMILMS!$F$24*AG745+BMILMS!$G$24,BMILMS!$D$25*AG745^3+BMILMS!$E$25*AG745^2+BMILMS!$F$25*AG745+BMILMS!$G$25))))),(IF(AG745&lt;2.5,BMILMS!$D$27*AG745^3+BMILMS!$E$27*AG745^2+BMILMS!$F$27*AG745+BMILMS!$G$27,IF(AG745&lt;9.5,BMILMS!$D$28*AG745^3+BMILMS!$E$28*AG745^2+BMILMS!$F$28*AG745+BMILMS!$G$28,IF(AG745&lt;26.75,BMILMS!$D$29*AG745^3+BMILMS!$E$29*AG745^2+BMILMS!$F$29*AG745+BMILMS!$G$29,IF(AG745&lt;90,BMILMS!$D$30*AG745^3+BMILMS!$E$30*AG745^2+BMILMS!$F$30*AG745+BMILMS!$G$30,IF(AG745&lt;150,BMILMS!$D$31*AG745^3+BMILMS!$E$31*AG745^2+BMILMS!$F$31*AG745+BMILMS!$G$31,BMILMS!$D$32*AG745^3+BMILMS!$E$32*AG745^2+BMILMS!$F$32*AG745+BMILMS!$G$32)))))))</f>
        <v>12.568967990000001</v>
      </c>
      <c r="AF745" s="24">
        <f>IF(D745="M",(IF(AG745&lt;90,BMILMS!$D$14*AG745^3+BMILMS!$E$14*AG745^2+BMILMS!$F$14*AG745+BMILMS!$G$14,BMILMS!$D$15*AG745^3+BMILMS!$E$15*AG745^2+BMILMS!$F$15*AG745+BMILMS!$G$15)),(IF(AG745&lt;90,BMILMS!$D$17*AG745^3+BMILMS!$E$17*AG745^2+BMILMS!$F$17*AG745+BMILMS!$G$17,BMILMS!$D$18*AG745^3+BMILMS!$E$18*AG745^2+BMILMS!$F$18*AG745+BMILMS!$G$18)))</f>
        <v>8.8969350000000003E-2</v>
      </c>
      <c r="AG745" s="24">
        <f t="shared" si="192"/>
        <v>0</v>
      </c>
      <c r="AI745" s="38">
        <f>IF(D745="M",WeightSDS!P$5*$AG745^7+WeightSDS!Q$5*$AG745^6+WeightSDS!R$5*$AG745^5+WeightSDS!S$5*$AG745^4+WeightSDS!T$5*$AG745^3+WeightSDS!U$5*$AG745^2+WeightSDS!V$5*$AG745+WeightSDS!W$5,IF($AG745&lt;186,WeightSDS!P$8*$AG745^7+WeightSDS!Q$8*$AG745^6+WeightSDS!R$8*$AG745^5+WeightSDS!S$8*$AG745^4+WeightSDS!T$8*$AG745^3+WeightSDS!U$8*$AG745^2+WeightSDS!V$8*$AG745+WeightSDS!W$8,WeightSDS!$U$9-WeightSDS!$V$9*($AG745-WeightSDS!$W$9)))</f>
        <v>0.75407122999999998</v>
      </c>
      <c r="AJ745" s="24">
        <f>IF(D745="M",IF($AG745&lt;45,WeightSDS!M$23*$AG745^10+WeightSDS!N$23*$AG745^9+WeightSDS!O$23*$AG745^8+WeightSDS!P$23*$AG745^7+WeightSDS!Q$23*$AG745^6+WeightSDS!R$23*$AG745^5+WeightSDS!S$23*$AG745^4+WeightSDS!T$23*$AG745^3+WeightSDS!U$23*$AG745^2+WeightSDS!V$23*$AG745+WeightSDS!W$23,IF($AG745&lt;153,WeightSDS!M$25*$AG745^10+WeightSDS!N$25*$AG745^9+WeightSDS!O$25*$AG745^8+WeightSDS!P$25*$AG745^7+WeightSDS!Q$25*$AG745^6+WeightSDS!R$25*$AG745^5+WeightSDS!S$25*$AG745^4+WeightSDS!T$25*$AG745^3+WeightSDS!U$25*$AG745^2+WeightSDS!V$25*$AG745+WeightSDS!W$25,WeightSDS!M$27+WeightSDS!N$27/(1+EXP(WeightSDS!O$27+WeightSDS!P$27*$AG745)))),IF($AG745&lt;43.8,WeightSDS!M$29*$AG745^10+WeightSDS!N$29*$AG745^9+WeightSDS!O$29*$AG745^8+WeightSDS!P$29*$AG745^7+WeightSDS!Q$29*$AG745^6+WeightSDS!R$29*$AG745^5+WeightSDS!S$29*$AG745^4+WeightSDS!T$29*$AG745^3+WeightSDS!U$29*$AG745^2+WeightSDS!V$29*$AG745+WeightSDS!W$29-0.010431*(1-$AG745/210),IF($AG745&lt;123,WeightSDS!M$30*$AG745^10+WeightSDS!N$30*$AG745^9+WeightSDS!O$30*$AG745^8+WeightSDS!P$30*$AG745^7+WeightSDS!Q$30*$AG745^6+WeightSDS!R$30*$AG745^5+WeightSDS!S$30*$AG745^4+WeightSDS!T$30*$AG745^3+WeightSDS!U$30*$AG745^2+WeightSDS!V$30*$AG745+WeightSDS!W$30-0.010431*(1-1/$AG745),WeightSDS!M$32+WeightSDS!N$32/(1+EXP(WeightSDS!O$32+WeightSDS!P$32*$AG745))-0.010431*(1-$AG745/210))))</f>
        <v>2.9500001032655536</v>
      </c>
      <c r="AK745" s="24">
        <f>IF(D745="M",IF($AG745&lt;162,WeightSDS!P$12*$AG745^7+WeightSDS!Q$12*$AG745^6+WeightSDS!R$12*$AG745^5+WeightSDS!S$12*$AG745^4+WeightSDS!T$12*$AG745^3+WeightSDS!U$12*$AG745^2+WeightSDS!V$12*$AG745+WeightSDS!W$12,WeightSDS!P$14*$AG745^7+WeightSDS!Q$14*$AG745^6+WeightSDS!R$14*$AG745^5+WeightSDS!S$14*$AG745^4+WeightSDS!T$14*$AG745^3+WeightSDS!U$14*$AG745^2+WeightSDS!V$14*$AG745+WeightSDS!W$14),IF($AG745&lt;156,WeightSDS!O$17*$AG745^8+WeightSDS!P$17*$AG745^7+WeightSDS!Q$17*$AG745^6+WeightSDS!R$17*$AG745^5+WeightSDS!S$17*$AG745^4+WeightSDS!T$17*$AG745^3+WeightSDS!U$17*$AG745^2+WeightSDS!V$17*$AG745+WeightSDS!W$17,IF($AG745&lt;186,WeightSDS!$U$18+(WeightSDS!$V$18-WeightSDS!$U$18)/24*($AG745-186)+WeightSDS!$W$18*(-$AG745+186)^2-0.005,WeightSDS!$U$18+(WeightSDS!$V$18-WeightSDS!$U$18)/24*($AG745-186)-0.005)))</f>
        <v>0.14604529399999999</v>
      </c>
    </row>
    <row r="746" spans="1:37">
      <c r="A746" s="4"/>
      <c r="B746" s="21"/>
      <c r="C746" s="21"/>
      <c r="D746" s="21"/>
      <c r="E746" s="22"/>
      <c r="F746" s="22"/>
      <c r="G746" s="23"/>
      <c r="H746" s="23"/>
      <c r="I746" s="8" t="str">
        <f t="shared" si="178"/>
        <v/>
      </c>
      <c r="J746" s="2" t="str">
        <f t="shared" si="185"/>
        <v/>
      </c>
      <c r="K746" s="2" t="str">
        <f t="shared" si="179"/>
        <v/>
      </c>
      <c r="L746" s="2" t="str">
        <f t="shared" si="186"/>
        <v/>
      </c>
      <c r="M746" s="2" t="str">
        <f t="shared" si="191"/>
        <v/>
      </c>
      <c r="N746" s="2" t="str">
        <f t="shared" si="187"/>
        <v/>
      </c>
      <c r="O746" s="8" t="str">
        <f t="shared" si="188"/>
        <v/>
      </c>
      <c r="P746" s="8" t="str">
        <f t="shared" si="189"/>
        <v/>
      </c>
      <c r="Q746" s="40" t="str">
        <f t="shared" si="180"/>
        <v/>
      </c>
      <c r="R746" s="48" t="str">
        <f t="shared" si="190"/>
        <v/>
      </c>
      <c r="S746" s="8"/>
      <c r="U746" s="35">
        <f t="shared" si="181"/>
        <v>0</v>
      </c>
      <c r="V746" s="24">
        <f t="shared" si="182"/>
        <v>0</v>
      </c>
      <c r="W746" s="41">
        <f t="shared" si="193"/>
        <v>0</v>
      </c>
      <c r="X746" s="31"/>
      <c r="Y746" s="31"/>
      <c r="Z746" s="31"/>
      <c r="AA746" s="25">
        <f t="shared" si="183"/>
        <v>9.0359999999999996</v>
      </c>
      <c r="AB746" s="25">
        <f t="shared" si="184"/>
        <v>-184.49199999999999</v>
      </c>
      <c r="AD746" s="24">
        <f>IF(D746="M",IF(AG746&lt;78,BMILMS!$D$5*AG746^3+BMILMS!$E$5*AG746^2+BMILMS!$F$5*AG746+BMILMS!$G$5,IF(AG746&lt;150,BMILMS!$D$6*AG746^3+BMILMS!$E$6*AG746^2+BMILMS!$F$6*AG746+BMILMS!$G$6,BMILMS!$D$7*AG746^3+BMILMS!$E$7*AG746^2+BMILMS!$F$7*AG746+BMILMS!$G$7)),IF(AG746&lt;69,BMILMS!$D$9*AG746^3+BMILMS!$E$9*AG746^2+BMILMS!$F$9*AG746+BMILMS!$G$9,IF(AG746&lt;150,BMILMS!$D$10*AG746^3+BMILMS!$E$10*AG746^2+BMILMS!$F$10*AG746+BMILMS!$G$10,BMILMS!$D$11*AG746^3+BMILMS!$E$11*AG746^2+BMILMS!$F$11*AG746+BMILMS!$G$11)))</f>
        <v>0.79584630099999998</v>
      </c>
      <c r="AE746" s="24">
        <f>IF(D746="M",(IF(AG746&lt;2.5,BMILMS!$D$21*AG746^3+BMILMS!$E$21*AG746^2+BMILMS!$F$21*AG746+BMILMS!$G$21,IF(AG746&lt;9.5,BMILMS!$D$22*AG746^3+BMILMS!$E$22*AG746^2+BMILMS!$F$22*AG746+BMILMS!$G$22,IF(AG746&lt;26.75,BMILMS!$D$23*AG746^3+BMILMS!$E$23*AG746^2+BMILMS!$F$23*AG746+BMILMS!$G$23,IF(AG746&lt;90,BMILMS!$D$24*AG746^3+BMILMS!$E$24*AG746^2+BMILMS!$F$24*AG746+BMILMS!$G$24,BMILMS!$D$25*AG746^3+BMILMS!$E$25*AG746^2+BMILMS!$F$25*AG746+BMILMS!$G$25))))),(IF(AG746&lt;2.5,BMILMS!$D$27*AG746^3+BMILMS!$E$27*AG746^2+BMILMS!$F$27*AG746+BMILMS!$G$27,IF(AG746&lt;9.5,BMILMS!$D$28*AG746^3+BMILMS!$E$28*AG746^2+BMILMS!$F$28*AG746+BMILMS!$G$28,IF(AG746&lt;26.75,BMILMS!$D$29*AG746^3+BMILMS!$E$29*AG746^2+BMILMS!$F$29*AG746+BMILMS!$G$29,IF(AG746&lt;90,BMILMS!$D$30*AG746^3+BMILMS!$E$30*AG746^2+BMILMS!$F$30*AG746+BMILMS!$G$30,IF(AG746&lt;150,BMILMS!$D$31*AG746^3+BMILMS!$E$31*AG746^2+BMILMS!$F$31*AG746+BMILMS!$G$31,BMILMS!$D$32*AG746^3+BMILMS!$E$32*AG746^2+BMILMS!$F$32*AG746+BMILMS!$G$32)))))))</f>
        <v>12.568967990000001</v>
      </c>
      <c r="AF746" s="24">
        <f>IF(D746="M",(IF(AG746&lt;90,BMILMS!$D$14*AG746^3+BMILMS!$E$14*AG746^2+BMILMS!$F$14*AG746+BMILMS!$G$14,BMILMS!$D$15*AG746^3+BMILMS!$E$15*AG746^2+BMILMS!$F$15*AG746+BMILMS!$G$15)),(IF(AG746&lt;90,BMILMS!$D$17*AG746^3+BMILMS!$E$17*AG746^2+BMILMS!$F$17*AG746+BMILMS!$G$17,BMILMS!$D$18*AG746^3+BMILMS!$E$18*AG746^2+BMILMS!$F$18*AG746+BMILMS!$G$18)))</f>
        <v>8.8969350000000003E-2</v>
      </c>
      <c r="AG746" s="24">
        <f t="shared" si="192"/>
        <v>0</v>
      </c>
      <c r="AI746" s="38">
        <f>IF(D746="M",WeightSDS!P$5*$AG746^7+WeightSDS!Q$5*$AG746^6+WeightSDS!R$5*$AG746^5+WeightSDS!S$5*$AG746^4+WeightSDS!T$5*$AG746^3+WeightSDS!U$5*$AG746^2+WeightSDS!V$5*$AG746+WeightSDS!W$5,IF($AG746&lt;186,WeightSDS!P$8*$AG746^7+WeightSDS!Q$8*$AG746^6+WeightSDS!R$8*$AG746^5+WeightSDS!S$8*$AG746^4+WeightSDS!T$8*$AG746^3+WeightSDS!U$8*$AG746^2+WeightSDS!V$8*$AG746+WeightSDS!W$8,WeightSDS!$U$9-WeightSDS!$V$9*($AG746-WeightSDS!$W$9)))</f>
        <v>0.75407122999999998</v>
      </c>
      <c r="AJ746" s="24">
        <f>IF(D746="M",IF($AG746&lt;45,WeightSDS!M$23*$AG746^10+WeightSDS!N$23*$AG746^9+WeightSDS!O$23*$AG746^8+WeightSDS!P$23*$AG746^7+WeightSDS!Q$23*$AG746^6+WeightSDS!R$23*$AG746^5+WeightSDS!S$23*$AG746^4+WeightSDS!T$23*$AG746^3+WeightSDS!U$23*$AG746^2+WeightSDS!V$23*$AG746+WeightSDS!W$23,IF($AG746&lt;153,WeightSDS!M$25*$AG746^10+WeightSDS!N$25*$AG746^9+WeightSDS!O$25*$AG746^8+WeightSDS!P$25*$AG746^7+WeightSDS!Q$25*$AG746^6+WeightSDS!R$25*$AG746^5+WeightSDS!S$25*$AG746^4+WeightSDS!T$25*$AG746^3+WeightSDS!U$25*$AG746^2+WeightSDS!V$25*$AG746+WeightSDS!W$25,WeightSDS!M$27+WeightSDS!N$27/(1+EXP(WeightSDS!O$27+WeightSDS!P$27*$AG746)))),IF($AG746&lt;43.8,WeightSDS!M$29*$AG746^10+WeightSDS!N$29*$AG746^9+WeightSDS!O$29*$AG746^8+WeightSDS!P$29*$AG746^7+WeightSDS!Q$29*$AG746^6+WeightSDS!R$29*$AG746^5+WeightSDS!S$29*$AG746^4+WeightSDS!T$29*$AG746^3+WeightSDS!U$29*$AG746^2+WeightSDS!V$29*$AG746+WeightSDS!W$29-0.010431*(1-$AG746/210),IF($AG746&lt;123,WeightSDS!M$30*$AG746^10+WeightSDS!N$30*$AG746^9+WeightSDS!O$30*$AG746^8+WeightSDS!P$30*$AG746^7+WeightSDS!Q$30*$AG746^6+WeightSDS!R$30*$AG746^5+WeightSDS!S$30*$AG746^4+WeightSDS!T$30*$AG746^3+WeightSDS!U$30*$AG746^2+WeightSDS!V$30*$AG746+WeightSDS!W$30-0.010431*(1-1/$AG746),WeightSDS!M$32+WeightSDS!N$32/(1+EXP(WeightSDS!O$32+WeightSDS!P$32*$AG746))-0.010431*(1-$AG746/210))))</f>
        <v>2.9500001032655536</v>
      </c>
      <c r="AK746" s="24">
        <f>IF(D746="M",IF($AG746&lt;162,WeightSDS!P$12*$AG746^7+WeightSDS!Q$12*$AG746^6+WeightSDS!R$12*$AG746^5+WeightSDS!S$12*$AG746^4+WeightSDS!T$12*$AG746^3+WeightSDS!U$12*$AG746^2+WeightSDS!V$12*$AG746+WeightSDS!W$12,WeightSDS!P$14*$AG746^7+WeightSDS!Q$14*$AG746^6+WeightSDS!R$14*$AG746^5+WeightSDS!S$14*$AG746^4+WeightSDS!T$14*$AG746^3+WeightSDS!U$14*$AG746^2+WeightSDS!V$14*$AG746+WeightSDS!W$14),IF($AG746&lt;156,WeightSDS!O$17*$AG746^8+WeightSDS!P$17*$AG746^7+WeightSDS!Q$17*$AG746^6+WeightSDS!R$17*$AG746^5+WeightSDS!S$17*$AG746^4+WeightSDS!T$17*$AG746^3+WeightSDS!U$17*$AG746^2+WeightSDS!V$17*$AG746+WeightSDS!W$17,IF($AG746&lt;186,WeightSDS!$U$18+(WeightSDS!$V$18-WeightSDS!$U$18)/24*($AG746-186)+WeightSDS!$W$18*(-$AG746+186)^2-0.005,WeightSDS!$U$18+(WeightSDS!$V$18-WeightSDS!$U$18)/24*($AG746-186)-0.005)))</f>
        <v>0.14604529399999999</v>
      </c>
    </row>
    <row r="747" spans="1:37">
      <c r="A747" s="4"/>
      <c r="B747" s="21"/>
      <c r="C747" s="21"/>
      <c r="D747" s="21"/>
      <c r="E747" s="22"/>
      <c r="F747" s="22"/>
      <c r="G747" s="23"/>
      <c r="H747" s="23"/>
      <c r="I747" s="8" t="str">
        <f t="shared" si="178"/>
        <v/>
      </c>
      <c r="J747" s="2" t="str">
        <f t="shared" si="185"/>
        <v/>
      </c>
      <c r="K747" s="2" t="str">
        <f t="shared" si="179"/>
        <v/>
      </c>
      <c r="L747" s="2" t="str">
        <f t="shared" si="186"/>
        <v/>
      </c>
      <c r="M747" s="2" t="str">
        <f t="shared" si="191"/>
        <v/>
      </c>
      <c r="N747" s="2" t="str">
        <f t="shared" si="187"/>
        <v/>
      </c>
      <c r="O747" s="8" t="str">
        <f t="shared" si="188"/>
        <v/>
      </c>
      <c r="P747" s="8" t="str">
        <f t="shared" si="189"/>
        <v/>
      </c>
      <c r="Q747" s="40" t="str">
        <f t="shared" si="180"/>
        <v/>
      </c>
      <c r="R747" s="48" t="str">
        <f t="shared" si="190"/>
        <v/>
      </c>
      <c r="S747" s="8"/>
      <c r="U747" s="35">
        <f t="shared" si="181"/>
        <v>0</v>
      </c>
      <c r="V747" s="24">
        <f t="shared" si="182"/>
        <v>0</v>
      </c>
      <c r="W747" s="41">
        <f t="shared" si="193"/>
        <v>0</v>
      </c>
      <c r="X747" s="31"/>
      <c r="Y747" s="31"/>
      <c r="Z747" s="31"/>
      <c r="AA747" s="25">
        <f t="shared" si="183"/>
        <v>9.0359999999999996</v>
      </c>
      <c r="AB747" s="25">
        <f t="shared" si="184"/>
        <v>-184.49199999999999</v>
      </c>
      <c r="AD747" s="24">
        <f>IF(D747="M",IF(AG747&lt;78,BMILMS!$D$5*AG747^3+BMILMS!$E$5*AG747^2+BMILMS!$F$5*AG747+BMILMS!$G$5,IF(AG747&lt;150,BMILMS!$D$6*AG747^3+BMILMS!$E$6*AG747^2+BMILMS!$F$6*AG747+BMILMS!$G$6,BMILMS!$D$7*AG747^3+BMILMS!$E$7*AG747^2+BMILMS!$F$7*AG747+BMILMS!$G$7)),IF(AG747&lt;69,BMILMS!$D$9*AG747^3+BMILMS!$E$9*AG747^2+BMILMS!$F$9*AG747+BMILMS!$G$9,IF(AG747&lt;150,BMILMS!$D$10*AG747^3+BMILMS!$E$10*AG747^2+BMILMS!$F$10*AG747+BMILMS!$G$10,BMILMS!$D$11*AG747^3+BMILMS!$E$11*AG747^2+BMILMS!$F$11*AG747+BMILMS!$G$11)))</f>
        <v>0.79584630099999998</v>
      </c>
      <c r="AE747" s="24">
        <f>IF(D747="M",(IF(AG747&lt;2.5,BMILMS!$D$21*AG747^3+BMILMS!$E$21*AG747^2+BMILMS!$F$21*AG747+BMILMS!$G$21,IF(AG747&lt;9.5,BMILMS!$D$22*AG747^3+BMILMS!$E$22*AG747^2+BMILMS!$F$22*AG747+BMILMS!$G$22,IF(AG747&lt;26.75,BMILMS!$D$23*AG747^3+BMILMS!$E$23*AG747^2+BMILMS!$F$23*AG747+BMILMS!$G$23,IF(AG747&lt;90,BMILMS!$D$24*AG747^3+BMILMS!$E$24*AG747^2+BMILMS!$F$24*AG747+BMILMS!$G$24,BMILMS!$D$25*AG747^3+BMILMS!$E$25*AG747^2+BMILMS!$F$25*AG747+BMILMS!$G$25))))),(IF(AG747&lt;2.5,BMILMS!$D$27*AG747^3+BMILMS!$E$27*AG747^2+BMILMS!$F$27*AG747+BMILMS!$G$27,IF(AG747&lt;9.5,BMILMS!$D$28*AG747^3+BMILMS!$E$28*AG747^2+BMILMS!$F$28*AG747+BMILMS!$G$28,IF(AG747&lt;26.75,BMILMS!$D$29*AG747^3+BMILMS!$E$29*AG747^2+BMILMS!$F$29*AG747+BMILMS!$G$29,IF(AG747&lt;90,BMILMS!$D$30*AG747^3+BMILMS!$E$30*AG747^2+BMILMS!$F$30*AG747+BMILMS!$G$30,IF(AG747&lt;150,BMILMS!$D$31*AG747^3+BMILMS!$E$31*AG747^2+BMILMS!$F$31*AG747+BMILMS!$G$31,BMILMS!$D$32*AG747^3+BMILMS!$E$32*AG747^2+BMILMS!$F$32*AG747+BMILMS!$G$32)))))))</f>
        <v>12.568967990000001</v>
      </c>
      <c r="AF747" s="24">
        <f>IF(D747="M",(IF(AG747&lt;90,BMILMS!$D$14*AG747^3+BMILMS!$E$14*AG747^2+BMILMS!$F$14*AG747+BMILMS!$G$14,BMILMS!$D$15*AG747^3+BMILMS!$E$15*AG747^2+BMILMS!$F$15*AG747+BMILMS!$G$15)),(IF(AG747&lt;90,BMILMS!$D$17*AG747^3+BMILMS!$E$17*AG747^2+BMILMS!$F$17*AG747+BMILMS!$G$17,BMILMS!$D$18*AG747^3+BMILMS!$E$18*AG747^2+BMILMS!$F$18*AG747+BMILMS!$G$18)))</f>
        <v>8.8969350000000003E-2</v>
      </c>
      <c r="AG747" s="24">
        <f t="shared" si="192"/>
        <v>0</v>
      </c>
      <c r="AI747" s="38">
        <f>IF(D747="M",WeightSDS!P$5*$AG747^7+WeightSDS!Q$5*$AG747^6+WeightSDS!R$5*$AG747^5+WeightSDS!S$5*$AG747^4+WeightSDS!T$5*$AG747^3+WeightSDS!U$5*$AG747^2+WeightSDS!V$5*$AG747+WeightSDS!W$5,IF($AG747&lt;186,WeightSDS!P$8*$AG747^7+WeightSDS!Q$8*$AG747^6+WeightSDS!R$8*$AG747^5+WeightSDS!S$8*$AG747^4+WeightSDS!T$8*$AG747^3+WeightSDS!U$8*$AG747^2+WeightSDS!V$8*$AG747+WeightSDS!W$8,WeightSDS!$U$9-WeightSDS!$V$9*($AG747-WeightSDS!$W$9)))</f>
        <v>0.75407122999999998</v>
      </c>
      <c r="AJ747" s="24">
        <f>IF(D747="M",IF($AG747&lt;45,WeightSDS!M$23*$AG747^10+WeightSDS!N$23*$AG747^9+WeightSDS!O$23*$AG747^8+WeightSDS!P$23*$AG747^7+WeightSDS!Q$23*$AG747^6+WeightSDS!R$23*$AG747^5+WeightSDS!S$23*$AG747^4+WeightSDS!T$23*$AG747^3+WeightSDS!U$23*$AG747^2+WeightSDS!V$23*$AG747+WeightSDS!W$23,IF($AG747&lt;153,WeightSDS!M$25*$AG747^10+WeightSDS!N$25*$AG747^9+WeightSDS!O$25*$AG747^8+WeightSDS!P$25*$AG747^7+WeightSDS!Q$25*$AG747^6+WeightSDS!R$25*$AG747^5+WeightSDS!S$25*$AG747^4+WeightSDS!T$25*$AG747^3+WeightSDS!U$25*$AG747^2+WeightSDS!V$25*$AG747+WeightSDS!W$25,WeightSDS!M$27+WeightSDS!N$27/(1+EXP(WeightSDS!O$27+WeightSDS!P$27*$AG747)))),IF($AG747&lt;43.8,WeightSDS!M$29*$AG747^10+WeightSDS!N$29*$AG747^9+WeightSDS!O$29*$AG747^8+WeightSDS!P$29*$AG747^7+WeightSDS!Q$29*$AG747^6+WeightSDS!R$29*$AG747^5+WeightSDS!S$29*$AG747^4+WeightSDS!T$29*$AG747^3+WeightSDS!U$29*$AG747^2+WeightSDS!V$29*$AG747+WeightSDS!W$29-0.010431*(1-$AG747/210),IF($AG747&lt;123,WeightSDS!M$30*$AG747^10+WeightSDS!N$30*$AG747^9+WeightSDS!O$30*$AG747^8+WeightSDS!P$30*$AG747^7+WeightSDS!Q$30*$AG747^6+WeightSDS!R$30*$AG747^5+WeightSDS!S$30*$AG747^4+WeightSDS!T$30*$AG747^3+WeightSDS!U$30*$AG747^2+WeightSDS!V$30*$AG747+WeightSDS!W$30-0.010431*(1-1/$AG747),WeightSDS!M$32+WeightSDS!N$32/(1+EXP(WeightSDS!O$32+WeightSDS!P$32*$AG747))-0.010431*(1-$AG747/210))))</f>
        <v>2.9500001032655536</v>
      </c>
      <c r="AK747" s="24">
        <f>IF(D747="M",IF($AG747&lt;162,WeightSDS!P$12*$AG747^7+WeightSDS!Q$12*$AG747^6+WeightSDS!R$12*$AG747^5+WeightSDS!S$12*$AG747^4+WeightSDS!T$12*$AG747^3+WeightSDS!U$12*$AG747^2+WeightSDS!V$12*$AG747+WeightSDS!W$12,WeightSDS!P$14*$AG747^7+WeightSDS!Q$14*$AG747^6+WeightSDS!R$14*$AG747^5+WeightSDS!S$14*$AG747^4+WeightSDS!T$14*$AG747^3+WeightSDS!U$14*$AG747^2+WeightSDS!V$14*$AG747+WeightSDS!W$14),IF($AG747&lt;156,WeightSDS!O$17*$AG747^8+WeightSDS!P$17*$AG747^7+WeightSDS!Q$17*$AG747^6+WeightSDS!R$17*$AG747^5+WeightSDS!S$17*$AG747^4+WeightSDS!T$17*$AG747^3+WeightSDS!U$17*$AG747^2+WeightSDS!V$17*$AG747+WeightSDS!W$17,IF($AG747&lt;186,WeightSDS!$U$18+(WeightSDS!$V$18-WeightSDS!$U$18)/24*($AG747-186)+WeightSDS!$W$18*(-$AG747+186)^2-0.005,WeightSDS!$U$18+(WeightSDS!$V$18-WeightSDS!$U$18)/24*($AG747-186)-0.005)))</f>
        <v>0.14604529399999999</v>
      </c>
    </row>
    <row r="748" spans="1:37">
      <c r="A748" s="4"/>
      <c r="B748" s="21"/>
      <c r="C748" s="21"/>
      <c r="D748" s="21"/>
      <c r="E748" s="22"/>
      <c r="F748" s="22"/>
      <c r="G748" s="23"/>
      <c r="H748" s="23"/>
      <c r="I748" s="8" t="str">
        <f t="shared" si="178"/>
        <v/>
      </c>
      <c r="J748" s="2" t="str">
        <f t="shared" si="185"/>
        <v/>
      </c>
      <c r="K748" s="2" t="str">
        <f t="shared" si="179"/>
        <v/>
      </c>
      <c r="L748" s="2" t="str">
        <f t="shared" si="186"/>
        <v/>
      </c>
      <c r="M748" s="2" t="str">
        <f t="shared" si="191"/>
        <v/>
      </c>
      <c r="N748" s="2" t="str">
        <f t="shared" si="187"/>
        <v/>
      </c>
      <c r="O748" s="8" t="str">
        <f t="shared" si="188"/>
        <v/>
      </c>
      <c r="P748" s="8" t="str">
        <f t="shared" si="189"/>
        <v/>
      </c>
      <c r="Q748" s="40" t="str">
        <f t="shared" si="180"/>
        <v/>
      </c>
      <c r="R748" s="48" t="str">
        <f t="shared" si="190"/>
        <v/>
      </c>
      <c r="S748" s="8"/>
      <c r="U748" s="35">
        <f t="shared" si="181"/>
        <v>0</v>
      </c>
      <c r="V748" s="24">
        <f t="shared" si="182"/>
        <v>0</v>
      </c>
      <c r="W748" s="41">
        <f t="shared" si="193"/>
        <v>0</v>
      </c>
      <c r="X748" s="31"/>
      <c r="Y748" s="31"/>
      <c r="Z748" s="31"/>
      <c r="AA748" s="25">
        <f t="shared" si="183"/>
        <v>9.0359999999999996</v>
      </c>
      <c r="AB748" s="25">
        <f t="shared" si="184"/>
        <v>-184.49199999999999</v>
      </c>
      <c r="AD748" s="24">
        <f>IF(D748="M",IF(AG748&lt;78,BMILMS!$D$5*AG748^3+BMILMS!$E$5*AG748^2+BMILMS!$F$5*AG748+BMILMS!$G$5,IF(AG748&lt;150,BMILMS!$D$6*AG748^3+BMILMS!$E$6*AG748^2+BMILMS!$F$6*AG748+BMILMS!$G$6,BMILMS!$D$7*AG748^3+BMILMS!$E$7*AG748^2+BMILMS!$F$7*AG748+BMILMS!$G$7)),IF(AG748&lt;69,BMILMS!$D$9*AG748^3+BMILMS!$E$9*AG748^2+BMILMS!$F$9*AG748+BMILMS!$G$9,IF(AG748&lt;150,BMILMS!$D$10*AG748^3+BMILMS!$E$10*AG748^2+BMILMS!$F$10*AG748+BMILMS!$G$10,BMILMS!$D$11*AG748^3+BMILMS!$E$11*AG748^2+BMILMS!$F$11*AG748+BMILMS!$G$11)))</f>
        <v>0.79584630099999998</v>
      </c>
      <c r="AE748" s="24">
        <f>IF(D748="M",(IF(AG748&lt;2.5,BMILMS!$D$21*AG748^3+BMILMS!$E$21*AG748^2+BMILMS!$F$21*AG748+BMILMS!$G$21,IF(AG748&lt;9.5,BMILMS!$D$22*AG748^3+BMILMS!$E$22*AG748^2+BMILMS!$F$22*AG748+BMILMS!$G$22,IF(AG748&lt;26.75,BMILMS!$D$23*AG748^3+BMILMS!$E$23*AG748^2+BMILMS!$F$23*AG748+BMILMS!$G$23,IF(AG748&lt;90,BMILMS!$D$24*AG748^3+BMILMS!$E$24*AG748^2+BMILMS!$F$24*AG748+BMILMS!$G$24,BMILMS!$D$25*AG748^3+BMILMS!$E$25*AG748^2+BMILMS!$F$25*AG748+BMILMS!$G$25))))),(IF(AG748&lt;2.5,BMILMS!$D$27*AG748^3+BMILMS!$E$27*AG748^2+BMILMS!$F$27*AG748+BMILMS!$G$27,IF(AG748&lt;9.5,BMILMS!$D$28*AG748^3+BMILMS!$E$28*AG748^2+BMILMS!$F$28*AG748+BMILMS!$G$28,IF(AG748&lt;26.75,BMILMS!$D$29*AG748^3+BMILMS!$E$29*AG748^2+BMILMS!$F$29*AG748+BMILMS!$G$29,IF(AG748&lt;90,BMILMS!$D$30*AG748^3+BMILMS!$E$30*AG748^2+BMILMS!$F$30*AG748+BMILMS!$G$30,IF(AG748&lt;150,BMILMS!$D$31*AG748^3+BMILMS!$E$31*AG748^2+BMILMS!$F$31*AG748+BMILMS!$G$31,BMILMS!$D$32*AG748^3+BMILMS!$E$32*AG748^2+BMILMS!$F$32*AG748+BMILMS!$G$32)))))))</f>
        <v>12.568967990000001</v>
      </c>
      <c r="AF748" s="24">
        <f>IF(D748="M",(IF(AG748&lt;90,BMILMS!$D$14*AG748^3+BMILMS!$E$14*AG748^2+BMILMS!$F$14*AG748+BMILMS!$G$14,BMILMS!$D$15*AG748^3+BMILMS!$E$15*AG748^2+BMILMS!$F$15*AG748+BMILMS!$G$15)),(IF(AG748&lt;90,BMILMS!$D$17*AG748^3+BMILMS!$E$17*AG748^2+BMILMS!$F$17*AG748+BMILMS!$G$17,BMILMS!$D$18*AG748^3+BMILMS!$E$18*AG748^2+BMILMS!$F$18*AG748+BMILMS!$G$18)))</f>
        <v>8.8969350000000003E-2</v>
      </c>
      <c r="AG748" s="24">
        <f t="shared" si="192"/>
        <v>0</v>
      </c>
      <c r="AI748" s="38">
        <f>IF(D748="M",WeightSDS!P$5*$AG748^7+WeightSDS!Q$5*$AG748^6+WeightSDS!R$5*$AG748^5+WeightSDS!S$5*$AG748^4+WeightSDS!T$5*$AG748^3+WeightSDS!U$5*$AG748^2+WeightSDS!V$5*$AG748+WeightSDS!W$5,IF($AG748&lt;186,WeightSDS!P$8*$AG748^7+WeightSDS!Q$8*$AG748^6+WeightSDS!R$8*$AG748^5+WeightSDS!S$8*$AG748^4+WeightSDS!T$8*$AG748^3+WeightSDS!U$8*$AG748^2+WeightSDS!V$8*$AG748+WeightSDS!W$8,WeightSDS!$U$9-WeightSDS!$V$9*($AG748-WeightSDS!$W$9)))</f>
        <v>0.75407122999999998</v>
      </c>
      <c r="AJ748" s="24">
        <f>IF(D748="M",IF($AG748&lt;45,WeightSDS!M$23*$AG748^10+WeightSDS!N$23*$AG748^9+WeightSDS!O$23*$AG748^8+WeightSDS!P$23*$AG748^7+WeightSDS!Q$23*$AG748^6+WeightSDS!R$23*$AG748^5+WeightSDS!S$23*$AG748^4+WeightSDS!T$23*$AG748^3+WeightSDS!U$23*$AG748^2+WeightSDS!V$23*$AG748+WeightSDS!W$23,IF($AG748&lt;153,WeightSDS!M$25*$AG748^10+WeightSDS!N$25*$AG748^9+WeightSDS!O$25*$AG748^8+WeightSDS!P$25*$AG748^7+WeightSDS!Q$25*$AG748^6+WeightSDS!R$25*$AG748^5+WeightSDS!S$25*$AG748^4+WeightSDS!T$25*$AG748^3+WeightSDS!U$25*$AG748^2+WeightSDS!V$25*$AG748+WeightSDS!W$25,WeightSDS!M$27+WeightSDS!N$27/(1+EXP(WeightSDS!O$27+WeightSDS!P$27*$AG748)))),IF($AG748&lt;43.8,WeightSDS!M$29*$AG748^10+WeightSDS!N$29*$AG748^9+WeightSDS!O$29*$AG748^8+WeightSDS!P$29*$AG748^7+WeightSDS!Q$29*$AG748^6+WeightSDS!R$29*$AG748^5+WeightSDS!S$29*$AG748^4+WeightSDS!T$29*$AG748^3+WeightSDS!U$29*$AG748^2+WeightSDS!V$29*$AG748+WeightSDS!W$29-0.010431*(1-$AG748/210),IF($AG748&lt;123,WeightSDS!M$30*$AG748^10+WeightSDS!N$30*$AG748^9+WeightSDS!O$30*$AG748^8+WeightSDS!P$30*$AG748^7+WeightSDS!Q$30*$AG748^6+WeightSDS!R$30*$AG748^5+WeightSDS!S$30*$AG748^4+WeightSDS!T$30*$AG748^3+WeightSDS!U$30*$AG748^2+WeightSDS!V$30*$AG748+WeightSDS!W$30-0.010431*(1-1/$AG748),WeightSDS!M$32+WeightSDS!N$32/(1+EXP(WeightSDS!O$32+WeightSDS!P$32*$AG748))-0.010431*(1-$AG748/210))))</f>
        <v>2.9500001032655536</v>
      </c>
      <c r="AK748" s="24">
        <f>IF(D748="M",IF($AG748&lt;162,WeightSDS!P$12*$AG748^7+WeightSDS!Q$12*$AG748^6+WeightSDS!R$12*$AG748^5+WeightSDS!S$12*$AG748^4+WeightSDS!T$12*$AG748^3+WeightSDS!U$12*$AG748^2+WeightSDS!V$12*$AG748+WeightSDS!W$12,WeightSDS!P$14*$AG748^7+WeightSDS!Q$14*$AG748^6+WeightSDS!R$14*$AG748^5+WeightSDS!S$14*$AG748^4+WeightSDS!T$14*$AG748^3+WeightSDS!U$14*$AG748^2+WeightSDS!V$14*$AG748+WeightSDS!W$14),IF($AG748&lt;156,WeightSDS!O$17*$AG748^8+WeightSDS!P$17*$AG748^7+WeightSDS!Q$17*$AG748^6+WeightSDS!R$17*$AG748^5+WeightSDS!S$17*$AG748^4+WeightSDS!T$17*$AG748^3+WeightSDS!U$17*$AG748^2+WeightSDS!V$17*$AG748+WeightSDS!W$17,IF($AG748&lt;186,WeightSDS!$U$18+(WeightSDS!$V$18-WeightSDS!$U$18)/24*($AG748-186)+WeightSDS!$W$18*(-$AG748+186)^2-0.005,WeightSDS!$U$18+(WeightSDS!$V$18-WeightSDS!$U$18)/24*($AG748-186)-0.005)))</f>
        <v>0.14604529399999999</v>
      </c>
    </row>
    <row r="749" spans="1:37">
      <c r="A749" s="4"/>
      <c r="B749" s="21"/>
      <c r="C749" s="21"/>
      <c r="D749" s="21"/>
      <c r="E749" s="22"/>
      <c r="F749" s="22"/>
      <c r="G749" s="23"/>
      <c r="H749" s="23"/>
      <c r="I749" s="8" t="str">
        <f t="shared" si="178"/>
        <v/>
      </c>
      <c r="J749" s="2" t="str">
        <f t="shared" si="185"/>
        <v/>
      </c>
      <c r="K749" s="2" t="str">
        <f t="shared" si="179"/>
        <v/>
      </c>
      <c r="L749" s="2" t="str">
        <f t="shared" si="186"/>
        <v/>
      </c>
      <c r="M749" s="2" t="str">
        <f t="shared" si="191"/>
        <v/>
      </c>
      <c r="N749" s="2" t="str">
        <f t="shared" si="187"/>
        <v/>
      </c>
      <c r="O749" s="8" t="str">
        <f t="shared" si="188"/>
        <v/>
      </c>
      <c r="P749" s="8" t="str">
        <f t="shared" si="189"/>
        <v/>
      </c>
      <c r="Q749" s="40" t="str">
        <f t="shared" si="180"/>
        <v/>
      </c>
      <c r="R749" s="48" t="str">
        <f t="shared" si="190"/>
        <v/>
      </c>
      <c r="S749" s="8"/>
      <c r="U749" s="35">
        <f t="shared" si="181"/>
        <v>0</v>
      </c>
      <c r="V749" s="24">
        <f t="shared" si="182"/>
        <v>0</v>
      </c>
      <c r="W749" s="41">
        <f t="shared" si="193"/>
        <v>0</v>
      </c>
      <c r="X749" s="31"/>
      <c r="Y749" s="31"/>
      <c r="Z749" s="31"/>
      <c r="AA749" s="25">
        <f t="shared" si="183"/>
        <v>9.0359999999999996</v>
      </c>
      <c r="AB749" s="25">
        <f t="shared" si="184"/>
        <v>-184.49199999999999</v>
      </c>
      <c r="AD749" s="24">
        <f>IF(D749="M",IF(AG749&lt;78,BMILMS!$D$5*AG749^3+BMILMS!$E$5*AG749^2+BMILMS!$F$5*AG749+BMILMS!$G$5,IF(AG749&lt;150,BMILMS!$D$6*AG749^3+BMILMS!$E$6*AG749^2+BMILMS!$F$6*AG749+BMILMS!$G$6,BMILMS!$D$7*AG749^3+BMILMS!$E$7*AG749^2+BMILMS!$F$7*AG749+BMILMS!$G$7)),IF(AG749&lt;69,BMILMS!$D$9*AG749^3+BMILMS!$E$9*AG749^2+BMILMS!$F$9*AG749+BMILMS!$G$9,IF(AG749&lt;150,BMILMS!$D$10*AG749^3+BMILMS!$E$10*AG749^2+BMILMS!$F$10*AG749+BMILMS!$G$10,BMILMS!$D$11*AG749^3+BMILMS!$E$11*AG749^2+BMILMS!$F$11*AG749+BMILMS!$G$11)))</f>
        <v>0.79584630099999998</v>
      </c>
      <c r="AE749" s="24">
        <f>IF(D749="M",(IF(AG749&lt;2.5,BMILMS!$D$21*AG749^3+BMILMS!$E$21*AG749^2+BMILMS!$F$21*AG749+BMILMS!$G$21,IF(AG749&lt;9.5,BMILMS!$D$22*AG749^3+BMILMS!$E$22*AG749^2+BMILMS!$F$22*AG749+BMILMS!$G$22,IF(AG749&lt;26.75,BMILMS!$D$23*AG749^3+BMILMS!$E$23*AG749^2+BMILMS!$F$23*AG749+BMILMS!$G$23,IF(AG749&lt;90,BMILMS!$D$24*AG749^3+BMILMS!$E$24*AG749^2+BMILMS!$F$24*AG749+BMILMS!$G$24,BMILMS!$D$25*AG749^3+BMILMS!$E$25*AG749^2+BMILMS!$F$25*AG749+BMILMS!$G$25))))),(IF(AG749&lt;2.5,BMILMS!$D$27*AG749^3+BMILMS!$E$27*AG749^2+BMILMS!$F$27*AG749+BMILMS!$G$27,IF(AG749&lt;9.5,BMILMS!$D$28*AG749^3+BMILMS!$E$28*AG749^2+BMILMS!$F$28*AG749+BMILMS!$G$28,IF(AG749&lt;26.75,BMILMS!$D$29*AG749^3+BMILMS!$E$29*AG749^2+BMILMS!$F$29*AG749+BMILMS!$G$29,IF(AG749&lt;90,BMILMS!$D$30*AG749^3+BMILMS!$E$30*AG749^2+BMILMS!$F$30*AG749+BMILMS!$G$30,IF(AG749&lt;150,BMILMS!$D$31*AG749^3+BMILMS!$E$31*AG749^2+BMILMS!$F$31*AG749+BMILMS!$G$31,BMILMS!$D$32*AG749^3+BMILMS!$E$32*AG749^2+BMILMS!$F$32*AG749+BMILMS!$G$32)))))))</f>
        <v>12.568967990000001</v>
      </c>
      <c r="AF749" s="24">
        <f>IF(D749="M",(IF(AG749&lt;90,BMILMS!$D$14*AG749^3+BMILMS!$E$14*AG749^2+BMILMS!$F$14*AG749+BMILMS!$G$14,BMILMS!$D$15*AG749^3+BMILMS!$E$15*AG749^2+BMILMS!$F$15*AG749+BMILMS!$G$15)),(IF(AG749&lt;90,BMILMS!$D$17*AG749^3+BMILMS!$E$17*AG749^2+BMILMS!$F$17*AG749+BMILMS!$G$17,BMILMS!$D$18*AG749^3+BMILMS!$E$18*AG749^2+BMILMS!$F$18*AG749+BMILMS!$G$18)))</f>
        <v>8.8969350000000003E-2</v>
      </c>
      <c r="AG749" s="24">
        <f t="shared" si="192"/>
        <v>0</v>
      </c>
      <c r="AI749" s="38">
        <f>IF(D749="M",WeightSDS!P$5*$AG749^7+WeightSDS!Q$5*$AG749^6+WeightSDS!R$5*$AG749^5+WeightSDS!S$5*$AG749^4+WeightSDS!T$5*$AG749^3+WeightSDS!U$5*$AG749^2+WeightSDS!V$5*$AG749+WeightSDS!W$5,IF($AG749&lt;186,WeightSDS!P$8*$AG749^7+WeightSDS!Q$8*$AG749^6+WeightSDS!R$8*$AG749^5+WeightSDS!S$8*$AG749^4+WeightSDS!T$8*$AG749^3+WeightSDS!U$8*$AG749^2+WeightSDS!V$8*$AG749+WeightSDS!W$8,WeightSDS!$U$9-WeightSDS!$V$9*($AG749-WeightSDS!$W$9)))</f>
        <v>0.75407122999999998</v>
      </c>
      <c r="AJ749" s="24">
        <f>IF(D749="M",IF($AG749&lt;45,WeightSDS!M$23*$AG749^10+WeightSDS!N$23*$AG749^9+WeightSDS!O$23*$AG749^8+WeightSDS!P$23*$AG749^7+WeightSDS!Q$23*$AG749^6+WeightSDS!R$23*$AG749^5+WeightSDS!S$23*$AG749^4+WeightSDS!T$23*$AG749^3+WeightSDS!U$23*$AG749^2+WeightSDS!V$23*$AG749+WeightSDS!W$23,IF($AG749&lt;153,WeightSDS!M$25*$AG749^10+WeightSDS!N$25*$AG749^9+WeightSDS!O$25*$AG749^8+WeightSDS!P$25*$AG749^7+WeightSDS!Q$25*$AG749^6+WeightSDS!R$25*$AG749^5+WeightSDS!S$25*$AG749^4+WeightSDS!T$25*$AG749^3+WeightSDS!U$25*$AG749^2+WeightSDS!V$25*$AG749+WeightSDS!W$25,WeightSDS!M$27+WeightSDS!N$27/(1+EXP(WeightSDS!O$27+WeightSDS!P$27*$AG749)))),IF($AG749&lt;43.8,WeightSDS!M$29*$AG749^10+WeightSDS!N$29*$AG749^9+WeightSDS!O$29*$AG749^8+WeightSDS!P$29*$AG749^7+WeightSDS!Q$29*$AG749^6+WeightSDS!R$29*$AG749^5+WeightSDS!S$29*$AG749^4+WeightSDS!T$29*$AG749^3+WeightSDS!U$29*$AG749^2+WeightSDS!V$29*$AG749+WeightSDS!W$29-0.010431*(1-$AG749/210),IF($AG749&lt;123,WeightSDS!M$30*$AG749^10+WeightSDS!N$30*$AG749^9+WeightSDS!O$30*$AG749^8+WeightSDS!P$30*$AG749^7+WeightSDS!Q$30*$AG749^6+WeightSDS!R$30*$AG749^5+WeightSDS!S$30*$AG749^4+WeightSDS!T$30*$AG749^3+WeightSDS!U$30*$AG749^2+WeightSDS!V$30*$AG749+WeightSDS!W$30-0.010431*(1-1/$AG749),WeightSDS!M$32+WeightSDS!N$32/(1+EXP(WeightSDS!O$32+WeightSDS!P$32*$AG749))-0.010431*(1-$AG749/210))))</f>
        <v>2.9500001032655536</v>
      </c>
      <c r="AK749" s="24">
        <f>IF(D749="M",IF($AG749&lt;162,WeightSDS!P$12*$AG749^7+WeightSDS!Q$12*$AG749^6+WeightSDS!R$12*$AG749^5+WeightSDS!S$12*$AG749^4+WeightSDS!T$12*$AG749^3+WeightSDS!U$12*$AG749^2+WeightSDS!V$12*$AG749+WeightSDS!W$12,WeightSDS!P$14*$AG749^7+WeightSDS!Q$14*$AG749^6+WeightSDS!R$14*$AG749^5+WeightSDS!S$14*$AG749^4+WeightSDS!T$14*$AG749^3+WeightSDS!U$14*$AG749^2+WeightSDS!V$14*$AG749+WeightSDS!W$14),IF($AG749&lt;156,WeightSDS!O$17*$AG749^8+WeightSDS!P$17*$AG749^7+WeightSDS!Q$17*$AG749^6+WeightSDS!R$17*$AG749^5+WeightSDS!S$17*$AG749^4+WeightSDS!T$17*$AG749^3+WeightSDS!U$17*$AG749^2+WeightSDS!V$17*$AG749+WeightSDS!W$17,IF($AG749&lt;186,WeightSDS!$U$18+(WeightSDS!$V$18-WeightSDS!$U$18)/24*($AG749-186)+WeightSDS!$W$18*(-$AG749+186)^2-0.005,WeightSDS!$U$18+(WeightSDS!$V$18-WeightSDS!$U$18)/24*($AG749-186)-0.005)))</f>
        <v>0.14604529399999999</v>
      </c>
    </row>
    <row r="750" spans="1:37">
      <c r="A750" s="4"/>
      <c r="B750" s="21"/>
      <c r="C750" s="21"/>
      <c r="D750" s="21"/>
      <c r="E750" s="22"/>
      <c r="F750" s="22"/>
      <c r="G750" s="23"/>
      <c r="H750" s="23"/>
      <c r="I750" s="8" t="str">
        <f t="shared" si="178"/>
        <v/>
      </c>
      <c r="J750" s="2" t="str">
        <f t="shared" si="185"/>
        <v/>
      </c>
      <c r="K750" s="2" t="str">
        <f t="shared" si="179"/>
        <v/>
      </c>
      <c r="L750" s="2" t="str">
        <f t="shared" si="186"/>
        <v/>
      </c>
      <c r="M750" s="2" t="str">
        <f t="shared" si="191"/>
        <v/>
      </c>
      <c r="N750" s="2" t="str">
        <f t="shared" si="187"/>
        <v/>
      </c>
      <c r="O750" s="8" t="str">
        <f t="shared" si="188"/>
        <v/>
      </c>
      <c r="P750" s="8" t="str">
        <f t="shared" si="189"/>
        <v/>
      </c>
      <c r="Q750" s="40" t="str">
        <f t="shared" si="180"/>
        <v/>
      </c>
      <c r="R750" s="48" t="str">
        <f t="shared" si="190"/>
        <v/>
      </c>
      <c r="S750" s="8"/>
      <c r="U750" s="35">
        <f t="shared" si="181"/>
        <v>0</v>
      </c>
      <c r="V750" s="24">
        <f t="shared" si="182"/>
        <v>0</v>
      </c>
      <c r="W750" s="41">
        <f t="shared" si="193"/>
        <v>0</v>
      </c>
      <c r="X750" s="31"/>
      <c r="Y750" s="31"/>
      <c r="Z750" s="31"/>
      <c r="AA750" s="25">
        <f t="shared" si="183"/>
        <v>9.0359999999999996</v>
      </c>
      <c r="AB750" s="25">
        <f t="shared" si="184"/>
        <v>-184.49199999999999</v>
      </c>
      <c r="AD750" s="24">
        <f>IF(D750="M",IF(AG750&lt;78,BMILMS!$D$5*AG750^3+BMILMS!$E$5*AG750^2+BMILMS!$F$5*AG750+BMILMS!$G$5,IF(AG750&lt;150,BMILMS!$D$6*AG750^3+BMILMS!$E$6*AG750^2+BMILMS!$F$6*AG750+BMILMS!$G$6,BMILMS!$D$7*AG750^3+BMILMS!$E$7*AG750^2+BMILMS!$F$7*AG750+BMILMS!$G$7)),IF(AG750&lt;69,BMILMS!$D$9*AG750^3+BMILMS!$E$9*AG750^2+BMILMS!$F$9*AG750+BMILMS!$G$9,IF(AG750&lt;150,BMILMS!$D$10*AG750^3+BMILMS!$E$10*AG750^2+BMILMS!$F$10*AG750+BMILMS!$G$10,BMILMS!$D$11*AG750^3+BMILMS!$E$11*AG750^2+BMILMS!$F$11*AG750+BMILMS!$G$11)))</f>
        <v>0.79584630099999998</v>
      </c>
      <c r="AE750" s="24">
        <f>IF(D750="M",(IF(AG750&lt;2.5,BMILMS!$D$21*AG750^3+BMILMS!$E$21*AG750^2+BMILMS!$F$21*AG750+BMILMS!$G$21,IF(AG750&lt;9.5,BMILMS!$D$22*AG750^3+BMILMS!$E$22*AG750^2+BMILMS!$F$22*AG750+BMILMS!$G$22,IF(AG750&lt;26.75,BMILMS!$D$23*AG750^3+BMILMS!$E$23*AG750^2+BMILMS!$F$23*AG750+BMILMS!$G$23,IF(AG750&lt;90,BMILMS!$D$24*AG750^3+BMILMS!$E$24*AG750^2+BMILMS!$F$24*AG750+BMILMS!$G$24,BMILMS!$D$25*AG750^3+BMILMS!$E$25*AG750^2+BMILMS!$F$25*AG750+BMILMS!$G$25))))),(IF(AG750&lt;2.5,BMILMS!$D$27*AG750^3+BMILMS!$E$27*AG750^2+BMILMS!$F$27*AG750+BMILMS!$G$27,IF(AG750&lt;9.5,BMILMS!$D$28*AG750^3+BMILMS!$E$28*AG750^2+BMILMS!$F$28*AG750+BMILMS!$G$28,IF(AG750&lt;26.75,BMILMS!$D$29*AG750^3+BMILMS!$E$29*AG750^2+BMILMS!$F$29*AG750+BMILMS!$G$29,IF(AG750&lt;90,BMILMS!$D$30*AG750^3+BMILMS!$E$30*AG750^2+BMILMS!$F$30*AG750+BMILMS!$G$30,IF(AG750&lt;150,BMILMS!$D$31*AG750^3+BMILMS!$E$31*AG750^2+BMILMS!$F$31*AG750+BMILMS!$G$31,BMILMS!$D$32*AG750^3+BMILMS!$E$32*AG750^2+BMILMS!$F$32*AG750+BMILMS!$G$32)))))))</f>
        <v>12.568967990000001</v>
      </c>
      <c r="AF750" s="24">
        <f>IF(D750="M",(IF(AG750&lt;90,BMILMS!$D$14*AG750^3+BMILMS!$E$14*AG750^2+BMILMS!$F$14*AG750+BMILMS!$G$14,BMILMS!$D$15*AG750^3+BMILMS!$E$15*AG750^2+BMILMS!$F$15*AG750+BMILMS!$G$15)),(IF(AG750&lt;90,BMILMS!$D$17*AG750^3+BMILMS!$E$17*AG750^2+BMILMS!$F$17*AG750+BMILMS!$G$17,BMILMS!$D$18*AG750^3+BMILMS!$E$18*AG750^2+BMILMS!$F$18*AG750+BMILMS!$G$18)))</f>
        <v>8.8969350000000003E-2</v>
      </c>
      <c r="AG750" s="24">
        <f t="shared" si="192"/>
        <v>0</v>
      </c>
      <c r="AI750" s="38">
        <f>IF(D750="M",WeightSDS!P$5*$AG750^7+WeightSDS!Q$5*$AG750^6+WeightSDS!R$5*$AG750^5+WeightSDS!S$5*$AG750^4+WeightSDS!T$5*$AG750^3+WeightSDS!U$5*$AG750^2+WeightSDS!V$5*$AG750+WeightSDS!W$5,IF($AG750&lt;186,WeightSDS!P$8*$AG750^7+WeightSDS!Q$8*$AG750^6+WeightSDS!R$8*$AG750^5+WeightSDS!S$8*$AG750^4+WeightSDS!T$8*$AG750^3+WeightSDS!U$8*$AG750^2+WeightSDS!V$8*$AG750+WeightSDS!W$8,WeightSDS!$U$9-WeightSDS!$V$9*($AG750-WeightSDS!$W$9)))</f>
        <v>0.75407122999999998</v>
      </c>
      <c r="AJ750" s="24">
        <f>IF(D750="M",IF($AG750&lt;45,WeightSDS!M$23*$AG750^10+WeightSDS!N$23*$AG750^9+WeightSDS!O$23*$AG750^8+WeightSDS!P$23*$AG750^7+WeightSDS!Q$23*$AG750^6+WeightSDS!R$23*$AG750^5+WeightSDS!S$23*$AG750^4+WeightSDS!T$23*$AG750^3+WeightSDS!U$23*$AG750^2+WeightSDS!V$23*$AG750+WeightSDS!W$23,IF($AG750&lt;153,WeightSDS!M$25*$AG750^10+WeightSDS!N$25*$AG750^9+WeightSDS!O$25*$AG750^8+WeightSDS!P$25*$AG750^7+WeightSDS!Q$25*$AG750^6+WeightSDS!R$25*$AG750^5+WeightSDS!S$25*$AG750^4+WeightSDS!T$25*$AG750^3+WeightSDS!U$25*$AG750^2+WeightSDS!V$25*$AG750+WeightSDS!W$25,WeightSDS!M$27+WeightSDS!N$27/(1+EXP(WeightSDS!O$27+WeightSDS!P$27*$AG750)))),IF($AG750&lt;43.8,WeightSDS!M$29*$AG750^10+WeightSDS!N$29*$AG750^9+WeightSDS!O$29*$AG750^8+WeightSDS!P$29*$AG750^7+WeightSDS!Q$29*$AG750^6+WeightSDS!R$29*$AG750^5+WeightSDS!S$29*$AG750^4+WeightSDS!T$29*$AG750^3+WeightSDS!U$29*$AG750^2+WeightSDS!V$29*$AG750+WeightSDS!W$29-0.010431*(1-$AG750/210),IF($AG750&lt;123,WeightSDS!M$30*$AG750^10+WeightSDS!N$30*$AG750^9+WeightSDS!O$30*$AG750^8+WeightSDS!P$30*$AG750^7+WeightSDS!Q$30*$AG750^6+WeightSDS!R$30*$AG750^5+WeightSDS!S$30*$AG750^4+WeightSDS!T$30*$AG750^3+WeightSDS!U$30*$AG750^2+WeightSDS!V$30*$AG750+WeightSDS!W$30-0.010431*(1-1/$AG750),WeightSDS!M$32+WeightSDS!N$32/(1+EXP(WeightSDS!O$32+WeightSDS!P$32*$AG750))-0.010431*(1-$AG750/210))))</f>
        <v>2.9500001032655536</v>
      </c>
      <c r="AK750" s="24">
        <f>IF(D750="M",IF($AG750&lt;162,WeightSDS!P$12*$AG750^7+WeightSDS!Q$12*$AG750^6+WeightSDS!R$12*$AG750^5+WeightSDS!S$12*$AG750^4+WeightSDS!T$12*$AG750^3+WeightSDS!U$12*$AG750^2+WeightSDS!V$12*$AG750+WeightSDS!W$12,WeightSDS!P$14*$AG750^7+WeightSDS!Q$14*$AG750^6+WeightSDS!R$14*$AG750^5+WeightSDS!S$14*$AG750^4+WeightSDS!T$14*$AG750^3+WeightSDS!U$14*$AG750^2+WeightSDS!V$14*$AG750+WeightSDS!W$14),IF($AG750&lt;156,WeightSDS!O$17*$AG750^8+WeightSDS!P$17*$AG750^7+WeightSDS!Q$17*$AG750^6+WeightSDS!R$17*$AG750^5+WeightSDS!S$17*$AG750^4+WeightSDS!T$17*$AG750^3+WeightSDS!U$17*$AG750^2+WeightSDS!V$17*$AG750+WeightSDS!W$17,IF($AG750&lt;186,WeightSDS!$U$18+(WeightSDS!$V$18-WeightSDS!$U$18)/24*($AG750-186)+WeightSDS!$W$18*(-$AG750+186)^2-0.005,WeightSDS!$U$18+(WeightSDS!$V$18-WeightSDS!$U$18)/24*($AG750-186)-0.005)))</f>
        <v>0.14604529399999999</v>
      </c>
    </row>
    <row r="751" spans="1:37">
      <c r="A751" s="4"/>
      <c r="B751" s="21"/>
      <c r="C751" s="21"/>
      <c r="D751" s="21"/>
      <c r="E751" s="22"/>
      <c r="F751" s="22"/>
      <c r="G751" s="23"/>
      <c r="H751" s="23"/>
      <c r="I751" s="8" t="str">
        <f t="shared" si="178"/>
        <v/>
      </c>
      <c r="J751" s="2" t="str">
        <f t="shared" si="185"/>
        <v/>
      </c>
      <c r="K751" s="2" t="str">
        <f t="shared" si="179"/>
        <v/>
      </c>
      <c r="L751" s="2" t="str">
        <f t="shared" si="186"/>
        <v/>
      </c>
      <c r="M751" s="2" t="str">
        <f t="shared" si="191"/>
        <v/>
      </c>
      <c r="N751" s="2" t="str">
        <f t="shared" si="187"/>
        <v/>
      </c>
      <c r="O751" s="8" t="str">
        <f t="shared" si="188"/>
        <v/>
      </c>
      <c r="P751" s="8" t="str">
        <f t="shared" si="189"/>
        <v/>
      </c>
      <c r="Q751" s="40" t="str">
        <f t="shared" si="180"/>
        <v/>
      </c>
      <c r="R751" s="48" t="str">
        <f t="shared" si="190"/>
        <v/>
      </c>
      <c r="S751" s="8"/>
      <c r="U751" s="35">
        <f t="shared" si="181"/>
        <v>0</v>
      </c>
      <c r="V751" s="24">
        <f t="shared" si="182"/>
        <v>0</v>
      </c>
      <c r="W751" s="41">
        <f t="shared" si="193"/>
        <v>0</v>
      </c>
      <c r="X751" s="31"/>
      <c r="Y751" s="31"/>
      <c r="Z751" s="31"/>
      <c r="AA751" s="25">
        <f t="shared" si="183"/>
        <v>9.0359999999999996</v>
      </c>
      <c r="AB751" s="25">
        <f t="shared" si="184"/>
        <v>-184.49199999999999</v>
      </c>
      <c r="AD751" s="24">
        <f>IF(D751="M",IF(AG751&lt;78,BMILMS!$D$5*AG751^3+BMILMS!$E$5*AG751^2+BMILMS!$F$5*AG751+BMILMS!$G$5,IF(AG751&lt;150,BMILMS!$D$6*AG751^3+BMILMS!$E$6*AG751^2+BMILMS!$F$6*AG751+BMILMS!$G$6,BMILMS!$D$7*AG751^3+BMILMS!$E$7*AG751^2+BMILMS!$F$7*AG751+BMILMS!$G$7)),IF(AG751&lt;69,BMILMS!$D$9*AG751^3+BMILMS!$E$9*AG751^2+BMILMS!$F$9*AG751+BMILMS!$G$9,IF(AG751&lt;150,BMILMS!$D$10*AG751^3+BMILMS!$E$10*AG751^2+BMILMS!$F$10*AG751+BMILMS!$G$10,BMILMS!$D$11*AG751^3+BMILMS!$E$11*AG751^2+BMILMS!$F$11*AG751+BMILMS!$G$11)))</f>
        <v>0.79584630099999998</v>
      </c>
      <c r="AE751" s="24">
        <f>IF(D751="M",(IF(AG751&lt;2.5,BMILMS!$D$21*AG751^3+BMILMS!$E$21*AG751^2+BMILMS!$F$21*AG751+BMILMS!$G$21,IF(AG751&lt;9.5,BMILMS!$D$22*AG751^3+BMILMS!$E$22*AG751^2+BMILMS!$F$22*AG751+BMILMS!$G$22,IF(AG751&lt;26.75,BMILMS!$D$23*AG751^3+BMILMS!$E$23*AG751^2+BMILMS!$F$23*AG751+BMILMS!$G$23,IF(AG751&lt;90,BMILMS!$D$24*AG751^3+BMILMS!$E$24*AG751^2+BMILMS!$F$24*AG751+BMILMS!$G$24,BMILMS!$D$25*AG751^3+BMILMS!$E$25*AG751^2+BMILMS!$F$25*AG751+BMILMS!$G$25))))),(IF(AG751&lt;2.5,BMILMS!$D$27*AG751^3+BMILMS!$E$27*AG751^2+BMILMS!$F$27*AG751+BMILMS!$G$27,IF(AG751&lt;9.5,BMILMS!$D$28*AG751^3+BMILMS!$E$28*AG751^2+BMILMS!$F$28*AG751+BMILMS!$G$28,IF(AG751&lt;26.75,BMILMS!$D$29*AG751^3+BMILMS!$E$29*AG751^2+BMILMS!$F$29*AG751+BMILMS!$G$29,IF(AG751&lt;90,BMILMS!$D$30*AG751^3+BMILMS!$E$30*AG751^2+BMILMS!$F$30*AG751+BMILMS!$G$30,IF(AG751&lt;150,BMILMS!$D$31*AG751^3+BMILMS!$E$31*AG751^2+BMILMS!$F$31*AG751+BMILMS!$G$31,BMILMS!$D$32*AG751^3+BMILMS!$E$32*AG751^2+BMILMS!$F$32*AG751+BMILMS!$G$32)))))))</f>
        <v>12.568967990000001</v>
      </c>
      <c r="AF751" s="24">
        <f>IF(D751="M",(IF(AG751&lt;90,BMILMS!$D$14*AG751^3+BMILMS!$E$14*AG751^2+BMILMS!$F$14*AG751+BMILMS!$G$14,BMILMS!$D$15*AG751^3+BMILMS!$E$15*AG751^2+BMILMS!$F$15*AG751+BMILMS!$G$15)),(IF(AG751&lt;90,BMILMS!$D$17*AG751^3+BMILMS!$E$17*AG751^2+BMILMS!$F$17*AG751+BMILMS!$G$17,BMILMS!$D$18*AG751^3+BMILMS!$E$18*AG751^2+BMILMS!$F$18*AG751+BMILMS!$G$18)))</f>
        <v>8.8969350000000003E-2</v>
      </c>
      <c r="AG751" s="24">
        <f t="shared" si="192"/>
        <v>0</v>
      </c>
      <c r="AI751" s="38">
        <f>IF(D751="M",WeightSDS!P$5*$AG751^7+WeightSDS!Q$5*$AG751^6+WeightSDS!R$5*$AG751^5+WeightSDS!S$5*$AG751^4+WeightSDS!T$5*$AG751^3+WeightSDS!U$5*$AG751^2+WeightSDS!V$5*$AG751+WeightSDS!W$5,IF($AG751&lt;186,WeightSDS!P$8*$AG751^7+WeightSDS!Q$8*$AG751^6+WeightSDS!R$8*$AG751^5+WeightSDS!S$8*$AG751^4+WeightSDS!T$8*$AG751^3+WeightSDS!U$8*$AG751^2+WeightSDS!V$8*$AG751+WeightSDS!W$8,WeightSDS!$U$9-WeightSDS!$V$9*($AG751-WeightSDS!$W$9)))</f>
        <v>0.75407122999999998</v>
      </c>
      <c r="AJ751" s="24">
        <f>IF(D751="M",IF($AG751&lt;45,WeightSDS!M$23*$AG751^10+WeightSDS!N$23*$AG751^9+WeightSDS!O$23*$AG751^8+WeightSDS!P$23*$AG751^7+WeightSDS!Q$23*$AG751^6+WeightSDS!R$23*$AG751^5+WeightSDS!S$23*$AG751^4+WeightSDS!T$23*$AG751^3+WeightSDS!U$23*$AG751^2+WeightSDS!V$23*$AG751+WeightSDS!W$23,IF($AG751&lt;153,WeightSDS!M$25*$AG751^10+WeightSDS!N$25*$AG751^9+WeightSDS!O$25*$AG751^8+WeightSDS!P$25*$AG751^7+WeightSDS!Q$25*$AG751^6+WeightSDS!R$25*$AG751^5+WeightSDS!S$25*$AG751^4+WeightSDS!T$25*$AG751^3+WeightSDS!U$25*$AG751^2+WeightSDS!V$25*$AG751+WeightSDS!W$25,WeightSDS!M$27+WeightSDS!N$27/(1+EXP(WeightSDS!O$27+WeightSDS!P$27*$AG751)))),IF($AG751&lt;43.8,WeightSDS!M$29*$AG751^10+WeightSDS!N$29*$AG751^9+WeightSDS!O$29*$AG751^8+WeightSDS!P$29*$AG751^7+WeightSDS!Q$29*$AG751^6+WeightSDS!R$29*$AG751^5+WeightSDS!S$29*$AG751^4+WeightSDS!T$29*$AG751^3+WeightSDS!U$29*$AG751^2+WeightSDS!V$29*$AG751+WeightSDS!W$29-0.010431*(1-$AG751/210),IF($AG751&lt;123,WeightSDS!M$30*$AG751^10+WeightSDS!N$30*$AG751^9+WeightSDS!O$30*$AG751^8+WeightSDS!P$30*$AG751^7+WeightSDS!Q$30*$AG751^6+WeightSDS!R$30*$AG751^5+WeightSDS!S$30*$AG751^4+WeightSDS!T$30*$AG751^3+WeightSDS!U$30*$AG751^2+WeightSDS!V$30*$AG751+WeightSDS!W$30-0.010431*(1-1/$AG751),WeightSDS!M$32+WeightSDS!N$32/(1+EXP(WeightSDS!O$32+WeightSDS!P$32*$AG751))-0.010431*(1-$AG751/210))))</f>
        <v>2.9500001032655536</v>
      </c>
      <c r="AK751" s="24">
        <f>IF(D751="M",IF($AG751&lt;162,WeightSDS!P$12*$AG751^7+WeightSDS!Q$12*$AG751^6+WeightSDS!R$12*$AG751^5+WeightSDS!S$12*$AG751^4+WeightSDS!T$12*$AG751^3+WeightSDS!U$12*$AG751^2+WeightSDS!V$12*$AG751+WeightSDS!W$12,WeightSDS!P$14*$AG751^7+WeightSDS!Q$14*$AG751^6+WeightSDS!R$14*$AG751^5+WeightSDS!S$14*$AG751^4+WeightSDS!T$14*$AG751^3+WeightSDS!U$14*$AG751^2+WeightSDS!V$14*$AG751+WeightSDS!W$14),IF($AG751&lt;156,WeightSDS!O$17*$AG751^8+WeightSDS!P$17*$AG751^7+WeightSDS!Q$17*$AG751^6+WeightSDS!R$17*$AG751^5+WeightSDS!S$17*$AG751^4+WeightSDS!T$17*$AG751^3+WeightSDS!U$17*$AG751^2+WeightSDS!V$17*$AG751+WeightSDS!W$17,IF($AG751&lt;186,WeightSDS!$U$18+(WeightSDS!$V$18-WeightSDS!$U$18)/24*($AG751-186)+WeightSDS!$W$18*(-$AG751+186)^2-0.005,WeightSDS!$U$18+(WeightSDS!$V$18-WeightSDS!$U$18)/24*($AG751-186)-0.005)))</f>
        <v>0.14604529399999999</v>
      </c>
    </row>
    <row r="752" spans="1:37">
      <c r="A752" s="4"/>
      <c r="B752" s="21"/>
      <c r="C752" s="21"/>
      <c r="D752" s="21"/>
      <c r="E752" s="22"/>
      <c r="F752" s="22"/>
      <c r="G752" s="23"/>
      <c r="H752" s="23"/>
      <c r="I752" s="8" t="str">
        <f t="shared" si="178"/>
        <v/>
      </c>
      <c r="J752" s="2" t="str">
        <f t="shared" si="185"/>
        <v/>
      </c>
      <c r="K752" s="2" t="str">
        <f t="shared" si="179"/>
        <v/>
      </c>
      <c r="L752" s="2" t="str">
        <f t="shared" si="186"/>
        <v/>
      </c>
      <c r="M752" s="2" t="str">
        <f t="shared" si="191"/>
        <v/>
      </c>
      <c r="N752" s="2" t="str">
        <f t="shared" si="187"/>
        <v/>
      </c>
      <c r="O752" s="8" t="str">
        <f t="shared" si="188"/>
        <v/>
      </c>
      <c r="P752" s="8" t="str">
        <f t="shared" si="189"/>
        <v/>
      </c>
      <c r="Q752" s="40" t="str">
        <f t="shared" si="180"/>
        <v/>
      </c>
      <c r="R752" s="48" t="str">
        <f t="shared" si="190"/>
        <v/>
      </c>
      <c r="S752" s="8"/>
      <c r="U752" s="35">
        <f t="shared" si="181"/>
        <v>0</v>
      </c>
      <c r="V752" s="24">
        <f t="shared" si="182"/>
        <v>0</v>
      </c>
      <c r="W752" s="41">
        <f t="shared" si="193"/>
        <v>0</v>
      </c>
      <c r="X752" s="31"/>
      <c r="Y752" s="31"/>
      <c r="Z752" s="31"/>
      <c r="AA752" s="25">
        <f t="shared" si="183"/>
        <v>9.0359999999999996</v>
      </c>
      <c r="AB752" s="25">
        <f t="shared" si="184"/>
        <v>-184.49199999999999</v>
      </c>
      <c r="AD752" s="24">
        <f>IF(D752="M",IF(AG752&lt;78,BMILMS!$D$5*AG752^3+BMILMS!$E$5*AG752^2+BMILMS!$F$5*AG752+BMILMS!$G$5,IF(AG752&lt;150,BMILMS!$D$6*AG752^3+BMILMS!$E$6*AG752^2+BMILMS!$F$6*AG752+BMILMS!$G$6,BMILMS!$D$7*AG752^3+BMILMS!$E$7*AG752^2+BMILMS!$F$7*AG752+BMILMS!$G$7)),IF(AG752&lt;69,BMILMS!$D$9*AG752^3+BMILMS!$E$9*AG752^2+BMILMS!$F$9*AG752+BMILMS!$G$9,IF(AG752&lt;150,BMILMS!$D$10*AG752^3+BMILMS!$E$10*AG752^2+BMILMS!$F$10*AG752+BMILMS!$G$10,BMILMS!$D$11*AG752^3+BMILMS!$E$11*AG752^2+BMILMS!$F$11*AG752+BMILMS!$G$11)))</f>
        <v>0.79584630099999998</v>
      </c>
      <c r="AE752" s="24">
        <f>IF(D752="M",(IF(AG752&lt;2.5,BMILMS!$D$21*AG752^3+BMILMS!$E$21*AG752^2+BMILMS!$F$21*AG752+BMILMS!$G$21,IF(AG752&lt;9.5,BMILMS!$D$22*AG752^3+BMILMS!$E$22*AG752^2+BMILMS!$F$22*AG752+BMILMS!$G$22,IF(AG752&lt;26.75,BMILMS!$D$23*AG752^3+BMILMS!$E$23*AG752^2+BMILMS!$F$23*AG752+BMILMS!$G$23,IF(AG752&lt;90,BMILMS!$D$24*AG752^3+BMILMS!$E$24*AG752^2+BMILMS!$F$24*AG752+BMILMS!$G$24,BMILMS!$D$25*AG752^3+BMILMS!$E$25*AG752^2+BMILMS!$F$25*AG752+BMILMS!$G$25))))),(IF(AG752&lt;2.5,BMILMS!$D$27*AG752^3+BMILMS!$E$27*AG752^2+BMILMS!$F$27*AG752+BMILMS!$G$27,IF(AG752&lt;9.5,BMILMS!$D$28*AG752^3+BMILMS!$E$28*AG752^2+BMILMS!$F$28*AG752+BMILMS!$G$28,IF(AG752&lt;26.75,BMILMS!$D$29*AG752^3+BMILMS!$E$29*AG752^2+BMILMS!$F$29*AG752+BMILMS!$G$29,IF(AG752&lt;90,BMILMS!$D$30*AG752^3+BMILMS!$E$30*AG752^2+BMILMS!$F$30*AG752+BMILMS!$G$30,IF(AG752&lt;150,BMILMS!$D$31*AG752^3+BMILMS!$E$31*AG752^2+BMILMS!$F$31*AG752+BMILMS!$G$31,BMILMS!$D$32*AG752^3+BMILMS!$E$32*AG752^2+BMILMS!$F$32*AG752+BMILMS!$G$32)))))))</f>
        <v>12.568967990000001</v>
      </c>
      <c r="AF752" s="24">
        <f>IF(D752="M",(IF(AG752&lt;90,BMILMS!$D$14*AG752^3+BMILMS!$E$14*AG752^2+BMILMS!$F$14*AG752+BMILMS!$G$14,BMILMS!$D$15*AG752^3+BMILMS!$E$15*AG752^2+BMILMS!$F$15*AG752+BMILMS!$G$15)),(IF(AG752&lt;90,BMILMS!$D$17*AG752^3+BMILMS!$E$17*AG752^2+BMILMS!$F$17*AG752+BMILMS!$G$17,BMILMS!$D$18*AG752^3+BMILMS!$E$18*AG752^2+BMILMS!$F$18*AG752+BMILMS!$G$18)))</f>
        <v>8.8969350000000003E-2</v>
      </c>
      <c r="AG752" s="24">
        <f t="shared" si="192"/>
        <v>0</v>
      </c>
      <c r="AI752" s="38">
        <f>IF(D752="M",WeightSDS!P$5*$AG752^7+WeightSDS!Q$5*$AG752^6+WeightSDS!R$5*$AG752^5+WeightSDS!S$5*$AG752^4+WeightSDS!T$5*$AG752^3+WeightSDS!U$5*$AG752^2+WeightSDS!V$5*$AG752+WeightSDS!W$5,IF($AG752&lt;186,WeightSDS!P$8*$AG752^7+WeightSDS!Q$8*$AG752^6+WeightSDS!R$8*$AG752^5+WeightSDS!S$8*$AG752^4+WeightSDS!T$8*$AG752^3+WeightSDS!U$8*$AG752^2+WeightSDS!V$8*$AG752+WeightSDS!W$8,WeightSDS!$U$9-WeightSDS!$V$9*($AG752-WeightSDS!$W$9)))</f>
        <v>0.75407122999999998</v>
      </c>
      <c r="AJ752" s="24">
        <f>IF(D752="M",IF($AG752&lt;45,WeightSDS!M$23*$AG752^10+WeightSDS!N$23*$AG752^9+WeightSDS!O$23*$AG752^8+WeightSDS!P$23*$AG752^7+WeightSDS!Q$23*$AG752^6+WeightSDS!R$23*$AG752^5+WeightSDS!S$23*$AG752^4+WeightSDS!T$23*$AG752^3+WeightSDS!U$23*$AG752^2+WeightSDS!V$23*$AG752+WeightSDS!W$23,IF($AG752&lt;153,WeightSDS!M$25*$AG752^10+WeightSDS!N$25*$AG752^9+WeightSDS!O$25*$AG752^8+WeightSDS!P$25*$AG752^7+WeightSDS!Q$25*$AG752^6+WeightSDS!R$25*$AG752^5+WeightSDS!S$25*$AG752^4+WeightSDS!T$25*$AG752^3+WeightSDS!U$25*$AG752^2+WeightSDS!V$25*$AG752+WeightSDS!W$25,WeightSDS!M$27+WeightSDS!N$27/(1+EXP(WeightSDS!O$27+WeightSDS!P$27*$AG752)))),IF($AG752&lt;43.8,WeightSDS!M$29*$AG752^10+WeightSDS!N$29*$AG752^9+WeightSDS!O$29*$AG752^8+WeightSDS!P$29*$AG752^7+WeightSDS!Q$29*$AG752^6+WeightSDS!R$29*$AG752^5+WeightSDS!S$29*$AG752^4+WeightSDS!T$29*$AG752^3+WeightSDS!U$29*$AG752^2+WeightSDS!V$29*$AG752+WeightSDS!W$29-0.010431*(1-$AG752/210),IF($AG752&lt;123,WeightSDS!M$30*$AG752^10+WeightSDS!N$30*$AG752^9+WeightSDS!O$30*$AG752^8+WeightSDS!P$30*$AG752^7+WeightSDS!Q$30*$AG752^6+WeightSDS!R$30*$AG752^5+WeightSDS!S$30*$AG752^4+WeightSDS!T$30*$AG752^3+WeightSDS!U$30*$AG752^2+WeightSDS!V$30*$AG752+WeightSDS!W$30-0.010431*(1-1/$AG752),WeightSDS!M$32+WeightSDS!N$32/(1+EXP(WeightSDS!O$32+WeightSDS!P$32*$AG752))-0.010431*(1-$AG752/210))))</f>
        <v>2.9500001032655536</v>
      </c>
      <c r="AK752" s="24">
        <f>IF(D752="M",IF($AG752&lt;162,WeightSDS!P$12*$AG752^7+WeightSDS!Q$12*$AG752^6+WeightSDS!R$12*$AG752^5+WeightSDS!S$12*$AG752^4+WeightSDS!T$12*$AG752^3+WeightSDS!U$12*$AG752^2+WeightSDS!V$12*$AG752+WeightSDS!W$12,WeightSDS!P$14*$AG752^7+WeightSDS!Q$14*$AG752^6+WeightSDS!R$14*$AG752^5+WeightSDS!S$14*$AG752^4+WeightSDS!T$14*$AG752^3+WeightSDS!U$14*$AG752^2+WeightSDS!V$14*$AG752+WeightSDS!W$14),IF($AG752&lt;156,WeightSDS!O$17*$AG752^8+WeightSDS!P$17*$AG752^7+WeightSDS!Q$17*$AG752^6+WeightSDS!R$17*$AG752^5+WeightSDS!S$17*$AG752^4+WeightSDS!T$17*$AG752^3+WeightSDS!U$17*$AG752^2+WeightSDS!V$17*$AG752+WeightSDS!W$17,IF($AG752&lt;186,WeightSDS!$U$18+(WeightSDS!$V$18-WeightSDS!$U$18)/24*($AG752-186)+WeightSDS!$W$18*(-$AG752+186)^2-0.005,WeightSDS!$U$18+(WeightSDS!$V$18-WeightSDS!$U$18)/24*($AG752-186)-0.005)))</f>
        <v>0.14604529399999999</v>
      </c>
    </row>
    <row r="753" spans="1:37">
      <c r="A753" s="4"/>
      <c r="B753" s="21"/>
      <c r="C753" s="21"/>
      <c r="D753" s="21"/>
      <c r="E753" s="22"/>
      <c r="F753" s="22"/>
      <c r="G753" s="23"/>
      <c r="H753" s="23"/>
      <c r="I753" s="8" t="str">
        <f t="shared" si="178"/>
        <v/>
      </c>
      <c r="J753" s="2" t="str">
        <f t="shared" si="185"/>
        <v/>
      </c>
      <c r="K753" s="2" t="str">
        <f t="shared" si="179"/>
        <v/>
      </c>
      <c r="L753" s="2" t="str">
        <f t="shared" si="186"/>
        <v/>
      </c>
      <c r="M753" s="2" t="str">
        <f t="shared" si="191"/>
        <v/>
      </c>
      <c r="N753" s="2" t="str">
        <f t="shared" si="187"/>
        <v/>
      </c>
      <c r="O753" s="8" t="str">
        <f t="shared" si="188"/>
        <v/>
      </c>
      <c r="P753" s="8" t="str">
        <f t="shared" si="189"/>
        <v/>
      </c>
      <c r="Q753" s="40" t="str">
        <f t="shared" si="180"/>
        <v/>
      </c>
      <c r="R753" s="48" t="str">
        <f t="shared" si="190"/>
        <v/>
      </c>
      <c r="S753" s="8"/>
      <c r="U753" s="35">
        <f t="shared" si="181"/>
        <v>0</v>
      </c>
      <c r="V753" s="24">
        <f t="shared" si="182"/>
        <v>0</v>
      </c>
      <c r="W753" s="41">
        <f t="shared" si="193"/>
        <v>0</v>
      </c>
      <c r="X753" s="31"/>
      <c r="Y753" s="31"/>
      <c r="Z753" s="31"/>
      <c r="AA753" s="25">
        <f t="shared" si="183"/>
        <v>9.0359999999999996</v>
      </c>
      <c r="AB753" s="25">
        <f t="shared" si="184"/>
        <v>-184.49199999999999</v>
      </c>
      <c r="AD753" s="24">
        <f>IF(D753="M",IF(AG753&lt;78,BMILMS!$D$5*AG753^3+BMILMS!$E$5*AG753^2+BMILMS!$F$5*AG753+BMILMS!$G$5,IF(AG753&lt;150,BMILMS!$D$6*AG753^3+BMILMS!$E$6*AG753^2+BMILMS!$F$6*AG753+BMILMS!$G$6,BMILMS!$D$7*AG753^3+BMILMS!$E$7*AG753^2+BMILMS!$F$7*AG753+BMILMS!$G$7)),IF(AG753&lt;69,BMILMS!$D$9*AG753^3+BMILMS!$E$9*AG753^2+BMILMS!$F$9*AG753+BMILMS!$G$9,IF(AG753&lt;150,BMILMS!$D$10*AG753^3+BMILMS!$E$10*AG753^2+BMILMS!$F$10*AG753+BMILMS!$G$10,BMILMS!$D$11*AG753^3+BMILMS!$E$11*AG753^2+BMILMS!$F$11*AG753+BMILMS!$G$11)))</f>
        <v>0.79584630099999998</v>
      </c>
      <c r="AE753" s="24">
        <f>IF(D753="M",(IF(AG753&lt;2.5,BMILMS!$D$21*AG753^3+BMILMS!$E$21*AG753^2+BMILMS!$F$21*AG753+BMILMS!$G$21,IF(AG753&lt;9.5,BMILMS!$D$22*AG753^3+BMILMS!$E$22*AG753^2+BMILMS!$F$22*AG753+BMILMS!$G$22,IF(AG753&lt;26.75,BMILMS!$D$23*AG753^3+BMILMS!$E$23*AG753^2+BMILMS!$F$23*AG753+BMILMS!$G$23,IF(AG753&lt;90,BMILMS!$D$24*AG753^3+BMILMS!$E$24*AG753^2+BMILMS!$F$24*AG753+BMILMS!$G$24,BMILMS!$D$25*AG753^3+BMILMS!$E$25*AG753^2+BMILMS!$F$25*AG753+BMILMS!$G$25))))),(IF(AG753&lt;2.5,BMILMS!$D$27*AG753^3+BMILMS!$E$27*AG753^2+BMILMS!$F$27*AG753+BMILMS!$G$27,IF(AG753&lt;9.5,BMILMS!$D$28*AG753^3+BMILMS!$E$28*AG753^2+BMILMS!$F$28*AG753+BMILMS!$G$28,IF(AG753&lt;26.75,BMILMS!$D$29*AG753^3+BMILMS!$E$29*AG753^2+BMILMS!$F$29*AG753+BMILMS!$G$29,IF(AG753&lt;90,BMILMS!$D$30*AG753^3+BMILMS!$E$30*AG753^2+BMILMS!$F$30*AG753+BMILMS!$G$30,IF(AG753&lt;150,BMILMS!$D$31*AG753^3+BMILMS!$E$31*AG753^2+BMILMS!$F$31*AG753+BMILMS!$G$31,BMILMS!$D$32*AG753^3+BMILMS!$E$32*AG753^2+BMILMS!$F$32*AG753+BMILMS!$G$32)))))))</f>
        <v>12.568967990000001</v>
      </c>
      <c r="AF753" s="24">
        <f>IF(D753="M",(IF(AG753&lt;90,BMILMS!$D$14*AG753^3+BMILMS!$E$14*AG753^2+BMILMS!$F$14*AG753+BMILMS!$G$14,BMILMS!$D$15*AG753^3+BMILMS!$E$15*AG753^2+BMILMS!$F$15*AG753+BMILMS!$G$15)),(IF(AG753&lt;90,BMILMS!$D$17*AG753^3+BMILMS!$E$17*AG753^2+BMILMS!$F$17*AG753+BMILMS!$G$17,BMILMS!$D$18*AG753^3+BMILMS!$E$18*AG753^2+BMILMS!$F$18*AG753+BMILMS!$G$18)))</f>
        <v>8.8969350000000003E-2</v>
      </c>
      <c r="AG753" s="24">
        <f t="shared" si="192"/>
        <v>0</v>
      </c>
      <c r="AI753" s="38">
        <f>IF(D753="M",WeightSDS!P$5*$AG753^7+WeightSDS!Q$5*$AG753^6+WeightSDS!R$5*$AG753^5+WeightSDS!S$5*$AG753^4+WeightSDS!T$5*$AG753^3+WeightSDS!U$5*$AG753^2+WeightSDS!V$5*$AG753+WeightSDS!W$5,IF($AG753&lt;186,WeightSDS!P$8*$AG753^7+WeightSDS!Q$8*$AG753^6+WeightSDS!R$8*$AG753^5+WeightSDS!S$8*$AG753^4+WeightSDS!T$8*$AG753^3+WeightSDS!U$8*$AG753^2+WeightSDS!V$8*$AG753+WeightSDS!W$8,WeightSDS!$U$9-WeightSDS!$V$9*($AG753-WeightSDS!$W$9)))</f>
        <v>0.75407122999999998</v>
      </c>
      <c r="AJ753" s="24">
        <f>IF(D753="M",IF($AG753&lt;45,WeightSDS!M$23*$AG753^10+WeightSDS!N$23*$AG753^9+WeightSDS!O$23*$AG753^8+WeightSDS!P$23*$AG753^7+WeightSDS!Q$23*$AG753^6+WeightSDS!R$23*$AG753^5+WeightSDS!S$23*$AG753^4+WeightSDS!T$23*$AG753^3+WeightSDS!U$23*$AG753^2+WeightSDS!V$23*$AG753+WeightSDS!W$23,IF($AG753&lt;153,WeightSDS!M$25*$AG753^10+WeightSDS!N$25*$AG753^9+WeightSDS!O$25*$AG753^8+WeightSDS!P$25*$AG753^7+WeightSDS!Q$25*$AG753^6+WeightSDS!R$25*$AG753^5+WeightSDS!S$25*$AG753^4+WeightSDS!T$25*$AG753^3+WeightSDS!U$25*$AG753^2+WeightSDS!V$25*$AG753+WeightSDS!W$25,WeightSDS!M$27+WeightSDS!N$27/(1+EXP(WeightSDS!O$27+WeightSDS!P$27*$AG753)))),IF($AG753&lt;43.8,WeightSDS!M$29*$AG753^10+WeightSDS!N$29*$AG753^9+WeightSDS!O$29*$AG753^8+WeightSDS!P$29*$AG753^7+WeightSDS!Q$29*$AG753^6+WeightSDS!R$29*$AG753^5+WeightSDS!S$29*$AG753^4+WeightSDS!T$29*$AG753^3+WeightSDS!U$29*$AG753^2+WeightSDS!V$29*$AG753+WeightSDS!W$29-0.010431*(1-$AG753/210),IF($AG753&lt;123,WeightSDS!M$30*$AG753^10+WeightSDS!N$30*$AG753^9+WeightSDS!O$30*$AG753^8+WeightSDS!P$30*$AG753^7+WeightSDS!Q$30*$AG753^6+WeightSDS!R$30*$AG753^5+WeightSDS!S$30*$AG753^4+WeightSDS!T$30*$AG753^3+WeightSDS!U$30*$AG753^2+WeightSDS!V$30*$AG753+WeightSDS!W$30-0.010431*(1-1/$AG753),WeightSDS!M$32+WeightSDS!N$32/(1+EXP(WeightSDS!O$32+WeightSDS!P$32*$AG753))-0.010431*(1-$AG753/210))))</f>
        <v>2.9500001032655536</v>
      </c>
      <c r="AK753" s="24">
        <f>IF(D753="M",IF($AG753&lt;162,WeightSDS!P$12*$AG753^7+WeightSDS!Q$12*$AG753^6+WeightSDS!R$12*$AG753^5+WeightSDS!S$12*$AG753^4+WeightSDS!T$12*$AG753^3+WeightSDS!U$12*$AG753^2+WeightSDS!V$12*$AG753+WeightSDS!W$12,WeightSDS!P$14*$AG753^7+WeightSDS!Q$14*$AG753^6+WeightSDS!R$14*$AG753^5+WeightSDS!S$14*$AG753^4+WeightSDS!T$14*$AG753^3+WeightSDS!U$14*$AG753^2+WeightSDS!V$14*$AG753+WeightSDS!W$14),IF($AG753&lt;156,WeightSDS!O$17*$AG753^8+WeightSDS!P$17*$AG753^7+WeightSDS!Q$17*$AG753^6+WeightSDS!R$17*$AG753^5+WeightSDS!S$17*$AG753^4+WeightSDS!T$17*$AG753^3+WeightSDS!U$17*$AG753^2+WeightSDS!V$17*$AG753+WeightSDS!W$17,IF($AG753&lt;186,WeightSDS!$U$18+(WeightSDS!$V$18-WeightSDS!$U$18)/24*($AG753-186)+WeightSDS!$W$18*(-$AG753+186)^2-0.005,WeightSDS!$U$18+(WeightSDS!$V$18-WeightSDS!$U$18)/24*($AG753-186)-0.005)))</f>
        <v>0.14604529399999999</v>
      </c>
    </row>
    <row r="754" spans="1:37">
      <c r="A754" s="4"/>
      <c r="B754" s="21"/>
      <c r="C754" s="21"/>
      <c r="D754" s="21"/>
      <c r="E754" s="22"/>
      <c r="F754" s="22"/>
      <c r="G754" s="23"/>
      <c r="H754" s="23"/>
      <c r="I754" s="8" t="str">
        <f t="shared" si="178"/>
        <v/>
      </c>
      <c r="J754" s="2" t="str">
        <f t="shared" si="185"/>
        <v/>
      </c>
      <c r="K754" s="2" t="str">
        <f t="shared" si="179"/>
        <v/>
      </c>
      <c r="L754" s="2" t="str">
        <f t="shared" si="186"/>
        <v/>
      </c>
      <c r="M754" s="2" t="str">
        <f t="shared" si="191"/>
        <v/>
      </c>
      <c r="N754" s="2" t="str">
        <f t="shared" si="187"/>
        <v/>
      </c>
      <c r="O754" s="8" t="str">
        <f t="shared" si="188"/>
        <v/>
      </c>
      <c r="P754" s="8" t="str">
        <f t="shared" si="189"/>
        <v/>
      </c>
      <c r="Q754" s="40" t="str">
        <f t="shared" si="180"/>
        <v/>
      </c>
      <c r="R754" s="48" t="str">
        <f t="shared" si="190"/>
        <v/>
      </c>
      <c r="S754" s="8"/>
      <c r="U754" s="35">
        <f t="shared" si="181"/>
        <v>0</v>
      </c>
      <c r="V754" s="24">
        <f t="shared" si="182"/>
        <v>0</v>
      </c>
      <c r="W754" s="41">
        <f t="shared" si="193"/>
        <v>0</v>
      </c>
      <c r="X754" s="31"/>
      <c r="Y754" s="31"/>
      <c r="Z754" s="31"/>
      <c r="AA754" s="25">
        <f t="shared" si="183"/>
        <v>9.0359999999999996</v>
      </c>
      <c r="AB754" s="25">
        <f t="shared" si="184"/>
        <v>-184.49199999999999</v>
      </c>
      <c r="AD754" s="24">
        <f>IF(D754="M",IF(AG754&lt;78,BMILMS!$D$5*AG754^3+BMILMS!$E$5*AG754^2+BMILMS!$F$5*AG754+BMILMS!$G$5,IF(AG754&lt;150,BMILMS!$D$6*AG754^3+BMILMS!$E$6*AG754^2+BMILMS!$F$6*AG754+BMILMS!$G$6,BMILMS!$D$7*AG754^3+BMILMS!$E$7*AG754^2+BMILMS!$F$7*AG754+BMILMS!$G$7)),IF(AG754&lt;69,BMILMS!$D$9*AG754^3+BMILMS!$E$9*AG754^2+BMILMS!$F$9*AG754+BMILMS!$G$9,IF(AG754&lt;150,BMILMS!$D$10*AG754^3+BMILMS!$E$10*AG754^2+BMILMS!$F$10*AG754+BMILMS!$G$10,BMILMS!$D$11*AG754^3+BMILMS!$E$11*AG754^2+BMILMS!$F$11*AG754+BMILMS!$G$11)))</f>
        <v>0.79584630099999998</v>
      </c>
      <c r="AE754" s="24">
        <f>IF(D754="M",(IF(AG754&lt;2.5,BMILMS!$D$21*AG754^3+BMILMS!$E$21*AG754^2+BMILMS!$F$21*AG754+BMILMS!$G$21,IF(AG754&lt;9.5,BMILMS!$D$22*AG754^3+BMILMS!$E$22*AG754^2+BMILMS!$F$22*AG754+BMILMS!$G$22,IF(AG754&lt;26.75,BMILMS!$D$23*AG754^3+BMILMS!$E$23*AG754^2+BMILMS!$F$23*AG754+BMILMS!$G$23,IF(AG754&lt;90,BMILMS!$D$24*AG754^3+BMILMS!$E$24*AG754^2+BMILMS!$F$24*AG754+BMILMS!$G$24,BMILMS!$D$25*AG754^3+BMILMS!$E$25*AG754^2+BMILMS!$F$25*AG754+BMILMS!$G$25))))),(IF(AG754&lt;2.5,BMILMS!$D$27*AG754^3+BMILMS!$E$27*AG754^2+BMILMS!$F$27*AG754+BMILMS!$G$27,IF(AG754&lt;9.5,BMILMS!$D$28*AG754^3+BMILMS!$E$28*AG754^2+BMILMS!$F$28*AG754+BMILMS!$G$28,IF(AG754&lt;26.75,BMILMS!$D$29*AG754^3+BMILMS!$E$29*AG754^2+BMILMS!$F$29*AG754+BMILMS!$G$29,IF(AG754&lt;90,BMILMS!$D$30*AG754^3+BMILMS!$E$30*AG754^2+BMILMS!$F$30*AG754+BMILMS!$G$30,IF(AG754&lt;150,BMILMS!$D$31*AG754^3+BMILMS!$E$31*AG754^2+BMILMS!$F$31*AG754+BMILMS!$G$31,BMILMS!$D$32*AG754^3+BMILMS!$E$32*AG754^2+BMILMS!$F$32*AG754+BMILMS!$G$32)))))))</f>
        <v>12.568967990000001</v>
      </c>
      <c r="AF754" s="24">
        <f>IF(D754="M",(IF(AG754&lt;90,BMILMS!$D$14*AG754^3+BMILMS!$E$14*AG754^2+BMILMS!$F$14*AG754+BMILMS!$G$14,BMILMS!$D$15*AG754^3+BMILMS!$E$15*AG754^2+BMILMS!$F$15*AG754+BMILMS!$G$15)),(IF(AG754&lt;90,BMILMS!$D$17*AG754^3+BMILMS!$E$17*AG754^2+BMILMS!$F$17*AG754+BMILMS!$G$17,BMILMS!$D$18*AG754^3+BMILMS!$E$18*AG754^2+BMILMS!$F$18*AG754+BMILMS!$G$18)))</f>
        <v>8.8969350000000003E-2</v>
      </c>
      <c r="AG754" s="24">
        <f t="shared" si="192"/>
        <v>0</v>
      </c>
      <c r="AI754" s="38">
        <f>IF(D754="M",WeightSDS!P$5*$AG754^7+WeightSDS!Q$5*$AG754^6+WeightSDS!R$5*$AG754^5+WeightSDS!S$5*$AG754^4+WeightSDS!T$5*$AG754^3+WeightSDS!U$5*$AG754^2+WeightSDS!V$5*$AG754+WeightSDS!W$5,IF($AG754&lt;186,WeightSDS!P$8*$AG754^7+WeightSDS!Q$8*$AG754^6+WeightSDS!R$8*$AG754^5+WeightSDS!S$8*$AG754^4+WeightSDS!T$8*$AG754^3+WeightSDS!U$8*$AG754^2+WeightSDS!V$8*$AG754+WeightSDS!W$8,WeightSDS!$U$9-WeightSDS!$V$9*($AG754-WeightSDS!$W$9)))</f>
        <v>0.75407122999999998</v>
      </c>
      <c r="AJ754" s="24">
        <f>IF(D754="M",IF($AG754&lt;45,WeightSDS!M$23*$AG754^10+WeightSDS!N$23*$AG754^9+WeightSDS!O$23*$AG754^8+WeightSDS!P$23*$AG754^7+WeightSDS!Q$23*$AG754^6+WeightSDS!R$23*$AG754^5+WeightSDS!S$23*$AG754^4+WeightSDS!T$23*$AG754^3+WeightSDS!U$23*$AG754^2+WeightSDS!V$23*$AG754+WeightSDS!W$23,IF($AG754&lt;153,WeightSDS!M$25*$AG754^10+WeightSDS!N$25*$AG754^9+WeightSDS!O$25*$AG754^8+WeightSDS!P$25*$AG754^7+WeightSDS!Q$25*$AG754^6+WeightSDS!R$25*$AG754^5+WeightSDS!S$25*$AG754^4+WeightSDS!T$25*$AG754^3+WeightSDS!U$25*$AG754^2+WeightSDS!V$25*$AG754+WeightSDS!W$25,WeightSDS!M$27+WeightSDS!N$27/(1+EXP(WeightSDS!O$27+WeightSDS!P$27*$AG754)))),IF($AG754&lt;43.8,WeightSDS!M$29*$AG754^10+WeightSDS!N$29*$AG754^9+WeightSDS!O$29*$AG754^8+WeightSDS!P$29*$AG754^7+WeightSDS!Q$29*$AG754^6+WeightSDS!R$29*$AG754^5+WeightSDS!S$29*$AG754^4+WeightSDS!T$29*$AG754^3+WeightSDS!U$29*$AG754^2+WeightSDS!V$29*$AG754+WeightSDS!W$29-0.010431*(1-$AG754/210),IF($AG754&lt;123,WeightSDS!M$30*$AG754^10+WeightSDS!N$30*$AG754^9+WeightSDS!O$30*$AG754^8+WeightSDS!P$30*$AG754^7+WeightSDS!Q$30*$AG754^6+WeightSDS!R$30*$AG754^5+WeightSDS!S$30*$AG754^4+WeightSDS!T$30*$AG754^3+WeightSDS!U$30*$AG754^2+WeightSDS!V$30*$AG754+WeightSDS!W$30-0.010431*(1-1/$AG754),WeightSDS!M$32+WeightSDS!N$32/(1+EXP(WeightSDS!O$32+WeightSDS!P$32*$AG754))-0.010431*(1-$AG754/210))))</f>
        <v>2.9500001032655536</v>
      </c>
      <c r="AK754" s="24">
        <f>IF(D754="M",IF($AG754&lt;162,WeightSDS!P$12*$AG754^7+WeightSDS!Q$12*$AG754^6+WeightSDS!R$12*$AG754^5+WeightSDS!S$12*$AG754^4+WeightSDS!T$12*$AG754^3+WeightSDS!U$12*$AG754^2+WeightSDS!V$12*$AG754+WeightSDS!W$12,WeightSDS!P$14*$AG754^7+WeightSDS!Q$14*$AG754^6+WeightSDS!R$14*$AG754^5+WeightSDS!S$14*$AG754^4+WeightSDS!T$14*$AG754^3+WeightSDS!U$14*$AG754^2+WeightSDS!V$14*$AG754+WeightSDS!W$14),IF($AG754&lt;156,WeightSDS!O$17*$AG754^8+WeightSDS!P$17*$AG754^7+WeightSDS!Q$17*$AG754^6+WeightSDS!R$17*$AG754^5+WeightSDS!S$17*$AG754^4+WeightSDS!T$17*$AG754^3+WeightSDS!U$17*$AG754^2+WeightSDS!V$17*$AG754+WeightSDS!W$17,IF($AG754&lt;186,WeightSDS!$U$18+(WeightSDS!$V$18-WeightSDS!$U$18)/24*($AG754-186)+WeightSDS!$W$18*(-$AG754+186)^2-0.005,WeightSDS!$U$18+(WeightSDS!$V$18-WeightSDS!$U$18)/24*($AG754-186)-0.005)))</f>
        <v>0.14604529399999999</v>
      </c>
    </row>
    <row r="755" spans="1:37">
      <c r="A755" s="4"/>
      <c r="B755" s="21"/>
      <c r="C755" s="21"/>
      <c r="D755" s="21"/>
      <c r="E755" s="22"/>
      <c r="F755" s="22"/>
      <c r="G755" s="23"/>
      <c r="H755" s="23"/>
      <c r="I755" s="8" t="str">
        <f t="shared" si="178"/>
        <v/>
      </c>
      <c r="J755" s="2" t="str">
        <f t="shared" si="185"/>
        <v/>
      </c>
      <c r="K755" s="2" t="str">
        <f t="shared" si="179"/>
        <v/>
      </c>
      <c r="L755" s="2" t="str">
        <f t="shared" si="186"/>
        <v/>
      </c>
      <c r="M755" s="2" t="str">
        <f t="shared" si="191"/>
        <v/>
      </c>
      <c r="N755" s="2" t="str">
        <f t="shared" si="187"/>
        <v/>
      </c>
      <c r="O755" s="8" t="str">
        <f t="shared" si="188"/>
        <v/>
      </c>
      <c r="P755" s="8" t="str">
        <f t="shared" si="189"/>
        <v/>
      </c>
      <c r="Q755" s="40" t="str">
        <f t="shared" si="180"/>
        <v/>
      </c>
      <c r="R755" s="48" t="str">
        <f t="shared" si="190"/>
        <v/>
      </c>
      <c r="S755" s="8"/>
      <c r="U755" s="35">
        <f t="shared" si="181"/>
        <v>0</v>
      </c>
      <c r="V755" s="24">
        <f t="shared" si="182"/>
        <v>0</v>
      </c>
      <c r="W755" s="41">
        <f t="shared" si="193"/>
        <v>0</v>
      </c>
      <c r="X755" s="31"/>
      <c r="Y755" s="31"/>
      <c r="Z755" s="31"/>
      <c r="AA755" s="25">
        <f t="shared" si="183"/>
        <v>9.0359999999999996</v>
      </c>
      <c r="AB755" s="25">
        <f t="shared" si="184"/>
        <v>-184.49199999999999</v>
      </c>
      <c r="AD755" s="24">
        <f>IF(D755="M",IF(AG755&lt;78,BMILMS!$D$5*AG755^3+BMILMS!$E$5*AG755^2+BMILMS!$F$5*AG755+BMILMS!$G$5,IF(AG755&lt;150,BMILMS!$D$6*AG755^3+BMILMS!$E$6*AG755^2+BMILMS!$F$6*AG755+BMILMS!$G$6,BMILMS!$D$7*AG755^3+BMILMS!$E$7*AG755^2+BMILMS!$F$7*AG755+BMILMS!$G$7)),IF(AG755&lt;69,BMILMS!$D$9*AG755^3+BMILMS!$E$9*AG755^2+BMILMS!$F$9*AG755+BMILMS!$G$9,IF(AG755&lt;150,BMILMS!$D$10*AG755^3+BMILMS!$E$10*AG755^2+BMILMS!$F$10*AG755+BMILMS!$G$10,BMILMS!$D$11*AG755^3+BMILMS!$E$11*AG755^2+BMILMS!$F$11*AG755+BMILMS!$G$11)))</f>
        <v>0.79584630099999998</v>
      </c>
      <c r="AE755" s="24">
        <f>IF(D755="M",(IF(AG755&lt;2.5,BMILMS!$D$21*AG755^3+BMILMS!$E$21*AG755^2+BMILMS!$F$21*AG755+BMILMS!$G$21,IF(AG755&lt;9.5,BMILMS!$D$22*AG755^3+BMILMS!$E$22*AG755^2+BMILMS!$F$22*AG755+BMILMS!$G$22,IF(AG755&lt;26.75,BMILMS!$D$23*AG755^3+BMILMS!$E$23*AG755^2+BMILMS!$F$23*AG755+BMILMS!$G$23,IF(AG755&lt;90,BMILMS!$D$24*AG755^3+BMILMS!$E$24*AG755^2+BMILMS!$F$24*AG755+BMILMS!$G$24,BMILMS!$D$25*AG755^3+BMILMS!$E$25*AG755^2+BMILMS!$F$25*AG755+BMILMS!$G$25))))),(IF(AG755&lt;2.5,BMILMS!$D$27*AG755^3+BMILMS!$E$27*AG755^2+BMILMS!$F$27*AG755+BMILMS!$G$27,IF(AG755&lt;9.5,BMILMS!$D$28*AG755^3+BMILMS!$E$28*AG755^2+BMILMS!$F$28*AG755+BMILMS!$G$28,IF(AG755&lt;26.75,BMILMS!$D$29*AG755^3+BMILMS!$E$29*AG755^2+BMILMS!$F$29*AG755+BMILMS!$G$29,IF(AG755&lt;90,BMILMS!$D$30*AG755^3+BMILMS!$E$30*AG755^2+BMILMS!$F$30*AG755+BMILMS!$G$30,IF(AG755&lt;150,BMILMS!$D$31*AG755^3+BMILMS!$E$31*AG755^2+BMILMS!$F$31*AG755+BMILMS!$G$31,BMILMS!$D$32*AG755^3+BMILMS!$E$32*AG755^2+BMILMS!$F$32*AG755+BMILMS!$G$32)))))))</f>
        <v>12.568967990000001</v>
      </c>
      <c r="AF755" s="24">
        <f>IF(D755="M",(IF(AG755&lt;90,BMILMS!$D$14*AG755^3+BMILMS!$E$14*AG755^2+BMILMS!$F$14*AG755+BMILMS!$G$14,BMILMS!$D$15*AG755^3+BMILMS!$E$15*AG755^2+BMILMS!$F$15*AG755+BMILMS!$G$15)),(IF(AG755&lt;90,BMILMS!$D$17*AG755^3+BMILMS!$E$17*AG755^2+BMILMS!$F$17*AG755+BMILMS!$G$17,BMILMS!$D$18*AG755^3+BMILMS!$E$18*AG755^2+BMILMS!$F$18*AG755+BMILMS!$G$18)))</f>
        <v>8.8969350000000003E-2</v>
      </c>
      <c r="AG755" s="24">
        <f t="shared" si="192"/>
        <v>0</v>
      </c>
      <c r="AI755" s="38">
        <f>IF(D755="M",WeightSDS!P$5*$AG755^7+WeightSDS!Q$5*$AG755^6+WeightSDS!R$5*$AG755^5+WeightSDS!S$5*$AG755^4+WeightSDS!T$5*$AG755^3+WeightSDS!U$5*$AG755^2+WeightSDS!V$5*$AG755+WeightSDS!W$5,IF($AG755&lt;186,WeightSDS!P$8*$AG755^7+WeightSDS!Q$8*$AG755^6+WeightSDS!R$8*$AG755^5+WeightSDS!S$8*$AG755^4+WeightSDS!T$8*$AG755^3+WeightSDS!U$8*$AG755^2+WeightSDS!V$8*$AG755+WeightSDS!W$8,WeightSDS!$U$9-WeightSDS!$V$9*($AG755-WeightSDS!$W$9)))</f>
        <v>0.75407122999999998</v>
      </c>
      <c r="AJ755" s="24">
        <f>IF(D755="M",IF($AG755&lt;45,WeightSDS!M$23*$AG755^10+WeightSDS!N$23*$AG755^9+WeightSDS!O$23*$AG755^8+WeightSDS!P$23*$AG755^7+WeightSDS!Q$23*$AG755^6+WeightSDS!R$23*$AG755^5+WeightSDS!S$23*$AG755^4+WeightSDS!T$23*$AG755^3+WeightSDS!U$23*$AG755^2+WeightSDS!V$23*$AG755+WeightSDS!W$23,IF($AG755&lt;153,WeightSDS!M$25*$AG755^10+WeightSDS!N$25*$AG755^9+WeightSDS!O$25*$AG755^8+WeightSDS!P$25*$AG755^7+WeightSDS!Q$25*$AG755^6+WeightSDS!R$25*$AG755^5+WeightSDS!S$25*$AG755^4+WeightSDS!T$25*$AG755^3+WeightSDS!U$25*$AG755^2+WeightSDS!V$25*$AG755+WeightSDS!W$25,WeightSDS!M$27+WeightSDS!N$27/(1+EXP(WeightSDS!O$27+WeightSDS!P$27*$AG755)))),IF($AG755&lt;43.8,WeightSDS!M$29*$AG755^10+WeightSDS!N$29*$AG755^9+WeightSDS!O$29*$AG755^8+WeightSDS!P$29*$AG755^7+WeightSDS!Q$29*$AG755^6+WeightSDS!R$29*$AG755^5+WeightSDS!S$29*$AG755^4+WeightSDS!T$29*$AG755^3+WeightSDS!U$29*$AG755^2+WeightSDS!V$29*$AG755+WeightSDS!W$29-0.010431*(1-$AG755/210),IF($AG755&lt;123,WeightSDS!M$30*$AG755^10+WeightSDS!N$30*$AG755^9+WeightSDS!O$30*$AG755^8+WeightSDS!P$30*$AG755^7+WeightSDS!Q$30*$AG755^6+WeightSDS!R$30*$AG755^5+WeightSDS!S$30*$AG755^4+WeightSDS!T$30*$AG755^3+WeightSDS!U$30*$AG755^2+WeightSDS!V$30*$AG755+WeightSDS!W$30-0.010431*(1-1/$AG755),WeightSDS!M$32+WeightSDS!N$32/(1+EXP(WeightSDS!O$32+WeightSDS!P$32*$AG755))-0.010431*(1-$AG755/210))))</f>
        <v>2.9500001032655536</v>
      </c>
      <c r="AK755" s="24">
        <f>IF(D755="M",IF($AG755&lt;162,WeightSDS!P$12*$AG755^7+WeightSDS!Q$12*$AG755^6+WeightSDS!R$12*$AG755^5+WeightSDS!S$12*$AG755^4+WeightSDS!T$12*$AG755^3+WeightSDS!U$12*$AG755^2+WeightSDS!V$12*$AG755+WeightSDS!W$12,WeightSDS!P$14*$AG755^7+WeightSDS!Q$14*$AG755^6+WeightSDS!R$14*$AG755^5+WeightSDS!S$14*$AG755^4+WeightSDS!T$14*$AG755^3+WeightSDS!U$14*$AG755^2+WeightSDS!V$14*$AG755+WeightSDS!W$14),IF($AG755&lt;156,WeightSDS!O$17*$AG755^8+WeightSDS!P$17*$AG755^7+WeightSDS!Q$17*$AG755^6+WeightSDS!R$17*$AG755^5+WeightSDS!S$17*$AG755^4+WeightSDS!T$17*$AG755^3+WeightSDS!U$17*$AG755^2+WeightSDS!V$17*$AG755+WeightSDS!W$17,IF($AG755&lt;186,WeightSDS!$U$18+(WeightSDS!$V$18-WeightSDS!$U$18)/24*($AG755-186)+WeightSDS!$W$18*(-$AG755+186)^2-0.005,WeightSDS!$U$18+(WeightSDS!$V$18-WeightSDS!$U$18)/24*($AG755-186)-0.005)))</f>
        <v>0.14604529399999999</v>
      </c>
    </row>
    <row r="756" spans="1:37">
      <c r="A756" s="4"/>
      <c r="B756" s="21"/>
      <c r="C756" s="21"/>
      <c r="D756" s="21"/>
      <c r="E756" s="22"/>
      <c r="F756" s="22"/>
      <c r="G756" s="23"/>
      <c r="H756" s="23"/>
      <c r="I756" s="8" t="str">
        <f t="shared" si="178"/>
        <v/>
      </c>
      <c r="J756" s="2" t="str">
        <f t="shared" si="185"/>
        <v/>
      </c>
      <c r="K756" s="2" t="str">
        <f t="shared" si="179"/>
        <v/>
      </c>
      <c r="L756" s="2" t="str">
        <f t="shared" si="186"/>
        <v/>
      </c>
      <c r="M756" s="2" t="str">
        <f t="shared" si="191"/>
        <v/>
      </c>
      <c r="N756" s="2" t="str">
        <f t="shared" si="187"/>
        <v/>
      </c>
      <c r="O756" s="8" t="str">
        <f t="shared" si="188"/>
        <v/>
      </c>
      <c r="P756" s="8" t="str">
        <f t="shared" si="189"/>
        <v/>
      </c>
      <c r="Q756" s="40" t="str">
        <f t="shared" si="180"/>
        <v/>
      </c>
      <c r="R756" s="48" t="str">
        <f t="shared" si="190"/>
        <v/>
      </c>
      <c r="S756" s="8"/>
      <c r="U756" s="35">
        <f t="shared" si="181"/>
        <v>0</v>
      </c>
      <c r="V756" s="24">
        <f t="shared" si="182"/>
        <v>0</v>
      </c>
      <c r="W756" s="41">
        <f t="shared" si="193"/>
        <v>0</v>
      </c>
      <c r="X756" s="31"/>
      <c r="Y756" s="31"/>
      <c r="Z756" s="31"/>
      <c r="AA756" s="25">
        <f t="shared" si="183"/>
        <v>9.0359999999999996</v>
      </c>
      <c r="AB756" s="25">
        <f t="shared" si="184"/>
        <v>-184.49199999999999</v>
      </c>
      <c r="AD756" s="24">
        <f>IF(D756="M",IF(AG756&lt;78,BMILMS!$D$5*AG756^3+BMILMS!$E$5*AG756^2+BMILMS!$F$5*AG756+BMILMS!$G$5,IF(AG756&lt;150,BMILMS!$D$6*AG756^3+BMILMS!$E$6*AG756^2+BMILMS!$F$6*AG756+BMILMS!$G$6,BMILMS!$D$7*AG756^3+BMILMS!$E$7*AG756^2+BMILMS!$F$7*AG756+BMILMS!$G$7)),IF(AG756&lt;69,BMILMS!$D$9*AG756^3+BMILMS!$E$9*AG756^2+BMILMS!$F$9*AG756+BMILMS!$G$9,IF(AG756&lt;150,BMILMS!$D$10*AG756^3+BMILMS!$E$10*AG756^2+BMILMS!$F$10*AG756+BMILMS!$G$10,BMILMS!$D$11*AG756^3+BMILMS!$E$11*AG756^2+BMILMS!$F$11*AG756+BMILMS!$G$11)))</f>
        <v>0.79584630099999998</v>
      </c>
      <c r="AE756" s="24">
        <f>IF(D756="M",(IF(AG756&lt;2.5,BMILMS!$D$21*AG756^3+BMILMS!$E$21*AG756^2+BMILMS!$F$21*AG756+BMILMS!$G$21,IF(AG756&lt;9.5,BMILMS!$D$22*AG756^3+BMILMS!$E$22*AG756^2+BMILMS!$F$22*AG756+BMILMS!$G$22,IF(AG756&lt;26.75,BMILMS!$D$23*AG756^3+BMILMS!$E$23*AG756^2+BMILMS!$F$23*AG756+BMILMS!$G$23,IF(AG756&lt;90,BMILMS!$D$24*AG756^3+BMILMS!$E$24*AG756^2+BMILMS!$F$24*AG756+BMILMS!$G$24,BMILMS!$D$25*AG756^3+BMILMS!$E$25*AG756^2+BMILMS!$F$25*AG756+BMILMS!$G$25))))),(IF(AG756&lt;2.5,BMILMS!$D$27*AG756^3+BMILMS!$E$27*AG756^2+BMILMS!$F$27*AG756+BMILMS!$G$27,IF(AG756&lt;9.5,BMILMS!$D$28*AG756^3+BMILMS!$E$28*AG756^2+BMILMS!$F$28*AG756+BMILMS!$G$28,IF(AG756&lt;26.75,BMILMS!$D$29*AG756^3+BMILMS!$E$29*AG756^2+BMILMS!$F$29*AG756+BMILMS!$G$29,IF(AG756&lt;90,BMILMS!$D$30*AG756^3+BMILMS!$E$30*AG756^2+BMILMS!$F$30*AG756+BMILMS!$G$30,IF(AG756&lt;150,BMILMS!$D$31*AG756^3+BMILMS!$E$31*AG756^2+BMILMS!$F$31*AG756+BMILMS!$G$31,BMILMS!$D$32*AG756^3+BMILMS!$E$32*AG756^2+BMILMS!$F$32*AG756+BMILMS!$G$32)))))))</f>
        <v>12.568967990000001</v>
      </c>
      <c r="AF756" s="24">
        <f>IF(D756="M",(IF(AG756&lt;90,BMILMS!$D$14*AG756^3+BMILMS!$E$14*AG756^2+BMILMS!$F$14*AG756+BMILMS!$G$14,BMILMS!$D$15*AG756^3+BMILMS!$E$15*AG756^2+BMILMS!$F$15*AG756+BMILMS!$G$15)),(IF(AG756&lt;90,BMILMS!$D$17*AG756^3+BMILMS!$E$17*AG756^2+BMILMS!$F$17*AG756+BMILMS!$G$17,BMILMS!$D$18*AG756^3+BMILMS!$E$18*AG756^2+BMILMS!$F$18*AG756+BMILMS!$G$18)))</f>
        <v>8.8969350000000003E-2</v>
      </c>
      <c r="AG756" s="24">
        <f t="shared" si="192"/>
        <v>0</v>
      </c>
      <c r="AI756" s="38">
        <f>IF(D756="M",WeightSDS!P$5*$AG756^7+WeightSDS!Q$5*$AG756^6+WeightSDS!R$5*$AG756^5+WeightSDS!S$5*$AG756^4+WeightSDS!T$5*$AG756^3+WeightSDS!U$5*$AG756^2+WeightSDS!V$5*$AG756+WeightSDS!W$5,IF($AG756&lt;186,WeightSDS!P$8*$AG756^7+WeightSDS!Q$8*$AG756^6+WeightSDS!R$8*$AG756^5+WeightSDS!S$8*$AG756^4+WeightSDS!T$8*$AG756^3+WeightSDS!U$8*$AG756^2+WeightSDS!V$8*$AG756+WeightSDS!W$8,WeightSDS!$U$9-WeightSDS!$V$9*($AG756-WeightSDS!$W$9)))</f>
        <v>0.75407122999999998</v>
      </c>
      <c r="AJ756" s="24">
        <f>IF(D756="M",IF($AG756&lt;45,WeightSDS!M$23*$AG756^10+WeightSDS!N$23*$AG756^9+WeightSDS!O$23*$AG756^8+WeightSDS!P$23*$AG756^7+WeightSDS!Q$23*$AG756^6+WeightSDS!R$23*$AG756^5+WeightSDS!S$23*$AG756^4+WeightSDS!T$23*$AG756^3+WeightSDS!U$23*$AG756^2+WeightSDS!V$23*$AG756+WeightSDS!W$23,IF($AG756&lt;153,WeightSDS!M$25*$AG756^10+WeightSDS!N$25*$AG756^9+WeightSDS!O$25*$AG756^8+WeightSDS!P$25*$AG756^7+WeightSDS!Q$25*$AG756^6+WeightSDS!R$25*$AG756^5+WeightSDS!S$25*$AG756^4+WeightSDS!T$25*$AG756^3+WeightSDS!U$25*$AG756^2+WeightSDS!V$25*$AG756+WeightSDS!W$25,WeightSDS!M$27+WeightSDS!N$27/(1+EXP(WeightSDS!O$27+WeightSDS!P$27*$AG756)))),IF($AG756&lt;43.8,WeightSDS!M$29*$AG756^10+WeightSDS!N$29*$AG756^9+WeightSDS!O$29*$AG756^8+WeightSDS!P$29*$AG756^7+WeightSDS!Q$29*$AG756^6+WeightSDS!R$29*$AG756^5+WeightSDS!S$29*$AG756^4+WeightSDS!T$29*$AG756^3+WeightSDS!U$29*$AG756^2+WeightSDS!V$29*$AG756+WeightSDS!W$29-0.010431*(1-$AG756/210),IF($AG756&lt;123,WeightSDS!M$30*$AG756^10+WeightSDS!N$30*$AG756^9+WeightSDS!O$30*$AG756^8+WeightSDS!P$30*$AG756^7+WeightSDS!Q$30*$AG756^6+WeightSDS!R$30*$AG756^5+WeightSDS!S$30*$AG756^4+WeightSDS!T$30*$AG756^3+WeightSDS!U$30*$AG756^2+WeightSDS!V$30*$AG756+WeightSDS!W$30-0.010431*(1-1/$AG756),WeightSDS!M$32+WeightSDS!N$32/(1+EXP(WeightSDS!O$32+WeightSDS!P$32*$AG756))-0.010431*(1-$AG756/210))))</f>
        <v>2.9500001032655536</v>
      </c>
      <c r="AK756" s="24">
        <f>IF(D756="M",IF($AG756&lt;162,WeightSDS!P$12*$AG756^7+WeightSDS!Q$12*$AG756^6+WeightSDS!R$12*$AG756^5+WeightSDS!S$12*$AG756^4+WeightSDS!T$12*$AG756^3+WeightSDS!U$12*$AG756^2+WeightSDS!V$12*$AG756+WeightSDS!W$12,WeightSDS!P$14*$AG756^7+WeightSDS!Q$14*$AG756^6+WeightSDS!R$14*$AG756^5+WeightSDS!S$14*$AG756^4+WeightSDS!T$14*$AG756^3+WeightSDS!U$14*$AG756^2+WeightSDS!V$14*$AG756+WeightSDS!W$14),IF($AG756&lt;156,WeightSDS!O$17*$AG756^8+WeightSDS!P$17*$AG756^7+WeightSDS!Q$17*$AG756^6+WeightSDS!R$17*$AG756^5+WeightSDS!S$17*$AG756^4+WeightSDS!T$17*$AG756^3+WeightSDS!U$17*$AG756^2+WeightSDS!V$17*$AG756+WeightSDS!W$17,IF($AG756&lt;186,WeightSDS!$U$18+(WeightSDS!$V$18-WeightSDS!$U$18)/24*($AG756-186)+WeightSDS!$W$18*(-$AG756+186)^2-0.005,WeightSDS!$U$18+(WeightSDS!$V$18-WeightSDS!$U$18)/24*($AG756-186)-0.005)))</f>
        <v>0.14604529399999999</v>
      </c>
    </row>
    <row r="757" spans="1:37">
      <c r="A757" s="4"/>
      <c r="B757" s="21"/>
      <c r="C757" s="21"/>
      <c r="D757" s="21"/>
      <c r="E757" s="22"/>
      <c r="F757" s="22"/>
      <c r="G757" s="23"/>
      <c r="H757" s="23"/>
      <c r="I757" s="8" t="str">
        <f t="shared" si="178"/>
        <v/>
      </c>
      <c r="J757" s="2" t="str">
        <f t="shared" si="185"/>
        <v/>
      </c>
      <c r="K757" s="2" t="str">
        <f t="shared" si="179"/>
        <v/>
      </c>
      <c r="L757" s="2" t="str">
        <f t="shared" si="186"/>
        <v/>
      </c>
      <c r="M757" s="2" t="str">
        <f t="shared" si="191"/>
        <v/>
      </c>
      <c r="N757" s="2" t="str">
        <f t="shared" si="187"/>
        <v/>
      </c>
      <c r="O757" s="8" t="str">
        <f t="shared" si="188"/>
        <v/>
      </c>
      <c r="P757" s="8" t="str">
        <f t="shared" si="189"/>
        <v/>
      </c>
      <c r="Q757" s="40" t="str">
        <f t="shared" si="180"/>
        <v/>
      </c>
      <c r="R757" s="48" t="str">
        <f t="shared" si="190"/>
        <v/>
      </c>
      <c r="S757" s="8"/>
      <c r="U757" s="35">
        <f t="shared" si="181"/>
        <v>0</v>
      </c>
      <c r="V757" s="24">
        <f t="shared" si="182"/>
        <v>0</v>
      </c>
      <c r="W757" s="41">
        <f t="shared" si="193"/>
        <v>0</v>
      </c>
      <c r="X757" s="31"/>
      <c r="Y757" s="31"/>
      <c r="Z757" s="31"/>
      <c r="AA757" s="25">
        <f t="shared" si="183"/>
        <v>9.0359999999999996</v>
      </c>
      <c r="AB757" s="25">
        <f t="shared" si="184"/>
        <v>-184.49199999999999</v>
      </c>
      <c r="AD757" s="24">
        <f>IF(D757="M",IF(AG757&lt;78,BMILMS!$D$5*AG757^3+BMILMS!$E$5*AG757^2+BMILMS!$F$5*AG757+BMILMS!$G$5,IF(AG757&lt;150,BMILMS!$D$6*AG757^3+BMILMS!$E$6*AG757^2+BMILMS!$F$6*AG757+BMILMS!$G$6,BMILMS!$D$7*AG757^3+BMILMS!$E$7*AG757^2+BMILMS!$F$7*AG757+BMILMS!$G$7)),IF(AG757&lt;69,BMILMS!$D$9*AG757^3+BMILMS!$E$9*AG757^2+BMILMS!$F$9*AG757+BMILMS!$G$9,IF(AG757&lt;150,BMILMS!$D$10*AG757^3+BMILMS!$E$10*AG757^2+BMILMS!$F$10*AG757+BMILMS!$G$10,BMILMS!$D$11*AG757^3+BMILMS!$E$11*AG757^2+BMILMS!$F$11*AG757+BMILMS!$G$11)))</f>
        <v>0.79584630099999998</v>
      </c>
      <c r="AE757" s="24">
        <f>IF(D757="M",(IF(AG757&lt;2.5,BMILMS!$D$21*AG757^3+BMILMS!$E$21*AG757^2+BMILMS!$F$21*AG757+BMILMS!$G$21,IF(AG757&lt;9.5,BMILMS!$D$22*AG757^3+BMILMS!$E$22*AG757^2+BMILMS!$F$22*AG757+BMILMS!$G$22,IF(AG757&lt;26.75,BMILMS!$D$23*AG757^3+BMILMS!$E$23*AG757^2+BMILMS!$F$23*AG757+BMILMS!$G$23,IF(AG757&lt;90,BMILMS!$D$24*AG757^3+BMILMS!$E$24*AG757^2+BMILMS!$F$24*AG757+BMILMS!$G$24,BMILMS!$D$25*AG757^3+BMILMS!$E$25*AG757^2+BMILMS!$F$25*AG757+BMILMS!$G$25))))),(IF(AG757&lt;2.5,BMILMS!$D$27*AG757^3+BMILMS!$E$27*AG757^2+BMILMS!$F$27*AG757+BMILMS!$G$27,IF(AG757&lt;9.5,BMILMS!$D$28*AG757^3+BMILMS!$E$28*AG757^2+BMILMS!$F$28*AG757+BMILMS!$G$28,IF(AG757&lt;26.75,BMILMS!$D$29*AG757^3+BMILMS!$E$29*AG757^2+BMILMS!$F$29*AG757+BMILMS!$G$29,IF(AG757&lt;90,BMILMS!$D$30*AG757^3+BMILMS!$E$30*AG757^2+BMILMS!$F$30*AG757+BMILMS!$G$30,IF(AG757&lt;150,BMILMS!$D$31*AG757^3+BMILMS!$E$31*AG757^2+BMILMS!$F$31*AG757+BMILMS!$G$31,BMILMS!$D$32*AG757^3+BMILMS!$E$32*AG757^2+BMILMS!$F$32*AG757+BMILMS!$G$32)))))))</f>
        <v>12.568967990000001</v>
      </c>
      <c r="AF757" s="24">
        <f>IF(D757="M",(IF(AG757&lt;90,BMILMS!$D$14*AG757^3+BMILMS!$E$14*AG757^2+BMILMS!$F$14*AG757+BMILMS!$G$14,BMILMS!$D$15*AG757^3+BMILMS!$E$15*AG757^2+BMILMS!$F$15*AG757+BMILMS!$G$15)),(IF(AG757&lt;90,BMILMS!$D$17*AG757^3+BMILMS!$E$17*AG757^2+BMILMS!$F$17*AG757+BMILMS!$G$17,BMILMS!$D$18*AG757^3+BMILMS!$E$18*AG757^2+BMILMS!$F$18*AG757+BMILMS!$G$18)))</f>
        <v>8.8969350000000003E-2</v>
      </c>
      <c r="AG757" s="24">
        <f t="shared" si="192"/>
        <v>0</v>
      </c>
      <c r="AI757" s="38">
        <f>IF(D757="M",WeightSDS!P$5*$AG757^7+WeightSDS!Q$5*$AG757^6+WeightSDS!R$5*$AG757^5+WeightSDS!S$5*$AG757^4+WeightSDS!T$5*$AG757^3+WeightSDS!U$5*$AG757^2+WeightSDS!V$5*$AG757+WeightSDS!W$5,IF($AG757&lt;186,WeightSDS!P$8*$AG757^7+WeightSDS!Q$8*$AG757^6+WeightSDS!R$8*$AG757^5+WeightSDS!S$8*$AG757^4+WeightSDS!T$8*$AG757^3+WeightSDS!U$8*$AG757^2+WeightSDS!V$8*$AG757+WeightSDS!W$8,WeightSDS!$U$9-WeightSDS!$V$9*($AG757-WeightSDS!$W$9)))</f>
        <v>0.75407122999999998</v>
      </c>
      <c r="AJ757" s="24">
        <f>IF(D757="M",IF($AG757&lt;45,WeightSDS!M$23*$AG757^10+WeightSDS!N$23*$AG757^9+WeightSDS!O$23*$AG757^8+WeightSDS!P$23*$AG757^7+WeightSDS!Q$23*$AG757^6+WeightSDS!R$23*$AG757^5+WeightSDS!S$23*$AG757^4+WeightSDS!T$23*$AG757^3+WeightSDS!U$23*$AG757^2+WeightSDS!V$23*$AG757+WeightSDS!W$23,IF($AG757&lt;153,WeightSDS!M$25*$AG757^10+WeightSDS!N$25*$AG757^9+WeightSDS!O$25*$AG757^8+WeightSDS!P$25*$AG757^7+WeightSDS!Q$25*$AG757^6+WeightSDS!R$25*$AG757^5+WeightSDS!S$25*$AG757^4+WeightSDS!T$25*$AG757^3+WeightSDS!U$25*$AG757^2+WeightSDS!V$25*$AG757+WeightSDS!W$25,WeightSDS!M$27+WeightSDS!N$27/(1+EXP(WeightSDS!O$27+WeightSDS!P$27*$AG757)))),IF($AG757&lt;43.8,WeightSDS!M$29*$AG757^10+WeightSDS!N$29*$AG757^9+WeightSDS!O$29*$AG757^8+WeightSDS!P$29*$AG757^7+WeightSDS!Q$29*$AG757^6+WeightSDS!R$29*$AG757^5+WeightSDS!S$29*$AG757^4+WeightSDS!T$29*$AG757^3+WeightSDS!U$29*$AG757^2+WeightSDS!V$29*$AG757+WeightSDS!W$29-0.010431*(1-$AG757/210),IF($AG757&lt;123,WeightSDS!M$30*$AG757^10+WeightSDS!N$30*$AG757^9+WeightSDS!O$30*$AG757^8+WeightSDS!P$30*$AG757^7+WeightSDS!Q$30*$AG757^6+WeightSDS!R$30*$AG757^5+WeightSDS!S$30*$AG757^4+WeightSDS!T$30*$AG757^3+WeightSDS!U$30*$AG757^2+WeightSDS!V$30*$AG757+WeightSDS!W$30-0.010431*(1-1/$AG757),WeightSDS!M$32+WeightSDS!N$32/(1+EXP(WeightSDS!O$32+WeightSDS!P$32*$AG757))-0.010431*(1-$AG757/210))))</f>
        <v>2.9500001032655536</v>
      </c>
      <c r="AK757" s="24">
        <f>IF(D757="M",IF($AG757&lt;162,WeightSDS!P$12*$AG757^7+WeightSDS!Q$12*$AG757^6+WeightSDS!R$12*$AG757^5+WeightSDS!S$12*$AG757^4+WeightSDS!T$12*$AG757^3+WeightSDS!U$12*$AG757^2+WeightSDS!V$12*$AG757+WeightSDS!W$12,WeightSDS!P$14*$AG757^7+WeightSDS!Q$14*$AG757^6+WeightSDS!R$14*$AG757^5+WeightSDS!S$14*$AG757^4+WeightSDS!T$14*$AG757^3+WeightSDS!U$14*$AG757^2+WeightSDS!V$14*$AG757+WeightSDS!W$14),IF($AG757&lt;156,WeightSDS!O$17*$AG757^8+WeightSDS!P$17*$AG757^7+WeightSDS!Q$17*$AG757^6+WeightSDS!R$17*$AG757^5+WeightSDS!S$17*$AG757^4+WeightSDS!T$17*$AG757^3+WeightSDS!U$17*$AG757^2+WeightSDS!V$17*$AG757+WeightSDS!W$17,IF($AG757&lt;186,WeightSDS!$U$18+(WeightSDS!$V$18-WeightSDS!$U$18)/24*($AG757-186)+WeightSDS!$W$18*(-$AG757+186)^2-0.005,WeightSDS!$U$18+(WeightSDS!$V$18-WeightSDS!$U$18)/24*($AG757-186)-0.005)))</f>
        <v>0.14604529399999999</v>
      </c>
    </row>
    <row r="758" spans="1:37">
      <c r="A758" s="4"/>
      <c r="B758" s="21"/>
      <c r="C758" s="21"/>
      <c r="D758" s="21"/>
      <c r="E758" s="22"/>
      <c r="F758" s="22"/>
      <c r="G758" s="23"/>
      <c r="H758" s="23"/>
      <c r="I758" s="8" t="str">
        <f t="shared" si="178"/>
        <v/>
      </c>
      <c r="J758" s="2" t="str">
        <f t="shared" si="185"/>
        <v/>
      </c>
      <c r="K758" s="2" t="str">
        <f t="shared" si="179"/>
        <v/>
      </c>
      <c r="L758" s="2" t="str">
        <f t="shared" si="186"/>
        <v/>
      </c>
      <c r="M758" s="2" t="str">
        <f t="shared" si="191"/>
        <v/>
      </c>
      <c r="N758" s="2" t="str">
        <f t="shared" si="187"/>
        <v/>
      </c>
      <c r="O758" s="8" t="str">
        <f t="shared" si="188"/>
        <v/>
      </c>
      <c r="P758" s="8" t="str">
        <f t="shared" si="189"/>
        <v/>
      </c>
      <c r="Q758" s="40" t="str">
        <f t="shared" si="180"/>
        <v/>
      </c>
      <c r="R758" s="48" t="str">
        <f t="shared" si="190"/>
        <v/>
      </c>
      <c r="S758" s="8"/>
      <c r="U758" s="35">
        <f t="shared" si="181"/>
        <v>0</v>
      </c>
      <c r="V758" s="24">
        <f t="shared" si="182"/>
        <v>0</v>
      </c>
      <c r="W758" s="41">
        <f t="shared" si="193"/>
        <v>0</v>
      </c>
      <c r="X758" s="31"/>
      <c r="Y758" s="31"/>
      <c r="Z758" s="31"/>
      <c r="AA758" s="25">
        <f t="shared" si="183"/>
        <v>9.0359999999999996</v>
      </c>
      <c r="AB758" s="25">
        <f t="shared" si="184"/>
        <v>-184.49199999999999</v>
      </c>
      <c r="AD758" s="24">
        <f>IF(D758="M",IF(AG758&lt;78,BMILMS!$D$5*AG758^3+BMILMS!$E$5*AG758^2+BMILMS!$F$5*AG758+BMILMS!$G$5,IF(AG758&lt;150,BMILMS!$D$6*AG758^3+BMILMS!$E$6*AG758^2+BMILMS!$F$6*AG758+BMILMS!$G$6,BMILMS!$D$7*AG758^3+BMILMS!$E$7*AG758^2+BMILMS!$F$7*AG758+BMILMS!$G$7)),IF(AG758&lt;69,BMILMS!$D$9*AG758^3+BMILMS!$E$9*AG758^2+BMILMS!$F$9*AG758+BMILMS!$G$9,IF(AG758&lt;150,BMILMS!$D$10*AG758^3+BMILMS!$E$10*AG758^2+BMILMS!$F$10*AG758+BMILMS!$G$10,BMILMS!$D$11*AG758^3+BMILMS!$E$11*AG758^2+BMILMS!$F$11*AG758+BMILMS!$G$11)))</f>
        <v>0.79584630099999998</v>
      </c>
      <c r="AE758" s="24">
        <f>IF(D758="M",(IF(AG758&lt;2.5,BMILMS!$D$21*AG758^3+BMILMS!$E$21*AG758^2+BMILMS!$F$21*AG758+BMILMS!$G$21,IF(AG758&lt;9.5,BMILMS!$D$22*AG758^3+BMILMS!$E$22*AG758^2+BMILMS!$F$22*AG758+BMILMS!$G$22,IF(AG758&lt;26.75,BMILMS!$D$23*AG758^3+BMILMS!$E$23*AG758^2+BMILMS!$F$23*AG758+BMILMS!$G$23,IF(AG758&lt;90,BMILMS!$D$24*AG758^3+BMILMS!$E$24*AG758^2+BMILMS!$F$24*AG758+BMILMS!$G$24,BMILMS!$D$25*AG758^3+BMILMS!$E$25*AG758^2+BMILMS!$F$25*AG758+BMILMS!$G$25))))),(IF(AG758&lt;2.5,BMILMS!$D$27*AG758^3+BMILMS!$E$27*AG758^2+BMILMS!$F$27*AG758+BMILMS!$G$27,IF(AG758&lt;9.5,BMILMS!$D$28*AG758^3+BMILMS!$E$28*AG758^2+BMILMS!$F$28*AG758+BMILMS!$G$28,IF(AG758&lt;26.75,BMILMS!$D$29*AG758^3+BMILMS!$E$29*AG758^2+BMILMS!$F$29*AG758+BMILMS!$G$29,IF(AG758&lt;90,BMILMS!$D$30*AG758^3+BMILMS!$E$30*AG758^2+BMILMS!$F$30*AG758+BMILMS!$G$30,IF(AG758&lt;150,BMILMS!$D$31*AG758^3+BMILMS!$E$31*AG758^2+BMILMS!$F$31*AG758+BMILMS!$G$31,BMILMS!$D$32*AG758^3+BMILMS!$E$32*AG758^2+BMILMS!$F$32*AG758+BMILMS!$G$32)))))))</f>
        <v>12.568967990000001</v>
      </c>
      <c r="AF758" s="24">
        <f>IF(D758="M",(IF(AG758&lt;90,BMILMS!$D$14*AG758^3+BMILMS!$E$14*AG758^2+BMILMS!$F$14*AG758+BMILMS!$G$14,BMILMS!$D$15*AG758^3+BMILMS!$E$15*AG758^2+BMILMS!$F$15*AG758+BMILMS!$G$15)),(IF(AG758&lt;90,BMILMS!$D$17*AG758^3+BMILMS!$E$17*AG758^2+BMILMS!$F$17*AG758+BMILMS!$G$17,BMILMS!$D$18*AG758^3+BMILMS!$E$18*AG758^2+BMILMS!$F$18*AG758+BMILMS!$G$18)))</f>
        <v>8.8969350000000003E-2</v>
      </c>
      <c r="AG758" s="24">
        <f t="shared" si="192"/>
        <v>0</v>
      </c>
      <c r="AI758" s="38">
        <f>IF(D758="M",WeightSDS!P$5*$AG758^7+WeightSDS!Q$5*$AG758^6+WeightSDS!R$5*$AG758^5+WeightSDS!S$5*$AG758^4+WeightSDS!T$5*$AG758^3+WeightSDS!U$5*$AG758^2+WeightSDS!V$5*$AG758+WeightSDS!W$5,IF($AG758&lt;186,WeightSDS!P$8*$AG758^7+WeightSDS!Q$8*$AG758^6+WeightSDS!R$8*$AG758^5+WeightSDS!S$8*$AG758^4+WeightSDS!T$8*$AG758^3+WeightSDS!U$8*$AG758^2+WeightSDS!V$8*$AG758+WeightSDS!W$8,WeightSDS!$U$9-WeightSDS!$V$9*($AG758-WeightSDS!$W$9)))</f>
        <v>0.75407122999999998</v>
      </c>
      <c r="AJ758" s="24">
        <f>IF(D758="M",IF($AG758&lt;45,WeightSDS!M$23*$AG758^10+WeightSDS!N$23*$AG758^9+WeightSDS!O$23*$AG758^8+WeightSDS!P$23*$AG758^7+WeightSDS!Q$23*$AG758^6+WeightSDS!R$23*$AG758^5+WeightSDS!S$23*$AG758^4+WeightSDS!T$23*$AG758^3+WeightSDS!U$23*$AG758^2+WeightSDS!V$23*$AG758+WeightSDS!W$23,IF($AG758&lt;153,WeightSDS!M$25*$AG758^10+WeightSDS!N$25*$AG758^9+WeightSDS!O$25*$AG758^8+WeightSDS!P$25*$AG758^7+WeightSDS!Q$25*$AG758^6+WeightSDS!R$25*$AG758^5+WeightSDS!S$25*$AG758^4+WeightSDS!T$25*$AG758^3+WeightSDS!U$25*$AG758^2+WeightSDS!V$25*$AG758+WeightSDS!W$25,WeightSDS!M$27+WeightSDS!N$27/(1+EXP(WeightSDS!O$27+WeightSDS!P$27*$AG758)))),IF($AG758&lt;43.8,WeightSDS!M$29*$AG758^10+WeightSDS!N$29*$AG758^9+WeightSDS!O$29*$AG758^8+WeightSDS!P$29*$AG758^7+WeightSDS!Q$29*$AG758^6+WeightSDS!R$29*$AG758^5+WeightSDS!S$29*$AG758^4+WeightSDS!T$29*$AG758^3+WeightSDS!U$29*$AG758^2+WeightSDS!V$29*$AG758+WeightSDS!W$29-0.010431*(1-$AG758/210),IF($AG758&lt;123,WeightSDS!M$30*$AG758^10+WeightSDS!N$30*$AG758^9+WeightSDS!O$30*$AG758^8+WeightSDS!P$30*$AG758^7+WeightSDS!Q$30*$AG758^6+WeightSDS!R$30*$AG758^5+WeightSDS!S$30*$AG758^4+WeightSDS!T$30*$AG758^3+WeightSDS!U$30*$AG758^2+WeightSDS!V$30*$AG758+WeightSDS!W$30-0.010431*(1-1/$AG758),WeightSDS!M$32+WeightSDS!N$32/(1+EXP(WeightSDS!O$32+WeightSDS!P$32*$AG758))-0.010431*(1-$AG758/210))))</f>
        <v>2.9500001032655536</v>
      </c>
      <c r="AK758" s="24">
        <f>IF(D758="M",IF($AG758&lt;162,WeightSDS!P$12*$AG758^7+WeightSDS!Q$12*$AG758^6+WeightSDS!R$12*$AG758^5+WeightSDS!S$12*$AG758^4+WeightSDS!T$12*$AG758^3+WeightSDS!U$12*$AG758^2+WeightSDS!V$12*$AG758+WeightSDS!W$12,WeightSDS!P$14*$AG758^7+WeightSDS!Q$14*$AG758^6+WeightSDS!R$14*$AG758^5+WeightSDS!S$14*$AG758^4+WeightSDS!T$14*$AG758^3+WeightSDS!U$14*$AG758^2+WeightSDS!V$14*$AG758+WeightSDS!W$14),IF($AG758&lt;156,WeightSDS!O$17*$AG758^8+WeightSDS!P$17*$AG758^7+WeightSDS!Q$17*$AG758^6+WeightSDS!R$17*$AG758^5+WeightSDS!S$17*$AG758^4+WeightSDS!T$17*$AG758^3+WeightSDS!U$17*$AG758^2+WeightSDS!V$17*$AG758+WeightSDS!W$17,IF($AG758&lt;186,WeightSDS!$U$18+(WeightSDS!$V$18-WeightSDS!$U$18)/24*($AG758-186)+WeightSDS!$W$18*(-$AG758+186)^2-0.005,WeightSDS!$U$18+(WeightSDS!$V$18-WeightSDS!$U$18)/24*($AG758-186)-0.005)))</f>
        <v>0.14604529399999999</v>
      </c>
    </row>
    <row r="759" spans="1:37">
      <c r="A759" s="4"/>
      <c r="B759" s="21"/>
      <c r="C759" s="21"/>
      <c r="D759" s="21"/>
      <c r="E759" s="22"/>
      <c r="F759" s="22"/>
      <c r="G759" s="23"/>
      <c r="H759" s="23"/>
      <c r="I759" s="8" t="str">
        <f t="shared" si="178"/>
        <v/>
      </c>
      <c r="J759" s="2" t="str">
        <f t="shared" si="185"/>
        <v/>
      </c>
      <c r="K759" s="2" t="str">
        <f t="shared" si="179"/>
        <v/>
      </c>
      <c r="L759" s="2" t="str">
        <f t="shared" si="186"/>
        <v/>
      </c>
      <c r="M759" s="2" t="str">
        <f t="shared" si="191"/>
        <v/>
      </c>
      <c r="N759" s="2" t="str">
        <f t="shared" si="187"/>
        <v/>
      </c>
      <c r="O759" s="8" t="str">
        <f t="shared" si="188"/>
        <v/>
      </c>
      <c r="P759" s="8" t="str">
        <f t="shared" si="189"/>
        <v/>
      </c>
      <c r="Q759" s="40" t="str">
        <f t="shared" si="180"/>
        <v/>
      </c>
      <c r="R759" s="48" t="str">
        <f t="shared" si="190"/>
        <v/>
      </c>
      <c r="S759" s="8"/>
      <c r="U759" s="35">
        <f t="shared" si="181"/>
        <v>0</v>
      </c>
      <c r="V759" s="24">
        <f t="shared" si="182"/>
        <v>0</v>
      </c>
      <c r="W759" s="41">
        <f t="shared" si="193"/>
        <v>0</v>
      </c>
      <c r="X759" s="31"/>
      <c r="Y759" s="31"/>
      <c r="Z759" s="31"/>
      <c r="AA759" s="25">
        <f t="shared" si="183"/>
        <v>9.0359999999999996</v>
      </c>
      <c r="AB759" s="25">
        <f t="shared" si="184"/>
        <v>-184.49199999999999</v>
      </c>
      <c r="AD759" s="24">
        <f>IF(D759="M",IF(AG759&lt;78,BMILMS!$D$5*AG759^3+BMILMS!$E$5*AG759^2+BMILMS!$F$5*AG759+BMILMS!$G$5,IF(AG759&lt;150,BMILMS!$D$6*AG759^3+BMILMS!$E$6*AG759^2+BMILMS!$F$6*AG759+BMILMS!$G$6,BMILMS!$D$7*AG759^3+BMILMS!$E$7*AG759^2+BMILMS!$F$7*AG759+BMILMS!$G$7)),IF(AG759&lt;69,BMILMS!$D$9*AG759^3+BMILMS!$E$9*AG759^2+BMILMS!$F$9*AG759+BMILMS!$G$9,IF(AG759&lt;150,BMILMS!$D$10*AG759^3+BMILMS!$E$10*AG759^2+BMILMS!$F$10*AG759+BMILMS!$G$10,BMILMS!$D$11*AG759^3+BMILMS!$E$11*AG759^2+BMILMS!$F$11*AG759+BMILMS!$G$11)))</f>
        <v>0.79584630099999998</v>
      </c>
      <c r="AE759" s="24">
        <f>IF(D759="M",(IF(AG759&lt;2.5,BMILMS!$D$21*AG759^3+BMILMS!$E$21*AG759^2+BMILMS!$F$21*AG759+BMILMS!$G$21,IF(AG759&lt;9.5,BMILMS!$D$22*AG759^3+BMILMS!$E$22*AG759^2+BMILMS!$F$22*AG759+BMILMS!$G$22,IF(AG759&lt;26.75,BMILMS!$D$23*AG759^3+BMILMS!$E$23*AG759^2+BMILMS!$F$23*AG759+BMILMS!$G$23,IF(AG759&lt;90,BMILMS!$D$24*AG759^3+BMILMS!$E$24*AG759^2+BMILMS!$F$24*AG759+BMILMS!$G$24,BMILMS!$D$25*AG759^3+BMILMS!$E$25*AG759^2+BMILMS!$F$25*AG759+BMILMS!$G$25))))),(IF(AG759&lt;2.5,BMILMS!$D$27*AG759^3+BMILMS!$E$27*AG759^2+BMILMS!$F$27*AG759+BMILMS!$G$27,IF(AG759&lt;9.5,BMILMS!$D$28*AG759^3+BMILMS!$E$28*AG759^2+BMILMS!$F$28*AG759+BMILMS!$G$28,IF(AG759&lt;26.75,BMILMS!$D$29*AG759^3+BMILMS!$E$29*AG759^2+BMILMS!$F$29*AG759+BMILMS!$G$29,IF(AG759&lt;90,BMILMS!$D$30*AG759^3+BMILMS!$E$30*AG759^2+BMILMS!$F$30*AG759+BMILMS!$G$30,IF(AG759&lt;150,BMILMS!$D$31*AG759^3+BMILMS!$E$31*AG759^2+BMILMS!$F$31*AG759+BMILMS!$G$31,BMILMS!$D$32*AG759^3+BMILMS!$E$32*AG759^2+BMILMS!$F$32*AG759+BMILMS!$G$32)))))))</f>
        <v>12.568967990000001</v>
      </c>
      <c r="AF759" s="24">
        <f>IF(D759="M",(IF(AG759&lt;90,BMILMS!$D$14*AG759^3+BMILMS!$E$14*AG759^2+BMILMS!$F$14*AG759+BMILMS!$G$14,BMILMS!$D$15*AG759^3+BMILMS!$E$15*AG759^2+BMILMS!$F$15*AG759+BMILMS!$G$15)),(IF(AG759&lt;90,BMILMS!$D$17*AG759^3+BMILMS!$E$17*AG759^2+BMILMS!$F$17*AG759+BMILMS!$G$17,BMILMS!$D$18*AG759^3+BMILMS!$E$18*AG759^2+BMILMS!$F$18*AG759+BMILMS!$G$18)))</f>
        <v>8.8969350000000003E-2</v>
      </c>
      <c r="AG759" s="24">
        <f t="shared" si="192"/>
        <v>0</v>
      </c>
      <c r="AI759" s="38">
        <f>IF(D759="M",WeightSDS!P$5*$AG759^7+WeightSDS!Q$5*$AG759^6+WeightSDS!R$5*$AG759^5+WeightSDS!S$5*$AG759^4+WeightSDS!T$5*$AG759^3+WeightSDS!U$5*$AG759^2+WeightSDS!V$5*$AG759+WeightSDS!W$5,IF($AG759&lt;186,WeightSDS!P$8*$AG759^7+WeightSDS!Q$8*$AG759^6+WeightSDS!R$8*$AG759^5+WeightSDS!S$8*$AG759^4+WeightSDS!T$8*$AG759^3+WeightSDS!U$8*$AG759^2+WeightSDS!V$8*$AG759+WeightSDS!W$8,WeightSDS!$U$9-WeightSDS!$V$9*($AG759-WeightSDS!$W$9)))</f>
        <v>0.75407122999999998</v>
      </c>
      <c r="AJ759" s="24">
        <f>IF(D759="M",IF($AG759&lt;45,WeightSDS!M$23*$AG759^10+WeightSDS!N$23*$AG759^9+WeightSDS!O$23*$AG759^8+WeightSDS!P$23*$AG759^7+WeightSDS!Q$23*$AG759^6+WeightSDS!R$23*$AG759^5+WeightSDS!S$23*$AG759^4+WeightSDS!T$23*$AG759^3+WeightSDS!U$23*$AG759^2+WeightSDS!V$23*$AG759+WeightSDS!W$23,IF($AG759&lt;153,WeightSDS!M$25*$AG759^10+WeightSDS!N$25*$AG759^9+WeightSDS!O$25*$AG759^8+WeightSDS!P$25*$AG759^7+WeightSDS!Q$25*$AG759^6+WeightSDS!R$25*$AG759^5+WeightSDS!S$25*$AG759^4+WeightSDS!T$25*$AG759^3+WeightSDS!U$25*$AG759^2+WeightSDS!V$25*$AG759+WeightSDS!W$25,WeightSDS!M$27+WeightSDS!N$27/(1+EXP(WeightSDS!O$27+WeightSDS!P$27*$AG759)))),IF($AG759&lt;43.8,WeightSDS!M$29*$AG759^10+WeightSDS!N$29*$AG759^9+WeightSDS!O$29*$AG759^8+WeightSDS!P$29*$AG759^7+WeightSDS!Q$29*$AG759^6+WeightSDS!R$29*$AG759^5+WeightSDS!S$29*$AG759^4+WeightSDS!T$29*$AG759^3+WeightSDS!U$29*$AG759^2+WeightSDS!V$29*$AG759+WeightSDS!W$29-0.010431*(1-$AG759/210),IF($AG759&lt;123,WeightSDS!M$30*$AG759^10+WeightSDS!N$30*$AG759^9+WeightSDS!O$30*$AG759^8+WeightSDS!P$30*$AG759^7+WeightSDS!Q$30*$AG759^6+WeightSDS!R$30*$AG759^5+WeightSDS!S$30*$AG759^4+WeightSDS!T$30*$AG759^3+WeightSDS!U$30*$AG759^2+WeightSDS!V$30*$AG759+WeightSDS!W$30-0.010431*(1-1/$AG759),WeightSDS!M$32+WeightSDS!N$32/(1+EXP(WeightSDS!O$32+WeightSDS!P$32*$AG759))-0.010431*(1-$AG759/210))))</f>
        <v>2.9500001032655536</v>
      </c>
      <c r="AK759" s="24">
        <f>IF(D759="M",IF($AG759&lt;162,WeightSDS!P$12*$AG759^7+WeightSDS!Q$12*$AG759^6+WeightSDS!R$12*$AG759^5+WeightSDS!S$12*$AG759^4+WeightSDS!T$12*$AG759^3+WeightSDS!U$12*$AG759^2+WeightSDS!V$12*$AG759+WeightSDS!W$12,WeightSDS!P$14*$AG759^7+WeightSDS!Q$14*$AG759^6+WeightSDS!R$14*$AG759^5+WeightSDS!S$14*$AG759^4+WeightSDS!T$14*$AG759^3+WeightSDS!U$14*$AG759^2+WeightSDS!V$14*$AG759+WeightSDS!W$14),IF($AG759&lt;156,WeightSDS!O$17*$AG759^8+WeightSDS!P$17*$AG759^7+WeightSDS!Q$17*$AG759^6+WeightSDS!R$17*$AG759^5+WeightSDS!S$17*$AG759^4+WeightSDS!T$17*$AG759^3+WeightSDS!U$17*$AG759^2+WeightSDS!V$17*$AG759+WeightSDS!W$17,IF($AG759&lt;186,WeightSDS!$U$18+(WeightSDS!$V$18-WeightSDS!$U$18)/24*($AG759-186)+WeightSDS!$W$18*(-$AG759+186)^2-0.005,WeightSDS!$U$18+(WeightSDS!$V$18-WeightSDS!$U$18)/24*($AG759-186)-0.005)))</f>
        <v>0.14604529399999999</v>
      </c>
    </row>
    <row r="760" spans="1:37">
      <c r="A760" s="4"/>
      <c r="B760" s="21"/>
      <c r="C760" s="21"/>
      <c r="D760" s="21"/>
      <c r="E760" s="22"/>
      <c r="F760" s="22"/>
      <c r="G760" s="23"/>
      <c r="H760" s="23"/>
      <c r="I760" s="8" t="str">
        <f t="shared" si="178"/>
        <v/>
      </c>
      <c r="J760" s="2" t="str">
        <f t="shared" si="185"/>
        <v/>
      </c>
      <c r="K760" s="2" t="str">
        <f t="shared" si="179"/>
        <v/>
      </c>
      <c r="L760" s="2" t="str">
        <f t="shared" si="186"/>
        <v/>
      </c>
      <c r="M760" s="2" t="str">
        <f t="shared" si="191"/>
        <v/>
      </c>
      <c r="N760" s="2" t="str">
        <f t="shared" si="187"/>
        <v/>
      </c>
      <c r="O760" s="8" t="str">
        <f t="shared" si="188"/>
        <v/>
      </c>
      <c r="P760" s="8" t="str">
        <f t="shared" si="189"/>
        <v/>
      </c>
      <c r="Q760" s="40" t="str">
        <f t="shared" si="180"/>
        <v/>
      </c>
      <c r="R760" s="48" t="str">
        <f t="shared" si="190"/>
        <v/>
      </c>
      <c r="S760" s="8"/>
      <c r="U760" s="35">
        <f t="shared" si="181"/>
        <v>0</v>
      </c>
      <c r="V760" s="24">
        <f t="shared" si="182"/>
        <v>0</v>
      </c>
      <c r="W760" s="41">
        <f t="shared" si="193"/>
        <v>0</v>
      </c>
      <c r="X760" s="31"/>
      <c r="Y760" s="31"/>
      <c r="Z760" s="31"/>
      <c r="AA760" s="25">
        <f t="shared" si="183"/>
        <v>9.0359999999999996</v>
      </c>
      <c r="AB760" s="25">
        <f t="shared" si="184"/>
        <v>-184.49199999999999</v>
      </c>
      <c r="AD760" s="24">
        <f>IF(D760="M",IF(AG760&lt;78,BMILMS!$D$5*AG760^3+BMILMS!$E$5*AG760^2+BMILMS!$F$5*AG760+BMILMS!$G$5,IF(AG760&lt;150,BMILMS!$D$6*AG760^3+BMILMS!$E$6*AG760^2+BMILMS!$F$6*AG760+BMILMS!$G$6,BMILMS!$D$7*AG760^3+BMILMS!$E$7*AG760^2+BMILMS!$F$7*AG760+BMILMS!$G$7)),IF(AG760&lt;69,BMILMS!$D$9*AG760^3+BMILMS!$E$9*AG760^2+BMILMS!$F$9*AG760+BMILMS!$G$9,IF(AG760&lt;150,BMILMS!$D$10*AG760^3+BMILMS!$E$10*AG760^2+BMILMS!$F$10*AG760+BMILMS!$G$10,BMILMS!$D$11*AG760^3+BMILMS!$E$11*AG760^2+BMILMS!$F$11*AG760+BMILMS!$G$11)))</f>
        <v>0.79584630099999998</v>
      </c>
      <c r="AE760" s="24">
        <f>IF(D760="M",(IF(AG760&lt;2.5,BMILMS!$D$21*AG760^3+BMILMS!$E$21*AG760^2+BMILMS!$F$21*AG760+BMILMS!$G$21,IF(AG760&lt;9.5,BMILMS!$D$22*AG760^3+BMILMS!$E$22*AG760^2+BMILMS!$F$22*AG760+BMILMS!$G$22,IF(AG760&lt;26.75,BMILMS!$D$23*AG760^3+BMILMS!$E$23*AG760^2+BMILMS!$F$23*AG760+BMILMS!$G$23,IF(AG760&lt;90,BMILMS!$D$24*AG760^3+BMILMS!$E$24*AG760^2+BMILMS!$F$24*AG760+BMILMS!$G$24,BMILMS!$D$25*AG760^3+BMILMS!$E$25*AG760^2+BMILMS!$F$25*AG760+BMILMS!$G$25))))),(IF(AG760&lt;2.5,BMILMS!$D$27*AG760^3+BMILMS!$E$27*AG760^2+BMILMS!$F$27*AG760+BMILMS!$G$27,IF(AG760&lt;9.5,BMILMS!$D$28*AG760^3+BMILMS!$E$28*AG760^2+BMILMS!$F$28*AG760+BMILMS!$G$28,IF(AG760&lt;26.75,BMILMS!$D$29*AG760^3+BMILMS!$E$29*AG760^2+BMILMS!$F$29*AG760+BMILMS!$G$29,IF(AG760&lt;90,BMILMS!$D$30*AG760^3+BMILMS!$E$30*AG760^2+BMILMS!$F$30*AG760+BMILMS!$G$30,IF(AG760&lt;150,BMILMS!$D$31*AG760^3+BMILMS!$E$31*AG760^2+BMILMS!$F$31*AG760+BMILMS!$G$31,BMILMS!$D$32*AG760^3+BMILMS!$E$32*AG760^2+BMILMS!$F$32*AG760+BMILMS!$G$32)))))))</f>
        <v>12.568967990000001</v>
      </c>
      <c r="AF760" s="24">
        <f>IF(D760="M",(IF(AG760&lt;90,BMILMS!$D$14*AG760^3+BMILMS!$E$14*AG760^2+BMILMS!$F$14*AG760+BMILMS!$G$14,BMILMS!$D$15*AG760^3+BMILMS!$E$15*AG760^2+BMILMS!$F$15*AG760+BMILMS!$G$15)),(IF(AG760&lt;90,BMILMS!$D$17*AG760^3+BMILMS!$E$17*AG760^2+BMILMS!$F$17*AG760+BMILMS!$G$17,BMILMS!$D$18*AG760^3+BMILMS!$E$18*AG760^2+BMILMS!$F$18*AG760+BMILMS!$G$18)))</f>
        <v>8.8969350000000003E-2</v>
      </c>
      <c r="AG760" s="24">
        <f t="shared" si="192"/>
        <v>0</v>
      </c>
      <c r="AI760" s="38">
        <f>IF(D760="M",WeightSDS!P$5*$AG760^7+WeightSDS!Q$5*$AG760^6+WeightSDS!R$5*$AG760^5+WeightSDS!S$5*$AG760^4+WeightSDS!T$5*$AG760^3+WeightSDS!U$5*$AG760^2+WeightSDS!V$5*$AG760+WeightSDS!W$5,IF($AG760&lt;186,WeightSDS!P$8*$AG760^7+WeightSDS!Q$8*$AG760^6+WeightSDS!R$8*$AG760^5+WeightSDS!S$8*$AG760^4+WeightSDS!T$8*$AG760^3+WeightSDS!U$8*$AG760^2+WeightSDS!V$8*$AG760+WeightSDS!W$8,WeightSDS!$U$9-WeightSDS!$V$9*($AG760-WeightSDS!$W$9)))</f>
        <v>0.75407122999999998</v>
      </c>
      <c r="AJ760" s="24">
        <f>IF(D760="M",IF($AG760&lt;45,WeightSDS!M$23*$AG760^10+WeightSDS!N$23*$AG760^9+WeightSDS!O$23*$AG760^8+WeightSDS!P$23*$AG760^7+WeightSDS!Q$23*$AG760^6+WeightSDS!R$23*$AG760^5+WeightSDS!S$23*$AG760^4+WeightSDS!T$23*$AG760^3+WeightSDS!U$23*$AG760^2+WeightSDS!V$23*$AG760+WeightSDS!W$23,IF($AG760&lt;153,WeightSDS!M$25*$AG760^10+WeightSDS!N$25*$AG760^9+WeightSDS!O$25*$AG760^8+WeightSDS!P$25*$AG760^7+WeightSDS!Q$25*$AG760^6+WeightSDS!R$25*$AG760^5+WeightSDS!S$25*$AG760^4+WeightSDS!T$25*$AG760^3+WeightSDS!U$25*$AG760^2+WeightSDS!V$25*$AG760+WeightSDS!W$25,WeightSDS!M$27+WeightSDS!N$27/(1+EXP(WeightSDS!O$27+WeightSDS!P$27*$AG760)))),IF($AG760&lt;43.8,WeightSDS!M$29*$AG760^10+WeightSDS!N$29*$AG760^9+WeightSDS!O$29*$AG760^8+WeightSDS!P$29*$AG760^7+WeightSDS!Q$29*$AG760^6+WeightSDS!R$29*$AG760^5+WeightSDS!S$29*$AG760^4+WeightSDS!T$29*$AG760^3+WeightSDS!U$29*$AG760^2+WeightSDS!V$29*$AG760+WeightSDS!W$29-0.010431*(1-$AG760/210),IF($AG760&lt;123,WeightSDS!M$30*$AG760^10+WeightSDS!N$30*$AG760^9+WeightSDS!O$30*$AG760^8+WeightSDS!P$30*$AG760^7+WeightSDS!Q$30*$AG760^6+WeightSDS!R$30*$AG760^5+WeightSDS!S$30*$AG760^4+WeightSDS!T$30*$AG760^3+WeightSDS!U$30*$AG760^2+WeightSDS!V$30*$AG760+WeightSDS!W$30-0.010431*(1-1/$AG760),WeightSDS!M$32+WeightSDS!N$32/(1+EXP(WeightSDS!O$32+WeightSDS!P$32*$AG760))-0.010431*(1-$AG760/210))))</f>
        <v>2.9500001032655536</v>
      </c>
      <c r="AK760" s="24">
        <f>IF(D760="M",IF($AG760&lt;162,WeightSDS!P$12*$AG760^7+WeightSDS!Q$12*$AG760^6+WeightSDS!R$12*$AG760^5+WeightSDS!S$12*$AG760^4+WeightSDS!T$12*$AG760^3+WeightSDS!U$12*$AG760^2+WeightSDS!V$12*$AG760+WeightSDS!W$12,WeightSDS!P$14*$AG760^7+WeightSDS!Q$14*$AG760^6+WeightSDS!R$14*$AG760^5+WeightSDS!S$14*$AG760^4+WeightSDS!T$14*$AG760^3+WeightSDS!U$14*$AG760^2+WeightSDS!V$14*$AG760+WeightSDS!W$14),IF($AG760&lt;156,WeightSDS!O$17*$AG760^8+WeightSDS!P$17*$AG760^7+WeightSDS!Q$17*$AG760^6+WeightSDS!R$17*$AG760^5+WeightSDS!S$17*$AG760^4+WeightSDS!T$17*$AG760^3+WeightSDS!U$17*$AG760^2+WeightSDS!V$17*$AG760+WeightSDS!W$17,IF($AG760&lt;186,WeightSDS!$U$18+(WeightSDS!$V$18-WeightSDS!$U$18)/24*($AG760-186)+WeightSDS!$W$18*(-$AG760+186)^2-0.005,WeightSDS!$U$18+(WeightSDS!$V$18-WeightSDS!$U$18)/24*($AG760-186)-0.005)))</f>
        <v>0.14604529399999999</v>
      </c>
    </row>
    <row r="761" spans="1:37">
      <c r="A761" s="4"/>
      <c r="B761" s="21"/>
      <c r="C761" s="21"/>
      <c r="D761" s="21"/>
      <c r="E761" s="22"/>
      <c r="F761" s="22"/>
      <c r="G761" s="23"/>
      <c r="H761" s="23"/>
      <c r="I761" s="8" t="str">
        <f t="shared" si="178"/>
        <v/>
      </c>
      <c r="J761" s="2" t="str">
        <f t="shared" si="185"/>
        <v/>
      </c>
      <c r="K761" s="2" t="str">
        <f t="shared" si="179"/>
        <v/>
      </c>
      <c r="L761" s="2" t="str">
        <f t="shared" si="186"/>
        <v/>
      </c>
      <c r="M761" s="2" t="str">
        <f t="shared" si="191"/>
        <v/>
      </c>
      <c r="N761" s="2" t="str">
        <f t="shared" si="187"/>
        <v/>
      </c>
      <c r="O761" s="8" t="str">
        <f t="shared" si="188"/>
        <v/>
      </c>
      <c r="P761" s="8" t="str">
        <f t="shared" si="189"/>
        <v/>
      </c>
      <c r="Q761" s="40" t="str">
        <f t="shared" si="180"/>
        <v/>
      </c>
      <c r="R761" s="48" t="str">
        <f t="shared" si="190"/>
        <v/>
      </c>
      <c r="S761" s="8"/>
      <c r="U761" s="35">
        <f t="shared" si="181"/>
        <v>0</v>
      </c>
      <c r="V761" s="24">
        <f t="shared" si="182"/>
        <v>0</v>
      </c>
      <c r="W761" s="41">
        <f t="shared" si="193"/>
        <v>0</v>
      </c>
      <c r="X761" s="31"/>
      <c r="Y761" s="31"/>
      <c r="Z761" s="31"/>
      <c r="AA761" s="25">
        <f t="shared" si="183"/>
        <v>9.0359999999999996</v>
      </c>
      <c r="AB761" s="25">
        <f t="shared" si="184"/>
        <v>-184.49199999999999</v>
      </c>
      <c r="AD761" s="24">
        <f>IF(D761="M",IF(AG761&lt;78,BMILMS!$D$5*AG761^3+BMILMS!$E$5*AG761^2+BMILMS!$F$5*AG761+BMILMS!$G$5,IF(AG761&lt;150,BMILMS!$D$6*AG761^3+BMILMS!$E$6*AG761^2+BMILMS!$F$6*AG761+BMILMS!$G$6,BMILMS!$D$7*AG761^3+BMILMS!$E$7*AG761^2+BMILMS!$F$7*AG761+BMILMS!$G$7)),IF(AG761&lt;69,BMILMS!$D$9*AG761^3+BMILMS!$E$9*AG761^2+BMILMS!$F$9*AG761+BMILMS!$G$9,IF(AG761&lt;150,BMILMS!$D$10*AG761^3+BMILMS!$E$10*AG761^2+BMILMS!$F$10*AG761+BMILMS!$G$10,BMILMS!$D$11*AG761^3+BMILMS!$E$11*AG761^2+BMILMS!$F$11*AG761+BMILMS!$G$11)))</f>
        <v>0.79584630099999998</v>
      </c>
      <c r="AE761" s="24">
        <f>IF(D761="M",(IF(AG761&lt;2.5,BMILMS!$D$21*AG761^3+BMILMS!$E$21*AG761^2+BMILMS!$F$21*AG761+BMILMS!$G$21,IF(AG761&lt;9.5,BMILMS!$D$22*AG761^3+BMILMS!$E$22*AG761^2+BMILMS!$F$22*AG761+BMILMS!$G$22,IF(AG761&lt;26.75,BMILMS!$D$23*AG761^3+BMILMS!$E$23*AG761^2+BMILMS!$F$23*AG761+BMILMS!$G$23,IF(AG761&lt;90,BMILMS!$D$24*AG761^3+BMILMS!$E$24*AG761^2+BMILMS!$F$24*AG761+BMILMS!$G$24,BMILMS!$D$25*AG761^3+BMILMS!$E$25*AG761^2+BMILMS!$F$25*AG761+BMILMS!$G$25))))),(IF(AG761&lt;2.5,BMILMS!$D$27*AG761^3+BMILMS!$E$27*AG761^2+BMILMS!$F$27*AG761+BMILMS!$G$27,IF(AG761&lt;9.5,BMILMS!$D$28*AG761^3+BMILMS!$E$28*AG761^2+BMILMS!$F$28*AG761+BMILMS!$G$28,IF(AG761&lt;26.75,BMILMS!$D$29*AG761^3+BMILMS!$E$29*AG761^2+BMILMS!$F$29*AG761+BMILMS!$G$29,IF(AG761&lt;90,BMILMS!$D$30*AG761^3+BMILMS!$E$30*AG761^2+BMILMS!$F$30*AG761+BMILMS!$G$30,IF(AG761&lt;150,BMILMS!$D$31*AG761^3+BMILMS!$E$31*AG761^2+BMILMS!$F$31*AG761+BMILMS!$G$31,BMILMS!$D$32*AG761^3+BMILMS!$E$32*AG761^2+BMILMS!$F$32*AG761+BMILMS!$G$32)))))))</f>
        <v>12.568967990000001</v>
      </c>
      <c r="AF761" s="24">
        <f>IF(D761="M",(IF(AG761&lt;90,BMILMS!$D$14*AG761^3+BMILMS!$E$14*AG761^2+BMILMS!$F$14*AG761+BMILMS!$G$14,BMILMS!$D$15*AG761^3+BMILMS!$E$15*AG761^2+BMILMS!$F$15*AG761+BMILMS!$G$15)),(IF(AG761&lt;90,BMILMS!$D$17*AG761^3+BMILMS!$E$17*AG761^2+BMILMS!$F$17*AG761+BMILMS!$G$17,BMILMS!$D$18*AG761^3+BMILMS!$E$18*AG761^2+BMILMS!$F$18*AG761+BMILMS!$G$18)))</f>
        <v>8.8969350000000003E-2</v>
      </c>
      <c r="AG761" s="24">
        <f t="shared" si="192"/>
        <v>0</v>
      </c>
      <c r="AI761" s="38">
        <f>IF(D761="M",WeightSDS!P$5*$AG761^7+WeightSDS!Q$5*$AG761^6+WeightSDS!R$5*$AG761^5+WeightSDS!S$5*$AG761^4+WeightSDS!T$5*$AG761^3+WeightSDS!U$5*$AG761^2+WeightSDS!V$5*$AG761+WeightSDS!W$5,IF($AG761&lt;186,WeightSDS!P$8*$AG761^7+WeightSDS!Q$8*$AG761^6+WeightSDS!R$8*$AG761^5+WeightSDS!S$8*$AG761^4+WeightSDS!T$8*$AG761^3+WeightSDS!U$8*$AG761^2+WeightSDS!V$8*$AG761+WeightSDS!W$8,WeightSDS!$U$9-WeightSDS!$V$9*($AG761-WeightSDS!$W$9)))</f>
        <v>0.75407122999999998</v>
      </c>
      <c r="AJ761" s="24">
        <f>IF(D761="M",IF($AG761&lt;45,WeightSDS!M$23*$AG761^10+WeightSDS!N$23*$AG761^9+WeightSDS!O$23*$AG761^8+WeightSDS!P$23*$AG761^7+WeightSDS!Q$23*$AG761^6+WeightSDS!R$23*$AG761^5+WeightSDS!S$23*$AG761^4+WeightSDS!T$23*$AG761^3+WeightSDS!U$23*$AG761^2+WeightSDS!V$23*$AG761+WeightSDS!W$23,IF($AG761&lt;153,WeightSDS!M$25*$AG761^10+WeightSDS!N$25*$AG761^9+WeightSDS!O$25*$AG761^8+WeightSDS!P$25*$AG761^7+WeightSDS!Q$25*$AG761^6+WeightSDS!R$25*$AG761^5+WeightSDS!S$25*$AG761^4+WeightSDS!T$25*$AG761^3+WeightSDS!U$25*$AG761^2+WeightSDS!V$25*$AG761+WeightSDS!W$25,WeightSDS!M$27+WeightSDS!N$27/(1+EXP(WeightSDS!O$27+WeightSDS!P$27*$AG761)))),IF($AG761&lt;43.8,WeightSDS!M$29*$AG761^10+WeightSDS!N$29*$AG761^9+WeightSDS!O$29*$AG761^8+WeightSDS!P$29*$AG761^7+WeightSDS!Q$29*$AG761^6+WeightSDS!R$29*$AG761^5+WeightSDS!S$29*$AG761^4+WeightSDS!T$29*$AG761^3+WeightSDS!U$29*$AG761^2+WeightSDS!V$29*$AG761+WeightSDS!W$29-0.010431*(1-$AG761/210),IF($AG761&lt;123,WeightSDS!M$30*$AG761^10+WeightSDS!N$30*$AG761^9+WeightSDS!O$30*$AG761^8+WeightSDS!P$30*$AG761^7+WeightSDS!Q$30*$AG761^6+WeightSDS!R$30*$AG761^5+WeightSDS!S$30*$AG761^4+WeightSDS!T$30*$AG761^3+WeightSDS!U$30*$AG761^2+WeightSDS!V$30*$AG761+WeightSDS!W$30-0.010431*(1-1/$AG761),WeightSDS!M$32+WeightSDS!N$32/(1+EXP(WeightSDS!O$32+WeightSDS!P$32*$AG761))-0.010431*(1-$AG761/210))))</f>
        <v>2.9500001032655536</v>
      </c>
      <c r="AK761" s="24">
        <f>IF(D761="M",IF($AG761&lt;162,WeightSDS!P$12*$AG761^7+WeightSDS!Q$12*$AG761^6+WeightSDS!R$12*$AG761^5+WeightSDS!S$12*$AG761^4+WeightSDS!T$12*$AG761^3+WeightSDS!U$12*$AG761^2+WeightSDS!V$12*$AG761+WeightSDS!W$12,WeightSDS!P$14*$AG761^7+WeightSDS!Q$14*$AG761^6+WeightSDS!R$14*$AG761^5+WeightSDS!S$14*$AG761^4+WeightSDS!T$14*$AG761^3+WeightSDS!U$14*$AG761^2+WeightSDS!V$14*$AG761+WeightSDS!W$14),IF($AG761&lt;156,WeightSDS!O$17*$AG761^8+WeightSDS!P$17*$AG761^7+WeightSDS!Q$17*$AG761^6+WeightSDS!R$17*$AG761^5+WeightSDS!S$17*$AG761^4+WeightSDS!T$17*$AG761^3+WeightSDS!U$17*$AG761^2+WeightSDS!V$17*$AG761+WeightSDS!W$17,IF($AG761&lt;186,WeightSDS!$U$18+(WeightSDS!$V$18-WeightSDS!$U$18)/24*($AG761-186)+WeightSDS!$W$18*(-$AG761+186)^2-0.005,WeightSDS!$U$18+(WeightSDS!$V$18-WeightSDS!$U$18)/24*($AG761-186)-0.005)))</f>
        <v>0.14604529399999999</v>
      </c>
    </row>
    <row r="762" spans="1:37">
      <c r="A762" s="4"/>
      <c r="B762" s="21"/>
      <c r="C762" s="21"/>
      <c r="D762" s="21"/>
      <c r="E762" s="22"/>
      <c r="F762" s="22"/>
      <c r="G762" s="23"/>
      <c r="H762" s="23"/>
      <c r="I762" s="8" t="str">
        <f t="shared" si="178"/>
        <v/>
      </c>
      <c r="J762" s="2" t="str">
        <f t="shared" si="185"/>
        <v/>
      </c>
      <c r="K762" s="2" t="str">
        <f t="shared" si="179"/>
        <v/>
      </c>
      <c r="L762" s="2" t="str">
        <f t="shared" si="186"/>
        <v/>
      </c>
      <c r="M762" s="2" t="str">
        <f t="shared" si="191"/>
        <v/>
      </c>
      <c r="N762" s="2" t="str">
        <f t="shared" si="187"/>
        <v/>
      </c>
      <c r="O762" s="8" t="str">
        <f t="shared" si="188"/>
        <v/>
      </c>
      <c r="P762" s="8" t="str">
        <f t="shared" si="189"/>
        <v/>
      </c>
      <c r="Q762" s="40" t="str">
        <f t="shared" si="180"/>
        <v/>
      </c>
      <c r="R762" s="48" t="str">
        <f t="shared" si="190"/>
        <v/>
      </c>
      <c r="S762" s="8"/>
      <c r="U762" s="35">
        <f t="shared" si="181"/>
        <v>0</v>
      </c>
      <c r="V762" s="24">
        <f t="shared" si="182"/>
        <v>0</v>
      </c>
      <c r="W762" s="41">
        <f t="shared" si="193"/>
        <v>0</v>
      </c>
      <c r="X762" s="31"/>
      <c r="Y762" s="31"/>
      <c r="Z762" s="31"/>
      <c r="AA762" s="25">
        <f t="shared" si="183"/>
        <v>9.0359999999999996</v>
      </c>
      <c r="AB762" s="25">
        <f t="shared" si="184"/>
        <v>-184.49199999999999</v>
      </c>
      <c r="AD762" s="24">
        <f>IF(D762="M",IF(AG762&lt;78,BMILMS!$D$5*AG762^3+BMILMS!$E$5*AG762^2+BMILMS!$F$5*AG762+BMILMS!$G$5,IF(AG762&lt;150,BMILMS!$D$6*AG762^3+BMILMS!$E$6*AG762^2+BMILMS!$F$6*AG762+BMILMS!$G$6,BMILMS!$D$7*AG762^3+BMILMS!$E$7*AG762^2+BMILMS!$F$7*AG762+BMILMS!$G$7)),IF(AG762&lt;69,BMILMS!$D$9*AG762^3+BMILMS!$E$9*AG762^2+BMILMS!$F$9*AG762+BMILMS!$G$9,IF(AG762&lt;150,BMILMS!$D$10*AG762^3+BMILMS!$E$10*AG762^2+BMILMS!$F$10*AG762+BMILMS!$G$10,BMILMS!$D$11*AG762^3+BMILMS!$E$11*AG762^2+BMILMS!$F$11*AG762+BMILMS!$G$11)))</f>
        <v>0.79584630099999998</v>
      </c>
      <c r="AE762" s="24">
        <f>IF(D762="M",(IF(AG762&lt;2.5,BMILMS!$D$21*AG762^3+BMILMS!$E$21*AG762^2+BMILMS!$F$21*AG762+BMILMS!$G$21,IF(AG762&lt;9.5,BMILMS!$D$22*AG762^3+BMILMS!$E$22*AG762^2+BMILMS!$F$22*AG762+BMILMS!$G$22,IF(AG762&lt;26.75,BMILMS!$D$23*AG762^3+BMILMS!$E$23*AG762^2+BMILMS!$F$23*AG762+BMILMS!$G$23,IF(AG762&lt;90,BMILMS!$D$24*AG762^3+BMILMS!$E$24*AG762^2+BMILMS!$F$24*AG762+BMILMS!$G$24,BMILMS!$D$25*AG762^3+BMILMS!$E$25*AG762^2+BMILMS!$F$25*AG762+BMILMS!$G$25))))),(IF(AG762&lt;2.5,BMILMS!$D$27*AG762^3+BMILMS!$E$27*AG762^2+BMILMS!$F$27*AG762+BMILMS!$G$27,IF(AG762&lt;9.5,BMILMS!$D$28*AG762^3+BMILMS!$E$28*AG762^2+BMILMS!$F$28*AG762+BMILMS!$G$28,IF(AG762&lt;26.75,BMILMS!$D$29*AG762^3+BMILMS!$E$29*AG762^2+BMILMS!$F$29*AG762+BMILMS!$G$29,IF(AG762&lt;90,BMILMS!$D$30*AG762^3+BMILMS!$E$30*AG762^2+BMILMS!$F$30*AG762+BMILMS!$G$30,IF(AG762&lt;150,BMILMS!$D$31*AG762^3+BMILMS!$E$31*AG762^2+BMILMS!$F$31*AG762+BMILMS!$G$31,BMILMS!$D$32*AG762^3+BMILMS!$E$32*AG762^2+BMILMS!$F$32*AG762+BMILMS!$G$32)))))))</f>
        <v>12.568967990000001</v>
      </c>
      <c r="AF762" s="24">
        <f>IF(D762="M",(IF(AG762&lt;90,BMILMS!$D$14*AG762^3+BMILMS!$E$14*AG762^2+BMILMS!$F$14*AG762+BMILMS!$G$14,BMILMS!$D$15*AG762^3+BMILMS!$E$15*AG762^2+BMILMS!$F$15*AG762+BMILMS!$G$15)),(IF(AG762&lt;90,BMILMS!$D$17*AG762^3+BMILMS!$E$17*AG762^2+BMILMS!$F$17*AG762+BMILMS!$G$17,BMILMS!$D$18*AG762^3+BMILMS!$E$18*AG762^2+BMILMS!$F$18*AG762+BMILMS!$G$18)))</f>
        <v>8.8969350000000003E-2</v>
      </c>
      <c r="AG762" s="24">
        <f t="shared" si="192"/>
        <v>0</v>
      </c>
      <c r="AI762" s="38">
        <f>IF(D762="M",WeightSDS!P$5*$AG762^7+WeightSDS!Q$5*$AG762^6+WeightSDS!R$5*$AG762^5+WeightSDS!S$5*$AG762^4+WeightSDS!T$5*$AG762^3+WeightSDS!U$5*$AG762^2+WeightSDS!V$5*$AG762+WeightSDS!W$5,IF($AG762&lt;186,WeightSDS!P$8*$AG762^7+WeightSDS!Q$8*$AG762^6+WeightSDS!R$8*$AG762^5+WeightSDS!S$8*$AG762^4+WeightSDS!T$8*$AG762^3+WeightSDS!U$8*$AG762^2+WeightSDS!V$8*$AG762+WeightSDS!W$8,WeightSDS!$U$9-WeightSDS!$V$9*($AG762-WeightSDS!$W$9)))</f>
        <v>0.75407122999999998</v>
      </c>
      <c r="AJ762" s="24">
        <f>IF(D762="M",IF($AG762&lt;45,WeightSDS!M$23*$AG762^10+WeightSDS!N$23*$AG762^9+WeightSDS!O$23*$AG762^8+WeightSDS!P$23*$AG762^7+WeightSDS!Q$23*$AG762^6+WeightSDS!R$23*$AG762^5+WeightSDS!S$23*$AG762^4+WeightSDS!T$23*$AG762^3+WeightSDS!U$23*$AG762^2+WeightSDS!V$23*$AG762+WeightSDS!W$23,IF($AG762&lt;153,WeightSDS!M$25*$AG762^10+WeightSDS!N$25*$AG762^9+WeightSDS!O$25*$AG762^8+WeightSDS!P$25*$AG762^7+WeightSDS!Q$25*$AG762^6+WeightSDS!R$25*$AG762^5+WeightSDS!S$25*$AG762^4+WeightSDS!T$25*$AG762^3+WeightSDS!U$25*$AG762^2+WeightSDS!V$25*$AG762+WeightSDS!W$25,WeightSDS!M$27+WeightSDS!N$27/(1+EXP(WeightSDS!O$27+WeightSDS!P$27*$AG762)))),IF($AG762&lt;43.8,WeightSDS!M$29*$AG762^10+WeightSDS!N$29*$AG762^9+WeightSDS!O$29*$AG762^8+WeightSDS!P$29*$AG762^7+WeightSDS!Q$29*$AG762^6+WeightSDS!R$29*$AG762^5+WeightSDS!S$29*$AG762^4+WeightSDS!T$29*$AG762^3+WeightSDS!U$29*$AG762^2+WeightSDS!V$29*$AG762+WeightSDS!W$29-0.010431*(1-$AG762/210),IF($AG762&lt;123,WeightSDS!M$30*$AG762^10+WeightSDS!N$30*$AG762^9+WeightSDS!O$30*$AG762^8+WeightSDS!P$30*$AG762^7+WeightSDS!Q$30*$AG762^6+WeightSDS!R$30*$AG762^5+WeightSDS!S$30*$AG762^4+WeightSDS!T$30*$AG762^3+WeightSDS!U$30*$AG762^2+WeightSDS!V$30*$AG762+WeightSDS!W$30-0.010431*(1-1/$AG762),WeightSDS!M$32+WeightSDS!N$32/(1+EXP(WeightSDS!O$32+WeightSDS!P$32*$AG762))-0.010431*(1-$AG762/210))))</f>
        <v>2.9500001032655536</v>
      </c>
      <c r="AK762" s="24">
        <f>IF(D762="M",IF($AG762&lt;162,WeightSDS!P$12*$AG762^7+WeightSDS!Q$12*$AG762^6+WeightSDS!R$12*$AG762^5+WeightSDS!S$12*$AG762^4+WeightSDS!T$12*$AG762^3+WeightSDS!U$12*$AG762^2+WeightSDS!V$12*$AG762+WeightSDS!W$12,WeightSDS!P$14*$AG762^7+WeightSDS!Q$14*$AG762^6+WeightSDS!R$14*$AG762^5+WeightSDS!S$14*$AG762^4+WeightSDS!T$14*$AG762^3+WeightSDS!U$14*$AG762^2+WeightSDS!V$14*$AG762+WeightSDS!W$14),IF($AG762&lt;156,WeightSDS!O$17*$AG762^8+WeightSDS!P$17*$AG762^7+WeightSDS!Q$17*$AG762^6+WeightSDS!R$17*$AG762^5+WeightSDS!S$17*$AG762^4+WeightSDS!T$17*$AG762^3+WeightSDS!U$17*$AG762^2+WeightSDS!V$17*$AG762+WeightSDS!W$17,IF($AG762&lt;186,WeightSDS!$U$18+(WeightSDS!$V$18-WeightSDS!$U$18)/24*($AG762-186)+WeightSDS!$W$18*(-$AG762+186)^2-0.005,WeightSDS!$U$18+(WeightSDS!$V$18-WeightSDS!$U$18)/24*($AG762-186)-0.005)))</f>
        <v>0.14604529399999999</v>
      </c>
    </row>
    <row r="763" spans="1:37">
      <c r="A763" s="4"/>
      <c r="B763" s="21"/>
      <c r="C763" s="21"/>
      <c r="D763" s="21"/>
      <c r="E763" s="22"/>
      <c r="F763" s="22"/>
      <c r="G763" s="23"/>
      <c r="H763" s="23"/>
      <c r="I763" s="8" t="str">
        <f t="shared" si="178"/>
        <v/>
      </c>
      <c r="J763" s="2" t="str">
        <f t="shared" si="185"/>
        <v/>
      </c>
      <c r="K763" s="2" t="str">
        <f t="shared" si="179"/>
        <v/>
      </c>
      <c r="L763" s="2" t="str">
        <f t="shared" si="186"/>
        <v/>
      </c>
      <c r="M763" s="2" t="str">
        <f t="shared" si="191"/>
        <v/>
      </c>
      <c r="N763" s="2" t="str">
        <f t="shared" si="187"/>
        <v/>
      </c>
      <c r="O763" s="8" t="str">
        <f t="shared" si="188"/>
        <v/>
      </c>
      <c r="P763" s="8" t="str">
        <f t="shared" si="189"/>
        <v/>
      </c>
      <c r="Q763" s="40" t="str">
        <f t="shared" si="180"/>
        <v/>
      </c>
      <c r="R763" s="48" t="str">
        <f t="shared" si="190"/>
        <v/>
      </c>
      <c r="S763" s="8"/>
      <c r="U763" s="35">
        <f t="shared" si="181"/>
        <v>0</v>
      </c>
      <c r="V763" s="24">
        <f t="shared" si="182"/>
        <v>0</v>
      </c>
      <c r="W763" s="41">
        <f t="shared" si="193"/>
        <v>0</v>
      </c>
      <c r="X763" s="31"/>
      <c r="Y763" s="31"/>
      <c r="Z763" s="31"/>
      <c r="AA763" s="25">
        <f t="shared" si="183"/>
        <v>9.0359999999999996</v>
      </c>
      <c r="AB763" s="25">
        <f t="shared" si="184"/>
        <v>-184.49199999999999</v>
      </c>
      <c r="AD763" s="24">
        <f>IF(D763="M",IF(AG763&lt;78,BMILMS!$D$5*AG763^3+BMILMS!$E$5*AG763^2+BMILMS!$F$5*AG763+BMILMS!$G$5,IF(AG763&lt;150,BMILMS!$D$6*AG763^3+BMILMS!$E$6*AG763^2+BMILMS!$F$6*AG763+BMILMS!$G$6,BMILMS!$D$7*AG763^3+BMILMS!$E$7*AG763^2+BMILMS!$F$7*AG763+BMILMS!$G$7)),IF(AG763&lt;69,BMILMS!$D$9*AG763^3+BMILMS!$E$9*AG763^2+BMILMS!$F$9*AG763+BMILMS!$G$9,IF(AG763&lt;150,BMILMS!$D$10*AG763^3+BMILMS!$E$10*AG763^2+BMILMS!$F$10*AG763+BMILMS!$G$10,BMILMS!$D$11*AG763^3+BMILMS!$E$11*AG763^2+BMILMS!$F$11*AG763+BMILMS!$G$11)))</f>
        <v>0.79584630099999998</v>
      </c>
      <c r="AE763" s="24">
        <f>IF(D763="M",(IF(AG763&lt;2.5,BMILMS!$D$21*AG763^3+BMILMS!$E$21*AG763^2+BMILMS!$F$21*AG763+BMILMS!$G$21,IF(AG763&lt;9.5,BMILMS!$D$22*AG763^3+BMILMS!$E$22*AG763^2+BMILMS!$F$22*AG763+BMILMS!$G$22,IF(AG763&lt;26.75,BMILMS!$D$23*AG763^3+BMILMS!$E$23*AG763^2+BMILMS!$F$23*AG763+BMILMS!$G$23,IF(AG763&lt;90,BMILMS!$D$24*AG763^3+BMILMS!$E$24*AG763^2+BMILMS!$F$24*AG763+BMILMS!$G$24,BMILMS!$D$25*AG763^3+BMILMS!$E$25*AG763^2+BMILMS!$F$25*AG763+BMILMS!$G$25))))),(IF(AG763&lt;2.5,BMILMS!$D$27*AG763^3+BMILMS!$E$27*AG763^2+BMILMS!$F$27*AG763+BMILMS!$G$27,IF(AG763&lt;9.5,BMILMS!$D$28*AG763^3+BMILMS!$E$28*AG763^2+BMILMS!$F$28*AG763+BMILMS!$G$28,IF(AG763&lt;26.75,BMILMS!$D$29*AG763^3+BMILMS!$E$29*AG763^2+BMILMS!$F$29*AG763+BMILMS!$G$29,IF(AG763&lt;90,BMILMS!$D$30*AG763^3+BMILMS!$E$30*AG763^2+BMILMS!$F$30*AG763+BMILMS!$G$30,IF(AG763&lt;150,BMILMS!$D$31*AG763^3+BMILMS!$E$31*AG763^2+BMILMS!$F$31*AG763+BMILMS!$G$31,BMILMS!$D$32*AG763^3+BMILMS!$E$32*AG763^2+BMILMS!$F$32*AG763+BMILMS!$G$32)))))))</f>
        <v>12.568967990000001</v>
      </c>
      <c r="AF763" s="24">
        <f>IF(D763="M",(IF(AG763&lt;90,BMILMS!$D$14*AG763^3+BMILMS!$E$14*AG763^2+BMILMS!$F$14*AG763+BMILMS!$G$14,BMILMS!$D$15*AG763^3+BMILMS!$E$15*AG763^2+BMILMS!$F$15*AG763+BMILMS!$G$15)),(IF(AG763&lt;90,BMILMS!$D$17*AG763^3+BMILMS!$E$17*AG763^2+BMILMS!$F$17*AG763+BMILMS!$G$17,BMILMS!$D$18*AG763^3+BMILMS!$E$18*AG763^2+BMILMS!$F$18*AG763+BMILMS!$G$18)))</f>
        <v>8.8969350000000003E-2</v>
      </c>
      <c r="AG763" s="24">
        <f t="shared" si="192"/>
        <v>0</v>
      </c>
      <c r="AI763" s="38">
        <f>IF(D763="M",WeightSDS!P$5*$AG763^7+WeightSDS!Q$5*$AG763^6+WeightSDS!R$5*$AG763^5+WeightSDS!S$5*$AG763^4+WeightSDS!T$5*$AG763^3+WeightSDS!U$5*$AG763^2+WeightSDS!V$5*$AG763+WeightSDS!W$5,IF($AG763&lt;186,WeightSDS!P$8*$AG763^7+WeightSDS!Q$8*$AG763^6+WeightSDS!R$8*$AG763^5+WeightSDS!S$8*$AG763^4+WeightSDS!T$8*$AG763^3+WeightSDS!U$8*$AG763^2+WeightSDS!V$8*$AG763+WeightSDS!W$8,WeightSDS!$U$9-WeightSDS!$V$9*($AG763-WeightSDS!$W$9)))</f>
        <v>0.75407122999999998</v>
      </c>
      <c r="AJ763" s="24">
        <f>IF(D763="M",IF($AG763&lt;45,WeightSDS!M$23*$AG763^10+WeightSDS!N$23*$AG763^9+WeightSDS!O$23*$AG763^8+WeightSDS!P$23*$AG763^7+WeightSDS!Q$23*$AG763^6+WeightSDS!R$23*$AG763^5+WeightSDS!S$23*$AG763^4+WeightSDS!T$23*$AG763^3+WeightSDS!U$23*$AG763^2+WeightSDS!V$23*$AG763+WeightSDS!W$23,IF($AG763&lt;153,WeightSDS!M$25*$AG763^10+WeightSDS!N$25*$AG763^9+WeightSDS!O$25*$AG763^8+WeightSDS!P$25*$AG763^7+WeightSDS!Q$25*$AG763^6+WeightSDS!R$25*$AG763^5+WeightSDS!S$25*$AG763^4+WeightSDS!T$25*$AG763^3+WeightSDS!U$25*$AG763^2+WeightSDS!V$25*$AG763+WeightSDS!W$25,WeightSDS!M$27+WeightSDS!N$27/(1+EXP(WeightSDS!O$27+WeightSDS!P$27*$AG763)))),IF($AG763&lt;43.8,WeightSDS!M$29*$AG763^10+WeightSDS!N$29*$AG763^9+WeightSDS!O$29*$AG763^8+WeightSDS!P$29*$AG763^7+WeightSDS!Q$29*$AG763^6+WeightSDS!R$29*$AG763^5+WeightSDS!S$29*$AG763^4+WeightSDS!T$29*$AG763^3+WeightSDS!U$29*$AG763^2+WeightSDS!V$29*$AG763+WeightSDS!W$29-0.010431*(1-$AG763/210),IF($AG763&lt;123,WeightSDS!M$30*$AG763^10+WeightSDS!N$30*$AG763^9+WeightSDS!O$30*$AG763^8+WeightSDS!P$30*$AG763^7+WeightSDS!Q$30*$AG763^6+WeightSDS!R$30*$AG763^5+WeightSDS!S$30*$AG763^4+WeightSDS!T$30*$AG763^3+WeightSDS!U$30*$AG763^2+WeightSDS!V$30*$AG763+WeightSDS!W$30-0.010431*(1-1/$AG763),WeightSDS!M$32+WeightSDS!N$32/(1+EXP(WeightSDS!O$32+WeightSDS!P$32*$AG763))-0.010431*(1-$AG763/210))))</f>
        <v>2.9500001032655536</v>
      </c>
      <c r="AK763" s="24">
        <f>IF(D763="M",IF($AG763&lt;162,WeightSDS!P$12*$AG763^7+WeightSDS!Q$12*$AG763^6+WeightSDS!R$12*$AG763^5+WeightSDS!S$12*$AG763^4+WeightSDS!T$12*$AG763^3+WeightSDS!U$12*$AG763^2+WeightSDS!V$12*$AG763+WeightSDS!W$12,WeightSDS!P$14*$AG763^7+WeightSDS!Q$14*$AG763^6+WeightSDS!R$14*$AG763^5+WeightSDS!S$14*$AG763^4+WeightSDS!T$14*$AG763^3+WeightSDS!U$14*$AG763^2+WeightSDS!V$14*$AG763+WeightSDS!W$14),IF($AG763&lt;156,WeightSDS!O$17*$AG763^8+WeightSDS!P$17*$AG763^7+WeightSDS!Q$17*$AG763^6+WeightSDS!R$17*$AG763^5+WeightSDS!S$17*$AG763^4+WeightSDS!T$17*$AG763^3+WeightSDS!U$17*$AG763^2+WeightSDS!V$17*$AG763+WeightSDS!W$17,IF($AG763&lt;186,WeightSDS!$U$18+(WeightSDS!$V$18-WeightSDS!$U$18)/24*($AG763-186)+WeightSDS!$W$18*(-$AG763+186)^2-0.005,WeightSDS!$U$18+(WeightSDS!$V$18-WeightSDS!$U$18)/24*($AG763-186)-0.005)))</f>
        <v>0.14604529399999999</v>
      </c>
    </row>
    <row r="764" spans="1:37">
      <c r="A764" s="4"/>
      <c r="B764" s="21"/>
      <c r="C764" s="21"/>
      <c r="D764" s="21"/>
      <c r="E764" s="22"/>
      <c r="F764" s="22"/>
      <c r="G764" s="23"/>
      <c r="H764" s="23"/>
      <c r="I764" s="8" t="str">
        <f t="shared" si="178"/>
        <v/>
      </c>
      <c r="J764" s="2" t="str">
        <f t="shared" si="185"/>
        <v/>
      </c>
      <c r="K764" s="2" t="str">
        <f t="shared" si="179"/>
        <v/>
      </c>
      <c r="L764" s="2" t="str">
        <f t="shared" si="186"/>
        <v/>
      </c>
      <c r="M764" s="2" t="str">
        <f t="shared" si="191"/>
        <v/>
      </c>
      <c r="N764" s="2" t="str">
        <f t="shared" si="187"/>
        <v/>
      </c>
      <c r="O764" s="8" t="str">
        <f t="shared" si="188"/>
        <v/>
      </c>
      <c r="P764" s="8" t="str">
        <f t="shared" si="189"/>
        <v/>
      </c>
      <c r="Q764" s="40" t="str">
        <f t="shared" si="180"/>
        <v/>
      </c>
      <c r="R764" s="48" t="str">
        <f t="shared" si="190"/>
        <v/>
      </c>
      <c r="S764" s="8"/>
      <c r="U764" s="35">
        <f t="shared" si="181"/>
        <v>0</v>
      </c>
      <c r="V764" s="24">
        <f t="shared" si="182"/>
        <v>0</v>
      </c>
      <c r="W764" s="41">
        <f t="shared" si="193"/>
        <v>0</v>
      </c>
      <c r="X764" s="31"/>
      <c r="Y764" s="31"/>
      <c r="Z764" s="31"/>
      <c r="AA764" s="25">
        <f t="shared" si="183"/>
        <v>9.0359999999999996</v>
      </c>
      <c r="AB764" s="25">
        <f t="shared" si="184"/>
        <v>-184.49199999999999</v>
      </c>
      <c r="AD764" s="24">
        <f>IF(D764="M",IF(AG764&lt;78,BMILMS!$D$5*AG764^3+BMILMS!$E$5*AG764^2+BMILMS!$F$5*AG764+BMILMS!$G$5,IF(AG764&lt;150,BMILMS!$D$6*AG764^3+BMILMS!$E$6*AG764^2+BMILMS!$F$6*AG764+BMILMS!$G$6,BMILMS!$D$7*AG764^3+BMILMS!$E$7*AG764^2+BMILMS!$F$7*AG764+BMILMS!$G$7)),IF(AG764&lt;69,BMILMS!$D$9*AG764^3+BMILMS!$E$9*AG764^2+BMILMS!$F$9*AG764+BMILMS!$G$9,IF(AG764&lt;150,BMILMS!$D$10*AG764^3+BMILMS!$E$10*AG764^2+BMILMS!$F$10*AG764+BMILMS!$G$10,BMILMS!$D$11*AG764^3+BMILMS!$E$11*AG764^2+BMILMS!$F$11*AG764+BMILMS!$G$11)))</f>
        <v>0.79584630099999998</v>
      </c>
      <c r="AE764" s="24">
        <f>IF(D764="M",(IF(AG764&lt;2.5,BMILMS!$D$21*AG764^3+BMILMS!$E$21*AG764^2+BMILMS!$F$21*AG764+BMILMS!$G$21,IF(AG764&lt;9.5,BMILMS!$D$22*AG764^3+BMILMS!$E$22*AG764^2+BMILMS!$F$22*AG764+BMILMS!$G$22,IF(AG764&lt;26.75,BMILMS!$D$23*AG764^3+BMILMS!$E$23*AG764^2+BMILMS!$F$23*AG764+BMILMS!$G$23,IF(AG764&lt;90,BMILMS!$D$24*AG764^3+BMILMS!$E$24*AG764^2+BMILMS!$F$24*AG764+BMILMS!$G$24,BMILMS!$D$25*AG764^3+BMILMS!$E$25*AG764^2+BMILMS!$F$25*AG764+BMILMS!$G$25))))),(IF(AG764&lt;2.5,BMILMS!$D$27*AG764^3+BMILMS!$E$27*AG764^2+BMILMS!$F$27*AG764+BMILMS!$G$27,IF(AG764&lt;9.5,BMILMS!$D$28*AG764^3+BMILMS!$E$28*AG764^2+BMILMS!$F$28*AG764+BMILMS!$G$28,IF(AG764&lt;26.75,BMILMS!$D$29*AG764^3+BMILMS!$E$29*AG764^2+BMILMS!$F$29*AG764+BMILMS!$G$29,IF(AG764&lt;90,BMILMS!$D$30*AG764^3+BMILMS!$E$30*AG764^2+BMILMS!$F$30*AG764+BMILMS!$G$30,IF(AG764&lt;150,BMILMS!$D$31*AG764^3+BMILMS!$E$31*AG764^2+BMILMS!$F$31*AG764+BMILMS!$G$31,BMILMS!$D$32*AG764^3+BMILMS!$E$32*AG764^2+BMILMS!$F$32*AG764+BMILMS!$G$32)))))))</f>
        <v>12.568967990000001</v>
      </c>
      <c r="AF764" s="24">
        <f>IF(D764="M",(IF(AG764&lt;90,BMILMS!$D$14*AG764^3+BMILMS!$E$14*AG764^2+BMILMS!$F$14*AG764+BMILMS!$G$14,BMILMS!$D$15*AG764^3+BMILMS!$E$15*AG764^2+BMILMS!$F$15*AG764+BMILMS!$G$15)),(IF(AG764&lt;90,BMILMS!$D$17*AG764^3+BMILMS!$E$17*AG764^2+BMILMS!$F$17*AG764+BMILMS!$G$17,BMILMS!$D$18*AG764^3+BMILMS!$E$18*AG764^2+BMILMS!$F$18*AG764+BMILMS!$G$18)))</f>
        <v>8.8969350000000003E-2</v>
      </c>
      <c r="AG764" s="24">
        <f t="shared" si="192"/>
        <v>0</v>
      </c>
      <c r="AI764" s="38">
        <f>IF(D764="M",WeightSDS!P$5*$AG764^7+WeightSDS!Q$5*$AG764^6+WeightSDS!R$5*$AG764^5+WeightSDS!S$5*$AG764^4+WeightSDS!T$5*$AG764^3+WeightSDS!U$5*$AG764^2+WeightSDS!V$5*$AG764+WeightSDS!W$5,IF($AG764&lt;186,WeightSDS!P$8*$AG764^7+WeightSDS!Q$8*$AG764^6+WeightSDS!R$8*$AG764^5+WeightSDS!S$8*$AG764^4+WeightSDS!T$8*$AG764^3+WeightSDS!U$8*$AG764^2+WeightSDS!V$8*$AG764+WeightSDS!W$8,WeightSDS!$U$9-WeightSDS!$V$9*($AG764-WeightSDS!$W$9)))</f>
        <v>0.75407122999999998</v>
      </c>
      <c r="AJ764" s="24">
        <f>IF(D764="M",IF($AG764&lt;45,WeightSDS!M$23*$AG764^10+WeightSDS!N$23*$AG764^9+WeightSDS!O$23*$AG764^8+WeightSDS!P$23*$AG764^7+WeightSDS!Q$23*$AG764^6+WeightSDS!R$23*$AG764^5+WeightSDS!S$23*$AG764^4+WeightSDS!T$23*$AG764^3+WeightSDS!U$23*$AG764^2+WeightSDS!V$23*$AG764+WeightSDS!W$23,IF($AG764&lt;153,WeightSDS!M$25*$AG764^10+WeightSDS!N$25*$AG764^9+WeightSDS!O$25*$AG764^8+WeightSDS!P$25*$AG764^7+WeightSDS!Q$25*$AG764^6+WeightSDS!R$25*$AG764^5+WeightSDS!S$25*$AG764^4+WeightSDS!T$25*$AG764^3+WeightSDS!U$25*$AG764^2+WeightSDS!V$25*$AG764+WeightSDS!W$25,WeightSDS!M$27+WeightSDS!N$27/(1+EXP(WeightSDS!O$27+WeightSDS!P$27*$AG764)))),IF($AG764&lt;43.8,WeightSDS!M$29*$AG764^10+WeightSDS!N$29*$AG764^9+WeightSDS!O$29*$AG764^8+WeightSDS!P$29*$AG764^7+WeightSDS!Q$29*$AG764^6+WeightSDS!R$29*$AG764^5+WeightSDS!S$29*$AG764^4+WeightSDS!T$29*$AG764^3+WeightSDS!U$29*$AG764^2+WeightSDS!V$29*$AG764+WeightSDS!W$29-0.010431*(1-$AG764/210),IF($AG764&lt;123,WeightSDS!M$30*$AG764^10+WeightSDS!N$30*$AG764^9+WeightSDS!O$30*$AG764^8+WeightSDS!P$30*$AG764^7+WeightSDS!Q$30*$AG764^6+WeightSDS!R$30*$AG764^5+WeightSDS!S$30*$AG764^4+WeightSDS!T$30*$AG764^3+WeightSDS!U$30*$AG764^2+WeightSDS!V$30*$AG764+WeightSDS!W$30-0.010431*(1-1/$AG764),WeightSDS!M$32+WeightSDS!N$32/(1+EXP(WeightSDS!O$32+WeightSDS!P$32*$AG764))-0.010431*(1-$AG764/210))))</f>
        <v>2.9500001032655536</v>
      </c>
      <c r="AK764" s="24">
        <f>IF(D764="M",IF($AG764&lt;162,WeightSDS!P$12*$AG764^7+WeightSDS!Q$12*$AG764^6+WeightSDS!R$12*$AG764^5+WeightSDS!S$12*$AG764^4+WeightSDS!T$12*$AG764^3+WeightSDS!U$12*$AG764^2+WeightSDS!V$12*$AG764+WeightSDS!W$12,WeightSDS!P$14*$AG764^7+WeightSDS!Q$14*$AG764^6+WeightSDS!R$14*$AG764^5+WeightSDS!S$14*$AG764^4+WeightSDS!T$14*$AG764^3+WeightSDS!U$14*$AG764^2+WeightSDS!V$14*$AG764+WeightSDS!W$14),IF($AG764&lt;156,WeightSDS!O$17*$AG764^8+WeightSDS!P$17*$AG764^7+WeightSDS!Q$17*$AG764^6+WeightSDS!R$17*$AG764^5+WeightSDS!S$17*$AG764^4+WeightSDS!T$17*$AG764^3+WeightSDS!U$17*$AG764^2+WeightSDS!V$17*$AG764+WeightSDS!W$17,IF($AG764&lt;186,WeightSDS!$U$18+(WeightSDS!$V$18-WeightSDS!$U$18)/24*($AG764-186)+WeightSDS!$W$18*(-$AG764+186)^2-0.005,WeightSDS!$U$18+(WeightSDS!$V$18-WeightSDS!$U$18)/24*($AG764-186)-0.005)))</f>
        <v>0.14604529399999999</v>
      </c>
    </row>
    <row r="765" spans="1:37">
      <c r="A765" s="4"/>
      <c r="B765" s="21"/>
      <c r="C765" s="21"/>
      <c r="D765" s="21"/>
      <c r="E765" s="22"/>
      <c r="F765" s="22"/>
      <c r="G765" s="23"/>
      <c r="H765" s="23"/>
      <c r="I765" s="8" t="str">
        <f t="shared" si="178"/>
        <v/>
      </c>
      <c r="J765" s="2" t="str">
        <f t="shared" si="185"/>
        <v/>
      </c>
      <c r="K765" s="2" t="str">
        <f t="shared" si="179"/>
        <v/>
      </c>
      <c r="L765" s="2" t="str">
        <f t="shared" si="186"/>
        <v/>
      </c>
      <c r="M765" s="2" t="str">
        <f t="shared" si="191"/>
        <v/>
      </c>
      <c r="N765" s="2" t="str">
        <f t="shared" si="187"/>
        <v/>
      </c>
      <c r="O765" s="8" t="str">
        <f t="shared" si="188"/>
        <v/>
      </c>
      <c r="P765" s="8" t="str">
        <f t="shared" si="189"/>
        <v/>
      </c>
      <c r="Q765" s="40" t="str">
        <f t="shared" si="180"/>
        <v/>
      </c>
      <c r="R765" s="48" t="str">
        <f t="shared" si="190"/>
        <v/>
      </c>
      <c r="S765" s="8"/>
      <c r="U765" s="35">
        <f t="shared" si="181"/>
        <v>0</v>
      </c>
      <c r="V765" s="24">
        <f t="shared" si="182"/>
        <v>0</v>
      </c>
      <c r="W765" s="41">
        <f t="shared" si="193"/>
        <v>0</v>
      </c>
      <c r="X765" s="31"/>
      <c r="Y765" s="31"/>
      <c r="Z765" s="31"/>
      <c r="AA765" s="25">
        <f t="shared" si="183"/>
        <v>9.0359999999999996</v>
      </c>
      <c r="AB765" s="25">
        <f t="shared" si="184"/>
        <v>-184.49199999999999</v>
      </c>
      <c r="AD765" s="24">
        <f>IF(D765="M",IF(AG765&lt;78,BMILMS!$D$5*AG765^3+BMILMS!$E$5*AG765^2+BMILMS!$F$5*AG765+BMILMS!$G$5,IF(AG765&lt;150,BMILMS!$D$6*AG765^3+BMILMS!$E$6*AG765^2+BMILMS!$F$6*AG765+BMILMS!$G$6,BMILMS!$D$7*AG765^3+BMILMS!$E$7*AG765^2+BMILMS!$F$7*AG765+BMILMS!$G$7)),IF(AG765&lt;69,BMILMS!$D$9*AG765^3+BMILMS!$E$9*AG765^2+BMILMS!$F$9*AG765+BMILMS!$G$9,IF(AG765&lt;150,BMILMS!$D$10*AG765^3+BMILMS!$E$10*AG765^2+BMILMS!$F$10*AG765+BMILMS!$G$10,BMILMS!$D$11*AG765^3+BMILMS!$E$11*AG765^2+BMILMS!$F$11*AG765+BMILMS!$G$11)))</f>
        <v>0.79584630099999998</v>
      </c>
      <c r="AE765" s="24">
        <f>IF(D765="M",(IF(AG765&lt;2.5,BMILMS!$D$21*AG765^3+BMILMS!$E$21*AG765^2+BMILMS!$F$21*AG765+BMILMS!$G$21,IF(AG765&lt;9.5,BMILMS!$D$22*AG765^3+BMILMS!$E$22*AG765^2+BMILMS!$F$22*AG765+BMILMS!$G$22,IF(AG765&lt;26.75,BMILMS!$D$23*AG765^3+BMILMS!$E$23*AG765^2+BMILMS!$F$23*AG765+BMILMS!$G$23,IF(AG765&lt;90,BMILMS!$D$24*AG765^3+BMILMS!$E$24*AG765^2+BMILMS!$F$24*AG765+BMILMS!$G$24,BMILMS!$D$25*AG765^3+BMILMS!$E$25*AG765^2+BMILMS!$F$25*AG765+BMILMS!$G$25))))),(IF(AG765&lt;2.5,BMILMS!$D$27*AG765^3+BMILMS!$E$27*AG765^2+BMILMS!$F$27*AG765+BMILMS!$G$27,IF(AG765&lt;9.5,BMILMS!$D$28*AG765^3+BMILMS!$E$28*AG765^2+BMILMS!$F$28*AG765+BMILMS!$G$28,IF(AG765&lt;26.75,BMILMS!$D$29*AG765^3+BMILMS!$E$29*AG765^2+BMILMS!$F$29*AG765+BMILMS!$G$29,IF(AG765&lt;90,BMILMS!$D$30*AG765^3+BMILMS!$E$30*AG765^2+BMILMS!$F$30*AG765+BMILMS!$G$30,IF(AG765&lt;150,BMILMS!$D$31*AG765^3+BMILMS!$E$31*AG765^2+BMILMS!$F$31*AG765+BMILMS!$G$31,BMILMS!$D$32*AG765^3+BMILMS!$E$32*AG765^2+BMILMS!$F$32*AG765+BMILMS!$G$32)))))))</f>
        <v>12.568967990000001</v>
      </c>
      <c r="AF765" s="24">
        <f>IF(D765="M",(IF(AG765&lt;90,BMILMS!$D$14*AG765^3+BMILMS!$E$14*AG765^2+BMILMS!$F$14*AG765+BMILMS!$G$14,BMILMS!$D$15*AG765^3+BMILMS!$E$15*AG765^2+BMILMS!$F$15*AG765+BMILMS!$G$15)),(IF(AG765&lt;90,BMILMS!$D$17*AG765^3+BMILMS!$E$17*AG765^2+BMILMS!$F$17*AG765+BMILMS!$G$17,BMILMS!$D$18*AG765^3+BMILMS!$E$18*AG765^2+BMILMS!$F$18*AG765+BMILMS!$G$18)))</f>
        <v>8.8969350000000003E-2</v>
      </c>
      <c r="AG765" s="24">
        <f t="shared" si="192"/>
        <v>0</v>
      </c>
      <c r="AI765" s="38">
        <f>IF(D765="M",WeightSDS!P$5*$AG765^7+WeightSDS!Q$5*$AG765^6+WeightSDS!R$5*$AG765^5+WeightSDS!S$5*$AG765^4+WeightSDS!T$5*$AG765^3+WeightSDS!U$5*$AG765^2+WeightSDS!V$5*$AG765+WeightSDS!W$5,IF($AG765&lt;186,WeightSDS!P$8*$AG765^7+WeightSDS!Q$8*$AG765^6+WeightSDS!R$8*$AG765^5+WeightSDS!S$8*$AG765^4+WeightSDS!T$8*$AG765^3+WeightSDS!U$8*$AG765^2+WeightSDS!V$8*$AG765+WeightSDS!W$8,WeightSDS!$U$9-WeightSDS!$V$9*($AG765-WeightSDS!$W$9)))</f>
        <v>0.75407122999999998</v>
      </c>
      <c r="AJ765" s="24">
        <f>IF(D765="M",IF($AG765&lt;45,WeightSDS!M$23*$AG765^10+WeightSDS!N$23*$AG765^9+WeightSDS!O$23*$AG765^8+WeightSDS!P$23*$AG765^7+WeightSDS!Q$23*$AG765^6+WeightSDS!R$23*$AG765^5+WeightSDS!S$23*$AG765^4+WeightSDS!T$23*$AG765^3+WeightSDS!U$23*$AG765^2+WeightSDS!V$23*$AG765+WeightSDS!W$23,IF($AG765&lt;153,WeightSDS!M$25*$AG765^10+WeightSDS!N$25*$AG765^9+WeightSDS!O$25*$AG765^8+WeightSDS!P$25*$AG765^7+WeightSDS!Q$25*$AG765^6+WeightSDS!R$25*$AG765^5+WeightSDS!S$25*$AG765^4+WeightSDS!T$25*$AG765^3+WeightSDS!U$25*$AG765^2+WeightSDS!V$25*$AG765+WeightSDS!W$25,WeightSDS!M$27+WeightSDS!N$27/(1+EXP(WeightSDS!O$27+WeightSDS!P$27*$AG765)))),IF($AG765&lt;43.8,WeightSDS!M$29*$AG765^10+WeightSDS!N$29*$AG765^9+WeightSDS!O$29*$AG765^8+WeightSDS!P$29*$AG765^7+WeightSDS!Q$29*$AG765^6+WeightSDS!R$29*$AG765^5+WeightSDS!S$29*$AG765^4+WeightSDS!T$29*$AG765^3+WeightSDS!U$29*$AG765^2+WeightSDS!V$29*$AG765+WeightSDS!W$29-0.010431*(1-$AG765/210),IF($AG765&lt;123,WeightSDS!M$30*$AG765^10+WeightSDS!N$30*$AG765^9+WeightSDS!O$30*$AG765^8+WeightSDS!P$30*$AG765^7+WeightSDS!Q$30*$AG765^6+WeightSDS!R$30*$AG765^5+WeightSDS!S$30*$AG765^4+WeightSDS!T$30*$AG765^3+WeightSDS!U$30*$AG765^2+WeightSDS!V$30*$AG765+WeightSDS!W$30-0.010431*(1-1/$AG765),WeightSDS!M$32+WeightSDS!N$32/(1+EXP(WeightSDS!O$32+WeightSDS!P$32*$AG765))-0.010431*(1-$AG765/210))))</f>
        <v>2.9500001032655536</v>
      </c>
      <c r="AK765" s="24">
        <f>IF(D765="M",IF($AG765&lt;162,WeightSDS!P$12*$AG765^7+WeightSDS!Q$12*$AG765^6+WeightSDS!R$12*$AG765^5+WeightSDS!S$12*$AG765^4+WeightSDS!T$12*$AG765^3+WeightSDS!U$12*$AG765^2+WeightSDS!V$12*$AG765+WeightSDS!W$12,WeightSDS!P$14*$AG765^7+WeightSDS!Q$14*$AG765^6+WeightSDS!R$14*$AG765^5+WeightSDS!S$14*$AG765^4+WeightSDS!T$14*$AG765^3+WeightSDS!U$14*$AG765^2+WeightSDS!V$14*$AG765+WeightSDS!W$14),IF($AG765&lt;156,WeightSDS!O$17*$AG765^8+WeightSDS!P$17*$AG765^7+WeightSDS!Q$17*$AG765^6+WeightSDS!R$17*$AG765^5+WeightSDS!S$17*$AG765^4+WeightSDS!T$17*$AG765^3+WeightSDS!U$17*$AG765^2+WeightSDS!V$17*$AG765+WeightSDS!W$17,IF($AG765&lt;186,WeightSDS!$U$18+(WeightSDS!$V$18-WeightSDS!$U$18)/24*($AG765-186)+WeightSDS!$W$18*(-$AG765+186)^2-0.005,WeightSDS!$U$18+(WeightSDS!$V$18-WeightSDS!$U$18)/24*($AG765-186)-0.005)))</f>
        <v>0.14604529399999999</v>
      </c>
    </row>
    <row r="766" spans="1:37">
      <c r="A766" s="4"/>
      <c r="B766" s="21"/>
      <c r="C766" s="21"/>
      <c r="D766" s="21"/>
      <c r="E766" s="22"/>
      <c r="F766" s="22"/>
      <c r="G766" s="23"/>
      <c r="H766" s="23"/>
      <c r="I766" s="8" t="str">
        <f t="shared" si="178"/>
        <v/>
      </c>
      <c r="J766" s="2" t="str">
        <f t="shared" si="185"/>
        <v/>
      </c>
      <c r="K766" s="2" t="str">
        <f t="shared" si="179"/>
        <v/>
      </c>
      <c r="L766" s="2" t="str">
        <f t="shared" si="186"/>
        <v/>
      </c>
      <c r="M766" s="2" t="str">
        <f t="shared" si="191"/>
        <v/>
      </c>
      <c r="N766" s="2" t="str">
        <f t="shared" si="187"/>
        <v/>
      </c>
      <c r="O766" s="8" t="str">
        <f t="shared" si="188"/>
        <v/>
      </c>
      <c r="P766" s="8" t="str">
        <f t="shared" si="189"/>
        <v/>
      </c>
      <c r="Q766" s="40" t="str">
        <f t="shared" si="180"/>
        <v/>
      </c>
      <c r="R766" s="48" t="str">
        <f t="shared" si="190"/>
        <v/>
      </c>
      <c r="S766" s="8"/>
      <c r="U766" s="35">
        <f t="shared" si="181"/>
        <v>0</v>
      </c>
      <c r="V766" s="24">
        <f t="shared" si="182"/>
        <v>0</v>
      </c>
      <c r="W766" s="41">
        <f t="shared" si="193"/>
        <v>0</v>
      </c>
      <c r="X766" s="31"/>
      <c r="Y766" s="31"/>
      <c r="Z766" s="31"/>
      <c r="AA766" s="25">
        <f t="shared" si="183"/>
        <v>9.0359999999999996</v>
      </c>
      <c r="AB766" s="25">
        <f t="shared" si="184"/>
        <v>-184.49199999999999</v>
      </c>
      <c r="AD766" s="24">
        <f>IF(D766="M",IF(AG766&lt;78,BMILMS!$D$5*AG766^3+BMILMS!$E$5*AG766^2+BMILMS!$F$5*AG766+BMILMS!$G$5,IF(AG766&lt;150,BMILMS!$D$6*AG766^3+BMILMS!$E$6*AG766^2+BMILMS!$F$6*AG766+BMILMS!$G$6,BMILMS!$D$7*AG766^3+BMILMS!$E$7*AG766^2+BMILMS!$F$7*AG766+BMILMS!$G$7)),IF(AG766&lt;69,BMILMS!$D$9*AG766^3+BMILMS!$E$9*AG766^2+BMILMS!$F$9*AG766+BMILMS!$G$9,IF(AG766&lt;150,BMILMS!$D$10*AG766^3+BMILMS!$E$10*AG766^2+BMILMS!$F$10*AG766+BMILMS!$G$10,BMILMS!$D$11*AG766^3+BMILMS!$E$11*AG766^2+BMILMS!$F$11*AG766+BMILMS!$G$11)))</f>
        <v>0.79584630099999998</v>
      </c>
      <c r="AE766" s="24">
        <f>IF(D766="M",(IF(AG766&lt;2.5,BMILMS!$D$21*AG766^3+BMILMS!$E$21*AG766^2+BMILMS!$F$21*AG766+BMILMS!$G$21,IF(AG766&lt;9.5,BMILMS!$D$22*AG766^3+BMILMS!$E$22*AG766^2+BMILMS!$F$22*AG766+BMILMS!$G$22,IF(AG766&lt;26.75,BMILMS!$D$23*AG766^3+BMILMS!$E$23*AG766^2+BMILMS!$F$23*AG766+BMILMS!$G$23,IF(AG766&lt;90,BMILMS!$D$24*AG766^3+BMILMS!$E$24*AG766^2+BMILMS!$F$24*AG766+BMILMS!$G$24,BMILMS!$D$25*AG766^3+BMILMS!$E$25*AG766^2+BMILMS!$F$25*AG766+BMILMS!$G$25))))),(IF(AG766&lt;2.5,BMILMS!$D$27*AG766^3+BMILMS!$E$27*AG766^2+BMILMS!$F$27*AG766+BMILMS!$G$27,IF(AG766&lt;9.5,BMILMS!$D$28*AG766^3+BMILMS!$E$28*AG766^2+BMILMS!$F$28*AG766+BMILMS!$G$28,IF(AG766&lt;26.75,BMILMS!$D$29*AG766^3+BMILMS!$E$29*AG766^2+BMILMS!$F$29*AG766+BMILMS!$G$29,IF(AG766&lt;90,BMILMS!$D$30*AG766^3+BMILMS!$E$30*AG766^2+BMILMS!$F$30*AG766+BMILMS!$G$30,IF(AG766&lt;150,BMILMS!$D$31*AG766^3+BMILMS!$E$31*AG766^2+BMILMS!$F$31*AG766+BMILMS!$G$31,BMILMS!$D$32*AG766^3+BMILMS!$E$32*AG766^2+BMILMS!$F$32*AG766+BMILMS!$G$32)))))))</f>
        <v>12.568967990000001</v>
      </c>
      <c r="AF766" s="24">
        <f>IF(D766="M",(IF(AG766&lt;90,BMILMS!$D$14*AG766^3+BMILMS!$E$14*AG766^2+BMILMS!$F$14*AG766+BMILMS!$G$14,BMILMS!$D$15*AG766^3+BMILMS!$E$15*AG766^2+BMILMS!$F$15*AG766+BMILMS!$G$15)),(IF(AG766&lt;90,BMILMS!$D$17*AG766^3+BMILMS!$E$17*AG766^2+BMILMS!$F$17*AG766+BMILMS!$G$17,BMILMS!$D$18*AG766^3+BMILMS!$E$18*AG766^2+BMILMS!$F$18*AG766+BMILMS!$G$18)))</f>
        <v>8.8969350000000003E-2</v>
      </c>
      <c r="AG766" s="24">
        <f t="shared" si="192"/>
        <v>0</v>
      </c>
      <c r="AI766" s="38">
        <f>IF(D766="M",WeightSDS!P$5*$AG766^7+WeightSDS!Q$5*$AG766^6+WeightSDS!R$5*$AG766^5+WeightSDS!S$5*$AG766^4+WeightSDS!T$5*$AG766^3+WeightSDS!U$5*$AG766^2+WeightSDS!V$5*$AG766+WeightSDS!W$5,IF($AG766&lt;186,WeightSDS!P$8*$AG766^7+WeightSDS!Q$8*$AG766^6+WeightSDS!R$8*$AG766^5+WeightSDS!S$8*$AG766^4+WeightSDS!T$8*$AG766^3+WeightSDS!U$8*$AG766^2+WeightSDS!V$8*$AG766+WeightSDS!W$8,WeightSDS!$U$9-WeightSDS!$V$9*($AG766-WeightSDS!$W$9)))</f>
        <v>0.75407122999999998</v>
      </c>
      <c r="AJ766" s="24">
        <f>IF(D766="M",IF($AG766&lt;45,WeightSDS!M$23*$AG766^10+WeightSDS!N$23*$AG766^9+WeightSDS!O$23*$AG766^8+WeightSDS!P$23*$AG766^7+WeightSDS!Q$23*$AG766^6+WeightSDS!R$23*$AG766^5+WeightSDS!S$23*$AG766^4+WeightSDS!T$23*$AG766^3+WeightSDS!U$23*$AG766^2+WeightSDS!V$23*$AG766+WeightSDS!W$23,IF($AG766&lt;153,WeightSDS!M$25*$AG766^10+WeightSDS!N$25*$AG766^9+WeightSDS!O$25*$AG766^8+WeightSDS!P$25*$AG766^7+WeightSDS!Q$25*$AG766^6+WeightSDS!R$25*$AG766^5+WeightSDS!S$25*$AG766^4+WeightSDS!T$25*$AG766^3+WeightSDS!U$25*$AG766^2+WeightSDS!V$25*$AG766+WeightSDS!W$25,WeightSDS!M$27+WeightSDS!N$27/(1+EXP(WeightSDS!O$27+WeightSDS!P$27*$AG766)))),IF($AG766&lt;43.8,WeightSDS!M$29*$AG766^10+WeightSDS!N$29*$AG766^9+WeightSDS!O$29*$AG766^8+WeightSDS!P$29*$AG766^7+WeightSDS!Q$29*$AG766^6+WeightSDS!R$29*$AG766^5+WeightSDS!S$29*$AG766^4+WeightSDS!T$29*$AG766^3+WeightSDS!U$29*$AG766^2+WeightSDS!V$29*$AG766+WeightSDS!W$29-0.010431*(1-$AG766/210),IF($AG766&lt;123,WeightSDS!M$30*$AG766^10+WeightSDS!N$30*$AG766^9+WeightSDS!O$30*$AG766^8+WeightSDS!P$30*$AG766^7+WeightSDS!Q$30*$AG766^6+WeightSDS!R$30*$AG766^5+WeightSDS!S$30*$AG766^4+WeightSDS!T$30*$AG766^3+WeightSDS!U$30*$AG766^2+WeightSDS!V$30*$AG766+WeightSDS!W$30-0.010431*(1-1/$AG766),WeightSDS!M$32+WeightSDS!N$32/(1+EXP(WeightSDS!O$32+WeightSDS!P$32*$AG766))-0.010431*(1-$AG766/210))))</f>
        <v>2.9500001032655536</v>
      </c>
      <c r="AK766" s="24">
        <f>IF(D766="M",IF($AG766&lt;162,WeightSDS!P$12*$AG766^7+WeightSDS!Q$12*$AG766^6+WeightSDS!R$12*$AG766^5+WeightSDS!S$12*$AG766^4+WeightSDS!T$12*$AG766^3+WeightSDS!U$12*$AG766^2+WeightSDS!V$12*$AG766+WeightSDS!W$12,WeightSDS!P$14*$AG766^7+WeightSDS!Q$14*$AG766^6+WeightSDS!R$14*$AG766^5+WeightSDS!S$14*$AG766^4+WeightSDS!T$14*$AG766^3+WeightSDS!U$14*$AG766^2+WeightSDS!V$14*$AG766+WeightSDS!W$14),IF($AG766&lt;156,WeightSDS!O$17*$AG766^8+WeightSDS!P$17*$AG766^7+WeightSDS!Q$17*$AG766^6+WeightSDS!R$17*$AG766^5+WeightSDS!S$17*$AG766^4+WeightSDS!T$17*$AG766^3+WeightSDS!U$17*$AG766^2+WeightSDS!V$17*$AG766+WeightSDS!W$17,IF($AG766&lt;186,WeightSDS!$U$18+(WeightSDS!$V$18-WeightSDS!$U$18)/24*($AG766-186)+WeightSDS!$W$18*(-$AG766+186)^2-0.005,WeightSDS!$U$18+(WeightSDS!$V$18-WeightSDS!$U$18)/24*($AG766-186)-0.005)))</f>
        <v>0.14604529399999999</v>
      </c>
    </row>
    <row r="767" spans="1:37">
      <c r="A767" s="4"/>
      <c r="B767" s="21"/>
      <c r="C767" s="21"/>
      <c r="D767" s="21"/>
      <c r="E767" s="22"/>
      <c r="F767" s="22"/>
      <c r="G767" s="23"/>
      <c r="H767" s="23"/>
      <c r="I767" s="8" t="str">
        <f t="shared" si="178"/>
        <v/>
      </c>
      <c r="J767" s="2" t="str">
        <f t="shared" si="185"/>
        <v/>
      </c>
      <c r="K767" s="2" t="str">
        <f t="shared" si="179"/>
        <v/>
      </c>
      <c r="L767" s="2" t="str">
        <f t="shared" si="186"/>
        <v/>
      </c>
      <c r="M767" s="2" t="str">
        <f t="shared" si="191"/>
        <v/>
      </c>
      <c r="N767" s="2" t="str">
        <f t="shared" si="187"/>
        <v/>
      </c>
      <c r="O767" s="8" t="str">
        <f t="shared" si="188"/>
        <v/>
      </c>
      <c r="P767" s="8" t="str">
        <f t="shared" si="189"/>
        <v/>
      </c>
      <c r="Q767" s="40" t="str">
        <f t="shared" si="180"/>
        <v/>
      </c>
      <c r="R767" s="48" t="str">
        <f t="shared" si="190"/>
        <v/>
      </c>
      <c r="S767" s="8"/>
      <c r="U767" s="35">
        <f t="shared" si="181"/>
        <v>0</v>
      </c>
      <c r="V767" s="24">
        <f t="shared" si="182"/>
        <v>0</v>
      </c>
      <c r="W767" s="41">
        <f t="shared" si="193"/>
        <v>0</v>
      </c>
      <c r="X767" s="31"/>
      <c r="Y767" s="31"/>
      <c r="Z767" s="31"/>
      <c r="AA767" s="25">
        <f t="shared" si="183"/>
        <v>9.0359999999999996</v>
      </c>
      <c r="AB767" s="25">
        <f t="shared" si="184"/>
        <v>-184.49199999999999</v>
      </c>
      <c r="AD767" s="24">
        <f>IF(D767="M",IF(AG767&lt;78,BMILMS!$D$5*AG767^3+BMILMS!$E$5*AG767^2+BMILMS!$F$5*AG767+BMILMS!$G$5,IF(AG767&lt;150,BMILMS!$D$6*AG767^3+BMILMS!$E$6*AG767^2+BMILMS!$F$6*AG767+BMILMS!$G$6,BMILMS!$D$7*AG767^3+BMILMS!$E$7*AG767^2+BMILMS!$F$7*AG767+BMILMS!$G$7)),IF(AG767&lt;69,BMILMS!$D$9*AG767^3+BMILMS!$E$9*AG767^2+BMILMS!$F$9*AG767+BMILMS!$G$9,IF(AG767&lt;150,BMILMS!$D$10*AG767^3+BMILMS!$E$10*AG767^2+BMILMS!$F$10*AG767+BMILMS!$G$10,BMILMS!$D$11*AG767^3+BMILMS!$E$11*AG767^2+BMILMS!$F$11*AG767+BMILMS!$G$11)))</f>
        <v>0.79584630099999998</v>
      </c>
      <c r="AE767" s="24">
        <f>IF(D767="M",(IF(AG767&lt;2.5,BMILMS!$D$21*AG767^3+BMILMS!$E$21*AG767^2+BMILMS!$F$21*AG767+BMILMS!$G$21,IF(AG767&lt;9.5,BMILMS!$D$22*AG767^3+BMILMS!$E$22*AG767^2+BMILMS!$F$22*AG767+BMILMS!$G$22,IF(AG767&lt;26.75,BMILMS!$D$23*AG767^3+BMILMS!$E$23*AG767^2+BMILMS!$F$23*AG767+BMILMS!$G$23,IF(AG767&lt;90,BMILMS!$D$24*AG767^3+BMILMS!$E$24*AG767^2+BMILMS!$F$24*AG767+BMILMS!$G$24,BMILMS!$D$25*AG767^3+BMILMS!$E$25*AG767^2+BMILMS!$F$25*AG767+BMILMS!$G$25))))),(IF(AG767&lt;2.5,BMILMS!$D$27*AG767^3+BMILMS!$E$27*AG767^2+BMILMS!$F$27*AG767+BMILMS!$G$27,IF(AG767&lt;9.5,BMILMS!$D$28*AG767^3+BMILMS!$E$28*AG767^2+BMILMS!$F$28*AG767+BMILMS!$G$28,IF(AG767&lt;26.75,BMILMS!$D$29*AG767^3+BMILMS!$E$29*AG767^2+BMILMS!$F$29*AG767+BMILMS!$G$29,IF(AG767&lt;90,BMILMS!$D$30*AG767^3+BMILMS!$E$30*AG767^2+BMILMS!$F$30*AG767+BMILMS!$G$30,IF(AG767&lt;150,BMILMS!$D$31*AG767^3+BMILMS!$E$31*AG767^2+BMILMS!$F$31*AG767+BMILMS!$G$31,BMILMS!$D$32*AG767^3+BMILMS!$E$32*AG767^2+BMILMS!$F$32*AG767+BMILMS!$G$32)))))))</f>
        <v>12.568967990000001</v>
      </c>
      <c r="AF767" s="24">
        <f>IF(D767="M",(IF(AG767&lt;90,BMILMS!$D$14*AG767^3+BMILMS!$E$14*AG767^2+BMILMS!$F$14*AG767+BMILMS!$G$14,BMILMS!$D$15*AG767^3+BMILMS!$E$15*AG767^2+BMILMS!$F$15*AG767+BMILMS!$G$15)),(IF(AG767&lt;90,BMILMS!$D$17*AG767^3+BMILMS!$E$17*AG767^2+BMILMS!$F$17*AG767+BMILMS!$G$17,BMILMS!$D$18*AG767^3+BMILMS!$E$18*AG767^2+BMILMS!$F$18*AG767+BMILMS!$G$18)))</f>
        <v>8.8969350000000003E-2</v>
      </c>
      <c r="AG767" s="24">
        <f t="shared" si="192"/>
        <v>0</v>
      </c>
      <c r="AI767" s="38">
        <f>IF(D767="M",WeightSDS!P$5*$AG767^7+WeightSDS!Q$5*$AG767^6+WeightSDS!R$5*$AG767^5+WeightSDS!S$5*$AG767^4+WeightSDS!T$5*$AG767^3+WeightSDS!U$5*$AG767^2+WeightSDS!V$5*$AG767+WeightSDS!W$5,IF($AG767&lt;186,WeightSDS!P$8*$AG767^7+WeightSDS!Q$8*$AG767^6+WeightSDS!R$8*$AG767^5+WeightSDS!S$8*$AG767^4+WeightSDS!T$8*$AG767^3+WeightSDS!U$8*$AG767^2+WeightSDS!V$8*$AG767+WeightSDS!W$8,WeightSDS!$U$9-WeightSDS!$V$9*($AG767-WeightSDS!$W$9)))</f>
        <v>0.75407122999999998</v>
      </c>
      <c r="AJ767" s="24">
        <f>IF(D767="M",IF($AG767&lt;45,WeightSDS!M$23*$AG767^10+WeightSDS!N$23*$AG767^9+WeightSDS!O$23*$AG767^8+WeightSDS!P$23*$AG767^7+WeightSDS!Q$23*$AG767^6+WeightSDS!R$23*$AG767^5+WeightSDS!S$23*$AG767^4+WeightSDS!T$23*$AG767^3+WeightSDS!U$23*$AG767^2+WeightSDS!V$23*$AG767+WeightSDS!W$23,IF($AG767&lt;153,WeightSDS!M$25*$AG767^10+WeightSDS!N$25*$AG767^9+WeightSDS!O$25*$AG767^8+WeightSDS!P$25*$AG767^7+WeightSDS!Q$25*$AG767^6+WeightSDS!R$25*$AG767^5+WeightSDS!S$25*$AG767^4+WeightSDS!T$25*$AG767^3+WeightSDS!U$25*$AG767^2+WeightSDS!V$25*$AG767+WeightSDS!W$25,WeightSDS!M$27+WeightSDS!N$27/(1+EXP(WeightSDS!O$27+WeightSDS!P$27*$AG767)))),IF($AG767&lt;43.8,WeightSDS!M$29*$AG767^10+WeightSDS!N$29*$AG767^9+WeightSDS!O$29*$AG767^8+WeightSDS!P$29*$AG767^7+WeightSDS!Q$29*$AG767^6+WeightSDS!R$29*$AG767^5+WeightSDS!S$29*$AG767^4+WeightSDS!T$29*$AG767^3+WeightSDS!U$29*$AG767^2+WeightSDS!V$29*$AG767+WeightSDS!W$29-0.010431*(1-$AG767/210),IF($AG767&lt;123,WeightSDS!M$30*$AG767^10+WeightSDS!N$30*$AG767^9+WeightSDS!O$30*$AG767^8+WeightSDS!P$30*$AG767^7+WeightSDS!Q$30*$AG767^6+WeightSDS!R$30*$AG767^5+WeightSDS!S$30*$AG767^4+WeightSDS!T$30*$AG767^3+WeightSDS!U$30*$AG767^2+WeightSDS!V$30*$AG767+WeightSDS!W$30-0.010431*(1-1/$AG767),WeightSDS!M$32+WeightSDS!N$32/(1+EXP(WeightSDS!O$32+WeightSDS!P$32*$AG767))-0.010431*(1-$AG767/210))))</f>
        <v>2.9500001032655536</v>
      </c>
      <c r="AK767" s="24">
        <f>IF(D767="M",IF($AG767&lt;162,WeightSDS!P$12*$AG767^7+WeightSDS!Q$12*$AG767^6+WeightSDS!R$12*$AG767^5+WeightSDS!S$12*$AG767^4+WeightSDS!T$12*$AG767^3+WeightSDS!U$12*$AG767^2+WeightSDS!V$12*$AG767+WeightSDS!W$12,WeightSDS!P$14*$AG767^7+WeightSDS!Q$14*$AG767^6+WeightSDS!R$14*$AG767^5+WeightSDS!S$14*$AG767^4+WeightSDS!T$14*$AG767^3+WeightSDS!U$14*$AG767^2+WeightSDS!V$14*$AG767+WeightSDS!W$14),IF($AG767&lt;156,WeightSDS!O$17*$AG767^8+WeightSDS!P$17*$AG767^7+WeightSDS!Q$17*$AG767^6+WeightSDS!R$17*$AG767^5+WeightSDS!S$17*$AG767^4+WeightSDS!T$17*$AG767^3+WeightSDS!U$17*$AG767^2+WeightSDS!V$17*$AG767+WeightSDS!W$17,IF($AG767&lt;186,WeightSDS!$U$18+(WeightSDS!$V$18-WeightSDS!$U$18)/24*($AG767-186)+WeightSDS!$W$18*(-$AG767+186)^2-0.005,WeightSDS!$U$18+(WeightSDS!$V$18-WeightSDS!$U$18)/24*($AG767-186)-0.005)))</f>
        <v>0.14604529399999999</v>
      </c>
    </row>
    <row r="768" spans="1:37">
      <c r="A768" s="4"/>
      <c r="B768" s="21"/>
      <c r="C768" s="21"/>
      <c r="D768" s="21"/>
      <c r="E768" s="22"/>
      <c r="F768" s="22"/>
      <c r="G768" s="23"/>
      <c r="H768" s="23"/>
      <c r="I768" s="8" t="str">
        <f t="shared" si="178"/>
        <v/>
      </c>
      <c r="J768" s="2" t="str">
        <f t="shared" si="185"/>
        <v/>
      </c>
      <c r="K768" s="2" t="str">
        <f t="shared" si="179"/>
        <v/>
      </c>
      <c r="L768" s="2" t="str">
        <f t="shared" si="186"/>
        <v/>
      </c>
      <c r="M768" s="2" t="str">
        <f t="shared" si="191"/>
        <v/>
      </c>
      <c r="N768" s="2" t="str">
        <f t="shared" si="187"/>
        <v/>
      </c>
      <c r="O768" s="8" t="str">
        <f t="shared" si="188"/>
        <v/>
      </c>
      <c r="P768" s="8" t="str">
        <f t="shared" si="189"/>
        <v/>
      </c>
      <c r="Q768" s="40" t="str">
        <f t="shared" si="180"/>
        <v/>
      </c>
      <c r="R768" s="48" t="str">
        <f t="shared" si="190"/>
        <v/>
      </c>
      <c r="S768" s="8"/>
      <c r="U768" s="35">
        <f t="shared" si="181"/>
        <v>0</v>
      </c>
      <c r="V768" s="24">
        <f t="shared" si="182"/>
        <v>0</v>
      </c>
      <c r="W768" s="41">
        <f t="shared" si="193"/>
        <v>0</v>
      </c>
      <c r="X768" s="31"/>
      <c r="Y768" s="31"/>
      <c r="Z768" s="31"/>
      <c r="AA768" s="25">
        <f t="shared" si="183"/>
        <v>9.0359999999999996</v>
      </c>
      <c r="AB768" s="25">
        <f t="shared" si="184"/>
        <v>-184.49199999999999</v>
      </c>
      <c r="AD768" s="24">
        <f>IF(D768="M",IF(AG768&lt;78,BMILMS!$D$5*AG768^3+BMILMS!$E$5*AG768^2+BMILMS!$F$5*AG768+BMILMS!$G$5,IF(AG768&lt;150,BMILMS!$D$6*AG768^3+BMILMS!$E$6*AG768^2+BMILMS!$F$6*AG768+BMILMS!$G$6,BMILMS!$D$7*AG768^3+BMILMS!$E$7*AG768^2+BMILMS!$F$7*AG768+BMILMS!$G$7)),IF(AG768&lt;69,BMILMS!$D$9*AG768^3+BMILMS!$E$9*AG768^2+BMILMS!$F$9*AG768+BMILMS!$G$9,IF(AG768&lt;150,BMILMS!$D$10*AG768^3+BMILMS!$E$10*AG768^2+BMILMS!$F$10*AG768+BMILMS!$G$10,BMILMS!$D$11*AG768^3+BMILMS!$E$11*AG768^2+BMILMS!$F$11*AG768+BMILMS!$G$11)))</f>
        <v>0.79584630099999998</v>
      </c>
      <c r="AE768" s="24">
        <f>IF(D768="M",(IF(AG768&lt;2.5,BMILMS!$D$21*AG768^3+BMILMS!$E$21*AG768^2+BMILMS!$F$21*AG768+BMILMS!$G$21,IF(AG768&lt;9.5,BMILMS!$D$22*AG768^3+BMILMS!$E$22*AG768^2+BMILMS!$F$22*AG768+BMILMS!$G$22,IF(AG768&lt;26.75,BMILMS!$D$23*AG768^3+BMILMS!$E$23*AG768^2+BMILMS!$F$23*AG768+BMILMS!$G$23,IF(AG768&lt;90,BMILMS!$D$24*AG768^3+BMILMS!$E$24*AG768^2+BMILMS!$F$24*AG768+BMILMS!$G$24,BMILMS!$D$25*AG768^3+BMILMS!$E$25*AG768^2+BMILMS!$F$25*AG768+BMILMS!$G$25))))),(IF(AG768&lt;2.5,BMILMS!$D$27*AG768^3+BMILMS!$E$27*AG768^2+BMILMS!$F$27*AG768+BMILMS!$G$27,IF(AG768&lt;9.5,BMILMS!$D$28*AG768^3+BMILMS!$E$28*AG768^2+BMILMS!$F$28*AG768+BMILMS!$G$28,IF(AG768&lt;26.75,BMILMS!$D$29*AG768^3+BMILMS!$E$29*AG768^2+BMILMS!$F$29*AG768+BMILMS!$G$29,IF(AG768&lt;90,BMILMS!$D$30*AG768^3+BMILMS!$E$30*AG768^2+BMILMS!$F$30*AG768+BMILMS!$G$30,IF(AG768&lt;150,BMILMS!$D$31*AG768^3+BMILMS!$E$31*AG768^2+BMILMS!$F$31*AG768+BMILMS!$G$31,BMILMS!$D$32*AG768^3+BMILMS!$E$32*AG768^2+BMILMS!$F$32*AG768+BMILMS!$G$32)))))))</f>
        <v>12.568967990000001</v>
      </c>
      <c r="AF768" s="24">
        <f>IF(D768="M",(IF(AG768&lt;90,BMILMS!$D$14*AG768^3+BMILMS!$E$14*AG768^2+BMILMS!$F$14*AG768+BMILMS!$G$14,BMILMS!$D$15*AG768^3+BMILMS!$E$15*AG768^2+BMILMS!$F$15*AG768+BMILMS!$G$15)),(IF(AG768&lt;90,BMILMS!$D$17*AG768^3+BMILMS!$E$17*AG768^2+BMILMS!$F$17*AG768+BMILMS!$G$17,BMILMS!$D$18*AG768^3+BMILMS!$E$18*AG768^2+BMILMS!$F$18*AG768+BMILMS!$G$18)))</f>
        <v>8.8969350000000003E-2</v>
      </c>
      <c r="AG768" s="24">
        <f t="shared" si="192"/>
        <v>0</v>
      </c>
      <c r="AI768" s="38">
        <f>IF(D768="M",WeightSDS!P$5*$AG768^7+WeightSDS!Q$5*$AG768^6+WeightSDS!R$5*$AG768^5+WeightSDS!S$5*$AG768^4+WeightSDS!T$5*$AG768^3+WeightSDS!U$5*$AG768^2+WeightSDS!V$5*$AG768+WeightSDS!W$5,IF($AG768&lt;186,WeightSDS!P$8*$AG768^7+WeightSDS!Q$8*$AG768^6+WeightSDS!R$8*$AG768^5+WeightSDS!S$8*$AG768^4+WeightSDS!T$8*$AG768^3+WeightSDS!U$8*$AG768^2+WeightSDS!V$8*$AG768+WeightSDS!W$8,WeightSDS!$U$9-WeightSDS!$V$9*($AG768-WeightSDS!$W$9)))</f>
        <v>0.75407122999999998</v>
      </c>
      <c r="AJ768" s="24">
        <f>IF(D768="M",IF($AG768&lt;45,WeightSDS!M$23*$AG768^10+WeightSDS!N$23*$AG768^9+WeightSDS!O$23*$AG768^8+WeightSDS!P$23*$AG768^7+WeightSDS!Q$23*$AG768^6+WeightSDS!R$23*$AG768^5+WeightSDS!S$23*$AG768^4+WeightSDS!T$23*$AG768^3+WeightSDS!U$23*$AG768^2+WeightSDS!V$23*$AG768+WeightSDS!W$23,IF($AG768&lt;153,WeightSDS!M$25*$AG768^10+WeightSDS!N$25*$AG768^9+WeightSDS!O$25*$AG768^8+WeightSDS!P$25*$AG768^7+WeightSDS!Q$25*$AG768^6+WeightSDS!R$25*$AG768^5+WeightSDS!S$25*$AG768^4+WeightSDS!T$25*$AG768^3+WeightSDS!U$25*$AG768^2+WeightSDS!V$25*$AG768+WeightSDS!W$25,WeightSDS!M$27+WeightSDS!N$27/(1+EXP(WeightSDS!O$27+WeightSDS!P$27*$AG768)))),IF($AG768&lt;43.8,WeightSDS!M$29*$AG768^10+WeightSDS!N$29*$AG768^9+WeightSDS!O$29*$AG768^8+WeightSDS!P$29*$AG768^7+WeightSDS!Q$29*$AG768^6+WeightSDS!R$29*$AG768^5+WeightSDS!S$29*$AG768^4+WeightSDS!T$29*$AG768^3+WeightSDS!U$29*$AG768^2+WeightSDS!V$29*$AG768+WeightSDS!W$29-0.010431*(1-$AG768/210),IF($AG768&lt;123,WeightSDS!M$30*$AG768^10+WeightSDS!N$30*$AG768^9+WeightSDS!O$30*$AG768^8+WeightSDS!P$30*$AG768^7+WeightSDS!Q$30*$AG768^6+WeightSDS!R$30*$AG768^5+WeightSDS!S$30*$AG768^4+WeightSDS!T$30*$AG768^3+WeightSDS!U$30*$AG768^2+WeightSDS!V$30*$AG768+WeightSDS!W$30-0.010431*(1-1/$AG768),WeightSDS!M$32+WeightSDS!N$32/(1+EXP(WeightSDS!O$32+WeightSDS!P$32*$AG768))-0.010431*(1-$AG768/210))))</f>
        <v>2.9500001032655536</v>
      </c>
      <c r="AK768" s="24">
        <f>IF(D768="M",IF($AG768&lt;162,WeightSDS!P$12*$AG768^7+WeightSDS!Q$12*$AG768^6+WeightSDS!R$12*$AG768^5+WeightSDS!S$12*$AG768^4+WeightSDS!T$12*$AG768^3+WeightSDS!U$12*$AG768^2+WeightSDS!V$12*$AG768+WeightSDS!W$12,WeightSDS!P$14*$AG768^7+WeightSDS!Q$14*$AG768^6+WeightSDS!R$14*$AG768^5+WeightSDS!S$14*$AG768^4+WeightSDS!T$14*$AG768^3+WeightSDS!U$14*$AG768^2+WeightSDS!V$14*$AG768+WeightSDS!W$14),IF($AG768&lt;156,WeightSDS!O$17*$AG768^8+WeightSDS!P$17*$AG768^7+WeightSDS!Q$17*$AG768^6+WeightSDS!R$17*$AG768^5+WeightSDS!S$17*$AG768^4+WeightSDS!T$17*$AG768^3+WeightSDS!U$17*$AG768^2+WeightSDS!V$17*$AG768+WeightSDS!W$17,IF($AG768&lt;186,WeightSDS!$U$18+(WeightSDS!$V$18-WeightSDS!$U$18)/24*($AG768-186)+WeightSDS!$W$18*(-$AG768+186)^2-0.005,WeightSDS!$U$18+(WeightSDS!$V$18-WeightSDS!$U$18)/24*($AG768-186)-0.005)))</f>
        <v>0.14604529399999999</v>
      </c>
    </row>
    <row r="769" spans="1:37">
      <c r="A769" s="4"/>
      <c r="B769" s="21"/>
      <c r="C769" s="21"/>
      <c r="D769" s="21"/>
      <c r="E769" s="22"/>
      <c r="F769" s="22"/>
      <c r="G769" s="23"/>
      <c r="H769" s="23"/>
      <c r="I769" s="8" t="str">
        <f t="shared" si="178"/>
        <v/>
      </c>
      <c r="J769" s="2" t="str">
        <f t="shared" si="185"/>
        <v/>
      </c>
      <c r="K769" s="2" t="str">
        <f t="shared" si="179"/>
        <v/>
      </c>
      <c r="L769" s="2" t="str">
        <f t="shared" si="186"/>
        <v/>
      </c>
      <c r="M769" s="2" t="str">
        <f t="shared" si="191"/>
        <v/>
      </c>
      <c r="N769" s="2" t="str">
        <f t="shared" si="187"/>
        <v/>
      </c>
      <c r="O769" s="8" t="str">
        <f t="shared" si="188"/>
        <v/>
      </c>
      <c r="P769" s="8" t="str">
        <f t="shared" si="189"/>
        <v/>
      </c>
      <c r="Q769" s="40" t="str">
        <f t="shared" si="180"/>
        <v/>
      </c>
      <c r="R769" s="48" t="str">
        <f t="shared" si="190"/>
        <v/>
      </c>
      <c r="S769" s="8"/>
      <c r="U769" s="35">
        <f t="shared" si="181"/>
        <v>0</v>
      </c>
      <c r="V769" s="24">
        <f t="shared" si="182"/>
        <v>0</v>
      </c>
      <c r="W769" s="41">
        <f t="shared" si="193"/>
        <v>0</v>
      </c>
      <c r="X769" s="31"/>
      <c r="Y769" s="31"/>
      <c r="Z769" s="31"/>
      <c r="AA769" s="25">
        <f t="shared" si="183"/>
        <v>9.0359999999999996</v>
      </c>
      <c r="AB769" s="25">
        <f t="shared" si="184"/>
        <v>-184.49199999999999</v>
      </c>
      <c r="AD769" s="24">
        <f>IF(D769="M",IF(AG769&lt;78,BMILMS!$D$5*AG769^3+BMILMS!$E$5*AG769^2+BMILMS!$F$5*AG769+BMILMS!$G$5,IF(AG769&lt;150,BMILMS!$D$6*AG769^3+BMILMS!$E$6*AG769^2+BMILMS!$F$6*AG769+BMILMS!$G$6,BMILMS!$D$7*AG769^3+BMILMS!$E$7*AG769^2+BMILMS!$F$7*AG769+BMILMS!$G$7)),IF(AG769&lt;69,BMILMS!$D$9*AG769^3+BMILMS!$E$9*AG769^2+BMILMS!$F$9*AG769+BMILMS!$G$9,IF(AG769&lt;150,BMILMS!$D$10*AG769^3+BMILMS!$E$10*AG769^2+BMILMS!$F$10*AG769+BMILMS!$G$10,BMILMS!$D$11*AG769^3+BMILMS!$E$11*AG769^2+BMILMS!$F$11*AG769+BMILMS!$G$11)))</f>
        <v>0.79584630099999998</v>
      </c>
      <c r="AE769" s="24">
        <f>IF(D769="M",(IF(AG769&lt;2.5,BMILMS!$D$21*AG769^3+BMILMS!$E$21*AG769^2+BMILMS!$F$21*AG769+BMILMS!$G$21,IF(AG769&lt;9.5,BMILMS!$D$22*AG769^3+BMILMS!$E$22*AG769^2+BMILMS!$F$22*AG769+BMILMS!$G$22,IF(AG769&lt;26.75,BMILMS!$D$23*AG769^3+BMILMS!$E$23*AG769^2+BMILMS!$F$23*AG769+BMILMS!$G$23,IF(AG769&lt;90,BMILMS!$D$24*AG769^3+BMILMS!$E$24*AG769^2+BMILMS!$F$24*AG769+BMILMS!$G$24,BMILMS!$D$25*AG769^3+BMILMS!$E$25*AG769^2+BMILMS!$F$25*AG769+BMILMS!$G$25))))),(IF(AG769&lt;2.5,BMILMS!$D$27*AG769^3+BMILMS!$E$27*AG769^2+BMILMS!$F$27*AG769+BMILMS!$G$27,IF(AG769&lt;9.5,BMILMS!$D$28*AG769^3+BMILMS!$E$28*AG769^2+BMILMS!$F$28*AG769+BMILMS!$G$28,IF(AG769&lt;26.75,BMILMS!$D$29*AG769^3+BMILMS!$E$29*AG769^2+BMILMS!$F$29*AG769+BMILMS!$G$29,IF(AG769&lt;90,BMILMS!$D$30*AG769^3+BMILMS!$E$30*AG769^2+BMILMS!$F$30*AG769+BMILMS!$G$30,IF(AG769&lt;150,BMILMS!$D$31*AG769^3+BMILMS!$E$31*AG769^2+BMILMS!$F$31*AG769+BMILMS!$G$31,BMILMS!$D$32*AG769^3+BMILMS!$E$32*AG769^2+BMILMS!$F$32*AG769+BMILMS!$G$32)))))))</f>
        <v>12.568967990000001</v>
      </c>
      <c r="AF769" s="24">
        <f>IF(D769="M",(IF(AG769&lt;90,BMILMS!$D$14*AG769^3+BMILMS!$E$14*AG769^2+BMILMS!$F$14*AG769+BMILMS!$G$14,BMILMS!$D$15*AG769^3+BMILMS!$E$15*AG769^2+BMILMS!$F$15*AG769+BMILMS!$G$15)),(IF(AG769&lt;90,BMILMS!$D$17*AG769^3+BMILMS!$E$17*AG769^2+BMILMS!$F$17*AG769+BMILMS!$G$17,BMILMS!$D$18*AG769^3+BMILMS!$E$18*AG769^2+BMILMS!$F$18*AG769+BMILMS!$G$18)))</f>
        <v>8.8969350000000003E-2</v>
      </c>
      <c r="AG769" s="24">
        <f t="shared" si="192"/>
        <v>0</v>
      </c>
      <c r="AI769" s="38">
        <f>IF(D769="M",WeightSDS!P$5*$AG769^7+WeightSDS!Q$5*$AG769^6+WeightSDS!R$5*$AG769^5+WeightSDS!S$5*$AG769^4+WeightSDS!T$5*$AG769^3+WeightSDS!U$5*$AG769^2+WeightSDS!V$5*$AG769+WeightSDS!W$5,IF($AG769&lt;186,WeightSDS!P$8*$AG769^7+WeightSDS!Q$8*$AG769^6+WeightSDS!R$8*$AG769^5+WeightSDS!S$8*$AG769^4+WeightSDS!T$8*$AG769^3+WeightSDS!U$8*$AG769^2+WeightSDS!V$8*$AG769+WeightSDS!W$8,WeightSDS!$U$9-WeightSDS!$V$9*($AG769-WeightSDS!$W$9)))</f>
        <v>0.75407122999999998</v>
      </c>
      <c r="AJ769" s="24">
        <f>IF(D769="M",IF($AG769&lt;45,WeightSDS!M$23*$AG769^10+WeightSDS!N$23*$AG769^9+WeightSDS!O$23*$AG769^8+WeightSDS!P$23*$AG769^7+WeightSDS!Q$23*$AG769^6+WeightSDS!R$23*$AG769^5+WeightSDS!S$23*$AG769^4+WeightSDS!T$23*$AG769^3+WeightSDS!U$23*$AG769^2+WeightSDS!V$23*$AG769+WeightSDS!W$23,IF($AG769&lt;153,WeightSDS!M$25*$AG769^10+WeightSDS!N$25*$AG769^9+WeightSDS!O$25*$AG769^8+WeightSDS!P$25*$AG769^7+WeightSDS!Q$25*$AG769^6+WeightSDS!R$25*$AG769^5+WeightSDS!S$25*$AG769^4+WeightSDS!T$25*$AG769^3+WeightSDS!U$25*$AG769^2+WeightSDS!V$25*$AG769+WeightSDS!W$25,WeightSDS!M$27+WeightSDS!N$27/(1+EXP(WeightSDS!O$27+WeightSDS!P$27*$AG769)))),IF($AG769&lt;43.8,WeightSDS!M$29*$AG769^10+WeightSDS!N$29*$AG769^9+WeightSDS!O$29*$AG769^8+WeightSDS!P$29*$AG769^7+WeightSDS!Q$29*$AG769^6+WeightSDS!R$29*$AG769^5+WeightSDS!S$29*$AG769^4+WeightSDS!T$29*$AG769^3+WeightSDS!U$29*$AG769^2+WeightSDS!V$29*$AG769+WeightSDS!W$29-0.010431*(1-$AG769/210),IF($AG769&lt;123,WeightSDS!M$30*$AG769^10+WeightSDS!N$30*$AG769^9+WeightSDS!O$30*$AG769^8+WeightSDS!P$30*$AG769^7+WeightSDS!Q$30*$AG769^6+WeightSDS!R$30*$AG769^5+WeightSDS!S$30*$AG769^4+WeightSDS!T$30*$AG769^3+WeightSDS!U$30*$AG769^2+WeightSDS!V$30*$AG769+WeightSDS!W$30-0.010431*(1-1/$AG769),WeightSDS!M$32+WeightSDS!N$32/(1+EXP(WeightSDS!O$32+WeightSDS!P$32*$AG769))-0.010431*(1-$AG769/210))))</f>
        <v>2.9500001032655536</v>
      </c>
      <c r="AK769" s="24">
        <f>IF(D769="M",IF($AG769&lt;162,WeightSDS!P$12*$AG769^7+WeightSDS!Q$12*$AG769^6+WeightSDS!R$12*$AG769^5+WeightSDS!S$12*$AG769^4+WeightSDS!T$12*$AG769^3+WeightSDS!U$12*$AG769^2+WeightSDS!V$12*$AG769+WeightSDS!W$12,WeightSDS!P$14*$AG769^7+WeightSDS!Q$14*$AG769^6+WeightSDS!R$14*$AG769^5+WeightSDS!S$14*$AG769^4+WeightSDS!T$14*$AG769^3+WeightSDS!U$14*$AG769^2+WeightSDS!V$14*$AG769+WeightSDS!W$14),IF($AG769&lt;156,WeightSDS!O$17*$AG769^8+WeightSDS!P$17*$AG769^7+WeightSDS!Q$17*$AG769^6+WeightSDS!R$17*$AG769^5+WeightSDS!S$17*$AG769^4+WeightSDS!T$17*$AG769^3+WeightSDS!U$17*$AG769^2+WeightSDS!V$17*$AG769+WeightSDS!W$17,IF($AG769&lt;186,WeightSDS!$U$18+(WeightSDS!$V$18-WeightSDS!$U$18)/24*($AG769-186)+WeightSDS!$W$18*(-$AG769+186)^2-0.005,WeightSDS!$U$18+(WeightSDS!$V$18-WeightSDS!$U$18)/24*($AG769-186)-0.005)))</f>
        <v>0.14604529399999999</v>
      </c>
    </row>
    <row r="770" spans="1:37">
      <c r="A770" s="4"/>
      <c r="B770" s="21"/>
      <c r="C770" s="21"/>
      <c r="D770" s="21"/>
      <c r="E770" s="22"/>
      <c r="F770" s="22"/>
      <c r="G770" s="23"/>
      <c r="H770" s="23"/>
      <c r="I770" s="8" t="str">
        <f t="shared" si="178"/>
        <v/>
      </c>
      <c r="J770" s="2" t="str">
        <f t="shared" si="185"/>
        <v/>
      </c>
      <c r="K770" s="2" t="str">
        <f t="shared" si="179"/>
        <v/>
      </c>
      <c r="L770" s="2" t="str">
        <f t="shared" si="186"/>
        <v/>
      </c>
      <c r="M770" s="2" t="str">
        <f t="shared" si="191"/>
        <v/>
      </c>
      <c r="N770" s="2" t="str">
        <f t="shared" si="187"/>
        <v/>
      </c>
      <c r="O770" s="8" t="str">
        <f t="shared" si="188"/>
        <v/>
      </c>
      <c r="P770" s="8" t="str">
        <f t="shared" si="189"/>
        <v/>
      </c>
      <c r="Q770" s="40" t="str">
        <f t="shared" si="180"/>
        <v/>
      </c>
      <c r="R770" s="48" t="str">
        <f t="shared" si="190"/>
        <v/>
      </c>
      <c r="S770" s="8"/>
      <c r="U770" s="35">
        <f t="shared" si="181"/>
        <v>0</v>
      </c>
      <c r="V770" s="24">
        <f t="shared" si="182"/>
        <v>0</v>
      </c>
      <c r="W770" s="41">
        <f t="shared" si="193"/>
        <v>0</v>
      </c>
      <c r="X770" s="31"/>
      <c r="Y770" s="31"/>
      <c r="Z770" s="31"/>
      <c r="AA770" s="25">
        <f t="shared" si="183"/>
        <v>9.0359999999999996</v>
      </c>
      <c r="AB770" s="25">
        <f t="shared" si="184"/>
        <v>-184.49199999999999</v>
      </c>
      <c r="AD770" s="24">
        <f>IF(D770="M",IF(AG770&lt;78,BMILMS!$D$5*AG770^3+BMILMS!$E$5*AG770^2+BMILMS!$F$5*AG770+BMILMS!$G$5,IF(AG770&lt;150,BMILMS!$D$6*AG770^3+BMILMS!$E$6*AG770^2+BMILMS!$F$6*AG770+BMILMS!$G$6,BMILMS!$D$7*AG770^3+BMILMS!$E$7*AG770^2+BMILMS!$F$7*AG770+BMILMS!$G$7)),IF(AG770&lt;69,BMILMS!$D$9*AG770^3+BMILMS!$E$9*AG770^2+BMILMS!$F$9*AG770+BMILMS!$G$9,IF(AG770&lt;150,BMILMS!$D$10*AG770^3+BMILMS!$E$10*AG770^2+BMILMS!$F$10*AG770+BMILMS!$G$10,BMILMS!$D$11*AG770^3+BMILMS!$E$11*AG770^2+BMILMS!$F$11*AG770+BMILMS!$G$11)))</f>
        <v>0.79584630099999998</v>
      </c>
      <c r="AE770" s="24">
        <f>IF(D770="M",(IF(AG770&lt;2.5,BMILMS!$D$21*AG770^3+BMILMS!$E$21*AG770^2+BMILMS!$F$21*AG770+BMILMS!$G$21,IF(AG770&lt;9.5,BMILMS!$D$22*AG770^3+BMILMS!$E$22*AG770^2+BMILMS!$F$22*AG770+BMILMS!$G$22,IF(AG770&lt;26.75,BMILMS!$D$23*AG770^3+BMILMS!$E$23*AG770^2+BMILMS!$F$23*AG770+BMILMS!$G$23,IF(AG770&lt;90,BMILMS!$D$24*AG770^3+BMILMS!$E$24*AG770^2+BMILMS!$F$24*AG770+BMILMS!$G$24,BMILMS!$D$25*AG770^3+BMILMS!$E$25*AG770^2+BMILMS!$F$25*AG770+BMILMS!$G$25))))),(IF(AG770&lt;2.5,BMILMS!$D$27*AG770^3+BMILMS!$E$27*AG770^2+BMILMS!$F$27*AG770+BMILMS!$G$27,IF(AG770&lt;9.5,BMILMS!$D$28*AG770^3+BMILMS!$E$28*AG770^2+BMILMS!$F$28*AG770+BMILMS!$G$28,IF(AG770&lt;26.75,BMILMS!$D$29*AG770^3+BMILMS!$E$29*AG770^2+BMILMS!$F$29*AG770+BMILMS!$G$29,IF(AG770&lt;90,BMILMS!$D$30*AG770^3+BMILMS!$E$30*AG770^2+BMILMS!$F$30*AG770+BMILMS!$G$30,IF(AG770&lt;150,BMILMS!$D$31*AG770^3+BMILMS!$E$31*AG770^2+BMILMS!$F$31*AG770+BMILMS!$G$31,BMILMS!$D$32*AG770^3+BMILMS!$E$32*AG770^2+BMILMS!$F$32*AG770+BMILMS!$G$32)))))))</f>
        <v>12.568967990000001</v>
      </c>
      <c r="AF770" s="24">
        <f>IF(D770="M",(IF(AG770&lt;90,BMILMS!$D$14*AG770^3+BMILMS!$E$14*AG770^2+BMILMS!$F$14*AG770+BMILMS!$G$14,BMILMS!$D$15*AG770^3+BMILMS!$E$15*AG770^2+BMILMS!$F$15*AG770+BMILMS!$G$15)),(IF(AG770&lt;90,BMILMS!$D$17*AG770^3+BMILMS!$E$17*AG770^2+BMILMS!$F$17*AG770+BMILMS!$G$17,BMILMS!$D$18*AG770^3+BMILMS!$E$18*AG770^2+BMILMS!$F$18*AG770+BMILMS!$G$18)))</f>
        <v>8.8969350000000003E-2</v>
      </c>
      <c r="AG770" s="24">
        <f t="shared" si="192"/>
        <v>0</v>
      </c>
      <c r="AI770" s="38">
        <f>IF(D770="M",WeightSDS!P$5*$AG770^7+WeightSDS!Q$5*$AG770^6+WeightSDS!R$5*$AG770^5+WeightSDS!S$5*$AG770^4+WeightSDS!T$5*$AG770^3+WeightSDS!U$5*$AG770^2+WeightSDS!V$5*$AG770+WeightSDS!W$5,IF($AG770&lt;186,WeightSDS!P$8*$AG770^7+WeightSDS!Q$8*$AG770^6+WeightSDS!R$8*$AG770^5+WeightSDS!S$8*$AG770^4+WeightSDS!T$8*$AG770^3+WeightSDS!U$8*$AG770^2+WeightSDS!V$8*$AG770+WeightSDS!W$8,WeightSDS!$U$9-WeightSDS!$V$9*($AG770-WeightSDS!$W$9)))</f>
        <v>0.75407122999999998</v>
      </c>
      <c r="AJ770" s="24">
        <f>IF(D770="M",IF($AG770&lt;45,WeightSDS!M$23*$AG770^10+WeightSDS!N$23*$AG770^9+WeightSDS!O$23*$AG770^8+WeightSDS!P$23*$AG770^7+WeightSDS!Q$23*$AG770^6+WeightSDS!R$23*$AG770^5+WeightSDS!S$23*$AG770^4+WeightSDS!T$23*$AG770^3+WeightSDS!U$23*$AG770^2+WeightSDS!V$23*$AG770+WeightSDS!W$23,IF($AG770&lt;153,WeightSDS!M$25*$AG770^10+WeightSDS!N$25*$AG770^9+WeightSDS!O$25*$AG770^8+WeightSDS!P$25*$AG770^7+WeightSDS!Q$25*$AG770^6+WeightSDS!R$25*$AG770^5+WeightSDS!S$25*$AG770^4+WeightSDS!T$25*$AG770^3+WeightSDS!U$25*$AG770^2+WeightSDS!V$25*$AG770+WeightSDS!W$25,WeightSDS!M$27+WeightSDS!N$27/(1+EXP(WeightSDS!O$27+WeightSDS!P$27*$AG770)))),IF($AG770&lt;43.8,WeightSDS!M$29*$AG770^10+WeightSDS!N$29*$AG770^9+WeightSDS!O$29*$AG770^8+WeightSDS!P$29*$AG770^7+WeightSDS!Q$29*$AG770^6+WeightSDS!R$29*$AG770^5+WeightSDS!S$29*$AG770^4+WeightSDS!T$29*$AG770^3+WeightSDS!U$29*$AG770^2+WeightSDS!V$29*$AG770+WeightSDS!W$29-0.010431*(1-$AG770/210),IF($AG770&lt;123,WeightSDS!M$30*$AG770^10+WeightSDS!N$30*$AG770^9+WeightSDS!O$30*$AG770^8+WeightSDS!P$30*$AG770^7+WeightSDS!Q$30*$AG770^6+WeightSDS!R$30*$AG770^5+WeightSDS!S$30*$AG770^4+WeightSDS!T$30*$AG770^3+WeightSDS!U$30*$AG770^2+WeightSDS!V$30*$AG770+WeightSDS!W$30-0.010431*(1-1/$AG770),WeightSDS!M$32+WeightSDS!N$32/(1+EXP(WeightSDS!O$32+WeightSDS!P$32*$AG770))-0.010431*(1-$AG770/210))))</f>
        <v>2.9500001032655536</v>
      </c>
      <c r="AK770" s="24">
        <f>IF(D770="M",IF($AG770&lt;162,WeightSDS!P$12*$AG770^7+WeightSDS!Q$12*$AG770^6+WeightSDS!R$12*$AG770^5+WeightSDS!S$12*$AG770^4+WeightSDS!T$12*$AG770^3+WeightSDS!U$12*$AG770^2+WeightSDS!V$12*$AG770+WeightSDS!W$12,WeightSDS!P$14*$AG770^7+WeightSDS!Q$14*$AG770^6+WeightSDS!R$14*$AG770^5+WeightSDS!S$14*$AG770^4+WeightSDS!T$14*$AG770^3+WeightSDS!U$14*$AG770^2+WeightSDS!V$14*$AG770+WeightSDS!W$14),IF($AG770&lt;156,WeightSDS!O$17*$AG770^8+WeightSDS!P$17*$AG770^7+WeightSDS!Q$17*$AG770^6+WeightSDS!R$17*$AG770^5+WeightSDS!S$17*$AG770^4+WeightSDS!T$17*$AG770^3+WeightSDS!U$17*$AG770^2+WeightSDS!V$17*$AG770+WeightSDS!W$17,IF($AG770&lt;186,WeightSDS!$U$18+(WeightSDS!$V$18-WeightSDS!$U$18)/24*($AG770-186)+WeightSDS!$W$18*(-$AG770+186)^2-0.005,WeightSDS!$U$18+(WeightSDS!$V$18-WeightSDS!$U$18)/24*($AG770-186)-0.005)))</f>
        <v>0.14604529399999999</v>
      </c>
    </row>
    <row r="771" spans="1:37">
      <c r="A771" s="4"/>
      <c r="B771" s="21"/>
      <c r="C771" s="21"/>
      <c r="D771" s="21"/>
      <c r="E771" s="22"/>
      <c r="F771" s="22"/>
      <c r="G771" s="23"/>
      <c r="H771" s="23"/>
      <c r="I771" s="8" t="str">
        <f t="shared" ref="I771:I834" si="194">IF(COUNTA(D771,E771,F771,G771,H771)=5,IF(Q771&gt;17.583,"       *",(G771-(INDEX(IF(D771="F",Hfemalemean,Hmalemean),V771+1,U771+1)))/(INDEX(IF(D771="F",Hfemalesd,Hmalesd),V771+1,U771+1))),"")</f>
        <v/>
      </c>
      <c r="J771" s="2" t="str">
        <f t="shared" si="185"/>
        <v/>
      </c>
      <c r="K771" s="2" t="str">
        <f t="shared" ref="K771:K834" si="195">IF(COUNTA(D771,E771,F771,G771,H771)&lt;5,"",IF(Q771&lt;6,"       *",IF(Q771&gt;=17.583,"       *",(H771-G771*INDEX(IF(D771="F",muratafemale,muratamale),U771-4,1)-INDEX(IF(D771="F",muratafemale,muratamale),U771-4,2))/(G771*INDEX(IF(D771="F",muratafemale,muratamale),U771-4,1)+INDEX(IF(D771="F",muratafemale,muratamale),U771-4,2))*100)))</f>
        <v/>
      </c>
      <c r="L771" s="2" t="str">
        <f t="shared" si="186"/>
        <v/>
      </c>
      <c r="M771" s="2" t="str">
        <f t="shared" si="191"/>
        <v/>
      </c>
      <c r="N771" s="2" t="str">
        <f t="shared" si="187"/>
        <v/>
      </c>
      <c r="O771" s="8" t="str">
        <f t="shared" si="188"/>
        <v/>
      </c>
      <c r="P771" s="8" t="str">
        <f t="shared" si="189"/>
        <v/>
      </c>
      <c r="Q771" s="40" t="str">
        <f t="shared" ref="Q771:Q834" si="196">IF(COUNTA(D771,E771,F771,G771,H771)=5,W771,"")</f>
        <v/>
      </c>
      <c r="R771" s="48" t="str">
        <f t="shared" si="190"/>
        <v/>
      </c>
      <c r="S771" s="8"/>
      <c r="U771" s="35">
        <f t="shared" ref="U771:U834" si="197">DATEDIF(E771,F771,"Y")</f>
        <v>0</v>
      </c>
      <c r="V771" s="24">
        <f t="shared" ref="V771:V834" si="198">DATEDIF(E771,F771,"YM")</f>
        <v>0</v>
      </c>
      <c r="W771" s="41">
        <f t="shared" si="193"/>
        <v>0</v>
      </c>
      <c r="X771" s="31"/>
      <c r="Y771" s="31"/>
      <c r="Z771" s="31"/>
      <c r="AA771" s="25">
        <f t="shared" ref="AA771:AA834" si="199">IF(D771="M",2.06*10^-3*G771^2-0.1166*G771+6.5273,2.49*10^-3*G771^2-0.1858*G771+9.036)</f>
        <v>9.0359999999999996</v>
      </c>
      <c r="AB771" s="25">
        <f t="shared" ref="AB771:AB834" si="200">((G771/100)^3*INDEX(itoOI,IF(D771="M",0,3)+IF(G771&lt;140,1,IF(G771&lt;=149,2,3)),1)+(G771/100)^2*INDEX(itoOI,IF(D771="M",0,3)+IF(G771&lt;140,1,IF(G771&lt;=149,2,3)),2)+(G771/100)*INDEX(itoOI,IF(D771="M",0,3)+IF(G771&lt;140,1,IF(G771&lt;=149,2,3)),3)+INDEX(itoOI,IF(D771="M",0,3)+IF(G771&lt;140,1,IF(G771&lt;=149,2,3)),4))</f>
        <v>-184.49199999999999</v>
      </c>
      <c r="AD771" s="24">
        <f>IF(D771="M",IF(AG771&lt;78,BMILMS!$D$5*AG771^3+BMILMS!$E$5*AG771^2+BMILMS!$F$5*AG771+BMILMS!$G$5,IF(AG771&lt;150,BMILMS!$D$6*AG771^3+BMILMS!$E$6*AG771^2+BMILMS!$F$6*AG771+BMILMS!$G$6,BMILMS!$D$7*AG771^3+BMILMS!$E$7*AG771^2+BMILMS!$F$7*AG771+BMILMS!$G$7)),IF(AG771&lt;69,BMILMS!$D$9*AG771^3+BMILMS!$E$9*AG771^2+BMILMS!$F$9*AG771+BMILMS!$G$9,IF(AG771&lt;150,BMILMS!$D$10*AG771^3+BMILMS!$E$10*AG771^2+BMILMS!$F$10*AG771+BMILMS!$G$10,BMILMS!$D$11*AG771^3+BMILMS!$E$11*AG771^2+BMILMS!$F$11*AG771+BMILMS!$G$11)))</f>
        <v>0.79584630099999998</v>
      </c>
      <c r="AE771" s="24">
        <f>IF(D771="M",(IF(AG771&lt;2.5,BMILMS!$D$21*AG771^3+BMILMS!$E$21*AG771^2+BMILMS!$F$21*AG771+BMILMS!$G$21,IF(AG771&lt;9.5,BMILMS!$D$22*AG771^3+BMILMS!$E$22*AG771^2+BMILMS!$F$22*AG771+BMILMS!$G$22,IF(AG771&lt;26.75,BMILMS!$D$23*AG771^3+BMILMS!$E$23*AG771^2+BMILMS!$F$23*AG771+BMILMS!$G$23,IF(AG771&lt;90,BMILMS!$D$24*AG771^3+BMILMS!$E$24*AG771^2+BMILMS!$F$24*AG771+BMILMS!$G$24,BMILMS!$D$25*AG771^3+BMILMS!$E$25*AG771^2+BMILMS!$F$25*AG771+BMILMS!$G$25))))),(IF(AG771&lt;2.5,BMILMS!$D$27*AG771^3+BMILMS!$E$27*AG771^2+BMILMS!$F$27*AG771+BMILMS!$G$27,IF(AG771&lt;9.5,BMILMS!$D$28*AG771^3+BMILMS!$E$28*AG771^2+BMILMS!$F$28*AG771+BMILMS!$G$28,IF(AG771&lt;26.75,BMILMS!$D$29*AG771^3+BMILMS!$E$29*AG771^2+BMILMS!$F$29*AG771+BMILMS!$G$29,IF(AG771&lt;90,BMILMS!$D$30*AG771^3+BMILMS!$E$30*AG771^2+BMILMS!$F$30*AG771+BMILMS!$G$30,IF(AG771&lt;150,BMILMS!$D$31*AG771^3+BMILMS!$E$31*AG771^2+BMILMS!$F$31*AG771+BMILMS!$G$31,BMILMS!$D$32*AG771^3+BMILMS!$E$32*AG771^2+BMILMS!$F$32*AG771+BMILMS!$G$32)))))))</f>
        <v>12.568967990000001</v>
      </c>
      <c r="AF771" s="24">
        <f>IF(D771="M",(IF(AG771&lt;90,BMILMS!$D$14*AG771^3+BMILMS!$E$14*AG771^2+BMILMS!$F$14*AG771+BMILMS!$G$14,BMILMS!$D$15*AG771^3+BMILMS!$E$15*AG771^2+BMILMS!$F$15*AG771+BMILMS!$G$15)),(IF(AG771&lt;90,BMILMS!$D$17*AG771^3+BMILMS!$E$17*AG771^2+BMILMS!$F$17*AG771+BMILMS!$G$17,BMILMS!$D$18*AG771^3+BMILMS!$E$18*AG771^2+BMILMS!$F$18*AG771+BMILMS!$G$18)))</f>
        <v>8.8969350000000003E-2</v>
      </c>
      <c r="AG771" s="24">
        <f t="shared" si="192"/>
        <v>0</v>
      </c>
      <c r="AI771" s="38">
        <f>IF(D771="M",WeightSDS!P$5*$AG771^7+WeightSDS!Q$5*$AG771^6+WeightSDS!R$5*$AG771^5+WeightSDS!S$5*$AG771^4+WeightSDS!T$5*$AG771^3+WeightSDS!U$5*$AG771^2+WeightSDS!V$5*$AG771+WeightSDS!W$5,IF($AG771&lt;186,WeightSDS!P$8*$AG771^7+WeightSDS!Q$8*$AG771^6+WeightSDS!R$8*$AG771^5+WeightSDS!S$8*$AG771^4+WeightSDS!T$8*$AG771^3+WeightSDS!U$8*$AG771^2+WeightSDS!V$8*$AG771+WeightSDS!W$8,WeightSDS!$U$9-WeightSDS!$V$9*($AG771-WeightSDS!$W$9)))</f>
        <v>0.75407122999999998</v>
      </c>
      <c r="AJ771" s="24">
        <f>IF(D771="M",IF($AG771&lt;45,WeightSDS!M$23*$AG771^10+WeightSDS!N$23*$AG771^9+WeightSDS!O$23*$AG771^8+WeightSDS!P$23*$AG771^7+WeightSDS!Q$23*$AG771^6+WeightSDS!R$23*$AG771^5+WeightSDS!S$23*$AG771^4+WeightSDS!T$23*$AG771^3+WeightSDS!U$23*$AG771^2+WeightSDS!V$23*$AG771+WeightSDS!W$23,IF($AG771&lt;153,WeightSDS!M$25*$AG771^10+WeightSDS!N$25*$AG771^9+WeightSDS!O$25*$AG771^8+WeightSDS!P$25*$AG771^7+WeightSDS!Q$25*$AG771^6+WeightSDS!R$25*$AG771^5+WeightSDS!S$25*$AG771^4+WeightSDS!T$25*$AG771^3+WeightSDS!U$25*$AG771^2+WeightSDS!V$25*$AG771+WeightSDS!W$25,WeightSDS!M$27+WeightSDS!N$27/(1+EXP(WeightSDS!O$27+WeightSDS!P$27*$AG771)))),IF($AG771&lt;43.8,WeightSDS!M$29*$AG771^10+WeightSDS!N$29*$AG771^9+WeightSDS!O$29*$AG771^8+WeightSDS!P$29*$AG771^7+WeightSDS!Q$29*$AG771^6+WeightSDS!R$29*$AG771^5+WeightSDS!S$29*$AG771^4+WeightSDS!T$29*$AG771^3+WeightSDS!U$29*$AG771^2+WeightSDS!V$29*$AG771+WeightSDS!W$29-0.010431*(1-$AG771/210),IF($AG771&lt;123,WeightSDS!M$30*$AG771^10+WeightSDS!N$30*$AG771^9+WeightSDS!O$30*$AG771^8+WeightSDS!P$30*$AG771^7+WeightSDS!Q$30*$AG771^6+WeightSDS!R$30*$AG771^5+WeightSDS!S$30*$AG771^4+WeightSDS!T$30*$AG771^3+WeightSDS!U$30*$AG771^2+WeightSDS!V$30*$AG771+WeightSDS!W$30-0.010431*(1-1/$AG771),WeightSDS!M$32+WeightSDS!N$32/(1+EXP(WeightSDS!O$32+WeightSDS!P$32*$AG771))-0.010431*(1-$AG771/210))))</f>
        <v>2.9500001032655536</v>
      </c>
      <c r="AK771" s="24">
        <f>IF(D771="M",IF($AG771&lt;162,WeightSDS!P$12*$AG771^7+WeightSDS!Q$12*$AG771^6+WeightSDS!R$12*$AG771^5+WeightSDS!S$12*$AG771^4+WeightSDS!T$12*$AG771^3+WeightSDS!U$12*$AG771^2+WeightSDS!V$12*$AG771+WeightSDS!W$12,WeightSDS!P$14*$AG771^7+WeightSDS!Q$14*$AG771^6+WeightSDS!R$14*$AG771^5+WeightSDS!S$14*$AG771^4+WeightSDS!T$14*$AG771^3+WeightSDS!U$14*$AG771^2+WeightSDS!V$14*$AG771+WeightSDS!W$14),IF($AG771&lt;156,WeightSDS!O$17*$AG771^8+WeightSDS!P$17*$AG771^7+WeightSDS!Q$17*$AG771^6+WeightSDS!R$17*$AG771^5+WeightSDS!S$17*$AG771^4+WeightSDS!T$17*$AG771^3+WeightSDS!U$17*$AG771^2+WeightSDS!V$17*$AG771+WeightSDS!W$17,IF($AG771&lt;186,WeightSDS!$U$18+(WeightSDS!$V$18-WeightSDS!$U$18)/24*($AG771-186)+WeightSDS!$W$18*(-$AG771+186)^2-0.005,WeightSDS!$U$18+(WeightSDS!$V$18-WeightSDS!$U$18)/24*($AG771-186)-0.005)))</f>
        <v>0.14604529399999999</v>
      </c>
    </row>
    <row r="772" spans="1:37">
      <c r="A772" s="4"/>
      <c r="B772" s="21"/>
      <c r="C772" s="21"/>
      <c r="D772" s="21"/>
      <c r="E772" s="22"/>
      <c r="F772" s="22"/>
      <c r="G772" s="23"/>
      <c r="H772" s="23"/>
      <c r="I772" s="8" t="str">
        <f t="shared" si="194"/>
        <v/>
      </c>
      <c r="J772" s="2" t="str">
        <f t="shared" ref="J772:J835" si="201">IF(COUNTA(D772,E772,F772,G772,H772)=5,IF(Q772&lt;1,"       *",IF(Q772&gt;=6,"       *",IF(G772&gt;=120,"       *",IF(G772&lt;70,"       *",(H772-AA772)/AA772*100)))),"")</f>
        <v/>
      </c>
      <c r="K772" s="2" t="str">
        <f t="shared" si="195"/>
        <v/>
      </c>
      <c r="L772" s="2" t="str">
        <f t="shared" ref="L772:L835" si="202">IF(COUNTA(D772,E772,F772,G772,H772)=5,IF(G772&gt;=IF(D772="M",181,174),"*",IF(G772&lt;101,"       *",IF(Q772&lt;6,"       *",IF(Q772&gt;=17.583,"*",(H772-AB772)/AB772*100)))),"")</f>
        <v/>
      </c>
      <c r="M772" s="2" t="str">
        <f t="shared" si="191"/>
        <v/>
      </c>
      <c r="N772" s="2" t="str">
        <f t="shared" ref="N772:N835" si="203">IF(COUNTA(D772,E772,F772,G772,H772)=5,IF(Q772&gt;17.583,"   *",NORMSDIST(((M772/AE772)^(AD772)-1)/AD772/AF772)*100),"")</f>
        <v/>
      </c>
      <c r="O772" s="8" t="str">
        <f t="shared" ref="O772:O835" si="204">IF(COUNTA(D772,E772,F772,G772,H772)=5,IF(Q772&gt;17.583,"   *",((M772/AE772)^(AD772)-1)/AD772/AF772),"")</f>
        <v/>
      </c>
      <c r="P772" s="8" t="str">
        <f t="shared" ref="P772:P835" si="205">IF(COUNTA(D772,E772,F772,G772,H772)=5,IF(Q772&gt;17.583,"   *",((H772/AJ772)^(AI772)-1)/AI772/AK772),"")</f>
        <v/>
      </c>
      <c r="Q772" s="40" t="str">
        <f t="shared" si="196"/>
        <v/>
      </c>
      <c r="R772" s="48" t="str">
        <f t="shared" ref="R772:R835" si="206">IF(COUNTA(D772,E772,F772,G772,H772)=5,U772&amp;"歳"&amp;V772&amp;"か月","")</f>
        <v/>
      </c>
      <c r="S772" s="8"/>
      <c r="U772" s="35">
        <f t="shared" si="197"/>
        <v>0</v>
      </c>
      <c r="V772" s="24">
        <f t="shared" si="198"/>
        <v>0</v>
      </c>
      <c r="W772" s="41">
        <f t="shared" si="193"/>
        <v>0</v>
      </c>
      <c r="X772" s="31"/>
      <c r="Y772" s="31"/>
      <c r="Z772" s="31"/>
      <c r="AA772" s="25">
        <f t="shared" si="199"/>
        <v>9.0359999999999996</v>
      </c>
      <c r="AB772" s="25">
        <f t="shared" si="200"/>
        <v>-184.49199999999999</v>
      </c>
      <c r="AD772" s="24">
        <f>IF(D772="M",IF(AG772&lt;78,BMILMS!$D$5*AG772^3+BMILMS!$E$5*AG772^2+BMILMS!$F$5*AG772+BMILMS!$G$5,IF(AG772&lt;150,BMILMS!$D$6*AG772^3+BMILMS!$E$6*AG772^2+BMILMS!$F$6*AG772+BMILMS!$G$6,BMILMS!$D$7*AG772^3+BMILMS!$E$7*AG772^2+BMILMS!$F$7*AG772+BMILMS!$G$7)),IF(AG772&lt;69,BMILMS!$D$9*AG772^3+BMILMS!$E$9*AG772^2+BMILMS!$F$9*AG772+BMILMS!$G$9,IF(AG772&lt;150,BMILMS!$D$10*AG772^3+BMILMS!$E$10*AG772^2+BMILMS!$F$10*AG772+BMILMS!$G$10,BMILMS!$D$11*AG772^3+BMILMS!$E$11*AG772^2+BMILMS!$F$11*AG772+BMILMS!$G$11)))</f>
        <v>0.79584630099999998</v>
      </c>
      <c r="AE772" s="24">
        <f>IF(D772="M",(IF(AG772&lt;2.5,BMILMS!$D$21*AG772^3+BMILMS!$E$21*AG772^2+BMILMS!$F$21*AG772+BMILMS!$G$21,IF(AG772&lt;9.5,BMILMS!$D$22*AG772^3+BMILMS!$E$22*AG772^2+BMILMS!$F$22*AG772+BMILMS!$G$22,IF(AG772&lt;26.75,BMILMS!$D$23*AG772^3+BMILMS!$E$23*AG772^2+BMILMS!$F$23*AG772+BMILMS!$G$23,IF(AG772&lt;90,BMILMS!$D$24*AG772^3+BMILMS!$E$24*AG772^2+BMILMS!$F$24*AG772+BMILMS!$G$24,BMILMS!$D$25*AG772^3+BMILMS!$E$25*AG772^2+BMILMS!$F$25*AG772+BMILMS!$G$25))))),(IF(AG772&lt;2.5,BMILMS!$D$27*AG772^3+BMILMS!$E$27*AG772^2+BMILMS!$F$27*AG772+BMILMS!$G$27,IF(AG772&lt;9.5,BMILMS!$D$28*AG772^3+BMILMS!$E$28*AG772^2+BMILMS!$F$28*AG772+BMILMS!$G$28,IF(AG772&lt;26.75,BMILMS!$D$29*AG772^3+BMILMS!$E$29*AG772^2+BMILMS!$F$29*AG772+BMILMS!$G$29,IF(AG772&lt;90,BMILMS!$D$30*AG772^3+BMILMS!$E$30*AG772^2+BMILMS!$F$30*AG772+BMILMS!$G$30,IF(AG772&lt;150,BMILMS!$D$31*AG772^3+BMILMS!$E$31*AG772^2+BMILMS!$F$31*AG772+BMILMS!$G$31,BMILMS!$D$32*AG772^3+BMILMS!$E$32*AG772^2+BMILMS!$F$32*AG772+BMILMS!$G$32)))))))</f>
        <v>12.568967990000001</v>
      </c>
      <c r="AF772" s="24">
        <f>IF(D772="M",(IF(AG772&lt;90,BMILMS!$D$14*AG772^3+BMILMS!$E$14*AG772^2+BMILMS!$F$14*AG772+BMILMS!$G$14,BMILMS!$D$15*AG772^3+BMILMS!$E$15*AG772^2+BMILMS!$F$15*AG772+BMILMS!$G$15)),(IF(AG772&lt;90,BMILMS!$D$17*AG772^3+BMILMS!$E$17*AG772^2+BMILMS!$F$17*AG772+BMILMS!$G$17,BMILMS!$D$18*AG772^3+BMILMS!$E$18*AG772^2+BMILMS!$F$18*AG772+BMILMS!$G$18)))</f>
        <v>8.8969350000000003E-2</v>
      </c>
      <c r="AG772" s="24">
        <f t="shared" si="192"/>
        <v>0</v>
      </c>
      <c r="AI772" s="38">
        <f>IF(D772="M",WeightSDS!P$5*$AG772^7+WeightSDS!Q$5*$AG772^6+WeightSDS!R$5*$AG772^5+WeightSDS!S$5*$AG772^4+WeightSDS!T$5*$AG772^3+WeightSDS!U$5*$AG772^2+WeightSDS!V$5*$AG772+WeightSDS!W$5,IF($AG772&lt;186,WeightSDS!P$8*$AG772^7+WeightSDS!Q$8*$AG772^6+WeightSDS!R$8*$AG772^5+WeightSDS!S$8*$AG772^4+WeightSDS!T$8*$AG772^3+WeightSDS!U$8*$AG772^2+WeightSDS!V$8*$AG772+WeightSDS!W$8,WeightSDS!$U$9-WeightSDS!$V$9*($AG772-WeightSDS!$W$9)))</f>
        <v>0.75407122999999998</v>
      </c>
      <c r="AJ772" s="24">
        <f>IF(D772="M",IF($AG772&lt;45,WeightSDS!M$23*$AG772^10+WeightSDS!N$23*$AG772^9+WeightSDS!O$23*$AG772^8+WeightSDS!P$23*$AG772^7+WeightSDS!Q$23*$AG772^6+WeightSDS!R$23*$AG772^5+WeightSDS!S$23*$AG772^4+WeightSDS!T$23*$AG772^3+WeightSDS!U$23*$AG772^2+WeightSDS!V$23*$AG772+WeightSDS!W$23,IF($AG772&lt;153,WeightSDS!M$25*$AG772^10+WeightSDS!N$25*$AG772^9+WeightSDS!O$25*$AG772^8+WeightSDS!P$25*$AG772^7+WeightSDS!Q$25*$AG772^6+WeightSDS!R$25*$AG772^5+WeightSDS!S$25*$AG772^4+WeightSDS!T$25*$AG772^3+WeightSDS!U$25*$AG772^2+WeightSDS!V$25*$AG772+WeightSDS!W$25,WeightSDS!M$27+WeightSDS!N$27/(1+EXP(WeightSDS!O$27+WeightSDS!P$27*$AG772)))),IF($AG772&lt;43.8,WeightSDS!M$29*$AG772^10+WeightSDS!N$29*$AG772^9+WeightSDS!O$29*$AG772^8+WeightSDS!P$29*$AG772^7+WeightSDS!Q$29*$AG772^6+WeightSDS!R$29*$AG772^5+WeightSDS!S$29*$AG772^4+WeightSDS!T$29*$AG772^3+WeightSDS!U$29*$AG772^2+WeightSDS!V$29*$AG772+WeightSDS!W$29-0.010431*(1-$AG772/210),IF($AG772&lt;123,WeightSDS!M$30*$AG772^10+WeightSDS!N$30*$AG772^9+WeightSDS!O$30*$AG772^8+WeightSDS!P$30*$AG772^7+WeightSDS!Q$30*$AG772^6+WeightSDS!R$30*$AG772^5+WeightSDS!S$30*$AG772^4+WeightSDS!T$30*$AG772^3+WeightSDS!U$30*$AG772^2+WeightSDS!V$30*$AG772+WeightSDS!W$30-0.010431*(1-1/$AG772),WeightSDS!M$32+WeightSDS!N$32/(1+EXP(WeightSDS!O$32+WeightSDS!P$32*$AG772))-0.010431*(1-$AG772/210))))</f>
        <v>2.9500001032655536</v>
      </c>
      <c r="AK772" s="24">
        <f>IF(D772="M",IF($AG772&lt;162,WeightSDS!P$12*$AG772^7+WeightSDS!Q$12*$AG772^6+WeightSDS!R$12*$AG772^5+WeightSDS!S$12*$AG772^4+WeightSDS!T$12*$AG772^3+WeightSDS!U$12*$AG772^2+WeightSDS!V$12*$AG772+WeightSDS!W$12,WeightSDS!P$14*$AG772^7+WeightSDS!Q$14*$AG772^6+WeightSDS!R$14*$AG772^5+WeightSDS!S$14*$AG772^4+WeightSDS!T$14*$AG772^3+WeightSDS!U$14*$AG772^2+WeightSDS!V$14*$AG772+WeightSDS!W$14),IF($AG772&lt;156,WeightSDS!O$17*$AG772^8+WeightSDS!P$17*$AG772^7+WeightSDS!Q$17*$AG772^6+WeightSDS!R$17*$AG772^5+WeightSDS!S$17*$AG772^4+WeightSDS!T$17*$AG772^3+WeightSDS!U$17*$AG772^2+WeightSDS!V$17*$AG772+WeightSDS!W$17,IF($AG772&lt;186,WeightSDS!$U$18+(WeightSDS!$V$18-WeightSDS!$U$18)/24*($AG772-186)+WeightSDS!$W$18*(-$AG772+186)^2-0.005,WeightSDS!$U$18+(WeightSDS!$V$18-WeightSDS!$U$18)/24*($AG772-186)-0.005)))</f>
        <v>0.14604529399999999</v>
      </c>
    </row>
    <row r="773" spans="1:37">
      <c r="A773" s="4"/>
      <c r="B773" s="21"/>
      <c r="C773" s="21"/>
      <c r="D773" s="21"/>
      <c r="E773" s="22"/>
      <c r="F773" s="22"/>
      <c r="G773" s="23"/>
      <c r="H773" s="23"/>
      <c r="I773" s="8" t="str">
        <f t="shared" si="194"/>
        <v/>
      </c>
      <c r="J773" s="2" t="str">
        <f t="shared" si="201"/>
        <v/>
      </c>
      <c r="K773" s="2" t="str">
        <f t="shared" si="195"/>
        <v/>
      </c>
      <c r="L773" s="2" t="str">
        <f t="shared" si="202"/>
        <v/>
      </c>
      <c r="M773" s="2" t="str">
        <f t="shared" si="191"/>
        <v/>
      </c>
      <c r="N773" s="2" t="str">
        <f t="shared" si="203"/>
        <v/>
      </c>
      <c r="O773" s="8" t="str">
        <f t="shared" si="204"/>
        <v/>
      </c>
      <c r="P773" s="8" t="str">
        <f t="shared" si="205"/>
        <v/>
      </c>
      <c r="Q773" s="40" t="str">
        <f t="shared" si="196"/>
        <v/>
      </c>
      <c r="R773" s="48" t="str">
        <f t="shared" si="206"/>
        <v/>
      </c>
      <c r="S773" s="8"/>
      <c r="U773" s="35">
        <f t="shared" si="197"/>
        <v>0</v>
      </c>
      <c r="V773" s="24">
        <f t="shared" si="198"/>
        <v>0</v>
      </c>
      <c r="W773" s="41">
        <f t="shared" si="193"/>
        <v>0</v>
      </c>
      <c r="X773" s="31"/>
      <c r="Y773" s="31"/>
      <c r="Z773" s="31"/>
      <c r="AA773" s="25">
        <f t="shared" si="199"/>
        <v>9.0359999999999996</v>
      </c>
      <c r="AB773" s="25">
        <f t="shared" si="200"/>
        <v>-184.49199999999999</v>
      </c>
      <c r="AD773" s="24">
        <f>IF(D773="M",IF(AG773&lt;78,BMILMS!$D$5*AG773^3+BMILMS!$E$5*AG773^2+BMILMS!$F$5*AG773+BMILMS!$G$5,IF(AG773&lt;150,BMILMS!$D$6*AG773^3+BMILMS!$E$6*AG773^2+BMILMS!$F$6*AG773+BMILMS!$G$6,BMILMS!$D$7*AG773^3+BMILMS!$E$7*AG773^2+BMILMS!$F$7*AG773+BMILMS!$G$7)),IF(AG773&lt;69,BMILMS!$D$9*AG773^3+BMILMS!$E$9*AG773^2+BMILMS!$F$9*AG773+BMILMS!$G$9,IF(AG773&lt;150,BMILMS!$D$10*AG773^3+BMILMS!$E$10*AG773^2+BMILMS!$F$10*AG773+BMILMS!$G$10,BMILMS!$D$11*AG773^3+BMILMS!$E$11*AG773^2+BMILMS!$F$11*AG773+BMILMS!$G$11)))</f>
        <v>0.79584630099999998</v>
      </c>
      <c r="AE773" s="24">
        <f>IF(D773="M",(IF(AG773&lt;2.5,BMILMS!$D$21*AG773^3+BMILMS!$E$21*AG773^2+BMILMS!$F$21*AG773+BMILMS!$G$21,IF(AG773&lt;9.5,BMILMS!$D$22*AG773^3+BMILMS!$E$22*AG773^2+BMILMS!$F$22*AG773+BMILMS!$G$22,IF(AG773&lt;26.75,BMILMS!$D$23*AG773^3+BMILMS!$E$23*AG773^2+BMILMS!$F$23*AG773+BMILMS!$G$23,IF(AG773&lt;90,BMILMS!$D$24*AG773^3+BMILMS!$E$24*AG773^2+BMILMS!$F$24*AG773+BMILMS!$G$24,BMILMS!$D$25*AG773^3+BMILMS!$E$25*AG773^2+BMILMS!$F$25*AG773+BMILMS!$G$25))))),(IF(AG773&lt;2.5,BMILMS!$D$27*AG773^3+BMILMS!$E$27*AG773^2+BMILMS!$F$27*AG773+BMILMS!$G$27,IF(AG773&lt;9.5,BMILMS!$D$28*AG773^3+BMILMS!$E$28*AG773^2+BMILMS!$F$28*AG773+BMILMS!$G$28,IF(AG773&lt;26.75,BMILMS!$D$29*AG773^3+BMILMS!$E$29*AG773^2+BMILMS!$F$29*AG773+BMILMS!$G$29,IF(AG773&lt;90,BMILMS!$D$30*AG773^3+BMILMS!$E$30*AG773^2+BMILMS!$F$30*AG773+BMILMS!$G$30,IF(AG773&lt;150,BMILMS!$D$31*AG773^3+BMILMS!$E$31*AG773^2+BMILMS!$F$31*AG773+BMILMS!$G$31,BMILMS!$D$32*AG773^3+BMILMS!$E$32*AG773^2+BMILMS!$F$32*AG773+BMILMS!$G$32)))))))</f>
        <v>12.568967990000001</v>
      </c>
      <c r="AF773" s="24">
        <f>IF(D773="M",(IF(AG773&lt;90,BMILMS!$D$14*AG773^3+BMILMS!$E$14*AG773^2+BMILMS!$F$14*AG773+BMILMS!$G$14,BMILMS!$D$15*AG773^3+BMILMS!$E$15*AG773^2+BMILMS!$F$15*AG773+BMILMS!$G$15)),(IF(AG773&lt;90,BMILMS!$D$17*AG773^3+BMILMS!$E$17*AG773^2+BMILMS!$F$17*AG773+BMILMS!$G$17,BMILMS!$D$18*AG773^3+BMILMS!$E$18*AG773^2+BMILMS!$F$18*AG773+BMILMS!$G$18)))</f>
        <v>8.8969350000000003E-2</v>
      </c>
      <c r="AG773" s="24">
        <f t="shared" si="192"/>
        <v>0</v>
      </c>
      <c r="AI773" s="38">
        <f>IF(D773="M",WeightSDS!P$5*$AG773^7+WeightSDS!Q$5*$AG773^6+WeightSDS!R$5*$AG773^5+WeightSDS!S$5*$AG773^4+WeightSDS!T$5*$AG773^3+WeightSDS!U$5*$AG773^2+WeightSDS!V$5*$AG773+WeightSDS!W$5,IF($AG773&lt;186,WeightSDS!P$8*$AG773^7+WeightSDS!Q$8*$AG773^6+WeightSDS!R$8*$AG773^5+WeightSDS!S$8*$AG773^4+WeightSDS!T$8*$AG773^3+WeightSDS!U$8*$AG773^2+WeightSDS!V$8*$AG773+WeightSDS!W$8,WeightSDS!$U$9-WeightSDS!$V$9*($AG773-WeightSDS!$W$9)))</f>
        <v>0.75407122999999998</v>
      </c>
      <c r="AJ773" s="24">
        <f>IF(D773="M",IF($AG773&lt;45,WeightSDS!M$23*$AG773^10+WeightSDS!N$23*$AG773^9+WeightSDS!O$23*$AG773^8+WeightSDS!P$23*$AG773^7+WeightSDS!Q$23*$AG773^6+WeightSDS!R$23*$AG773^5+WeightSDS!S$23*$AG773^4+WeightSDS!T$23*$AG773^3+WeightSDS!U$23*$AG773^2+WeightSDS!V$23*$AG773+WeightSDS!W$23,IF($AG773&lt;153,WeightSDS!M$25*$AG773^10+WeightSDS!N$25*$AG773^9+WeightSDS!O$25*$AG773^8+WeightSDS!P$25*$AG773^7+WeightSDS!Q$25*$AG773^6+WeightSDS!R$25*$AG773^5+WeightSDS!S$25*$AG773^4+WeightSDS!T$25*$AG773^3+WeightSDS!U$25*$AG773^2+WeightSDS!V$25*$AG773+WeightSDS!W$25,WeightSDS!M$27+WeightSDS!N$27/(1+EXP(WeightSDS!O$27+WeightSDS!P$27*$AG773)))),IF($AG773&lt;43.8,WeightSDS!M$29*$AG773^10+WeightSDS!N$29*$AG773^9+WeightSDS!O$29*$AG773^8+WeightSDS!P$29*$AG773^7+WeightSDS!Q$29*$AG773^6+WeightSDS!R$29*$AG773^5+WeightSDS!S$29*$AG773^4+WeightSDS!T$29*$AG773^3+WeightSDS!U$29*$AG773^2+WeightSDS!V$29*$AG773+WeightSDS!W$29-0.010431*(1-$AG773/210),IF($AG773&lt;123,WeightSDS!M$30*$AG773^10+WeightSDS!N$30*$AG773^9+WeightSDS!O$30*$AG773^8+WeightSDS!P$30*$AG773^7+WeightSDS!Q$30*$AG773^6+WeightSDS!R$30*$AG773^5+WeightSDS!S$30*$AG773^4+WeightSDS!T$30*$AG773^3+WeightSDS!U$30*$AG773^2+WeightSDS!V$30*$AG773+WeightSDS!W$30-0.010431*(1-1/$AG773),WeightSDS!M$32+WeightSDS!N$32/(1+EXP(WeightSDS!O$32+WeightSDS!P$32*$AG773))-0.010431*(1-$AG773/210))))</f>
        <v>2.9500001032655536</v>
      </c>
      <c r="AK773" s="24">
        <f>IF(D773="M",IF($AG773&lt;162,WeightSDS!P$12*$AG773^7+WeightSDS!Q$12*$AG773^6+WeightSDS!R$12*$AG773^5+WeightSDS!S$12*$AG773^4+WeightSDS!T$12*$AG773^3+WeightSDS!U$12*$AG773^2+WeightSDS!V$12*$AG773+WeightSDS!W$12,WeightSDS!P$14*$AG773^7+WeightSDS!Q$14*$AG773^6+WeightSDS!R$14*$AG773^5+WeightSDS!S$14*$AG773^4+WeightSDS!T$14*$AG773^3+WeightSDS!U$14*$AG773^2+WeightSDS!V$14*$AG773+WeightSDS!W$14),IF($AG773&lt;156,WeightSDS!O$17*$AG773^8+WeightSDS!P$17*$AG773^7+WeightSDS!Q$17*$AG773^6+WeightSDS!R$17*$AG773^5+WeightSDS!S$17*$AG773^4+WeightSDS!T$17*$AG773^3+WeightSDS!U$17*$AG773^2+WeightSDS!V$17*$AG773+WeightSDS!W$17,IF($AG773&lt;186,WeightSDS!$U$18+(WeightSDS!$V$18-WeightSDS!$U$18)/24*($AG773-186)+WeightSDS!$W$18*(-$AG773+186)^2-0.005,WeightSDS!$U$18+(WeightSDS!$V$18-WeightSDS!$U$18)/24*($AG773-186)-0.005)))</f>
        <v>0.14604529399999999</v>
      </c>
    </row>
    <row r="774" spans="1:37">
      <c r="A774" s="4"/>
      <c r="B774" s="21"/>
      <c r="C774" s="21"/>
      <c r="D774" s="21"/>
      <c r="E774" s="22"/>
      <c r="F774" s="22"/>
      <c r="G774" s="23"/>
      <c r="H774" s="23"/>
      <c r="I774" s="8" t="str">
        <f t="shared" si="194"/>
        <v/>
      </c>
      <c r="J774" s="2" t="str">
        <f t="shared" si="201"/>
        <v/>
      </c>
      <c r="K774" s="2" t="str">
        <f t="shared" si="195"/>
        <v/>
      </c>
      <c r="L774" s="2" t="str">
        <f t="shared" si="202"/>
        <v/>
      </c>
      <c r="M774" s="2" t="str">
        <f t="shared" si="191"/>
        <v/>
      </c>
      <c r="N774" s="2" t="str">
        <f t="shared" si="203"/>
        <v/>
      </c>
      <c r="O774" s="8" t="str">
        <f t="shared" si="204"/>
        <v/>
      </c>
      <c r="P774" s="8" t="str">
        <f t="shared" si="205"/>
        <v/>
      </c>
      <c r="Q774" s="40" t="str">
        <f t="shared" si="196"/>
        <v/>
      </c>
      <c r="R774" s="48" t="str">
        <f t="shared" si="206"/>
        <v/>
      </c>
      <c r="S774" s="8"/>
      <c r="U774" s="35">
        <f t="shared" si="197"/>
        <v>0</v>
      </c>
      <c r="V774" s="24">
        <f t="shared" si="198"/>
        <v>0</v>
      </c>
      <c r="W774" s="41">
        <f t="shared" si="193"/>
        <v>0</v>
      </c>
      <c r="X774" s="31"/>
      <c r="Y774" s="31"/>
      <c r="Z774" s="31"/>
      <c r="AA774" s="25">
        <f t="shared" si="199"/>
        <v>9.0359999999999996</v>
      </c>
      <c r="AB774" s="25">
        <f t="shared" si="200"/>
        <v>-184.49199999999999</v>
      </c>
      <c r="AD774" s="24">
        <f>IF(D774="M",IF(AG774&lt;78,BMILMS!$D$5*AG774^3+BMILMS!$E$5*AG774^2+BMILMS!$F$5*AG774+BMILMS!$G$5,IF(AG774&lt;150,BMILMS!$D$6*AG774^3+BMILMS!$E$6*AG774^2+BMILMS!$F$6*AG774+BMILMS!$G$6,BMILMS!$D$7*AG774^3+BMILMS!$E$7*AG774^2+BMILMS!$F$7*AG774+BMILMS!$G$7)),IF(AG774&lt;69,BMILMS!$D$9*AG774^3+BMILMS!$E$9*AG774^2+BMILMS!$F$9*AG774+BMILMS!$G$9,IF(AG774&lt;150,BMILMS!$D$10*AG774^3+BMILMS!$E$10*AG774^2+BMILMS!$F$10*AG774+BMILMS!$G$10,BMILMS!$D$11*AG774^3+BMILMS!$E$11*AG774^2+BMILMS!$F$11*AG774+BMILMS!$G$11)))</f>
        <v>0.79584630099999998</v>
      </c>
      <c r="AE774" s="24">
        <f>IF(D774="M",(IF(AG774&lt;2.5,BMILMS!$D$21*AG774^3+BMILMS!$E$21*AG774^2+BMILMS!$F$21*AG774+BMILMS!$G$21,IF(AG774&lt;9.5,BMILMS!$D$22*AG774^3+BMILMS!$E$22*AG774^2+BMILMS!$F$22*AG774+BMILMS!$G$22,IF(AG774&lt;26.75,BMILMS!$D$23*AG774^3+BMILMS!$E$23*AG774^2+BMILMS!$F$23*AG774+BMILMS!$G$23,IF(AG774&lt;90,BMILMS!$D$24*AG774^3+BMILMS!$E$24*AG774^2+BMILMS!$F$24*AG774+BMILMS!$G$24,BMILMS!$D$25*AG774^3+BMILMS!$E$25*AG774^2+BMILMS!$F$25*AG774+BMILMS!$G$25))))),(IF(AG774&lt;2.5,BMILMS!$D$27*AG774^3+BMILMS!$E$27*AG774^2+BMILMS!$F$27*AG774+BMILMS!$G$27,IF(AG774&lt;9.5,BMILMS!$D$28*AG774^3+BMILMS!$E$28*AG774^2+BMILMS!$F$28*AG774+BMILMS!$G$28,IF(AG774&lt;26.75,BMILMS!$D$29*AG774^3+BMILMS!$E$29*AG774^2+BMILMS!$F$29*AG774+BMILMS!$G$29,IF(AG774&lt;90,BMILMS!$D$30*AG774^3+BMILMS!$E$30*AG774^2+BMILMS!$F$30*AG774+BMILMS!$G$30,IF(AG774&lt;150,BMILMS!$D$31*AG774^3+BMILMS!$E$31*AG774^2+BMILMS!$F$31*AG774+BMILMS!$G$31,BMILMS!$D$32*AG774^3+BMILMS!$E$32*AG774^2+BMILMS!$F$32*AG774+BMILMS!$G$32)))))))</f>
        <v>12.568967990000001</v>
      </c>
      <c r="AF774" s="24">
        <f>IF(D774="M",(IF(AG774&lt;90,BMILMS!$D$14*AG774^3+BMILMS!$E$14*AG774^2+BMILMS!$F$14*AG774+BMILMS!$G$14,BMILMS!$D$15*AG774^3+BMILMS!$E$15*AG774^2+BMILMS!$F$15*AG774+BMILMS!$G$15)),(IF(AG774&lt;90,BMILMS!$D$17*AG774^3+BMILMS!$E$17*AG774^2+BMILMS!$F$17*AG774+BMILMS!$G$17,BMILMS!$D$18*AG774^3+BMILMS!$E$18*AG774^2+BMILMS!$F$18*AG774+BMILMS!$G$18)))</f>
        <v>8.8969350000000003E-2</v>
      </c>
      <c r="AG774" s="24">
        <f t="shared" si="192"/>
        <v>0</v>
      </c>
      <c r="AI774" s="38">
        <f>IF(D774="M",WeightSDS!P$5*$AG774^7+WeightSDS!Q$5*$AG774^6+WeightSDS!R$5*$AG774^5+WeightSDS!S$5*$AG774^4+WeightSDS!T$5*$AG774^3+WeightSDS!U$5*$AG774^2+WeightSDS!V$5*$AG774+WeightSDS!W$5,IF($AG774&lt;186,WeightSDS!P$8*$AG774^7+WeightSDS!Q$8*$AG774^6+WeightSDS!R$8*$AG774^5+WeightSDS!S$8*$AG774^4+WeightSDS!T$8*$AG774^3+WeightSDS!U$8*$AG774^2+WeightSDS!V$8*$AG774+WeightSDS!W$8,WeightSDS!$U$9-WeightSDS!$V$9*($AG774-WeightSDS!$W$9)))</f>
        <v>0.75407122999999998</v>
      </c>
      <c r="AJ774" s="24">
        <f>IF(D774="M",IF($AG774&lt;45,WeightSDS!M$23*$AG774^10+WeightSDS!N$23*$AG774^9+WeightSDS!O$23*$AG774^8+WeightSDS!P$23*$AG774^7+WeightSDS!Q$23*$AG774^6+WeightSDS!R$23*$AG774^5+WeightSDS!S$23*$AG774^4+WeightSDS!T$23*$AG774^3+WeightSDS!U$23*$AG774^2+WeightSDS!V$23*$AG774+WeightSDS!W$23,IF($AG774&lt;153,WeightSDS!M$25*$AG774^10+WeightSDS!N$25*$AG774^9+WeightSDS!O$25*$AG774^8+WeightSDS!P$25*$AG774^7+WeightSDS!Q$25*$AG774^6+WeightSDS!R$25*$AG774^5+WeightSDS!S$25*$AG774^4+WeightSDS!T$25*$AG774^3+WeightSDS!U$25*$AG774^2+WeightSDS!V$25*$AG774+WeightSDS!W$25,WeightSDS!M$27+WeightSDS!N$27/(1+EXP(WeightSDS!O$27+WeightSDS!P$27*$AG774)))),IF($AG774&lt;43.8,WeightSDS!M$29*$AG774^10+WeightSDS!N$29*$AG774^9+WeightSDS!O$29*$AG774^8+WeightSDS!P$29*$AG774^7+WeightSDS!Q$29*$AG774^6+WeightSDS!R$29*$AG774^5+WeightSDS!S$29*$AG774^4+WeightSDS!T$29*$AG774^3+WeightSDS!U$29*$AG774^2+WeightSDS!V$29*$AG774+WeightSDS!W$29-0.010431*(1-$AG774/210),IF($AG774&lt;123,WeightSDS!M$30*$AG774^10+WeightSDS!N$30*$AG774^9+WeightSDS!O$30*$AG774^8+WeightSDS!P$30*$AG774^7+WeightSDS!Q$30*$AG774^6+WeightSDS!R$30*$AG774^5+WeightSDS!S$30*$AG774^4+WeightSDS!T$30*$AG774^3+WeightSDS!U$30*$AG774^2+WeightSDS!V$30*$AG774+WeightSDS!W$30-0.010431*(1-1/$AG774),WeightSDS!M$32+WeightSDS!N$32/(1+EXP(WeightSDS!O$32+WeightSDS!P$32*$AG774))-0.010431*(1-$AG774/210))))</f>
        <v>2.9500001032655536</v>
      </c>
      <c r="AK774" s="24">
        <f>IF(D774="M",IF($AG774&lt;162,WeightSDS!P$12*$AG774^7+WeightSDS!Q$12*$AG774^6+WeightSDS!R$12*$AG774^5+WeightSDS!S$12*$AG774^4+WeightSDS!T$12*$AG774^3+WeightSDS!U$12*$AG774^2+WeightSDS!V$12*$AG774+WeightSDS!W$12,WeightSDS!P$14*$AG774^7+WeightSDS!Q$14*$AG774^6+WeightSDS!R$14*$AG774^5+WeightSDS!S$14*$AG774^4+WeightSDS!T$14*$AG774^3+WeightSDS!U$14*$AG774^2+WeightSDS!V$14*$AG774+WeightSDS!W$14),IF($AG774&lt;156,WeightSDS!O$17*$AG774^8+WeightSDS!P$17*$AG774^7+WeightSDS!Q$17*$AG774^6+WeightSDS!R$17*$AG774^5+WeightSDS!S$17*$AG774^4+WeightSDS!T$17*$AG774^3+WeightSDS!U$17*$AG774^2+WeightSDS!V$17*$AG774+WeightSDS!W$17,IF($AG774&lt;186,WeightSDS!$U$18+(WeightSDS!$V$18-WeightSDS!$U$18)/24*($AG774-186)+WeightSDS!$W$18*(-$AG774+186)^2-0.005,WeightSDS!$U$18+(WeightSDS!$V$18-WeightSDS!$U$18)/24*($AG774-186)-0.005)))</f>
        <v>0.14604529399999999</v>
      </c>
    </row>
    <row r="775" spans="1:37">
      <c r="A775" s="4"/>
      <c r="B775" s="21"/>
      <c r="C775" s="21"/>
      <c r="D775" s="21"/>
      <c r="E775" s="22"/>
      <c r="F775" s="22"/>
      <c r="G775" s="23"/>
      <c r="H775" s="23"/>
      <c r="I775" s="8" t="str">
        <f t="shared" si="194"/>
        <v/>
      </c>
      <c r="J775" s="2" t="str">
        <f t="shared" si="201"/>
        <v/>
      </c>
      <c r="K775" s="2" t="str">
        <f t="shared" si="195"/>
        <v/>
      </c>
      <c r="L775" s="2" t="str">
        <f t="shared" si="202"/>
        <v/>
      </c>
      <c r="M775" s="2" t="str">
        <f t="shared" si="191"/>
        <v/>
      </c>
      <c r="N775" s="2" t="str">
        <f t="shared" si="203"/>
        <v/>
      </c>
      <c r="O775" s="8" t="str">
        <f t="shared" si="204"/>
        <v/>
      </c>
      <c r="P775" s="8" t="str">
        <f t="shared" si="205"/>
        <v/>
      </c>
      <c r="Q775" s="40" t="str">
        <f t="shared" si="196"/>
        <v/>
      </c>
      <c r="R775" s="48" t="str">
        <f t="shared" si="206"/>
        <v/>
      </c>
      <c r="S775" s="8"/>
      <c r="U775" s="35">
        <f t="shared" si="197"/>
        <v>0</v>
      </c>
      <c r="V775" s="24">
        <f t="shared" si="198"/>
        <v>0</v>
      </c>
      <c r="W775" s="41">
        <f t="shared" si="193"/>
        <v>0</v>
      </c>
      <c r="X775" s="31"/>
      <c r="Y775" s="31"/>
      <c r="Z775" s="31"/>
      <c r="AA775" s="25">
        <f t="shared" si="199"/>
        <v>9.0359999999999996</v>
      </c>
      <c r="AB775" s="25">
        <f t="shared" si="200"/>
        <v>-184.49199999999999</v>
      </c>
      <c r="AD775" s="24">
        <f>IF(D775="M",IF(AG775&lt;78,BMILMS!$D$5*AG775^3+BMILMS!$E$5*AG775^2+BMILMS!$F$5*AG775+BMILMS!$G$5,IF(AG775&lt;150,BMILMS!$D$6*AG775^3+BMILMS!$E$6*AG775^2+BMILMS!$F$6*AG775+BMILMS!$G$6,BMILMS!$D$7*AG775^3+BMILMS!$E$7*AG775^2+BMILMS!$F$7*AG775+BMILMS!$G$7)),IF(AG775&lt;69,BMILMS!$D$9*AG775^3+BMILMS!$E$9*AG775^2+BMILMS!$F$9*AG775+BMILMS!$G$9,IF(AG775&lt;150,BMILMS!$D$10*AG775^3+BMILMS!$E$10*AG775^2+BMILMS!$F$10*AG775+BMILMS!$G$10,BMILMS!$D$11*AG775^3+BMILMS!$E$11*AG775^2+BMILMS!$F$11*AG775+BMILMS!$G$11)))</f>
        <v>0.79584630099999998</v>
      </c>
      <c r="AE775" s="24">
        <f>IF(D775="M",(IF(AG775&lt;2.5,BMILMS!$D$21*AG775^3+BMILMS!$E$21*AG775^2+BMILMS!$F$21*AG775+BMILMS!$G$21,IF(AG775&lt;9.5,BMILMS!$D$22*AG775^3+BMILMS!$E$22*AG775^2+BMILMS!$F$22*AG775+BMILMS!$G$22,IF(AG775&lt;26.75,BMILMS!$D$23*AG775^3+BMILMS!$E$23*AG775^2+BMILMS!$F$23*AG775+BMILMS!$G$23,IF(AG775&lt;90,BMILMS!$D$24*AG775^3+BMILMS!$E$24*AG775^2+BMILMS!$F$24*AG775+BMILMS!$G$24,BMILMS!$D$25*AG775^3+BMILMS!$E$25*AG775^2+BMILMS!$F$25*AG775+BMILMS!$G$25))))),(IF(AG775&lt;2.5,BMILMS!$D$27*AG775^3+BMILMS!$E$27*AG775^2+BMILMS!$F$27*AG775+BMILMS!$G$27,IF(AG775&lt;9.5,BMILMS!$D$28*AG775^3+BMILMS!$E$28*AG775^2+BMILMS!$F$28*AG775+BMILMS!$G$28,IF(AG775&lt;26.75,BMILMS!$D$29*AG775^3+BMILMS!$E$29*AG775^2+BMILMS!$F$29*AG775+BMILMS!$G$29,IF(AG775&lt;90,BMILMS!$D$30*AG775^3+BMILMS!$E$30*AG775^2+BMILMS!$F$30*AG775+BMILMS!$G$30,IF(AG775&lt;150,BMILMS!$D$31*AG775^3+BMILMS!$E$31*AG775^2+BMILMS!$F$31*AG775+BMILMS!$G$31,BMILMS!$D$32*AG775^3+BMILMS!$E$32*AG775^2+BMILMS!$F$32*AG775+BMILMS!$G$32)))))))</f>
        <v>12.568967990000001</v>
      </c>
      <c r="AF775" s="24">
        <f>IF(D775="M",(IF(AG775&lt;90,BMILMS!$D$14*AG775^3+BMILMS!$E$14*AG775^2+BMILMS!$F$14*AG775+BMILMS!$G$14,BMILMS!$D$15*AG775^3+BMILMS!$E$15*AG775^2+BMILMS!$F$15*AG775+BMILMS!$G$15)),(IF(AG775&lt;90,BMILMS!$D$17*AG775^3+BMILMS!$E$17*AG775^2+BMILMS!$F$17*AG775+BMILMS!$G$17,BMILMS!$D$18*AG775^3+BMILMS!$E$18*AG775^2+BMILMS!$F$18*AG775+BMILMS!$G$18)))</f>
        <v>8.8969350000000003E-2</v>
      </c>
      <c r="AG775" s="24">
        <f t="shared" si="192"/>
        <v>0</v>
      </c>
      <c r="AI775" s="38">
        <f>IF(D775="M",WeightSDS!P$5*$AG775^7+WeightSDS!Q$5*$AG775^6+WeightSDS!R$5*$AG775^5+WeightSDS!S$5*$AG775^4+WeightSDS!T$5*$AG775^3+WeightSDS!U$5*$AG775^2+WeightSDS!V$5*$AG775+WeightSDS!W$5,IF($AG775&lt;186,WeightSDS!P$8*$AG775^7+WeightSDS!Q$8*$AG775^6+WeightSDS!R$8*$AG775^5+WeightSDS!S$8*$AG775^4+WeightSDS!T$8*$AG775^3+WeightSDS!U$8*$AG775^2+WeightSDS!V$8*$AG775+WeightSDS!W$8,WeightSDS!$U$9-WeightSDS!$V$9*($AG775-WeightSDS!$W$9)))</f>
        <v>0.75407122999999998</v>
      </c>
      <c r="AJ775" s="24">
        <f>IF(D775="M",IF($AG775&lt;45,WeightSDS!M$23*$AG775^10+WeightSDS!N$23*$AG775^9+WeightSDS!O$23*$AG775^8+WeightSDS!P$23*$AG775^7+WeightSDS!Q$23*$AG775^6+WeightSDS!R$23*$AG775^5+WeightSDS!S$23*$AG775^4+WeightSDS!T$23*$AG775^3+WeightSDS!U$23*$AG775^2+WeightSDS!V$23*$AG775+WeightSDS!W$23,IF($AG775&lt;153,WeightSDS!M$25*$AG775^10+WeightSDS!N$25*$AG775^9+WeightSDS!O$25*$AG775^8+WeightSDS!P$25*$AG775^7+WeightSDS!Q$25*$AG775^6+WeightSDS!R$25*$AG775^5+WeightSDS!S$25*$AG775^4+WeightSDS!T$25*$AG775^3+WeightSDS!U$25*$AG775^2+WeightSDS!V$25*$AG775+WeightSDS!W$25,WeightSDS!M$27+WeightSDS!N$27/(1+EXP(WeightSDS!O$27+WeightSDS!P$27*$AG775)))),IF($AG775&lt;43.8,WeightSDS!M$29*$AG775^10+WeightSDS!N$29*$AG775^9+WeightSDS!O$29*$AG775^8+WeightSDS!P$29*$AG775^7+WeightSDS!Q$29*$AG775^6+WeightSDS!R$29*$AG775^5+WeightSDS!S$29*$AG775^4+WeightSDS!T$29*$AG775^3+WeightSDS!U$29*$AG775^2+WeightSDS!V$29*$AG775+WeightSDS!W$29-0.010431*(1-$AG775/210),IF($AG775&lt;123,WeightSDS!M$30*$AG775^10+WeightSDS!N$30*$AG775^9+WeightSDS!O$30*$AG775^8+WeightSDS!P$30*$AG775^7+WeightSDS!Q$30*$AG775^6+WeightSDS!R$30*$AG775^5+WeightSDS!S$30*$AG775^4+WeightSDS!T$30*$AG775^3+WeightSDS!U$30*$AG775^2+WeightSDS!V$30*$AG775+WeightSDS!W$30-0.010431*(1-1/$AG775),WeightSDS!M$32+WeightSDS!N$32/(1+EXP(WeightSDS!O$32+WeightSDS!P$32*$AG775))-0.010431*(1-$AG775/210))))</f>
        <v>2.9500001032655536</v>
      </c>
      <c r="AK775" s="24">
        <f>IF(D775="M",IF($AG775&lt;162,WeightSDS!P$12*$AG775^7+WeightSDS!Q$12*$AG775^6+WeightSDS!R$12*$AG775^5+WeightSDS!S$12*$AG775^4+WeightSDS!T$12*$AG775^3+WeightSDS!U$12*$AG775^2+WeightSDS!V$12*$AG775+WeightSDS!W$12,WeightSDS!P$14*$AG775^7+WeightSDS!Q$14*$AG775^6+WeightSDS!R$14*$AG775^5+WeightSDS!S$14*$AG775^4+WeightSDS!T$14*$AG775^3+WeightSDS!U$14*$AG775^2+WeightSDS!V$14*$AG775+WeightSDS!W$14),IF($AG775&lt;156,WeightSDS!O$17*$AG775^8+WeightSDS!P$17*$AG775^7+WeightSDS!Q$17*$AG775^6+WeightSDS!R$17*$AG775^5+WeightSDS!S$17*$AG775^4+WeightSDS!T$17*$AG775^3+WeightSDS!U$17*$AG775^2+WeightSDS!V$17*$AG775+WeightSDS!W$17,IF($AG775&lt;186,WeightSDS!$U$18+(WeightSDS!$V$18-WeightSDS!$U$18)/24*($AG775-186)+WeightSDS!$W$18*(-$AG775+186)^2-0.005,WeightSDS!$U$18+(WeightSDS!$V$18-WeightSDS!$U$18)/24*($AG775-186)-0.005)))</f>
        <v>0.14604529399999999</v>
      </c>
    </row>
    <row r="776" spans="1:37">
      <c r="A776" s="4"/>
      <c r="B776" s="21"/>
      <c r="C776" s="21"/>
      <c r="D776" s="21"/>
      <c r="E776" s="22"/>
      <c r="F776" s="22"/>
      <c r="G776" s="23"/>
      <c r="H776" s="23"/>
      <c r="I776" s="8" t="str">
        <f t="shared" si="194"/>
        <v/>
      </c>
      <c r="J776" s="2" t="str">
        <f t="shared" si="201"/>
        <v/>
      </c>
      <c r="K776" s="2" t="str">
        <f t="shared" si="195"/>
        <v/>
      </c>
      <c r="L776" s="2" t="str">
        <f t="shared" si="202"/>
        <v/>
      </c>
      <c r="M776" s="2" t="str">
        <f t="shared" ref="M776:M839" si="207">IF(COUNTA(D776,E776,F776,G776,H776)=5,H776/G776^2*10000,"")</f>
        <v/>
      </c>
      <c r="N776" s="2" t="str">
        <f t="shared" si="203"/>
        <v/>
      </c>
      <c r="O776" s="8" t="str">
        <f t="shared" si="204"/>
        <v/>
      </c>
      <c r="P776" s="8" t="str">
        <f t="shared" si="205"/>
        <v/>
      </c>
      <c r="Q776" s="40" t="str">
        <f t="shared" si="196"/>
        <v/>
      </c>
      <c r="R776" s="48" t="str">
        <f t="shared" si="206"/>
        <v/>
      </c>
      <c r="S776" s="8"/>
      <c r="U776" s="35">
        <f t="shared" si="197"/>
        <v>0</v>
      </c>
      <c r="V776" s="24">
        <f t="shared" si="198"/>
        <v>0</v>
      </c>
      <c r="W776" s="41">
        <f t="shared" si="193"/>
        <v>0</v>
      </c>
      <c r="X776" s="31"/>
      <c r="Y776" s="31"/>
      <c r="Z776" s="31"/>
      <c r="AA776" s="25">
        <f t="shared" si="199"/>
        <v>9.0359999999999996</v>
      </c>
      <c r="AB776" s="25">
        <f t="shared" si="200"/>
        <v>-184.49199999999999</v>
      </c>
      <c r="AD776" s="24">
        <f>IF(D776="M",IF(AG776&lt;78,BMILMS!$D$5*AG776^3+BMILMS!$E$5*AG776^2+BMILMS!$F$5*AG776+BMILMS!$G$5,IF(AG776&lt;150,BMILMS!$D$6*AG776^3+BMILMS!$E$6*AG776^2+BMILMS!$F$6*AG776+BMILMS!$G$6,BMILMS!$D$7*AG776^3+BMILMS!$E$7*AG776^2+BMILMS!$F$7*AG776+BMILMS!$G$7)),IF(AG776&lt;69,BMILMS!$D$9*AG776^3+BMILMS!$E$9*AG776^2+BMILMS!$F$9*AG776+BMILMS!$G$9,IF(AG776&lt;150,BMILMS!$D$10*AG776^3+BMILMS!$E$10*AG776^2+BMILMS!$F$10*AG776+BMILMS!$G$10,BMILMS!$D$11*AG776^3+BMILMS!$E$11*AG776^2+BMILMS!$F$11*AG776+BMILMS!$G$11)))</f>
        <v>0.79584630099999998</v>
      </c>
      <c r="AE776" s="24">
        <f>IF(D776="M",(IF(AG776&lt;2.5,BMILMS!$D$21*AG776^3+BMILMS!$E$21*AG776^2+BMILMS!$F$21*AG776+BMILMS!$G$21,IF(AG776&lt;9.5,BMILMS!$D$22*AG776^3+BMILMS!$E$22*AG776^2+BMILMS!$F$22*AG776+BMILMS!$G$22,IF(AG776&lt;26.75,BMILMS!$D$23*AG776^3+BMILMS!$E$23*AG776^2+BMILMS!$F$23*AG776+BMILMS!$G$23,IF(AG776&lt;90,BMILMS!$D$24*AG776^3+BMILMS!$E$24*AG776^2+BMILMS!$F$24*AG776+BMILMS!$G$24,BMILMS!$D$25*AG776^3+BMILMS!$E$25*AG776^2+BMILMS!$F$25*AG776+BMILMS!$G$25))))),(IF(AG776&lt;2.5,BMILMS!$D$27*AG776^3+BMILMS!$E$27*AG776^2+BMILMS!$F$27*AG776+BMILMS!$G$27,IF(AG776&lt;9.5,BMILMS!$D$28*AG776^3+BMILMS!$E$28*AG776^2+BMILMS!$F$28*AG776+BMILMS!$G$28,IF(AG776&lt;26.75,BMILMS!$D$29*AG776^3+BMILMS!$E$29*AG776^2+BMILMS!$F$29*AG776+BMILMS!$G$29,IF(AG776&lt;90,BMILMS!$D$30*AG776^3+BMILMS!$E$30*AG776^2+BMILMS!$F$30*AG776+BMILMS!$G$30,IF(AG776&lt;150,BMILMS!$D$31*AG776^3+BMILMS!$E$31*AG776^2+BMILMS!$F$31*AG776+BMILMS!$G$31,BMILMS!$D$32*AG776^3+BMILMS!$E$32*AG776^2+BMILMS!$F$32*AG776+BMILMS!$G$32)))))))</f>
        <v>12.568967990000001</v>
      </c>
      <c r="AF776" s="24">
        <f>IF(D776="M",(IF(AG776&lt;90,BMILMS!$D$14*AG776^3+BMILMS!$E$14*AG776^2+BMILMS!$F$14*AG776+BMILMS!$G$14,BMILMS!$D$15*AG776^3+BMILMS!$E$15*AG776^2+BMILMS!$F$15*AG776+BMILMS!$G$15)),(IF(AG776&lt;90,BMILMS!$D$17*AG776^3+BMILMS!$E$17*AG776^2+BMILMS!$F$17*AG776+BMILMS!$G$17,BMILMS!$D$18*AG776^3+BMILMS!$E$18*AG776^2+BMILMS!$F$18*AG776+BMILMS!$G$18)))</f>
        <v>8.8969350000000003E-2</v>
      </c>
      <c r="AG776" s="24">
        <f t="shared" ref="AG776:AG839" si="208">U776*12+V776</f>
        <v>0</v>
      </c>
      <c r="AI776" s="38">
        <f>IF(D776="M",WeightSDS!P$5*$AG776^7+WeightSDS!Q$5*$AG776^6+WeightSDS!R$5*$AG776^5+WeightSDS!S$5*$AG776^4+WeightSDS!T$5*$AG776^3+WeightSDS!U$5*$AG776^2+WeightSDS!V$5*$AG776+WeightSDS!W$5,IF($AG776&lt;186,WeightSDS!P$8*$AG776^7+WeightSDS!Q$8*$AG776^6+WeightSDS!R$8*$AG776^5+WeightSDS!S$8*$AG776^4+WeightSDS!T$8*$AG776^3+WeightSDS!U$8*$AG776^2+WeightSDS!V$8*$AG776+WeightSDS!W$8,WeightSDS!$U$9-WeightSDS!$V$9*($AG776-WeightSDS!$W$9)))</f>
        <v>0.75407122999999998</v>
      </c>
      <c r="AJ776" s="24">
        <f>IF(D776="M",IF($AG776&lt;45,WeightSDS!M$23*$AG776^10+WeightSDS!N$23*$AG776^9+WeightSDS!O$23*$AG776^8+WeightSDS!P$23*$AG776^7+WeightSDS!Q$23*$AG776^6+WeightSDS!R$23*$AG776^5+WeightSDS!S$23*$AG776^4+WeightSDS!T$23*$AG776^3+WeightSDS!U$23*$AG776^2+WeightSDS!V$23*$AG776+WeightSDS!W$23,IF($AG776&lt;153,WeightSDS!M$25*$AG776^10+WeightSDS!N$25*$AG776^9+WeightSDS!O$25*$AG776^8+WeightSDS!P$25*$AG776^7+WeightSDS!Q$25*$AG776^6+WeightSDS!R$25*$AG776^5+WeightSDS!S$25*$AG776^4+WeightSDS!T$25*$AG776^3+WeightSDS!U$25*$AG776^2+WeightSDS!V$25*$AG776+WeightSDS!W$25,WeightSDS!M$27+WeightSDS!N$27/(1+EXP(WeightSDS!O$27+WeightSDS!P$27*$AG776)))),IF($AG776&lt;43.8,WeightSDS!M$29*$AG776^10+WeightSDS!N$29*$AG776^9+WeightSDS!O$29*$AG776^8+WeightSDS!P$29*$AG776^7+WeightSDS!Q$29*$AG776^6+WeightSDS!R$29*$AG776^5+WeightSDS!S$29*$AG776^4+WeightSDS!T$29*$AG776^3+WeightSDS!U$29*$AG776^2+WeightSDS!V$29*$AG776+WeightSDS!W$29-0.010431*(1-$AG776/210),IF($AG776&lt;123,WeightSDS!M$30*$AG776^10+WeightSDS!N$30*$AG776^9+WeightSDS!O$30*$AG776^8+WeightSDS!P$30*$AG776^7+WeightSDS!Q$30*$AG776^6+WeightSDS!R$30*$AG776^5+WeightSDS!S$30*$AG776^4+WeightSDS!T$30*$AG776^3+WeightSDS!U$30*$AG776^2+WeightSDS!V$30*$AG776+WeightSDS!W$30-0.010431*(1-1/$AG776),WeightSDS!M$32+WeightSDS!N$32/(1+EXP(WeightSDS!O$32+WeightSDS!P$32*$AG776))-0.010431*(1-$AG776/210))))</f>
        <v>2.9500001032655536</v>
      </c>
      <c r="AK776" s="24">
        <f>IF(D776="M",IF($AG776&lt;162,WeightSDS!P$12*$AG776^7+WeightSDS!Q$12*$AG776^6+WeightSDS!R$12*$AG776^5+WeightSDS!S$12*$AG776^4+WeightSDS!T$12*$AG776^3+WeightSDS!U$12*$AG776^2+WeightSDS!V$12*$AG776+WeightSDS!W$12,WeightSDS!P$14*$AG776^7+WeightSDS!Q$14*$AG776^6+WeightSDS!R$14*$AG776^5+WeightSDS!S$14*$AG776^4+WeightSDS!T$14*$AG776^3+WeightSDS!U$14*$AG776^2+WeightSDS!V$14*$AG776+WeightSDS!W$14),IF($AG776&lt;156,WeightSDS!O$17*$AG776^8+WeightSDS!P$17*$AG776^7+WeightSDS!Q$17*$AG776^6+WeightSDS!R$17*$AG776^5+WeightSDS!S$17*$AG776^4+WeightSDS!T$17*$AG776^3+WeightSDS!U$17*$AG776^2+WeightSDS!V$17*$AG776+WeightSDS!W$17,IF($AG776&lt;186,WeightSDS!$U$18+(WeightSDS!$V$18-WeightSDS!$U$18)/24*($AG776-186)+WeightSDS!$W$18*(-$AG776+186)^2-0.005,WeightSDS!$U$18+(WeightSDS!$V$18-WeightSDS!$U$18)/24*($AG776-186)-0.005)))</f>
        <v>0.14604529399999999</v>
      </c>
    </row>
    <row r="777" spans="1:37">
      <c r="A777" s="4"/>
      <c r="B777" s="21"/>
      <c r="C777" s="21"/>
      <c r="D777" s="21"/>
      <c r="E777" s="22"/>
      <c r="F777" s="22"/>
      <c r="G777" s="23"/>
      <c r="H777" s="23"/>
      <c r="I777" s="8" t="str">
        <f t="shared" si="194"/>
        <v/>
      </c>
      <c r="J777" s="2" t="str">
        <f t="shared" si="201"/>
        <v/>
      </c>
      <c r="K777" s="2" t="str">
        <f t="shared" si="195"/>
        <v/>
      </c>
      <c r="L777" s="2" t="str">
        <f t="shared" si="202"/>
        <v/>
      </c>
      <c r="M777" s="2" t="str">
        <f t="shared" si="207"/>
        <v/>
      </c>
      <c r="N777" s="2" t="str">
        <f t="shared" si="203"/>
        <v/>
      </c>
      <c r="O777" s="8" t="str">
        <f t="shared" si="204"/>
        <v/>
      </c>
      <c r="P777" s="8" t="str">
        <f t="shared" si="205"/>
        <v/>
      </c>
      <c r="Q777" s="40" t="str">
        <f t="shared" si="196"/>
        <v/>
      </c>
      <c r="R777" s="48" t="str">
        <f t="shared" si="206"/>
        <v/>
      </c>
      <c r="S777" s="8"/>
      <c r="U777" s="35">
        <f t="shared" si="197"/>
        <v>0</v>
      </c>
      <c r="V777" s="24">
        <f t="shared" si="198"/>
        <v>0</v>
      </c>
      <c r="W777" s="41">
        <f t="shared" si="193"/>
        <v>0</v>
      </c>
      <c r="X777" s="31"/>
      <c r="Y777" s="31"/>
      <c r="Z777" s="31"/>
      <c r="AA777" s="25">
        <f t="shared" si="199"/>
        <v>9.0359999999999996</v>
      </c>
      <c r="AB777" s="25">
        <f t="shared" si="200"/>
        <v>-184.49199999999999</v>
      </c>
      <c r="AD777" s="24">
        <f>IF(D777="M",IF(AG777&lt;78,BMILMS!$D$5*AG777^3+BMILMS!$E$5*AG777^2+BMILMS!$F$5*AG777+BMILMS!$G$5,IF(AG777&lt;150,BMILMS!$D$6*AG777^3+BMILMS!$E$6*AG777^2+BMILMS!$F$6*AG777+BMILMS!$G$6,BMILMS!$D$7*AG777^3+BMILMS!$E$7*AG777^2+BMILMS!$F$7*AG777+BMILMS!$G$7)),IF(AG777&lt;69,BMILMS!$D$9*AG777^3+BMILMS!$E$9*AG777^2+BMILMS!$F$9*AG777+BMILMS!$G$9,IF(AG777&lt;150,BMILMS!$D$10*AG777^3+BMILMS!$E$10*AG777^2+BMILMS!$F$10*AG777+BMILMS!$G$10,BMILMS!$D$11*AG777^3+BMILMS!$E$11*AG777^2+BMILMS!$F$11*AG777+BMILMS!$G$11)))</f>
        <v>0.79584630099999998</v>
      </c>
      <c r="AE777" s="24">
        <f>IF(D777="M",(IF(AG777&lt;2.5,BMILMS!$D$21*AG777^3+BMILMS!$E$21*AG777^2+BMILMS!$F$21*AG777+BMILMS!$G$21,IF(AG777&lt;9.5,BMILMS!$D$22*AG777^3+BMILMS!$E$22*AG777^2+BMILMS!$F$22*AG777+BMILMS!$G$22,IF(AG777&lt;26.75,BMILMS!$D$23*AG777^3+BMILMS!$E$23*AG777^2+BMILMS!$F$23*AG777+BMILMS!$G$23,IF(AG777&lt;90,BMILMS!$D$24*AG777^3+BMILMS!$E$24*AG777^2+BMILMS!$F$24*AG777+BMILMS!$G$24,BMILMS!$D$25*AG777^3+BMILMS!$E$25*AG777^2+BMILMS!$F$25*AG777+BMILMS!$G$25))))),(IF(AG777&lt;2.5,BMILMS!$D$27*AG777^3+BMILMS!$E$27*AG777^2+BMILMS!$F$27*AG777+BMILMS!$G$27,IF(AG777&lt;9.5,BMILMS!$D$28*AG777^3+BMILMS!$E$28*AG777^2+BMILMS!$F$28*AG777+BMILMS!$G$28,IF(AG777&lt;26.75,BMILMS!$D$29*AG777^3+BMILMS!$E$29*AG777^2+BMILMS!$F$29*AG777+BMILMS!$G$29,IF(AG777&lt;90,BMILMS!$D$30*AG777^3+BMILMS!$E$30*AG777^2+BMILMS!$F$30*AG777+BMILMS!$G$30,IF(AG777&lt;150,BMILMS!$D$31*AG777^3+BMILMS!$E$31*AG777^2+BMILMS!$F$31*AG777+BMILMS!$G$31,BMILMS!$D$32*AG777^3+BMILMS!$E$32*AG777^2+BMILMS!$F$32*AG777+BMILMS!$G$32)))))))</f>
        <v>12.568967990000001</v>
      </c>
      <c r="AF777" s="24">
        <f>IF(D777="M",(IF(AG777&lt;90,BMILMS!$D$14*AG777^3+BMILMS!$E$14*AG777^2+BMILMS!$F$14*AG777+BMILMS!$G$14,BMILMS!$D$15*AG777^3+BMILMS!$E$15*AG777^2+BMILMS!$F$15*AG777+BMILMS!$G$15)),(IF(AG777&lt;90,BMILMS!$D$17*AG777^3+BMILMS!$E$17*AG777^2+BMILMS!$F$17*AG777+BMILMS!$G$17,BMILMS!$D$18*AG777^3+BMILMS!$E$18*AG777^2+BMILMS!$F$18*AG777+BMILMS!$G$18)))</f>
        <v>8.8969350000000003E-2</v>
      </c>
      <c r="AG777" s="24">
        <f t="shared" si="208"/>
        <v>0</v>
      </c>
      <c r="AI777" s="38">
        <f>IF(D777="M",WeightSDS!P$5*$AG777^7+WeightSDS!Q$5*$AG777^6+WeightSDS!R$5*$AG777^5+WeightSDS!S$5*$AG777^4+WeightSDS!T$5*$AG777^3+WeightSDS!U$5*$AG777^2+WeightSDS!V$5*$AG777+WeightSDS!W$5,IF($AG777&lt;186,WeightSDS!P$8*$AG777^7+WeightSDS!Q$8*$AG777^6+WeightSDS!R$8*$AG777^5+WeightSDS!S$8*$AG777^4+WeightSDS!T$8*$AG777^3+WeightSDS!U$8*$AG777^2+WeightSDS!V$8*$AG777+WeightSDS!W$8,WeightSDS!$U$9-WeightSDS!$V$9*($AG777-WeightSDS!$W$9)))</f>
        <v>0.75407122999999998</v>
      </c>
      <c r="AJ777" s="24">
        <f>IF(D777="M",IF($AG777&lt;45,WeightSDS!M$23*$AG777^10+WeightSDS!N$23*$AG777^9+WeightSDS!O$23*$AG777^8+WeightSDS!P$23*$AG777^7+WeightSDS!Q$23*$AG777^6+WeightSDS!R$23*$AG777^5+WeightSDS!S$23*$AG777^4+WeightSDS!T$23*$AG777^3+WeightSDS!U$23*$AG777^2+WeightSDS!V$23*$AG777+WeightSDS!W$23,IF($AG777&lt;153,WeightSDS!M$25*$AG777^10+WeightSDS!N$25*$AG777^9+WeightSDS!O$25*$AG777^8+WeightSDS!P$25*$AG777^7+WeightSDS!Q$25*$AG777^6+WeightSDS!R$25*$AG777^5+WeightSDS!S$25*$AG777^4+WeightSDS!T$25*$AG777^3+WeightSDS!U$25*$AG777^2+WeightSDS!V$25*$AG777+WeightSDS!W$25,WeightSDS!M$27+WeightSDS!N$27/(1+EXP(WeightSDS!O$27+WeightSDS!P$27*$AG777)))),IF($AG777&lt;43.8,WeightSDS!M$29*$AG777^10+WeightSDS!N$29*$AG777^9+WeightSDS!O$29*$AG777^8+WeightSDS!P$29*$AG777^7+WeightSDS!Q$29*$AG777^6+WeightSDS!R$29*$AG777^5+WeightSDS!S$29*$AG777^4+WeightSDS!T$29*$AG777^3+WeightSDS!U$29*$AG777^2+WeightSDS!V$29*$AG777+WeightSDS!W$29-0.010431*(1-$AG777/210),IF($AG777&lt;123,WeightSDS!M$30*$AG777^10+WeightSDS!N$30*$AG777^9+WeightSDS!O$30*$AG777^8+WeightSDS!P$30*$AG777^7+WeightSDS!Q$30*$AG777^6+WeightSDS!R$30*$AG777^5+WeightSDS!S$30*$AG777^4+WeightSDS!T$30*$AG777^3+WeightSDS!U$30*$AG777^2+WeightSDS!V$30*$AG777+WeightSDS!W$30-0.010431*(1-1/$AG777),WeightSDS!M$32+WeightSDS!N$32/(1+EXP(WeightSDS!O$32+WeightSDS!P$32*$AG777))-0.010431*(1-$AG777/210))))</f>
        <v>2.9500001032655536</v>
      </c>
      <c r="AK777" s="24">
        <f>IF(D777="M",IF($AG777&lt;162,WeightSDS!P$12*$AG777^7+WeightSDS!Q$12*$AG777^6+WeightSDS!R$12*$AG777^5+WeightSDS!S$12*$AG777^4+WeightSDS!T$12*$AG777^3+WeightSDS!U$12*$AG777^2+WeightSDS!V$12*$AG777+WeightSDS!W$12,WeightSDS!P$14*$AG777^7+WeightSDS!Q$14*$AG777^6+WeightSDS!R$14*$AG777^5+WeightSDS!S$14*$AG777^4+WeightSDS!T$14*$AG777^3+WeightSDS!U$14*$AG777^2+WeightSDS!V$14*$AG777+WeightSDS!W$14),IF($AG777&lt;156,WeightSDS!O$17*$AG777^8+WeightSDS!P$17*$AG777^7+WeightSDS!Q$17*$AG777^6+WeightSDS!R$17*$AG777^5+WeightSDS!S$17*$AG777^4+WeightSDS!T$17*$AG777^3+WeightSDS!U$17*$AG777^2+WeightSDS!V$17*$AG777+WeightSDS!W$17,IF($AG777&lt;186,WeightSDS!$U$18+(WeightSDS!$V$18-WeightSDS!$U$18)/24*($AG777-186)+WeightSDS!$W$18*(-$AG777+186)^2-0.005,WeightSDS!$U$18+(WeightSDS!$V$18-WeightSDS!$U$18)/24*($AG777-186)-0.005)))</f>
        <v>0.14604529399999999</v>
      </c>
    </row>
    <row r="778" spans="1:37">
      <c r="A778" s="4"/>
      <c r="B778" s="21"/>
      <c r="C778" s="21"/>
      <c r="D778" s="21"/>
      <c r="E778" s="22"/>
      <c r="F778" s="22"/>
      <c r="G778" s="23"/>
      <c r="H778" s="23"/>
      <c r="I778" s="8" t="str">
        <f t="shared" si="194"/>
        <v/>
      </c>
      <c r="J778" s="2" t="str">
        <f t="shared" si="201"/>
        <v/>
      </c>
      <c r="K778" s="2" t="str">
        <f t="shared" si="195"/>
        <v/>
      </c>
      <c r="L778" s="2" t="str">
        <f t="shared" si="202"/>
        <v/>
      </c>
      <c r="M778" s="2" t="str">
        <f t="shared" si="207"/>
        <v/>
      </c>
      <c r="N778" s="2" t="str">
        <f t="shared" si="203"/>
        <v/>
      </c>
      <c r="O778" s="8" t="str">
        <f t="shared" si="204"/>
        <v/>
      </c>
      <c r="P778" s="8" t="str">
        <f t="shared" si="205"/>
        <v/>
      </c>
      <c r="Q778" s="40" t="str">
        <f t="shared" si="196"/>
        <v/>
      </c>
      <c r="R778" s="48" t="str">
        <f t="shared" si="206"/>
        <v/>
      </c>
      <c r="S778" s="8"/>
      <c r="U778" s="35">
        <f t="shared" si="197"/>
        <v>0</v>
      </c>
      <c r="V778" s="24">
        <f t="shared" si="198"/>
        <v>0</v>
      </c>
      <c r="W778" s="41">
        <f t="shared" si="193"/>
        <v>0</v>
      </c>
      <c r="X778" s="31"/>
      <c r="Y778" s="31"/>
      <c r="Z778" s="31"/>
      <c r="AA778" s="25">
        <f t="shared" si="199"/>
        <v>9.0359999999999996</v>
      </c>
      <c r="AB778" s="25">
        <f t="shared" si="200"/>
        <v>-184.49199999999999</v>
      </c>
      <c r="AD778" s="24">
        <f>IF(D778="M",IF(AG778&lt;78,BMILMS!$D$5*AG778^3+BMILMS!$E$5*AG778^2+BMILMS!$F$5*AG778+BMILMS!$G$5,IF(AG778&lt;150,BMILMS!$D$6*AG778^3+BMILMS!$E$6*AG778^2+BMILMS!$F$6*AG778+BMILMS!$G$6,BMILMS!$D$7*AG778^3+BMILMS!$E$7*AG778^2+BMILMS!$F$7*AG778+BMILMS!$G$7)),IF(AG778&lt;69,BMILMS!$D$9*AG778^3+BMILMS!$E$9*AG778^2+BMILMS!$F$9*AG778+BMILMS!$G$9,IF(AG778&lt;150,BMILMS!$D$10*AG778^3+BMILMS!$E$10*AG778^2+BMILMS!$F$10*AG778+BMILMS!$G$10,BMILMS!$D$11*AG778^3+BMILMS!$E$11*AG778^2+BMILMS!$F$11*AG778+BMILMS!$G$11)))</f>
        <v>0.79584630099999998</v>
      </c>
      <c r="AE778" s="24">
        <f>IF(D778="M",(IF(AG778&lt;2.5,BMILMS!$D$21*AG778^3+BMILMS!$E$21*AG778^2+BMILMS!$F$21*AG778+BMILMS!$G$21,IF(AG778&lt;9.5,BMILMS!$D$22*AG778^3+BMILMS!$E$22*AG778^2+BMILMS!$F$22*AG778+BMILMS!$G$22,IF(AG778&lt;26.75,BMILMS!$D$23*AG778^3+BMILMS!$E$23*AG778^2+BMILMS!$F$23*AG778+BMILMS!$G$23,IF(AG778&lt;90,BMILMS!$D$24*AG778^3+BMILMS!$E$24*AG778^2+BMILMS!$F$24*AG778+BMILMS!$G$24,BMILMS!$D$25*AG778^3+BMILMS!$E$25*AG778^2+BMILMS!$F$25*AG778+BMILMS!$G$25))))),(IF(AG778&lt;2.5,BMILMS!$D$27*AG778^3+BMILMS!$E$27*AG778^2+BMILMS!$F$27*AG778+BMILMS!$G$27,IF(AG778&lt;9.5,BMILMS!$D$28*AG778^3+BMILMS!$E$28*AG778^2+BMILMS!$F$28*AG778+BMILMS!$G$28,IF(AG778&lt;26.75,BMILMS!$D$29*AG778^3+BMILMS!$E$29*AG778^2+BMILMS!$F$29*AG778+BMILMS!$G$29,IF(AG778&lt;90,BMILMS!$D$30*AG778^3+BMILMS!$E$30*AG778^2+BMILMS!$F$30*AG778+BMILMS!$G$30,IF(AG778&lt;150,BMILMS!$D$31*AG778^3+BMILMS!$E$31*AG778^2+BMILMS!$F$31*AG778+BMILMS!$G$31,BMILMS!$D$32*AG778^3+BMILMS!$E$32*AG778^2+BMILMS!$F$32*AG778+BMILMS!$G$32)))))))</f>
        <v>12.568967990000001</v>
      </c>
      <c r="AF778" s="24">
        <f>IF(D778="M",(IF(AG778&lt;90,BMILMS!$D$14*AG778^3+BMILMS!$E$14*AG778^2+BMILMS!$F$14*AG778+BMILMS!$G$14,BMILMS!$D$15*AG778^3+BMILMS!$E$15*AG778^2+BMILMS!$F$15*AG778+BMILMS!$G$15)),(IF(AG778&lt;90,BMILMS!$D$17*AG778^3+BMILMS!$E$17*AG778^2+BMILMS!$F$17*AG778+BMILMS!$G$17,BMILMS!$D$18*AG778^3+BMILMS!$E$18*AG778^2+BMILMS!$F$18*AG778+BMILMS!$G$18)))</f>
        <v>8.8969350000000003E-2</v>
      </c>
      <c r="AG778" s="24">
        <f t="shared" si="208"/>
        <v>0</v>
      </c>
      <c r="AI778" s="38">
        <f>IF(D778="M",WeightSDS!P$5*$AG778^7+WeightSDS!Q$5*$AG778^6+WeightSDS!R$5*$AG778^5+WeightSDS!S$5*$AG778^4+WeightSDS!T$5*$AG778^3+WeightSDS!U$5*$AG778^2+WeightSDS!V$5*$AG778+WeightSDS!W$5,IF($AG778&lt;186,WeightSDS!P$8*$AG778^7+WeightSDS!Q$8*$AG778^6+WeightSDS!R$8*$AG778^5+WeightSDS!S$8*$AG778^4+WeightSDS!T$8*$AG778^3+WeightSDS!U$8*$AG778^2+WeightSDS!V$8*$AG778+WeightSDS!W$8,WeightSDS!$U$9-WeightSDS!$V$9*($AG778-WeightSDS!$W$9)))</f>
        <v>0.75407122999999998</v>
      </c>
      <c r="AJ778" s="24">
        <f>IF(D778="M",IF($AG778&lt;45,WeightSDS!M$23*$AG778^10+WeightSDS!N$23*$AG778^9+WeightSDS!O$23*$AG778^8+WeightSDS!P$23*$AG778^7+WeightSDS!Q$23*$AG778^6+WeightSDS!R$23*$AG778^5+WeightSDS!S$23*$AG778^4+WeightSDS!T$23*$AG778^3+WeightSDS!U$23*$AG778^2+WeightSDS!V$23*$AG778+WeightSDS!W$23,IF($AG778&lt;153,WeightSDS!M$25*$AG778^10+WeightSDS!N$25*$AG778^9+WeightSDS!O$25*$AG778^8+WeightSDS!P$25*$AG778^7+WeightSDS!Q$25*$AG778^6+WeightSDS!R$25*$AG778^5+WeightSDS!S$25*$AG778^4+WeightSDS!T$25*$AG778^3+WeightSDS!U$25*$AG778^2+WeightSDS!V$25*$AG778+WeightSDS!W$25,WeightSDS!M$27+WeightSDS!N$27/(1+EXP(WeightSDS!O$27+WeightSDS!P$27*$AG778)))),IF($AG778&lt;43.8,WeightSDS!M$29*$AG778^10+WeightSDS!N$29*$AG778^9+WeightSDS!O$29*$AG778^8+WeightSDS!P$29*$AG778^7+WeightSDS!Q$29*$AG778^6+WeightSDS!R$29*$AG778^5+WeightSDS!S$29*$AG778^4+WeightSDS!T$29*$AG778^3+WeightSDS!U$29*$AG778^2+WeightSDS!V$29*$AG778+WeightSDS!W$29-0.010431*(1-$AG778/210),IF($AG778&lt;123,WeightSDS!M$30*$AG778^10+WeightSDS!N$30*$AG778^9+WeightSDS!O$30*$AG778^8+WeightSDS!P$30*$AG778^7+WeightSDS!Q$30*$AG778^6+WeightSDS!R$30*$AG778^5+WeightSDS!S$30*$AG778^4+WeightSDS!T$30*$AG778^3+WeightSDS!U$30*$AG778^2+WeightSDS!V$30*$AG778+WeightSDS!W$30-0.010431*(1-1/$AG778),WeightSDS!M$32+WeightSDS!N$32/(1+EXP(WeightSDS!O$32+WeightSDS!P$32*$AG778))-0.010431*(1-$AG778/210))))</f>
        <v>2.9500001032655536</v>
      </c>
      <c r="AK778" s="24">
        <f>IF(D778="M",IF($AG778&lt;162,WeightSDS!P$12*$AG778^7+WeightSDS!Q$12*$AG778^6+WeightSDS!R$12*$AG778^5+WeightSDS!S$12*$AG778^4+WeightSDS!T$12*$AG778^3+WeightSDS!U$12*$AG778^2+WeightSDS!V$12*$AG778+WeightSDS!W$12,WeightSDS!P$14*$AG778^7+WeightSDS!Q$14*$AG778^6+WeightSDS!R$14*$AG778^5+WeightSDS!S$14*$AG778^4+WeightSDS!T$14*$AG778^3+WeightSDS!U$14*$AG778^2+WeightSDS!V$14*$AG778+WeightSDS!W$14),IF($AG778&lt;156,WeightSDS!O$17*$AG778^8+WeightSDS!P$17*$AG778^7+WeightSDS!Q$17*$AG778^6+WeightSDS!R$17*$AG778^5+WeightSDS!S$17*$AG778^4+WeightSDS!T$17*$AG778^3+WeightSDS!U$17*$AG778^2+WeightSDS!V$17*$AG778+WeightSDS!W$17,IF($AG778&lt;186,WeightSDS!$U$18+(WeightSDS!$V$18-WeightSDS!$U$18)/24*($AG778-186)+WeightSDS!$W$18*(-$AG778+186)^2-0.005,WeightSDS!$U$18+(WeightSDS!$V$18-WeightSDS!$U$18)/24*($AG778-186)-0.005)))</f>
        <v>0.14604529399999999</v>
      </c>
    </row>
    <row r="779" spans="1:37">
      <c r="A779" s="4"/>
      <c r="B779" s="21"/>
      <c r="C779" s="21"/>
      <c r="D779" s="21"/>
      <c r="E779" s="22"/>
      <c r="F779" s="22"/>
      <c r="G779" s="23"/>
      <c r="H779" s="23"/>
      <c r="I779" s="8" t="str">
        <f t="shared" si="194"/>
        <v/>
      </c>
      <c r="J779" s="2" t="str">
        <f t="shared" si="201"/>
        <v/>
      </c>
      <c r="K779" s="2" t="str">
        <f t="shared" si="195"/>
        <v/>
      </c>
      <c r="L779" s="2" t="str">
        <f t="shared" si="202"/>
        <v/>
      </c>
      <c r="M779" s="2" t="str">
        <f t="shared" si="207"/>
        <v/>
      </c>
      <c r="N779" s="2" t="str">
        <f t="shared" si="203"/>
        <v/>
      </c>
      <c r="O779" s="8" t="str">
        <f t="shared" si="204"/>
        <v/>
      </c>
      <c r="P779" s="8" t="str">
        <f t="shared" si="205"/>
        <v/>
      </c>
      <c r="Q779" s="40" t="str">
        <f t="shared" si="196"/>
        <v/>
      </c>
      <c r="R779" s="48" t="str">
        <f t="shared" si="206"/>
        <v/>
      </c>
      <c r="S779" s="8"/>
      <c r="U779" s="35">
        <f t="shared" si="197"/>
        <v>0</v>
      </c>
      <c r="V779" s="24">
        <f t="shared" si="198"/>
        <v>0</v>
      </c>
      <c r="W779" s="41">
        <f t="shared" si="193"/>
        <v>0</v>
      </c>
      <c r="X779" s="31"/>
      <c r="Y779" s="31"/>
      <c r="Z779" s="31"/>
      <c r="AA779" s="25">
        <f t="shared" si="199"/>
        <v>9.0359999999999996</v>
      </c>
      <c r="AB779" s="25">
        <f t="shared" si="200"/>
        <v>-184.49199999999999</v>
      </c>
      <c r="AD779" s="24">
        <f>IF(D779="M",IF(AG779&lt;78,BMILMS!$D$5*AG779^3+BMILMS!$E$5*AG779^2+BMILMS!$F$5*AG779+BMILMS!$G$5,IF(AG779&lt;150,BMILMS!$D$6*AG779^3+BMILMS!$E$6*AG779^2+BMILMS!$F$6*AG779+BMILMS!$G$6,BMILMS!$D$7*AG779^3+BMILMS!$E$7*AG779^2+BMILMS!$F$7*AG779+BMILMS!$G$7)),IF(AG779&lt;69,BMILMS!$D$9*AG779^3+BMILMS!$E$9*AG779^2+BMILMS!$F$9*AG779+BMILMS!$G$9,IF(AG779&lt;150,BMILMS!$D$10*AG779^3+BMILMS!$E$10*AG779^2+BMILMS!$F$10*AG779+BMILMS!$G$10,BMILMS!$D$11*AG779^3+BMILMS!$E$11*AG779^2+BMILMS!$F$11*AG779+BMILMS!$G$11)))</f>
        <v>0.79584630099999998</v>
      </c>
      <c r="AE779" s="24">
        <f>IF(D779="M",(IF(AG779&lt;2.5,BMILMS!$D$21*AG779^3+BMILMS!$E$21*AG779^2+BMILMS!$F$21*AG779+BMILMS!$G$21,IF(AG779&lt;9.5,BMILMS!$D$22*AG779^3+BMILMS!$E$22*AG779^2+BMILMS!$F$22*AG779+BMILMS!$G$22,IF(AG779&lt;26.75,BMILMS!$D$23*AG779^3+BMILMS!$E$23*AG779^2+BMILMS!$F$23*AG779+BMILMS!$G$23,IF(AG779&lt;90,BMILMS!$D$24*AG779^3+BMILMS!$E$24*AG779^2+BMILMS!$F$24*AG779+BMILMS!$G$24,BMILMS!$D$25*AG779^3+BMILMS!$E$25*AG779^2+BMILMS!$F$25*AG779+BMILMS!$G$25))))),(IF(AG779&lt;2.5,BMILMS!$D$27*AG779^3+BMILMS!$E$27*AG779^2+BMILMS!$F$27*AG779+BMILMS!$G$27,IF(AG779&lt;9.5,BMILMS!$D$28*AG779^3+BMILMS!$E$28*AG779^2+BMILMS!$F$28*AG779+BMILMS!$G$28,IF(AG779&lt;26.75,BMILMS!$D$29*AG779^3+BMILMS!$E$29*AG779^2+BMILMS!$F$29*AG779+BMILMS!$G$29,IF(AG779&lt;90,BMILMS!$D$30*AG779^3+BMILMS!$E$30*AG779^2+BMILMS!$F$30*AG779+BMILMS!$G$30,IF(AG779&lt;150,BMILMS!$D$31*AG779^3+BMILMS!$E$31*AG779^2+BMILMS!$F$31*AG779+BMILMS!$G$31,BMILMS!$D$32*AG779^3+BMILMS!$E$32*AG779^2+BMILMS!$F$32*AG779+BMILMS!$G$32)))))))</f>
        <v>12.568967990000001</v>
      </c>
      <c r="AF779" s="24">
        <f>IF(D779="M",(IF(AG779&lt;90,BMILMS!$D$14*AG779^3+BMILMS!$E$14*AG779^2+BMILMS!$F$14*AG779+BMILMS!$G$14,BMILMS!$D$15*AG779^3+BMILMS!$E$15*AG779^2+BMILMS!$F$15*AG779+BMILMS!$G$15)),(IF(AG779&lt;90,BMILMS!$D$17*AG779^3+BMILMS!$E$17*AG779^2+BMILMS!$F$17*AG779+BMILMS!$G$17,BMILMS!$D$18*AG779^3+BMILMS!$E$18*AG779^2+BMILMS!$F$18*AG779+BMILMS!$G$18)))</f>
        <v>8.8969350000000003E-2</v>
      </c>
      <c r="AG779" s="24">
        <f t="shared" si="208"/>
        <v>0</v>
      </c>
      <c r="AI779" s="38">
        <f>IF(D779="M",WeightSDS!P$5*$AG779^7+WeightSDS!Q$5*$AG779^6+WeightSDS!R$5*$AG779^5+WeightSDS!S$5*$AG779^4+WeightSDS!T$5*$AG779^3+WeightSDS!U$5*$AG779^2+WeightSDS!V$5*$AG779+WeightSDS!W$5,IF($AG779&lt;186,WeightSDS!P$8*$AG779^7+WeightSDS!Q$8*$AG779^6+WeightSDS!R$8*$AG779^5+WeightSDS!S$8*$AG779^4+WeightSDS!T$8*$AG779^3+WeightSDS!U$8*$AG779^2+WeightSDS!V$8*$AG779+WeightSDS!W$8,WeightSDS!$U$9-WeightSDS!$V$9*($AG779-WeightSDS!$W$9)))</f>
        <v>0.75407122999999998</v>
      </c>
      <c r="AJ779" s="24">
        <f>IF(D779="M",IF($AG779&lt;45,WeightSDS!M$23*$AG779^10+WeightSDS!N$23*$AG779^9+WeightSDS!O$23*$AG779^8+WeightSDS!P$23*$AG779^7+WeightSDS!Q$23*$AG779^6+WeightSDS!R$23*$AG779^5+WeightSDS!S$23*$AG779^4+WeightSDS!T$23*$AG779^3+WeightSDS!U$23*$AG779^2+WeightSDS!V$23*$AG779+WeightSDS!W$23,IF($AG779&lt;153,WeightSDS!M$25*$AG779^10+WeightSDS!N$25*$AG779^9+WeightSDS!O$25*$AG779^8+WeightSDS!P$25*$AG779^7+WeightSDS!Q$25*$AG779^6+WeightSDS!R$25*$AG779^5+WeightSDS!S$25*$AG779^4+WeightSDS!T$25*$AG779^3+WeightSDS!U$25*$AG779^2+WeightSDS!V$25*$AG779+WeightSDS!W$25,WeightSDS!M$27+WeightSDS!N$27/(1+EXP(WeightSDS!O$27+WeightSDS!P$27*$AG779)))),IF($AG779&lt;43.8,WeightSDS!M$29*$AG779^10+WeightSDS!N$29*$AG779^9+WeightSDS!O$29*$AG779^8+WeightSDS!P$29*$AG779^7+WeightSDS!Q$29*$AG779^6+WeightSDS!R$29*$AG779^5+WeightSDS!S$29*$AG779^4+WeightSDS!T$29*$AG779^3+WeightSDS!U$29*$AG779^2+WeightSDS!V$29*$AG779+WeightSDS!W$29-0.010431*(1-$AG779/210),IF($AG779&lt;123,WeightSDS!M$30*$AG779^10+WeightSDS!N$30*$AG779^9+WeightSDS!O$30*$AG779^8+WeightSDS!P$30*$AG779^7+WeightSDS!Q$30*$AG779^6+WeightSDS!R$30*$AG779^5+WeightSDS!S$30*$AG779^4+WeightSDS!T$30*$AG779^3+WeightSDS!U$30*$AG779^2+WeightSDS!V$30*$AG779+WeightSDS!W$30-0.010431*(1-1/$AG779),WeightSDS!M$32+WeightSDS!N$32/(1+EXP(WeightSDS!O$32+WeightSDS!P$32*$AG779))-0.010431*(1-$AG779/210))))</f>
        <v>2.9500001032655536</v>
      </c>
      <c r="AK779" s="24">
        <f>IF(D779="M",IF($AG779&lt;162,WeightSDS!P$12*$AG779^7+WeightSDS!Q$12*$AG779^6+WeightSDS!R$12*$AG779^5+WeightSDS!S$12*$AG779^4+WeightSDS!T$12*$AG779^3+WeightSDS!U$12*$AG779^2+WeightSDS!V$12*$AG779+WeightSDS!W$12,WeightSDS!P$14*$AG779^7+WeightSDS!Q$14*$AG779^6+WeightSDS!R$14*$AG779^5+WeightSDS!S$14*$AG779^4+WeightSDS!T$14*$AG779^3+WeightSDS!U$14*$AG779^2+WeightSDS!V$14*$AG779+WeightSDS!W$14),IF($AG779&lt;156,WeightSDS!O$17*$AG779^8+WeightSDS!P$17*$AG779^7+WeightSDS!Q$17*$AG779^6+WeightSDS!R$17*$AG779^5+WeightSDS!S$17*$AG779^4+WeightSDS!T$17*$AG779^3+WeightSDS!U$17*$AG779^2+WeightSDS!V$17*$AG779+WeightSDS!W$17,IF($AG779&lt;186,WeightSDS!$U$18+(WeightSDS!$V$18-WeightSDS!$U$18)/24*($AG779-186)+WeightSDS!$W$18*(-$AG779+186)^2-0.005,WeightSDS!$U$18+(WeightSDS!$V$18-WeightSDS!$U$18)/24*($AG779-186)-0.005)))</f>
        <v>0.14604529399999999</v>
      </c>
    </row>
    <row r="780" spans="1:37">
      <c r="A780" s="4"/>
      <c r="B780" s="21"/>
      <c r="C780" s="21"/>
      <c r="D780" s="21"/>
      <c r="E780" s="22"/>
      <c r="F780" s="22"/>
      <c r="G780" s="23"/>
      <c r="H780" s="23"/>
      <c r="I780" s="8" t="str">
        <f t="shared" si="194"/>
        <v/>
      </c>
      <c r="J780" s="2" t="str">
        <f t="shared" si="201"/>
        <v/>
      </c>
      <c r="K780" s="2" t="str">
        <f t="shared" si="195"/>
        <v/>
      </c>
      <c r="L780" s="2" t="str">
        <f t="shared" si="202"/>
        <v/>
      </c>
      <c r="M780" s="2" t="str">
        <f t="shared" si="207"/>
        <v/>
      </c>
      <c r="N780" s="2" t="str">
        <f t="shared" si="203"/>
        <v/>
      </c>
      <c r="O780" s="8" t="str">
        <f t="shared" si="204"/>
        <v/>
      </c>
      <c r="P780" s="8" t="str">
        <f t="shared" si="205"/>
        <v/>
      </c>
      <c r="Q780" s="40" t="str">
        <f t="shared" si="196"/>
        <v/>
      </c>
      <c r="R780" s="48" t="str">
        <f t="shared" si="206"/>
        <v/>
      </c>
      <c r="S780" s="8"/>
      <c r="U780" s="35">
        <f t="shared" si="197"/>
        <v>0</v>
      </c>
      <c r="V780" s="24">
        <f t="shared" si="198"/>
        <v>0</v>
      </c>
      <c r="W780" s="41">
        <f t="shared" si="193"/>
        <v>0</v>
      </c>
      <c r="X780" s="31"/>
      <c r="Y780" s="31"/>
      <c r="Z780" s="31"/>
      <c r="AA780" s="25">
        <f t="shared" si="199"/>
        <v>9.0359999999999996</v>
      </c>
      <c r="AB780" s="25">
        <f t="shared" si="200"/>
        <v>-184.49199999999999</v>
      </c>
      <c r="AD780" s="24">
        <f>IF(D780="M",IF(AG780&lt;78,BMILMS!$D$5*AG780^3+BMILMS!$E$5*AG780^2+BMILMS!$F$5*AG780+BMILMS!$G$5,IF(AG780&lt;150,BMILMS!$D$6*AG780^3+BMILMS!$E$6*AG780^2+BMILMS!$F$6*AG780+BMILMS!$G$6,BMILMS!$D$7*AG780^3+BMILMS!$E$7*AG780^2+BMILMS!$F$7*AG780+BMILMS!$G$7)),IF(AG780&lt;69,BMILMS!$D$9*AG780^3+BMILMS!$E$9*AG780^2+BMILMS!$F$9*AG780+BMILMS!$G$9,IF(AG780&lt;150,BMILMS!$D$10*AG780^3+BMILMS!$E$10*AG780^2+BMILMS!$F$10*AG780+BMILMS!$G$10,BMILMS!$D$11*AG780^3+BMILMS!$E$11*AG780^2+BMILMS!$F$11*AG780+BMILMS!$G$11)))</f>
        <v>0.79584630099999998</v>
      </c>
      <c r="AE780" s="24">
        <f>IF(D780="M",(IF(AG780&lt;2.5,BMILMS!$D$21*AG780^3+BMILMS!$E$21*AG780^2+BMILMS!$F$21*AG780+BMILMS!$G$21,IF(AG780&lt;9.5,BMILMS!$D$22*AG780^3+BMILMS!$E$22*AG780^2+BMILMS!$F$22*AG780+BMILMS!$G$22,IF(AG780&lt;26.75,BMILMS!$D$23*AG780^3+BMILMS!$E$23*AG780^2+BMILMS!$F$23*AG780+BMILMS!$G$23,IF(AG780&lt;90,BMILMS!$D$24*AG780^3+BMILMS!$E$24*AG780^2+BMILMS!$F$24*AG780+BMILMS!$G$24,BMILMS!$D$25*AG780^3+BMILMS!$E$25*AG780^2+BMILMS!$F$25*AG780+BMILMS!$G$25))))),(IF(AG780&lt;2.5,BMILMS!$D$27*AG780^3+BMILMS!$E$27*AG780^2+BMILMS!$F$27*AG780+BMILMS!$G$27,IF(AG780&lt;9.5,BMILMS!$D$28*AG780^3+BMILMS!$E$28*AG780^2+BMILMS!$F$28*AG780+BMILMS!$G$28,IF(AG780&lt;26.75,BMILMS!$D$29*AG780^3+BMILMS!$E$29*AG780^2+BMILMS!$F$29*AG780+BMILMS!$G$29,IF(AG780&lt;90,BMILMS!$D$30*AG780^3+BMILMS!$E$30*AG780^2+BMILMS!$F$30*AG780+BMILMS!$G$30,IF(AG780&lt;150,BMILMS!$D$31*AG780^3+BMILMS!$E$31*AG780^2+BMILMS!$F$31*AG780+BMILMS!$G$31,BMILMS!$D$32*AG780^3+BMILMS!$E$32*AG780^2+BMILMS!$F$32*AG780+BMILMS!$G$32)))))))</f>
        <v>12.568967990000001</v>
      </c>
      <c r="AF780" s="24">
        <f>IF(D780="M",(IF(AG780&lt;90,BMILMS!$D$14*AG780^3+BMILMS!$E$14*AG780^2+BMILMS!$F$14*AG780+BMILMS!$G$14,BMILMS!$D$15*AG780^3+BMILMS!$E$15*AG780^2+BMILMS!$F$15*AG780+BMILMS!$G$15)),(IF(AG780&lt;90,BMILMS!$D$17*AG780^3+BMILMS!$E$17*AG780^2+BMILMS!$F$17*AG780+BMILMS!$G$17,BMILMS!$D$18*AG780^3+BMILMS!$E$18*AG780^2+BMILMS!$F$18*AG780+BMILMS!$G$18)))</f>
        <v>8.8969350000000003E-2</v>
      </c>
      <c r="AG780" s="24">
        <f t="shared" si="208"/>
        <v>0</v>
      </c>
      <c r="AI780" s="38">
        <f>IF(D780="M",WeightSDS!P$5*$AG780^7+WeightSDS!Q$5*$AG780^6+WeightSDS!R$5*$AG780^5+WeightSDS!S$5*$AG780^4+WeightSDS!T$5*$AG780^3+WeightSDS!U$5*$AG780^2+WeightSDS!V$5*$AG780+WeightSDS!W$5,IF($AG780&lt;186,WeightSDS!P$8*$AG780^7+WeightSDS!Q$8*$AG780^6+WeightSDS!R$8*$AG780^5+WeightSDS!S$8*$AG780^4+WeightSDS!T$8*$AG780^3+WeightSDS!U$8*$AG780^2+WeightSDS!V$8*$AG780+WeightSDS!W$8,WeightSDS!$U$9-WeightSDS!$V$9*($AG780-WeightSDS!$W$9)))</f>
        <v>0.75407122999999998</v>
      </c>
      <c r="AJ780" s="24">
        <f>IF(D780="M",IF($AG780&lt;45,WeightSDS!M$23*$AG780^10+WeightSDS!N$23*$AG780^9+WeightSDS!O$23*$AG780^8+WeightSDS!P$23*$AG780^7+WeightSDS!Q$23*$AG780^6+WeightSDS!R$23*$AG780^5+WeightSDS!S$23*$AG780^4+WeightSDS!T$23*$AG780^3+WeightSDS!U$23*$AG780^2+WeightSDS!V$23*$AG780+WeightSDS!W$23,IF($AG780&lt;153,WeightSDS!M$25*$AG780^10+WeightSDS!N$25*$AG780^9+WeightSDS!O$25*$AG780^8+WeightSDS!P$25*$AG780^7+WeightSDS!Q$25*$AG780^6+WeightSDS!R$25*$AG780^5+WeightSDS!S$25*$AG780^4+WeightSDS!T$25*$AG780^3+WeightSDS!U$25*$AG780^2+WeightSDS!V$25*$AG780+WeightSDS!W$25,WeightSDS!M$27+WeightSDS!N$27/(1+EXP(WeightSDS!O$27+WeightSDS!P$27*$AG780)))),IF($AG780&lt;43.8,WeightSDS!M$29*$AG780^10+WeightSDS!N$29*$AG780^9+WeightSDS!O$29*$AG780^8+WeightSDS!P$29*$AG780^7+WeightSDS!Q$29*$AG780^6+WeightSDS!R$29*$AG780^5+WeightSDS!S$29*$AG780^4+WeightSDS!T$29*$AG780^3+WeightSDS!U$29*$AG780^2+WeightSDS!V$29*$AG780+WeightSDS!W$29-0.010431*(1-$AG780/210),IF($AG780&lt;123,WeightSDS!M$30*$AG780^10+WeightSDS!N$30*$AG780^9+WeightSDS!O$30*$AG780^8+WeightSDS!P$30*$AG780^7+WeightSDS!Q$30*$AG780^6+WeightSDS!R$30*$AG780^5+WeightSDS!S$30*$AG780^4+WeightSDS!T$30*$AG780^3+WeightSDS!U$30*$AG780^2+WeightSDS!V$30*$AG780+WeightSDS!W$30-0.010431*(1-1/$AG780),WeightSDS!M$32+WeightSDS!N$32/(1+EXP(WeightSDS!O$32+WeightSDS!P$32*$AG780))-0.010431*(1-$AG780/210))))</f>
        <v>2.9500001032655536</v>
      </c>
      <c r="AK780" s="24">
        <f>IF(D780="M",IF($AG780&lt;162,WeightSDS!P$12*$AG780^7+WeightSDS!Q$12*$AG780^6+WeightSDS!R$12*$AG780^5+WeightSDS!S$12*$AG780^4+WeightSDS!T$12*$AG780^3+WeightSDS!U$12*$AG780^2+WeightSDS!V$12*$AG780+WeightSDS!W$12,WeightSDS!P$14*$AG780^7+WeightSDS!Q$14*$AG780^6+WeightSDS!R$14*$AG780^5+WeightSDS!S$14*$AG780^4+WeightSDS!T$14*$AG780^3+WeightSDS!U$14*$AG780^2+WeightSDS!V$14*$AG780+WeightSDS!W$14),IF($AG780&lt;156,WeightSDS!O$17*$AG780^8+WeightSDS!P$17*$AG780^7+WeightSDS!Q$17*$AG780^6+WeightSDS!R$17*$AG780^5+WeightSDS!S$17*$AG780^4+WeightSDS!T$17*$AG780^3+WeightSDS!U$17*$AG780^2+WeightSDS!V$17*$AG780+WeightSDS!W$17,IF($AG780&lt;186,WeightSDS!$U$18+(WeightSDS!$V$18-WeightSDS!$U$18)/24*($AG780-186)+WeightSDS!$W$18*(-$AG780+186)^2-0.005,WeightSDS!$U$18+(WeightSDS!$V$18-WeightSDS!$U$18)/24*($AG780-186)-0.005)))</f>
        <v>0.14604529399999999</v>
      </c>
    </row>
    <row r="781" spans="1:37">
      <c r="A781" s="4"/>
      <c r="B781" s="21"/>
      <c r="C781" s="21"/>
      <c r="D781" s="21"/>
      <c r="E781" s="22"/>
      <c r="F781" s="22"/>
      <c r="G781" s="23"/>
      <c r="H781" s="23"/>
      <c r="I781" s="8" t="str">
        <f t="shared" si="194"/>
        <v/>
      </c>
      <c r="J781" s="2" t="str">
        <f t="shared" si="201"/>
        <v/>
      </c>
      <c r="K781" s="2" t="str">
        <f t="shared" si="195"/>
        <v/>
      </c>
      <c r="L781" s="2" t="str">
        <f t="shared" si="202"/>
        <v/>
      </c>
      <c r="M781" s="2" t="str">
        <f t="shared" si="207"/>
        <v/>
      </c>
      <c r="N781" s="2" t="str">
        <f t="shared" si="203"/>
        <v/>
      </c>
      <c r="O781" s="8" t="str">
        <f t="shared" si="204"/>
        <v/>
      </c>
      <c r="P781" s="8" t="str">
        <f t="shared" si="205"/>
        <v/>
      </c>
      <c r="Q781" s="40" t="str">
        <f t="shared" si="196"/>
        <v/>
      </c>
      <c r="R781" s="48" t="str">
        <f t="shared" si="206"/>
        <v/>
      </c>
      <c r="S781" s="8"/>
      <c r="U781" s="35">
        <f t="shared" si="197"/>
        <v>0</v>
      </c>
      <c r="V781" s="24">
        <f t="shared" si="198"/>
        <v>0</v>
      </c>
      <c r="W781" s="41">
        <f t="shared" si="193"/>
        <v>0</v>
      </c>
      <c r="X781" s="31"/>
      <c r="Y781" s="31"/>
      <c r="Z781" s="31"/>
      <c r="AA781" s="25">
        <f t="shared" si="199"/>
        <v>9.0359999999999996</v>
      </c>
      <c r="AB781" s="25">
        <f t="shared" si="200"/>
        <v>-184.49199999999999</v>
      </c>
      <c r="AD781" s="24">
        <f>IF(D781="M",IF(AG781&lt;78,BMILMS!$D$5*AG781^3+BMILMS!$E$5*AG781^2+BMILMS!$F$5*AG781+BMILMS!$G$5,IF(AG781&lt;150,BMILMS!$D$6*AG781^3+BMILMS!$E$6*AG781^2+BMILMS!$F$6*AG781+BMILMS!$G$6,BMILMS!$D$7*AG781^3+BMILMS!$E$7*AG781^2+BMILMS!$F$7*AG781+BMILMS!$G$7)),IF(AG781&lt;69,BMILMS!$D$9*AG781^3+BMILMS!$E$9*AG781^2+BMILMS!$F$9*AG781+BMILMS!$G$9,IF(AG781&lt;150,BMILMS!$D$10*AG781^3+BMILMS!$E$10*AG781^2+BMILMS!$F$10*AG781+BMILMS!$G$10,BMILMS!$D$11*AG781^3+BMILMS!$E$11*AG781^2+BMILMS!$F$11*AG781+BMILMS!$G$11)))</f>
        <v>0.79584630099999998</v>
      </c>
      <c r="AE781" s="24">
        <f>IF(D781="M",(IF(AG781&lt;2.5,BMILMS!$D$21*AG781^3+BMILMS!$E$21*AG781^2+BMILMS!$F$21*AG781+BMILMS!$G$21,IF(AG781&lt;9.5,BMILMS!$D$22*AG781^3+BMILMS!$E$22*AG781^2+BMILMS!$F$22*AG781+BMILMS!$G$22,IF(AG781&lt;26.75,BMILMS!$D$23*AG781^3+BMILMS!$E$23*AG781^2+BMILMS!$F$23*AG781+BMILMS!$G$23,IF(AG781&lt;90,BMILMS!$D$24*AG781^3+BMILMS!$E$24*AG781^2+BMILMS!$F$24*AG781+BMILMS!$G$24,BMILMS!$D$25*AG781^3+BMILMS!$E$25*AG781^2+BMILMS!$F$25*AG781+BMILMS!$G$25))))),(IF(AG781&lt;2.5,BMILMS!$D$27*AG781^3+BMILMS!$E$27*AG781^2+BMILMS!$F$27*AG781+BMILMS!$G$27,IF(AG781&lt;9.5,BMILMS!$D$28*AG781^3+BMILMS!$E$28*AG781^2+BMILMS!$F$28*AG781+BMILMS!$G$28,IF(AG781&lt;26.75,BMILMS!$D$29*AG781^3+BMILMS!$E$29*AG781^2+BMILMS!$F$29*AG781+BMILMS!$G$29,IF(AG781&lt;90,BMILMS!$D$30*AG781^3+BMILMS!$E$30*AG781^2+BMILMS!$F$30*AG781+BMILMS!$G$30,IF(AG781&lt;150,BMILMS!$D$31*AG781^3+BMILMS!$E$31*AG781^2+BMILMS!$F$31*AG781+BMILMS!$G$31,BMILMS!$D$32*AG781^3+BMILMS!$E$32*AG781^2+BMILMS!$F$32*AG781+BMILMS!$G$32)))))))</f>
        <v>12.568967990000001</v>
      </c>
      <c r="AF781" s="24">
        <f>IF(D781="M",(IF(AG781&lt;90,BMILMS!$D$14*AG781^3+BMILMS!$E$14*AG781^2+BMILMS!$F$14*AG781+BMILMS!$G$14,BMILMS!$D$15*AG781^3+BMILMS!$E$15*AG781^2+BMILMS!$F$15*AG781+BMILMS!$G$15)),(IF(AG781&lt;90,BMILMS!$D$17*AG781^3+BMILMS!$E$17*AG781^2+BMILMS!$F$17*AG781+BMILMS!$G$17,BMILMS!$D$18*AG781^3+BMILMS!$E$18*AG781^2+BMILMS!$F$18*AG781+BMILMS!$G$18)))</f>
        <v>8.8969350000000003E-2</v>
      </c>
      <c r="AG781" s="24">
        <f t="shared" si="208"/>
        <v>0</v>
      </c>
      <c r="AI781" s="38">
        <f>IF(D781="M",WeightSDS!P$5*$AG781^7+WeightSDS!Q$5*$AG781^6+WeightSDS!R$5*$AG781^5+WeightSDS!S$5*$AG781^4+WeightSDS!T$5*$AG781^3+WeightSDS!U$5*$AG781^2+WeightSDS!V$5*$AG781+WeightSDS!W$5,IF($AG781&lt;186,WeightSDS!P$8*$AG781^7+WeightSDS!Q$8*$AG781^6+WeightSDS!R$8*$AG781^5+WeightSDS!S$8*$AG781^4+WeightSDS!T$8*$AG781^3+WeightSDS!U$8*$AG781^2+WeightSDS!V$8*$AG781+WeightSDS!W$8,WeightSDS!$U$9-WeightSDS!$V$9*($AG781-WeightSDS!$W$9)))</f>
        <v>0.75407122999999998</v>
      </c>
      <c r="AJ781" s="24">
        <f>IF(D781="M",IF($AG781&lt;45,WeightSDS!M$23*$AG781^10+WeightSDS!N$23*$AG781^9+WeightSDS!O$23*$AG781^8+WeightSDS!P$23*$AG781^7+WeightSDS!Q$23*$AG781^6+WeightSDS!R$23*$AG781^5+WeightSDS!S$23*$AG781^4+WeightSDS!T$23*$AG781^3+WeightSDS!U$23*$AG781^2+WeightSDS!V$23*$AG781+WeightSDS!W$23,IF($AG781&lt;153,WeightSDS!M$25*$AG781^10+WeightSDS!N$25*$AG781^9+WeightSDS!O$25*$AG781^8+WeightSDS!P$25*$AG781^7+WeightSDS!Q$25*$AG781^6+WeightSDS!R$25*$AG781^5+WeightSDS!S$25*$AG781^4+WeightSDS!T$25*$AG781^3+WeightSDS!U$25*$AG781^2+WeightSDS!V$25*$AG781+WeightSDS!W$25,WeightSDS!M$27+WeightSDS!N$27/(1+EXP(WeightSDS!O$27+WeightSDS!P$27*$AG781)))),IF($AG781&lt;43.8,WeightSDS!M$29*$AG781^10+WeightSDS!N$29*$AG781^9+WeightSDS!O$29*$AG781^8+WeightSDS!P$29*$AG781^7+WeightSDS!Q$29*$AG781^6+WeightSDS!R$29*$AG781^5+WeightSDS!S$29*$AG781^4+WeightSDS!T$29*$AG781^3+WeightSDS!U$29*$AG781^2+WeightSDS!V$29*$AG781+WeightSDS!W$29-0.010431*(1-$AG781/210),IF($AG781&lt;123,WeightSDS!M$30*$AG781^10+WeightSDS!N$30*$AG781^9+WeightSDS!O$30*$AG781^8+WeightSDS!P$30*$AG781^7+WeightSDS!Q$30*$AG781^6+WeightSDS!R$30*$AG781^5+WeightSDS!S$30*$AG781^4+WeightSDS!T$30*$AG781^3+WeightSDS!U$30*$AG781^2+WeightSDS!V$30*$AG781+WeightSDS!W$30-0.010431*(1-1/$AG781),WeightSDS!M$32+WeightSDS!N$32/(1+EXP(WeightSDS!O$32+WeightSDS!P$32*$AG781))-0.010431*(1-$AG781/210))))</f>
        <v>2.9500001032655536</v>
      </c>
      <c r="AK781" s="24">
        <f>IF(D781="M",IF($AG781&lt;162,WeightSDS!P$12*$AG781^7+WeightSDS!Q$12*$AG781^6+WeightSDS!R$12*$AG781^5+WeightSDS!S$12*$AG781^4+WeightSDS!T$12*$AG781^3+WeightSDS!U$12*$AG781^2+WeightSDS!V$12*$AG781+WeightSDS!W$12,WeightSDS!P$14*$AG781^7+WeightSDS!Q$14*$AG781^6+WeightSDS!R$14*$AG781^5+WeightSDS!S$14*$AG781^4+WeightSDS!T$14*$AG781^3+WeightSDS!U$14*$AG781^2+WeightSDS!V$14*$AG781+WeightSDS!W$14),IF($AG781&lt;156,WeightSDS!O$17*$AG781^8+WeightSDS!P$17*$AG781^7+WeightSDS!Q$17*$AG781^6+WeightSDS!R$17*$AG781^5+WeightSDS!S$17*$AG781^4+WeightSDS!T$17*$AG781^3+WeightSDS!U$17*$AG781^2+WeightSDS!V$17*$AG781+WeightSDS!W$17,IF($AG781&lt;186,WeightSDS!$U$18+(WeightSDS!$V$18-WeightSDS!$U$18)/24*($AG781-186)+WeightSDS!$W$18*(-$AG781+186)^2-0.005,WeightSDS!$U$18+(WeightSDS!$V$18-WeightSDS!$U$18)/24*($AG781-186)-0.005)))</f>
        <v>0.14604529399999999</v>
      </c>
    </row>
    <row r="782" spans="1:37">
      <c r="A782" s="4"/>
      <c r="B782" s="21"/>
      <c r="C782" s="21"/>
      <c r="D782" s="21"/>
      <c r="E782" s="22"/>
      <c r="F782" s="22"/>
      <c r="G782" s="23"/>
      <c r="H782" s="23"/>
      <c r="I782" s="8" t="str">
        <f t="shared" si="194"/>
        <v/>
      </c>
      <c r="J782" s="2" t="str">
        <f t="shared" si="201"/>
        <v/>
      </c>
      <c r="K782" s="2" t="str">
        <f t="shared" si="195"/>
        <v/>
      </c>
      <c r="L782" s="2" t="str">
        <f t="shared" si="202"/>
        <v/>
      </c>
      <c r="M782" s="2" t="str">
        <f t="shared" si="207"/>
        <v/>
      </c>
      <c r="N782" s="2" t="str">
        <f t="shared" si="203"/>
        <v/>
      </c>
      <c r="O782" s="8" t="str">
        <f t="shared" si="204"/>
        <v/>
      </c>
      <c r="P782" s="8" t="str">
        <f t="shared" si="205"/>
        <v/>
      </c>
      <c r="Q782" s="40" t="str">
        <f t="shared" si="196"/>
        <v/>
      </c>
      <c r="R782" s="48" t="str">
        <f t="shared" si="206"/>
        <v/>
      </c>
      <c r="S782" s="8"/>
      <c r="U782" s="35">
        <f t="shared" si="197"/>
        <v>0</v>
      </c>
      <c r="V782" s="24">
        <f t="shared" si="198"/>
        <v>0</v>
      </c>
      <c r="W782" s="41">
        <f t="shared" si="193"/>
        <v>0</v>
      </c>
      <c r="X782" s="31"/>
      <c r="Y782" s="31"/>
      <c r="Z782" s="31"/>
      <c r="AA782" s="25">
        <f t="shared" si="199"/>
        <v>9.0359999999999996</v>
      </c>
      <c r="AB782" s="25">
        <f t="shared" si="200"/>
        <v>-184.49199999999999</v>
      </c>
      <c r="AD782" s="24">
        <f>IF(D782="M",IF(AG782&lt;78,BMILMS!$D$5*AG782^3+BMILMS!$E$5*AG782^2+BMILMS!$F$5*AG782+BMILMS!$G$5,IF(AG782&lt;150,BMILMS!$D$6*AG782^3+BMILMS!$E$6*AG782^2+BMILMS!$F$6*AG782+BMILMS!$G$6,BMILMS!$D$7*AG782^3+BMILMS!$E$7*AG782^2+BMILMS!$F$7*AG782+BMILMS!$G$7)),IF(AG782&lt;69,BMILMS!$D$9*AG782^3+BMILMS!$E$9*AG782^2+BMILMS!$F$9*AG782+BMILMS!$G$9,IF(AG782&lt;150,BMILMS!$D$10*AG782^3+BMILMS!$E$10*AG782^2+BMILMS!$F$10*AG782+BMILMS!$G$10,BMILMS!$D$11*AG782^3+BMILMS!$E$11*AG782^2+BMILMS!$F$11*AG782+BMILMS!$G$11)))</f>
        <v>0.79584630099999998</v>
      </c>
      <c r="AE782" s="24">
        <f>IF(D782="M",(IF(AG782&lt;2.5,BMILMS!$D$21*AG782^3+BMILMS!$E$21*AG782^2+BMILMS!$F$21*AG782+BMILMS!$G$21,IF(AG782&lt;9.5,BMILMS!$D$22*AG782^3+BMILMS!$E$22*AG782^2+BMILMS!$F$22*AG782+BMILMS!$G$22,IF(AG782&lt;26.75,BMILMS!$D$23*AG782^3+BMILMS!$E$23*AG782^2+BMILMS!$F$23*AG782+BMILMS!$G$23,IF(AG782&lt;90,BMILMS!$D$24*AG782^3+BMILMS!$E$24*AG782^2+BMILMS!$F$24*AG782+BMILMS!$G$24,BMILMS!$D$25*AG782^3+BMILMS!$E$25*AG782^2+BMILMS!$F$25*AG782+BMILMS!$G$25))))),(IF(AG782&lt;2.5,BMILMS!$D$27*AG782^3+BMILMS!$E$27*AG782^2+BMILMS!$F$27*AG782+BMILMS!$G$27,IF(AG782&lt;9.5,BMILMS!$D$28*AG782^3+BMILMS!$E$28*AG782^2+BMILMS!$F$28*AG782+BMILMS!$G$28,IF(AG782&lt;26.75,BMILMS!$D$29*AG782^3+BMILMS!$E$29*AG782^2+BMILMS!$F$29*AG782+BMILMS!$G$29,IF(AG782&lt;90,BMILMS!$D$30*AG782^3+BMILMS!$E$30*AG782^2+BMILMS!$F$30*AG782+BMILMS!$G$30,IF(AG782&lt;150,BMILMS!$D$31*AG782^3+BMILMS!$E$31*AG782^2+BMILMS!$F$31*AG782+BMILMS!$G$31,BMILMS!$D$32*AG782^3+BMILMS!$E$32*AG782^2+BMILMS!$F$32*AG782+BMILMS!$G$32)))))))</f>
        <v>12.568967990000001</v>
      </c>
      <c r="AF782" s="24">
        <f>IF(D782="M",(IF(AG782&lt;90,BMILMS!$D$14*AG782^3+BMILMS!$E$14*AG782^2+BMILMS!$F$14*AG782+BMILMS!$G$14,BMILMS!$D$15*AG782^3+BMILMS!$E$15*AG782^2+BMILMS!$F$15*AG782+BMILMS!$G$15)),(IF(AG782&lt;90,BMILMS!$D$17*AG782^3+BMILMS!$E$17*AG782^2+BMILMS!$F$17*AG782+BMILMS!$G$17,BMILMS!$D$18*AG782^3+BMILMS!$E$18*AG782^2+BMILMS!$F$18*AG782+BMILMS!$G$18)))</f>
        <v>8.8969350000000003E-2</v>
      </c>
      <c r="AG782" s="24">
        <f t="shared" si="208"/>
        <v>0</v>
      </c>
      <c r="AI782" s="38">
        <f>IF(D782="M",WeightSDS!P$5*$AG782^7+WeightSDS!Q$5*$AG782^6+WeightSDS!R$5*$AG782^5+WeightSDS!S$5*$AG782^4+WeightSDS!T$5*$AG782^3+WeightSDS!U$5*$AG782^2+WeightSDS!V$5*$AG782+WeightSDS!W$5,IF($AG782&lt;186,WeightSDS!P$8*$AG782^7+WeightSDS!Q$8*$AG782^6+WeightSDS!R$8*$AG782^5+WeightSDS!S$8*$AG782^4+WeightSDS!T$8*$AG782^3+WeightSDS!U$8*$AG782^2+WeightSDS!V$8*$AG782+WeightSDS!W$8,WeightSDS!$U$9-WeightSDS!$V$9*($AG782-WeightSDS!$W$9)))</f>
        <v>0.75407122999999998</v>
      </c>
      <c r="AJ782" s="24">
        <f>IF(D782="M",IF($AG782&lt;45,WeightSDS!M$23*$AG782^10+WeightSDS!N$23*$AG782^9+WeightSDS!O$23*$AG782^8+WeightSDS!P$23*$AG782^7+WeightSDS!Q$23*$AG782^6+WeightSDS!R$23*$AG782^5+WeightSDS!S$23*$AG782^4+WeightSDS!T$23*$AG782^3+WeightSDS!U$23*$AG782^2+WeightSDS!V$23*$AG782+WeightSDS!W$23,IF($AG782&lt;153,WeightSDS!M$25*$AG782^10+WeightSDS!N$25*$AG782^9+WeightSDS!O$25*$AG782^8+WeightSDS!P$25*$AG782^7+WeightSDS!Q$25*$AG782^6+WeightSDS!R$25*$AG782^5+WeightSDS!S$25*$AG782^4+WeightSDS!T$25*$AG782^3+WeightSDS!U$25*$AG782^2+WeightSDS!V$25*$AG782+WeightSDS!W$25,WeightSDS!M$27+WeightSDS!N$27/(1+EXP(WeightSDS!O$27+WeightSDS!P$27*$AG782)))),IF($AG782&lt;43.8,WeightSDS!M$29*$AG782^10+WeightSDS!N$29*$AG782^9+WeightSDS!O$29*$AG782^8+WeightSDS!P$29*$AG782^7+WeightSDS!Q$29*$AG782^6+WeightSDS!R$29*$AG782^5+WeightSDS!S$29*$AG782^4+WeightSDS!T$29*$AG782^3+WeightSDS!U$29*$AG782^2+WeightSDS!V$29*$AG782+WeightSDS!W$29-0.010431*(1-$AG782/210),IF($AG782&lt;123,WeightSDS!M$30*$AG782^10+WeightSDS!N$30*$AG782^9+WeightSDS!O$30*$AG782^8+WeightSDS!P$30*$AG782^7+WeightSDS!Q$30*$AG782^6+WeightSDS!R$30*$AG782^5+WeightSDS!S$30*$AG782^4+WeightSDS!T$30*$AG782^3+WeightSDS!U$30*$AG782^2+WeightSDS!V$30*$AG782+WeightSDS!W$30-0.010431*(1-1/$AG782),WeightSDS!M$32+WeightSDS!N$32/(1+EXP(WeightSDS!O$32+WeightSDS!P$32*$AG782))-0.010431*(1-$AG782/210))))</f>
        <v>2.9500001032655536</v>
      </c>
      <c r="AK782" s="24">
        <f>IF(D782="M",IF($AG782&lt;162,WeightSDS!P$12*$AG782^7+WeightSDS!Q$12*$AG782^6+WeightSDS!R$12*$AG782^5+WeightSDS!S$12*$AG782^4+WeightSDS!T$12*$AG782^3+WeightSDS!U$12*$AG782^2+WeightSDS!V$12*$AG782+WeightSDS!W$12,WeightSDS!P$14*$AG782^7+WeightSDS!Q$14*$AG782^6+WeightSDS!R$14*$AG782^5+WeightSDS!S$14*$AG782^4+WeightSDS!T$14*$AG782^3+WeightSDS!U$14*$AG782^2+WeightSDS!V$14*$AG782+WeightSDS!W$14),IF($AG782&lt;156,WeightSDS!O$17*$AG782^8+WeightSDS!P$17*$AG782^7+WeightSDS!Q$17*$AG782^6+WeightSDS!R$17*$AG782^5+WeightSDS!S$17*$AG782^4+WeightSDS!T$17*$AG782^3+WeightSDS!U$17*$AG782^2+WeightSDS!V$17*$AG782+WeightSDS!W$17,IF($AG782&lt;186,WeightSDS!$U$18+(WeightSDS!$V$18-WeightSDS!$U$18)/24*($AG782-186)+WeightSDS!$W$18*(-$AG782+186)^2-0.005,WeightSDS!$U$18+(WeightSDS!$V$18-WeightSDS!$U$18)/24*($AG782-186)-0.005)))</f>
        <v>0.14604529399999999</v>
      </c>
    </row>
    <row r="783" spans="1:37">
      <c r="A783" s="4"/>
      <c r="B783" s="21"/>
      <c r="C783" s="21"/>
      <c r="D783" s="21"/>
      <c r="E783" s="22"/>
      <c r="F783" s="22"/>
      <c r="G783" s="23"/>
      <c r="H783" s="23"/>
      <c r="I783" s="8" t="str">
        <f t="shared" si="194"/>
        <v/>
      </c>
      <c r="J783" s="2" t="str">
        <f t="shared" si="201"/>
        <v/>
      </c>
      <c r="K783" s="2" t="str">
        <f t="shared" si="195"/>
        <v/>
      </c>
      <c r="L783" s="2" t="str">
        <f t="shared" si="202"/>
        <v/>
      </c>
      <c r="M783" s="2" t="str">
        <f t="shared" si="207"/>
        <v/>
      </c>
      <c r="N783" s="2" t="str">
        <f t="shared" si="203"/>
        <v/>
      </c>
      <c r="O783" s="8" t="str">
        <f t="shared" si="204"/>
        <v/>
      </c>
      <c r="P783" s="8" t="str">
        <f t="shared" si="205"/>
        <v/>
      </c>
      <c r="Q783" s="40" t="str">
        <f t="shared" si="196"/>
        <v/>
      </c>
      <c r="R783" s="48" t="str">
        <f t="shared" si="206"/>
        <v/>
      </c>
      <c r="S783" s="8"/>
      <c r="U783" s="35">
        <f t="shared" si="197"/>
        <v>0</v>
      </c>
      <c r="V783" s="24">
        <f t="shared" si="198"/>
        <v>0</v>
      </c>
      <c r="W783" s="41">
        <f t="shared" si="193"/>
        <v>0</v>
      </c>
      <c r="X783" s="31"/>
      <c r="Y783" s="31"/>
      <c r="Z783" s="31"/>
      <c r="AA783" s="25">
        <f t="shared" si="199"/>
        <v>9.0359999999999996</v>
      </c>
      <c r="AB783" s="25">
        <f t="shared" si="200"/>
        <v>-184.49199999999999</v>
      </c>
      <c r="AD783" s="24">
        <f>IF(D783="M",IF(AG783&lt;78,BMILMS!$D$5*AG783^3+BMILMS!$E$5*AG783^2+BMILMS!$F$5*AG783+BMILMS!$G$5,IF(AG783&lt;150,BMILMS!$D$6*AG783^3+BMILMS!$E$6*AG783^2+BMILMS!$F$6*AG783+BMILMS!$G$6,BMILMS!$D$7*AG783^3+BMILMS!$E$7*AG783^2+BMILMS!$F$7*AG783+BMILMS!$G$7)),IF(AG783&lt;69,BMILMS!$D$9*AG783^3+BMILMS!$E$9*AG783^2+BMILMS!$F$9*AG783+BMILMS!$G$9,IF(AG783&lt;150,BMILMS!$D$10*AG783^3+BMILMS!$E$10*AG783^2+BMILMS!$F$10*AG783+BMILMS!$G$10,BMILMS!$D$11*AG783^3+BMILMS!$E$11*AG783^2+BMILMS!$F$11*AG783+BMILMS!$G$11)))</f>
        <v>0.79584630099999998</v>
      </c>
      <c r="AE783" s="24">
        <f>IF(D783="M",(IF(AG783&lt;2.5,BMILMS!$D$21*AG783^3+BMILMS!$E$21*AG783^2+BMILMS!$F$21*AG783+BMILMS!$G$21,IF(AG783&lt;9.5,BMILMS!$D$22*AG783^3+BMILMS!$E$22*AG783^2+BMILMS!$F$22*AG783+BMILMS!$G$22,IF(AG783&lt;26.75,BMILMS!$D$23*AG783^3+BMILMS!$E$23*AG783^2+BMILMS!$F$23*AG783+BMILMS!$G$23,IF(AG783&lt;90,BMILMS!$D$24*AG783^3+BMILMS!$E$24*AG783^2+BMILMS!$F$24*AG783+BMILMS!$G$24,BMILMS!$D$25*AG783^3+BMILMS!$E$25*AG783^2+BMILMS!$F$25*AG783+BMILMS!$G$25))))),(IF(AG783&lt;2.5,BMILMS!$D$27*AG783^3+BMILMS!$E$27*AG783^2+BMILMS!$F$27*AG783+BMILMS!$G$27,IF(AG783&lt;9.5,BMILMS!$D$28*AG783^3+BMILMS!$E$28*AG783^2+BMILMS!$F$28*AG783+BMILMS!$G$28,IF(AG783&lt;26.75,BMILMS!$D$29*AG783^3+BMILMS!$E$29*AG783^2+BMILMS!$F$29*AG783+BMILMS!$G$29,IF(AG783&lt;90,BMILMS!$D$30*AG783^3+BMILMS!$E$30*AG783^2+BMILMS!$F$30*AG783+BMILMS!$G$30,IF(AG783&lt;150,BMILMS!$D$31*AG783^3+BMILMS!$E$31*AG783^2+BMILMS!$F$31*AG783+BMILMS!$G$31,BMILMS!$D$32*AG783^3+BMILMS!$E$32*AG783^2+BMILMS!$F$32*AG783+BMILMS!$G$32)))))))</f>
        <v>12.568967990000001</v>
      </c>
      <c r="AF783" s="24">
        <f>IF(D783="M",(IF(AG783&lt;90,BMILMS!$D$14*AG783^3+BMILMS!$E$14*AG783^2+BMILMS!$F$14*AG783+BMILMS!$G$14,BMILMS!$D$15*AG783^3+BMILMS!$E$15*AG783^2+BMILMS!$F$15*AG783+BMILMS!$G$15)),(IF(AG783&lt;90,BMILMS!$D$17*AG783^3+BMILMS!$E$17*AG783^2+BMILMS!$F$17*AG783+BMILMS!$G$17,BMILMS!$D$18*AG783^3+BMILMS!$E$18*AG783^2+BMILMS!$F$18*AG783+BMILMS!$G$18)))</f>
        <v>8.8969350000000003E-2</v>
      </c>
      <c r="AG783" s="24">
        <f t="shared" si="208"/>
        <v>0</v>
      </c>
      <c r="AI783" s="38">
        <f>IF(D783="M",WeightSDS!P$5*$AG783^7+WeightSDS!Q$5*$AG783^6+WeightSDS!R$5*$AG783^5+WeightSDS!S$5*$AG783^4+WeightSDS!T$5*$AG783^3+WeightSDS!U$5*$AG783^2+WeightSDS!V$5*$AG783+WeightSDS!W$5,IF($AG783&lt;186,WeightSDS!P$8*$AG783^7+WeightSDS!Q$8*$AG783^6+WeightSDS!R$8*$AG783^5+WeightSDS!S$8*$AG783^4+WeightSDS!T$8*$AG783^3+WeightSDS!U$8*$AG783^2+WeightSDS!V$8*$AG783+WeightSDS!W$8,WeightSDS!$U$9-WeightSDS!$V$9*($AG783-WeightSDS!$W$9)))</f>
        <v>0.75407122999999998</v>
      </c>
      <c r="AJ783" s="24">
        <f>IF(D783="M",IF($AG783&lt;45,WeightSDS!M$23*$AG783^10+WeightSDS!N$23*$AG783^9+WeightSDS!O$23*$AG783^8+WeightSDS!P$23*$AG783^7+WeightSDS!Q$23*$AG783^6+WeightSDS!R$23*$AG783^5+WeightSDS!S$23*$AG783^4+WeightSDS!T$23*$AG783^3+WeightSDS!U$23*$AG783^2+WeightSDS!V$23*$AG783+WeightSDS!W$23,IF($AG783&lt;153,WeightSDS!M$25*$AG783^10+WeightSDS!N$25*$AG783^9+WeightSDS!O$25*$AG783^8+WeightSDS!P$25*$AG783^7+WeightSDS!Q$25*$AG783^6+WeightSDS!R$25*$AG783^5+WeightSDS!S$25*$AG783^4+WeightSDS!T$25*$AG783^3+WeightSDS!U$25*$AG783^2+WeightSDS!V$25*$AG783+WeightSDS!W$25,WeightSDS!M$27+WeightSDS!N$27/(1+EXP(WeightSDS!O$27+WeightSDS!P$27*$AG783)))),IF($AG783&lt;43.8,WeightSDS!M$29*$AG783^10+WeightSDS!N$29*$AG783^9+WeightSDS!O$29*$AG783^8+WeightSDS!P$29*$AG783^7+WeightSDS!Q$29*$AG783^6+WeightSDS!R$29*$AG783^5+WeightSDS!S$29*$AG783^4+WeightSDS!T$29*$AG783^3+WeightSDS!U$29*$AG783^2+WeightSDS!V$29*$AG783+WeightSDS!W$29-0.010431*(1-$AG783/210),IF($AG783&lt;123,WeightSDS!M$30*$AG783^10+WeightSDS!N$30*$AG783^9+WeightSDS!O$30*$AG783^8+WeightSDS!P$30*$AG783^7+WeightSDS!Q$30*$AG783^6+WeightSDS!R$30*$AG783^5+WeightSDS!S$30*$AG783^4+WeightSDS!T$30*$AG783^3+WeightSDS!U$30*$AG783^2+WeightSDS!V$30*$AG783+WeightSDS!W$30-0.010431*(1-1/$AG783),WeightSDS!M$32+WeightSDS!N$32/(1+EXP(WeightSDS!O$32+WeightSDS!P$32*$AG783))-0.010431*(1-$AG783/210))))</f>
        <v>2.9500001032655536</v>
      </c>
      <c r="AK783" s="24">
        <f>IF(D783="M",IF($AG783&lt;162,WeightSDS!P$12*$AG783^7+WeightSDS!Q$12*$AG783^6+WeightSDS!R$12*$AG783^5+WeightSDS!S$12*$AG783^4+WeightSDS!T$12*$AG783^3+WeightSDS!U$12*$AG783^2+WeightSDS!V$12*$AG783+WeightSDS!W$12,WeightSDS!P$14*$AG783^7+WeightSDS!Q$14*$AG783^6+WeightSDS!R$14*$AG783^5+WeightSDS!S$14*$AG783^4+WeightSDS!T$14*$AG783^3+WeightSDS!U$14*$AG783^2+WeightSDS!V$14*$AG783+WeightSDS!W$14),IF($AG783&lt;156,WeightSDS!O$17*$AG783^8+WeightSDS!P$17*$AG783^7+WeightSDS!Q$17*$AG783^6+WeightSDS!R$17*$AG783^5+WeightSDS!S$17*$AG783^4+WeightSDS!T$17*$AG783^3+WeightSDS!U$17*$AG783^2+WeightSDS!V$17*$AG783+WeightSDS!W$17,IF($AG783&lt;186,WeightSDS!$U$18+(WeightSDS!$V$18-WeightSDS!$U$18)/24*($AG783-186)+WeightSDS!$W$18*(-$AG783+186)^2-0.005,WeightSDS!$U$18+(WeightSDS!$V$18-WeightSDS!$U$18)/24*($AG783-186)-0.005)))</f>
        <v>0.14604529399999999</v>
      </c>
    </row>
    <row r="784" spans="1:37">
      <c r="A784" s="4"/>
      <c r="B784" s="21"/>
      <c r="C784" s="21"/>
      <c r="D784" s="21"/>
      <c r="E784" s="22"/>
      <c r="F784" s="22"/>
      <c r="G784" s="23"/>
      <c r="H784" s="23"/>
      <c r="I784" s="8" t="str">
        <f t="shared" si="194"/>
        <v/>
      </c>
      <c r="J784" s="2" t="str">
        <f t="shared" si="201"/>
        <v/>
      </c>
      <c r="K784" s="2" t="str">
        <f t="shared" si="195"/>
        <v/>
      </c>
      <c r="L784" s="2" t="str">
        <f t="shared" si="202"/>
        <v/>
      </c>
      <c r="M784" s="2" t="str">
        <f t="shared" si="207"/>
        <v/>
      </c>
      <c r="N784" s="2" t="str">
        <f t="shared" si="203"/>
        <v/>
      </c>
      <c r="O784" s="8" t="str">
        <f t="shared" si="204"/>
        <v/>
      </c>
      <c r="P784" s="8" t="str">
        <f t="shared" si="205"/>
        <v/>
      </c>
      <c r="Q784" s="40" t="str">
        <f t="shared" si="196"/>
        <v/>
      </c>
      <c r="R784" s="48" t="str">
        <f t="shared" si="206"/>
        <v/>
      </c>
      <c r="S784" s="8"/>
      <c r="U784" s="35">
        <f t="shared" si="197"/>
        <v>0</v>
      </c>
      <c r="V784" s="24">
        <f t="shared" si="198"/>
        <v>0</v>
      </c>
      <c r="W784" s="41">
        <f t="shared" si="193"/>
        <v>0</v>
      </c>
      <c r="X784" s="31"/>
      <c r="Y784" s="31"/>
      <c r="Z784" s="31"/>
      <c r="AA784" s="25">
        <f t="shared" si="199"/>
        <v>9.0359999999999996</v>
      </c>
      <c r="AB784" s="25">
        <f t="shared" si="200"/>
        <v>-184.49199999999999</v>
      </c>
      <c r="AD784" s="24">
        <f>IF(D784="M",IF(AG784&lt;78,BMILMS!$D$5*AG784^3+BMILMS!$E$5*AG784^2+BMILMS!$F$5*AG784+BMILMS!$G$5,IF(AG784&lt;150,BMILMS!$D$6*AG784^3+BMILMS!$E$6*AG784^2+BMILMS!$F$6*AG784+BMILMS!$G$6,BMILMS!$D$7*AG784^3+BMILMS!$E$7*AG784^2+BMILMS!$F$7*AG784+BMILMS!$G$7)),IF(AG784&lt;69,BMILMS!$D$9*AG784^3+BMILMS!$E$9*AG784^2+BMILMS!$F$9*AG784+BMILMS!$G$9,IF(AG784&lt;150,BMILMS!$D$10*AG784^3+BMILMS!$E$10*AG784^2+BMILMS!$F$10*AG784+BMILMS!$G$10,BMILMS!$D$11*AG784^3+BMILMS!$E$11*AG784^2+BMILMS!$F$11*AG784+BMILMS!$G$11)))</f>
        <v>0.79584630099999998</v>
      </c>
      <c r="AE784" s="24">
        <f>IF(D784="M",(IF(AG784&lt;2.5,BMILMS!$D$21*AG784^3+BMILMS!$E$21*AG784^2+BMILMS!$F$21*AG784+BMILMS!$G$21,IF(AG784&lt;9.5,BMILMS!$D$22*AG784^3+BMILMS!$E$22*AG784^2+BMILMS!$F$22*AG784+BMILMS!$G$22,IF(AG784&lt;26.75,BMILMS!$D$23*AG784^3+BMILMS!$E$23*AG784^2+BMILMS!$F$23*AG784+BMILMS!$G$23,IF(AG784&lt;90,BMILMS!$D$24*AG784^3+BMILMS!$E$24*AG784^2+BMILMS!$F$24*AG784+BMILMS!$G$24,BMILMS!$D$25*AG784^3+BMILMS!$E$25*AG784^2+BMILMS!$F$25*AG784+BMILMS!$G$25))))),(IF(AG784&lt;2.5,BMILMS!$D$27*AG784^3+BMILMS!$E$27*AG784^2+BMILMS!$F$27*AG784+BMILMS!$G$27,IF(AG784&lt;9.5,BMILMS!$D$28*AG784^3+BMILMS!$E$28*AG784^2+BMILMS!$F$28*AG784+BMILMS!$G$28,IF(AG784&lt;26.75,BMILMS!$D$29*AG784^3+BMILMS!$E$29*AG784^2+BMILMS!$F$29*AG784+BMILMS!$G$29,IF(AG784&lt;90,BMILMS!$D$30*AG784^3+BMILMS!$E$30*AG784^2+BMILMS!$F$30*AG784+BMILMS!$G$30,IF(AG784&lt;150,BMILMS!$D$31*AG784^3+BMILMS!$E$31*AG784^2+BMILMS!$F$31*AG784+BMILMS!$G$31,BMILMS!$D$32*AG784^3+BMILMS!$E$32*AG784^2+BMILMS!$F$32*AG784+BMILMS!$G$32)))))))</f>
        <v>12.568967990000001</v>
      </c>
      <c r="AF784" s="24">
        <f>IF(D784="M",(IF(AG784&lt;90,BMILMS!$D$14*AG784^3+BMILMS!$E$14*AG784^2+BMILMS!$F$14*AG784+BMILMS!$G$14,BMILMS!$D$15*AG784^3+BMILMS!$E$15*AG784^2+BMILMS!$F$15*AG784+BMILMS!$G$15)),(IF(AG784&lt;90,BMILMS!$D$17*AG784^3+BMILMS!$E$17*AG784^2+BMILMS!$F$17*AG784+BMILMS!$G$17,BMILMS!$D$18*AG784^3+BMILMS!$E$18*AG784^2+BMILMS!$F$18*AG784+BMILMS!$G$18)))</f>
        <v>8.8969350000000003E-2</v>
      </c>
      <c r="AG784" s="24">
        <f t="shared" si="208"/>
        <v>0</v>
      </c>
      <c r="AI784" s="38">
        <f>IF(D784="M",WeightSDS!P$5*$AG784^7+WeightSDS!Q$5*$AG784^6+WeightSDS!R$5*$AG784^5+WeightSDS!S$5*$AG784^4+WeightSDS!T$5*$AG784^3+WeightSDS!U$5*$AG784^2+WeightSDS!V$5*$AG784+WeightSDS!W$5,IF($AG784&lt;186,WeightSDS!P$8*$AG784^7+WeightSDS!Q$8*$AG784^6+WeightSDS!R$8*$AG784^5+WeightSDS!S$8*$AG784^4+WeightSDS!T$8*$AG784^3+WeightSDS!U$8*$AG784^2+WeightSDS!V$8*$AG784+WeightSDS!W$8,WeightSDS!$U$9-WeightSDS!$V$9*($AG784-WeightSDS!$W$9)))</f>
        <v>0.75407122999999998</v>
      </c>
      <c r="AJ784" s="24">
        <f>IF(D784="M",IF($AG784&lt;45,WeightSDS!M$23*$AG784^10+WeightSDS!N$23*$AG784^9+WeightSDS!O$23*$AG784^8+WeightSDS!P$23*$AG784^7+WeightSDS!Q$23*$AG784^6+WeightSDS!R$23*$AG784^5+WeightSDS!S$23*$AG784^4+WeightSDS!T$23*$AG784^3+WeightSDS!U$23*$AG784^2+WeightSDS!V$23*$AG784+WeightSDS!W$23,IF($AG784&lt;153,WeightSDS!M$25*$AG784^10+WeightSDS!N$25*$AG784^9+WeightSDS!O$25*$AG784^8+WeightSDS!P$25*$AG784^7+WeightSDS!Q$25*$AG784^6+WeightSDS!R$25*$AG784^5+WeightSDS!S$25*$AG784^4+WeightSDS!T$25*$AG784^3+WeightSDS!U$25*$AG784^2+WeightSDS!V$25*$AG784+WeightSDS!W$25,WeightSDS!M$27+WeightSDS!N$27/(1+EXP(WeightSDS!O$27+WeightSDS!P$27*$AG784)))),IF($AG784&lt;43.8,WeightSDS!M$29*$AG784^10+WeightSDS!N$29*$AG784^9+WeightSDS!O$29*$AG784^8+WeightSDS!P$29*$AG784^7+WeightSDS!Q$29*$AG784^6+WeightSDS!R$29*$AG784^5+WeightSDS!S$29*$AG784^4+WeightSDS!T$29*$AG784^3+WeightSDS!U$29*$AG784^2+WeightSDS!V$29*$AG784+WeightSDS!W$29-0.010431*(1-$AG784/210),IF($AG784&lt;123,WeightSDS!M$30*$AG784^10+WeightSDS!N$30*$AG784^9+WeightSDS!O$30*$AG784^8+WeightSDS!P$30*$AG784^7+WeightSDS!Q$30*$AG784^6+WeightSDS!R$30*$AG784^5+WeightSDS!S$30*$AG784^4+WeightSDS!T$30*$AG784^3+WeightSDS!U$30*$AG784^2+WeightSDS!V$30*$AG784+WeightSDS!W$30-0.010431*(1-1/$AG784),WeightSDS!M$32+WeightSDS!N$32/(1+EXP(WeightSDS!O$32+WeightSDS!P$32*$AG784))-0.010431*(1-$AG784/210))))</f>
        <v>2.9500001032655536</v>
      </c>
      <c r="AK784" s="24">
        <f>IF(D784="M",IF($AG784&lt;162,WeightSDS!P$12*$AG784^7+WeightSDS!Q$12*$AG784^6+WeightSDS!R$12*$AG784^5+WeightSDS!S$12*$AG784^4+WeightSDS!T$12*$AG784^3+WeightSDS!U$12*$AG784^2+WeightSDS!V$12*$AG784+WeightSDS!W$12,WeightSDS!P$14*$AG784^7+WeightSDS!Q$14*$AG784^6+WeightSDS!R$14*$AG784^5+WeightSDS!S$14*$AG784^4+WeightSDS!T$14*$AG784^3+WeightSDS!U$14*$AG784^2+WeightSDS!V$14*$AG784+WeightSDS!W$14),IF($AG784&lt;156,WeightSDS!O$17*$AG784^8+WeightSDS!P$17*$AG784^7+WeightSDS!Q$17*$AG784^6+WeightSDS!R$17*$AG784^5+WeightSDS!S$17*$AG784^4+WeightSDS!T$17*$AG784^3+WeightSDS!U$17*$AG784^2+WeightSDS!V$17*$AG784+WeightSDS!W$17,IF($AG784&lt;186,WeightSDS!$U$18+(WeightSDS!$V$18-WeightSDS!$U$18)/24*($AG784-186)+WeightSDS!$W$18*(-$AG784+186)^2-0.005,WeightSDS!$U$18+(WeightSDS!$V$18-WeightSDS!$U$18)/24*($AG784-186)-0.005)))</f>
        <v>0.14604529399999999</v>
      </c>
    </row>
    <row r="785" spans="1:37">
      <c r="A785" s="4"/>
      <c r="B785" s="21"/>
      <c r="C785" s="21"/>
      <c r="D785" s="21"/>
      <c r="E785" s="22"/>
      <c r="F785" s="22"/>
      <c r="G785" s="23"/>
      <c r="H785" s="23"/>
      <c r="I785" s="8" t="str">
        <f t="shared" si="194"/>
        <v/>
      </c>
      <c r="J785" s="2" t="str">
        <f t="shared" si="201"/>
        <v/>
      </c>
      <c r="K785" s="2" t="str">
        <f t="shared" si="195"/>
        <v/>
      </c>
      <c r="L785" s="2" t="str">
        <f t="shared" si="202"/>
        <v/>
      </c>
      <c r="M785" s="2" t="str">
        <f t="shared" si="207"/>
        <v/>
      </c>
      <c r="N785" s="2" t="str">
        <f t="shared" si="203"/>
        <v/>
      </c>
      <c r="O785" s="8" t="str">
        <f t="shared" si="204"/>
        <v/>
      </c>
      <c r="P785" s="8" t="str">
        <f t="shared" si="205"/>
        <v/>
      </c>
      <c r="Q785" s="40" t="str">
        <f t="shared" si="196"/>
        <v/>
      </c>
      <c r="R785" s="48" t="str">
        <f t="shared" si="206"/>
        <v/>
      </c>
      <c r="S785" s="8"/>
      <c r="U785" s="35">
        <f t="shared" si="197"/>
        <v>0</v>
      </c>
      <c r="V785" s="24">
        <f t="shared" si="198"/>
        <v>0</v>
      </c>
      <c r="W785" s="41">
        <f t="shared" si="193"/>
        <v>0</v>
      </c>
      <c r="X785" s="31"/>
      <c r="Y785" s="31"/>
      <c r="Z785" s="31"/>
      <c r="AA785" s="25">
        <f t="shared" si="199"/>
        <v>9.0359999999999996</v>
      </c>
      <c r="AB785" s="25">
        <f t="shared" si="200"/>
        <v>-184.49199999999999</v>
      </c>
      <c r="AD785" s="24">
        <f>IF(D785="M",IF(AG785&lt;78,BMILMS!$D$5*AG785^3+BMILMS!$E$5*AG785^2+BMILMS!$F$5*AG785+BMILMS!$G$5,IF(AG785&lt;150,BMILMS!$D$6*AG785^3+BMILMS!$E$6*AG785^2+BMILMS!$F$6*AG785+BMILMS!$G$6,BMILMS!$D$7*AG785^3+BMILMS!$E$7*AG785^2+BMILMS!$F$7*AG785+BMILMS!$G$7)),IF(AG785&lt;69,BMILMS!$D$9*AG785^3+BMILMS!$E$9*AG785^2+BMILMS!$F$9*AG785+BMILMS!$G$9,IF(AG785&lt;150,BMILMS!$D$10*AG785^3+BMILMS!$E$10*AG785^2+BMILMS!$F$10*AG785+BMILMS!$G$10,BMILMS!$D$11*AG785^3+BMILMS!$E$11*AG785^2+BMILMS!$F$11*AG785+BMILMS!$G$11)))</f>
        <v>0.79584630099999998</v>
      </c>
      <c r="AE785" s="24">
        <f>IF(D785="M",(IF(AG785&lt;2.5,BMILMS!$D$21*AG785^3+BMILMS!$E$21*AG785^2+BMILMS!$F$21*AG785+BMILMS!$G$21,IF(AG785&lt;9.5,BMILMS!$D$22*AG785^3+BMILMS!$E$22*AG785^2+BMILMS!$F$22*AG785+BMILMS!$G$22,IF(AG785&lt;26.75,BMILMS!$D$23*AG785^3+BMILMS!$E$23*AG785^2+BMILMS!$F$23*AG785+BMILMS!$G$23,IF(AG785&lt;90,BMILMS!$D$24*AG785^3+BMILMS!$E$24*AG785^2+BMILMS!$F$24*AG785+BMILMS!$G$24,BMILMS!$D$25*AG785^3+BMILMS!$E$25*AG785^2+BMILMS!$F$25*AG785+BMILMS!$G$25))))),(IF(AG785&lt;2.5,BMILMS!$D$27*AG785^3+BMILMS!$E$27*AG785^2+BMILMS!$F$27*AG785+BMILMS!$G$27,IF(AG785&lt;9.5,BMILMS!$D$28*AG785^3+BMILMS!$E$28*AG785^2+BMILMS!$F$28*AG785+BMILMS!$G$28,IF(AG785&lt;26.75,BMILMS!$D$29*AG785^3+BMILMS!$E$29*AG785^2+BMILMS!$F$29*AG785+BMILMS!$G$29,IF(AG785&lt;90,BMILMS!$D$30*AG785^3+BMILMS!$E$30*AG785^2+BMILMS!$F$30*AG785+BMILMS!$G$30,IF(AG785&lt;150,BMILMS!$D$31*AG785^3+BMILMS!$E$31*AG785^2+BMILMS!$F$31*AG785+BMILMS!$G$31,BMILMS!$D$32*AG785^3+BMILMS!$E$32*AG785^2+BMILMS!$F$32*AG785+BMILMS!$G$32)))))))</f>
        <v>12.568967990000001</v>
      </c>
      <c r="AF785" s="24">
        <f>IF(D785="M",(IF(AG785&lt;90,BMILMS!$D$14*AG785^3+BMILMS!$E$14*AG785^2+BMILMS!$F$14*AG785+BMILMS!$G$14,BMILMS!$D$15*AG785^3+BMILMS!$E$15*AG785^2+BMILMS!$F$15*AG785+BMILMS!$G$15)),(IF(AG785&lt;90,BMILMS!$D$17*AG785^3+BMILMS!$E$17*AG785^2+BMILMS!$F$17*AG785+BMILMS!$G$17,BMILMS!$D$18*AG785^3+BMILMS!$E$18*AG785^2+BMILMS!$F$18*AG785+BMILMS!$G$18)))</f>
        <v>8.8969350000000003E-2</v>
      </c>
      <c r="AG785" s="24">
        <f t="shared" si="208"/>
        <v>0</v>
      </c>
      <c r="AI785" s="38">
        <f>IF(D785="M",WeightSDS!P$5*$AG785^7+WeightSDS!Q$5*$AG785^6+WeightSDS!R$5*$AG785^5+WeightSDS!S$5*$AG785^4+WeightSDS!T$5*$AG785^3+WeightSDS!U$5*$AG785^2+WeightSDS!V$5*$AG785+WeightSDS!W$5,IF($AG785&lt;186,WeightSDS!P$8*$AG785^7+WeightSDS!Q$8*$AG785^6+WeightSDS!R$8*$AG785^5+WeightSDS!S$8*$AG785^4+WeightSDS!T$8*$AG785^3+WeightSDS!U$8*$AG785^2+WeightSDS!V$8*$AG785+WeightSDS!W$8,WeightSDS!$U$9-WeightSDS!$V$9*($AG785-WeightSDS!$W$9)))</f>
        <v>0.75407122999999998</v>
      </c>
      <c r="AJ785" s="24">
        <f>IF(D785="M",IF($AG785&lt;45,WeightSDS!M$23*$AG785^10+WeightSDS!N$23*$AG785^9+WeightSDS!O$23*$AG785^8+WeightSDS!P$23*$AG785^7+WeightSDS!Q$23*$AG785^6+WeightSDS!R$23*$AG785^5+WeightSDS!S$23*$AG785^4+WeightSDS!T$23*$AG785^3+WeightSDS!U$23*$AG785^2+WeightSDS!V$23*$AG785+WeightSDS!W$23,IF($AG785&lt;153,WeightSDS!M$25*$AG785^10+WeightSDS!N$25*$AG785^9+WeightSDS!O$25*$AG785^8+WeightSDS!P$25*$AG785^7+WeightSDS!Q$25*$AG785^6+WeightSDS!R$25*$AG785^5+WeightSDS!S$25*$AG785^4+WeightSDS!T$25*$AG785^3+WeightSDS!U$25*$AG785^2+WeightSDS!V$25*$AG785+WeightSDS!W$25,WeightSDS!M$27+WeightSDS!N$27/(1+EXP(WeightSDS!O$27+WeightSDS!P$27*$AG785)))),IF($AG785&lt;43.8,WeightSDS!M$29*$AG785^10+WeightSDS!N$29*$AG785^9+WeightSDS!O$29*$AG785^8+WeightSDS!P$29*$AG785^7+WeightSDS!Q$29*$AG785^6+WeightSDS!R$29*$AG785^5+WeightSDS!S$29*$AG785^4+WeightSDS!T$29*$AG785^3+WeightSDS!U$29*$AG785^2+WeightSDS!V$29*$AG785+WeightSDS!W$29-0.010431*(1-$AG785/210),IF($AG785&lt;123,WeightSDS!M$30*$AG785^10+WeightSDS!N$30*$AG785^9+WeightSDS!O$30*$AG785^8+WeightSDS!P$30*$AG785^7+WeightSDS!Q$30*$AG785^6+WeightSDS!R$30*$AG785^5+WeightSDS!S$30*$AG785^4+WeightSDS!T$30*$AG785^3+WeightSDS!U$30*$AG785^2+WeightSDS!V$30*$AG785+WeightSDS!W$30-0.010431*(1-1/$AG785),WeightSDS!M$32+WeightSDS!N$32/(1+EXP(WeightSDS!O$32+WeightSDS!P$32*$AG785))-0.010431*(1-$AG785/210))))</f>
        <v>2.9500001032655536</v>
      </c>
      <c r="AK785" s="24">
        <f>IF(D785="M",IF($AG785&lt;162,WeightSDS!P$12*$AG785^7+WeightSDS!Q$12*$AG785^6+WeightSDS!R$12*$AG785^5+WeightSDS!S$12*$AG785^4+WeightSDS!T$12*$AG785^3+WeightSDS!U$12*$AG785^2+WeightSDS!V$12*$AG785+WeightSDS!W$12,WeightSDS!P$14*$AG785^7+WeightSDS!Q$14*$AG785^6+WeightSDS!R$14*$AG785^5+WeightSDS!S$14*$AG785^4+WeightSDS!T$14*$AG785^3+WeightSDS!U$14*$AG785^2+WeightSDS!V$14*$AG785+WeightSDS!W$14),IF($AG785&lt;156,WeightSDS!O$17*$AG785^8+WeightSDS!P$17*$AG785^7+WeightSDS!Q$17*$AG785^6+WeightSDS!R$17*$AG785^5+WeightSDS!S$17*$AG785^4+WeightSDS!T$17*$AG785^3+WeightSDS!U$17*$AG785^2+WeightSDS!V$17*$AG785+WeightSDS!W$17,IF($AG785&lt;186,WeightSDS!$U$18+(WeightSDS!$V$18-WeightSDS!$U$18)/24*($AG785-186)+WeightSDS!$W$18*(-$AG785+186)^2-0.005,WeightSDS!$U$18+(WeightSDS!$V$18-WeightSDS!$U$18)/24*($AG785-186)-0.005)))</f>
        <v>0.14604529399999999</v>
      </c>
    </row>
    <row r="786" spans="1:37">
      <c r="A786" s="4"/>
      <c r="B786" s="21"/>
      <c r="C786" s="21"/>
      <c r="D786" s="21"/>
      <c r="E786" s="22"/>
      <c r="F786" s="22"/>
      <c r="G786" s="23"/>
      <c r="H786" s="23"/>
      <c r="I786" s="8" t="str">
        <f t="shared" si="194"/>
        <v/>
      </c>
      <c r="J786" s="2" t="str">
        <f t="shared" si="201"/>
        <v/>
      </c>
      <c r="K786" s="2" t="str">
        <f t="shared" si="195"/>
        <v/>
      </c>
      <c r="L786" s="2" t="str">
        <f t="shared" si="202"/>
        <v/>
      </c>
      <c r="M786" s="2" t="str">
        <f t="shared" si="207"/>
        <v/>
      </c>
      <c r="N786" s="2" t="str">
        <f t="shared" si="203"/>
        <v/>
      </c>
      <c r="O786" s="8" t="str">
        <f t="shared" si="204"/>
        <v/>
      </c>
      <c r="P786" s="8" t="str">
        <f t="shared" si="205"/>
        <v/>
      </c>
      <c r="Q786" s="40" t="str">
        <f t="shared" si="196"/>
        <v/>
      </c>
      <c r="R786" s="48" t="str">
        <f t="shared" si="206"/>
        <v/>
      </c>
      <c r="S786" s="8"/>
      <c r="U786" s="35">
        <f t="shared" si="197"/>
        <v>0</v>
      </c>
      <c r="V786" s="24">
        <f t="shared" si="198"/>
        <v>0</v>
      </c>
      <c r="W786" s="41">
        <f t="shared" si="193"/>
        <v>0</v>
      </c>
      <c r="X786" s="31"/>
      <c r="Y786" s="31"/>
      <c r="Z786" s="31"/>
      <c r="AA786" s="25">
        <f t="shared" si="199"/>
        <v>9.0359999999999996</v>
      </c>
      <c r="AB786" s="25">
        <f t="shared" si="200"/>
        <v>-184.49199999999999</v>
      </c>
      <c r="AD786" s="24">
        <f>IF(D786="M",IF(AG786&lt;78,BMILMS!$D$5*AG786^3+BMILMS!$E$5*AG786^2+BMILMS!$F$5*AG786+BMILMS!$G$5,IF(AG786&lt;150,BMILMS!$D$6*AG786^3+BMILMS!$E$6*AG786^2+BMILMS!$F$6*AG786+BMILMS!$G$6,BMILMS!$D$7*AG786^3+BMILMS!$E$7*AG786^2+BMILMS!$F$7*AG786+BMILMS!$G$7)),IF(AG786&lt;69,BMILMS!$D$9*AG786^3+BMILMS!$E$9*AG786^2+BMILMS!$F$9*AG786+BMILMS!$G$9,IF(AG786&lt;150,BMILMS!$D$10*AG786^3+BMILMS!$E$10*AG786^2+BMILMS!$F$10*AG786+BMILMS!$G$10,BMILMS!$D$11*AG786^3+BMILMS!$E$11*AG786^2+BMILMS!$F$11*AG786+BMILMS!$G$11)))</f>
        <v>0.79584630099999998</v>
      </c>
      <c r="AE786" s="24">
        <f>IF(D786="M",(IF(AG786&lt;2.5,BMILMS!$D$21*AG786^3+BMILMS!$E$21*AG786^2+BMILMS!$F$21*AG786+BMILMS!$G$21,IF(AG786&lt;9.5,BMILMS!$D$22*AG786^3+BMILMS!$E$22*AG786^2+BMILMS!$F$22*AG786+BMILMS!$G$22,IF(AG786&lt;26.75,BMILMS!$D$23*AG786^3+BMILMS!$E$23*AG786^2+BMILMS!$F$23*AG786+BMILMS!$G$23,IF(AG786&lt;90,BMILMS!$D$24*AG786^3+BMILMS!$E$24*AG786^2+BMILMS!$F$24*AG786+BMILMS!$G$24,BMILMS!$D$25*AG786^3+BMILMS!$E$25*AG786^2+BMILMS!$F$25*AG786+BMILMS!$G$25))))),(IF(AG786&lt;2.5,BMILMS!$D$27*AG786^3+BMILMS!$E$27*AG786^2+BMILMS!$F$27*AG786+BMILMS!$G$27,IF(AG786&lt;9.5,BMILMS!$D$28*AG786^3+BMILMS!$E$28*AG786^2+BMILMS!$F$28*AG786+BMILMS!$G$28,IF(AG786&lt;26.75,BMILMS!$D$29*AG786^3+BMILMS!$E$29*AG786^2+BMILMS!$F$29*AG786+BMILMS!$G$29,IF(AG786&lt;90,BMILMS!$D$30*AG786^3+BMILMS!$E$30*AG786^2+BMILMS!$F$30*AG786+BMILMS!$G$30,IF(AG786&lt;150,BMILMS!$D$31*AG786^3+BMILMS!$E$31*AG786^2+BMILMS!$F$31*AG786+BMILMS!$G$31,BMILMS!$D$32*AG786^3+BMILMS!$E$32*AG786^2+BMILMS!$F$32*AG786+BMILMS!$G$32)))))))</f>
        <v>12.568967990000001</v>
      </c>
      <c r="AF786" s="24">
        <f>IF(D786="M",(IF(AG786&lt;90,BMILMS!$D$14*AG786^3+BMILMS!$E$14*AG786^2+BMILMS!$F$14*AG786+BMILMS!$G$14,BMILMS!$D$15*AG786^3+BMILMS!$E$15*AG786^2+BMILMS!$F$15*AG786+BMILMS!$G$15)),(IF(AG786&lt;90,BMILMS!$D$17*AG786^3+BMILMS!$E$17*AG786^2+BMILMS!$F$17*AG786+BMILMS!$G$17,BMILMS!$D$18*AG786^3+BMILMS!$E$18*AG786^2+BMILMS!$F$18*AG786+BMILMS!$G$18)))</f>
        <v>8.8969350000000003E-2</v>
      </c>
      <c r="AG786" s="24">
        <f t="shared" si="208"/>
        <v>0</v>
      </c>
      <c r="AI786" s="38">
        <f>IF(D786="M",WeightSDS!P$5*$AG786^7+WeightSDS!Q$5*$AG786^6+WeightSDS!R$5*$AG786^5+WeightSDS!S$5*$AG786^4+WeightSDS!T$5*$AG786^3+WeightSDS!U$5*$AG786^2+WeightSDS!V$5*$AG786+WeightSDS!W$5,IF($AG786&lt;186,WeightSDS!P$8*$AG786^7+WeightSDS!Q$8*$AG786^6+WeightSDS!R$8*$AG786^5+WeightSDS!S$8*$AG786^4+WeightSDS!T$8*$AG786^3+WeightSDS!U$8*$AG786^2+WeightSDS!V$8*$AG786+WeightSDS!W$8,WeightSDS!$U$9-WeightSDS!$V$9*($AG786-WeightSDS!$W$9)))</f>
        <v>0.75407122999999998</v>
      </c>
      <c r="AJ786" s="24">
        <f>IF(D786="M",IF($AG786&lt;45,WeightSDS!M$23*$AG786^10+WeightSDS!N$23*$AG786^9+WeightSDS!O$23*$AG786^8+WeightSDS!P$23*$AG786^7+WeightSDS!Q$23*$AG786^6+WeightSDS!R$23*$AG786^5+WeightSDS!S$23*$AG786^4+WeightSDS!T$23*$AG786^3+WeightSDS!U$23*$AG786^2+WeightSDS!V$23*$AG786+WeightSDS!W$23,IF($AG786&lt;153,WeightSDS!M$25*$AG786^10+WeightSDS!N$25*$AG786^9+WeightSDS!O$25*$AG786^8+WeightSDS!P$25*$AG786^7+WeightSDS!Q$25*$AG786^6+WeightSDS!R$25*$AG786^5+WeightSDS!S$25*$AG786^4+WeightSDS!T$25*$AG786^3+WeightSDS!U$25*$AG786^2+WeightSDS!V$25*$AG786+WeightSDS!W$25,WeightSDS!M$27+WeightSDS!N$27/(1+EXP(WeightSDS!O$27+WeightSDS!P$27*$AG786)))),IF($AG786&lt;43.8,WeightSDS!M$29*$AG786^10+WeightSDS!N$29*$AG786^9+WeightSDS!O$29*$AG786^8+WeightSDS!P$29*$AG786^7+WeightSDS!Q$29*$AG786^6+WeightSDS!R$29*$AG786^5+WeightSDS!S$29*$AG786^4+WeightSDS!T$29*$AG786^3+WeightSDS!U$29*$AG786^2+WeightSDS!V$29*$AG786+WeightSDS!W$29-0.010431*(1-$AG786/210),IF($AG786&lt;123,WeightSDS!M$30*$AG786^10+WeightSDS!N$30*$AG786^9+WeightSDS!O$30*$AG786^8+WeightSDS!P$30*$AG786^7+WeightSDS!Q$30*$AG786^6+WeightSDS!R$30*$AG786^5+WeightSDS!S$30*$AG786^4+WeightSDS!T$30*$AG786^3+WeightSDS!U$30*$AG786^2+WeightSDS!V$30*$AG786+WeightSDS!W$30-0.010431*(1-1/$AG786),WeightSDS!M$32+WeightSDS!N$32/(1+EXP(WeightSDS!O$32+WeightSDS!P$32*$AG786))-0.010431*(1-$AG786/210))))</f>
        <v>2.9500001032655536</v>
      </c>
      <c r="AK786" s="24">
        <f>IF(D786="M",IF($AG786&lt;162,WeightSDS!P$12*$AG786^7+WeightSDS!Q$12*$AG786^6+WeightSDS!R$12*$AG786^5+WeightSDS!S$12*$AG786^4+WeightSDS!T$12*$AG786^3+WeightSDS!U$12*$AG786^2+WeightSDS!V$12*$AG786+WeightSDS!W$12,WeightSDS!P$14*$AG786^7+WeightSDS!Q$14*$AG786^6+WeightSDS!R$14*$AG786^5+WeightSDS!S$14*$AG786^4+WeightSDS!T$14*$AG786^3+WeightSDS!U$14*$AG786^2+WeightSDS!V$14*$AG786+WeightSDS!W$14),IF($AG786&lt;156,WeightSDS!O$17*$AG786^8+WeightSDS!P$17*$AG786^7+WeightSDS!Q$17*$AG786^6+WeightSDS!R$17*$AG786^5+WeightSDS!S$17*$AG786^4+WeightSDS!T$17*$AG786^3+WeightSDS!U$17*$AG786^2+WeightSDS!V$17*$AG786+WeightSDS!W$17,IF($AG786&lt;186,WeightSDS!$U$18+(WeightSDS!$V$18-WeightSDS!$U$18)/24*($AG786-186)+WeightSDS!$W$18*(-$AG786+186)^2-0.005,WeightSDS!$U$18+(WeightSDS!$V$18-WeightSDS!$U$18)/24*($AG786-186)-0.005)))</f>
        <v>0.14604529399999999</v>
      </c>
    </row>
    <row r="787" spans="1:37">
      <c r="A787" s="4"/>
      <c r="B787" s="21"/>
      <c r="C787" s="21"/>
      <c r="D787" s="21"/>
      <c r="E787" s="22"/>
      <c r="F787" s="22"/>
      <c r="G787" s="23"/>
      <c r="H787" s="23"/>
      <c r="I787" s="8" t="str">
        <f t="shared" si="194"/>
        <v/>
      </c>
      <c r="J787" s="2" t="str">
        <f t="shared" si="201"/>
        <v/>
      </c>
      <c r="K787" s="2" t="str">
        <f t="shared" si="195"/>
        <v/>
      </c>
      <c r="L787" s="2" t="str">
        <f t="shared" si="202"/>
        <v/>
      </c>
      <c r="M787" s="2" t="str">
        <f t="shared" si="207"/>
        <v/>
      </c>
      <c r="N787" s="2" t="str">
        <f t="shared" si="203"/>
        <v/>
      </c>
      <c r="O787" s="8" t="str">
        <f t="shared" si="204"/>
        <v/>
      </c>
      <c r="P787" s="8" t="str">
        <f t="shared" si="205"/>
        <v/>
      </c>
      <c r="Q787" s="40" t="str">
        <f t="shared" si="196"/>
        <v/>
      </c>
      <c r="R787" s="48" t="str">
        <f t="shared" si="206"/>
        <v/>
      </c>
      <c r="S787" s="8"/>
      <c r="U787" s="35">
        <f t="shared" si="197"/>
        <v>0</v>
      </c>
      <c r="V787" s="24">
        <f t="shared" si="198"/>
        <v>0</v>
      </c>
      <c r="W787" s="41">
        <f t="shared" si="193"/>
        <v>0</v>
      </c>
      <c r="X787" s="31"/>
      <c r="Y787" s="31"/>
      <c r="Z787" s="31"/>
      <c r="AA787" s="25">
        <f t="shared" si="199"/>
        <v>9.0359999999999996</v>
      </c>
      <c r="AB787" s="25">
        <f t="shared" si="200"/>
        <v>-184.49199999999999</v>
      </c>
      <c r="AD787" s="24">
        <f>IF(D787="M",IF(AG787&lt;78,BMILMS!$D$5*AG787^3+BMILMS!$E$5*AG787^2+BMILMS!$F$5*AG787+BMILMS!$G$5,IF(AG787&lt;150,BMILMS!$D$6*AG787^3+BMILMS!$E$6*AG787^2+BMILMS!$F$6*AG787+BMILMS!$G$6,BMILMS!$D$7*AG787^3+BMILMS!$E$7*AG787^2+BMILMS!$F$7*AG787+BMILMS!$G$7)),IF(AG787&lt;69,BMILMS!$D$9*AG787^3+BMILMS!$E$9*AG787^2+BMILMS!$F$9*AG787+BMILMS!$G$9,IF(AG787&lt;150,BMILMS!$D$10*AG787^3+BMILMS!$E$10*AG787^2+BMILMS!$F$10*AG787+BMILMS!$G$10,BMILMS!$D$11*AG787^3+BMILMS!$E$11*AG787^2+BMILMS!$F$11*AG787+BMILMS!$G$11)))</f>
        <v>0.79584630099999998</v>
      </c>
      <c r="AE787" s="24">
        <f>IF(D787="M",(IF(AG787&lt;2.5,BMILMS!$D$21*AG787^3+BMILMS!$E$21*AG787^2+BMILMS!$F$21*AG787+BMILMS!$G$21,IF(AG787&lt;9.5,BMILMS!$D$22*AG787^3+BMILMS!$E$22*AG787^2+BMILMS!$F$22*AG787+BMILMS!$G$22,IF(AG787&lt;26.75,BMILMS!$D$23*AG787^3+BMILMS!$E$23*AG787^2+BMILMS!$F$23*AG787+BMILMS!$G$23,IF(AG787&lt;90,BMILMS!$D$24*AG787^3+BMILMS!$E$24*AG787^2+BMILMS!$F$24*AG787+BMILMS!$G$24,BMILMS!$D$25*AG787^3+BMILMS!$E$25*AG787^2+BMILMS!$F$25*AG787+BMILMS!$G$25))))),(IF(AG787&lt;2.5,BMILMS!$D$27*AG787^3+BMILMS!$E$27*AG787^2+BMILMS!$F$27*AG787+BMILMS!$G$27,IF(AG787&lt;9.5,BMILMS!$D$28*AG787^3+BMILMS!$E$28*AG787^2+BMILMS!$F$28*AG787+BMILMS!$G$28,IF(AG787&lt;26.75,BMILMS!$D$29*AG787^3+BMILMS!$E$29*AG787^2+BMILMS!$F$29*AG787+BMILMS!$G$29,IF(AG787&lt;90,BMILMS!$D$30*AG787^3+BMILMS!$E$30*AG787^2+BMILMS!$F$30*AG787+BMILMS!$G$30,IF(AG787&lt;150,BMILMS!$D$31*AG787^3+BMILMS!$E$31*AG787^2+BMILMS!$F$31*AG787+BMILMS!$G$31,BMILMS!$D$32*AG787^3+BMILMS!$E$32*AG787^2+BMILMS!$F$32*AG787+BMILMS!$G$32)))))))</f>
        <v>12.568967990000001</v>
      </c>
      <c r="AF787" s="24">
        <f>IF(D787="M",(IF(AG787&lt;90,BMILMS!$D$14*AG787^3+BMILMS!$E$14*AG787^2+BMILMS!$F$14*AG787+BMILMS!$G$14,BMILMS!$D$15*AG787^3+BMILMS!$E$15*AG787^2+BMILMS!$F$15*AG787+BMILMS!$G$15)),(IF(AG787&lt;90,BMILMS!$D$17*AG787^3+BMILMS!$E$17*AG787^2+BMILMS!$F$17*AG787+BMILMS!$G$17,BMILMS!$D$18*AG787^3+BMILMS!$E$18*AG787^2+BMILMS!$F$18*AG787+BMILMS!$G$18)))</f>
        <v>8.8969350000000003E-2</v>
      </c>
      <c r="AG787" s="24">
        <f t="shared" si="208"/>
        <v>0</v>
      </c>
      <c r="AI787" s="38">
        <f>IF(D787="M",WeightSDS!P$5*$AG787^7+WeightSDS!Q$5*$AG787^6+WeightSDS!R$5*$AG787^5+WeightSDS!S$5*$AG787^4+WeightSDS!T$5*$AG787^3+WeightSDS!U$5*$AG787^2+WeightSDS!V$5*$AG787+WeightSDS!W$5,IF($AG787&lt;186,WeightSDS!P$8*$AG787^7+WeightSDS!Q$8*$AG787^6+WeightSDS!R$8*$AG787^5+WeightSDS!S$8*$AG787^4+WeightSDS!T$8*$AG787^3+WeightSDS!U$8*$AG787^2+WeightSDS!V$8*$AG787+WeightSDS!W$8,WeightSDS!$U$9-WeightSDS!$V$9*($AG787-WeightSDS!$W$9)))</f>
        <v>0.75407122999999998</v>
      </c>
      <c r="AJ787" s="24">
        <f>IF(D787="M",IF($AG787&lt;45,WeightSDS!M$23*$AG787^10+WeightSDS!N$23*$AG787^9+WeightSDS!O$23*$AG787^8+WeightSDS!P$23*$AG787^7+WeightSDS!Q$23*$AG787^6+WeightSDS!R$23*$AG787^5+WeightSDS!S$23*$AG787^4+WeightSDS!T$23*$AG787^3+WeightSDS!U$23*$AG787^2+WeightSDS!V$23*$AG787+WeightSDS!W$23,IF($AG787&lt;153,WeightSDS!M$25*$AG787^10+WeightSDS!N$25*$AG787^9+WeightSDS!O$25*$AG787^8+WeightSDS!P$25*$AG787^7+WeightSDS!Q$25*$AG787^6+WeightSDS!R$25*$AG787^5+WeightSDS!S$25*$AG787^4+WeightSDS!T$25*$AG787^3+WeightSDS!U$25*$AG787^2+WeightSDS!V$25*$AG787+WeightSDS!W$25,WeightSDS!M$27+WeightSDS!N$27/(1+EXP(WeightSDS!O$27+WeightSDS!P$27*$AG787)))),IF($AG787&lt;43.8,WeightSDS!M$29*$AG787^10+WeightSDS!N$29*$AG787^9+WeightSDS!O$29*$AG787^8+WeightSDS!P$29*$AG787^7+WeightSDS!Q$29*$AG787^6+WeightSDS!R$29*$AG787^5+WeightSDS!S$29*$AG787^4+WeightSDS!T$29*$AG787^3+WeightSDS!U$29*$AG787^2+WeightSDS!V$29*$AG787+WeightSDS!W$29-0.010431*(1-$AG787/210),IF($AG787&lt;123,WeightSDS!M$30*$AG787^10+WeightSDS!N$30*$AG787^9+WeightSDS!O$30*$AG787^8+WeightSDS!P$30*$AG787^7+WeightSDS!Q$30*$AG787^6+WeightSDS!R$30*$AG787^5+WeightSDS!S$30*$AG787^4+WeightSDS!T$30*$AG787^3+WeightSDS!U$30*$AG787^2+WeightSDS!V$30*$AG787+WeightSDS!W$30-0.010431*(1-1/$AG787),WeightSDS!M$32+WeightSDS!N$32/(1+EXP(WeightSDS!O$32+WeightSDS!P$32*$AG787))-0.010431*(1-$AG787/210))))</f>
        <v>2.9500001032655536</v>
      </c>
      <c r="AK787" s="24">
        <f>IF(D787="M",IF($AG787&lt;162,WeightSDS!P$12*$AG787^7+WeightSDS!Q$12*$AG787^6+WeightSDS!R$12*$AG787^5+WeightSDS!S$12*$AG787^4+WeightSDS!T$12*$AG787^3+WeightSDS!U$12*$AG787^2+WeightSDS!V$12*$AG787+WeightSDS!W$12,WeightSDS!P$14*$AG787^7+WeightSDS!Q$14*$AG787^6+WeightSDS!R$14*$AG787^5+WeightSDS!S$14*$AG787^4+WeightSDS!T$14*$AG787^3+WeightSDS!U$14*$AG787^2+WeightSDS!V$14*$AG787+WeightSDS!W$14),IF($AG787&lt;156,WeightSDS!O$17*$AG787^8+WeightSDS!P$17*$AG787^7+WeightSDS!Q$17*$AG787^6+WeightSDS!R$17*$AG787^5+WeightSDS!S$17*$AG787^4+WeightSDS!T$17*$AG787^3+WeightSDS!U$17*$AG787^2+WeightSDS!V$17*$AG787+WeightSDS!W$17,IF($AG787&lt;186,WeightSDS!$U$18+(WeightSDS!$V$18-WeightSDS!$U$18)/24*($AG787-186)+WeightSDS!$W$18*(-$AG787+186)^2-0.005,WeightSDS!$U$18+(WeightSDS!$V$18-WeightSDS!$U$18)/24*($AG787-186)-0.005)))</f>
        <v>0.14604529399999999</v>
      </c>
    </row>
    <row r="788" spans="1:37">
      <c r="A788" s="4"/>
      <c r="B788" s="21"/>
      <c r="C788" s="21"/>
      <c r="D788" s="21"/>
      <c r="E788" s="22"/>
      <c r="F788" s="22"/>
      <c r="G788" s="23"/>
      <c r="H788" s="23"/>
      <c r="I788" s="8" t="str">
        <f t="shared" si="194"/>
        <v/>
      </c>
      <c r="J788" s="2" t="str">
        <f t="shared" si="201"/>
        <v/>
      </c>
      <c r="K788" s="2" t="str">
        <f t="shared" si="195"/>
        <v/>
      </c>
      <c r="L788" s="2" t="str">
        <f t="shared" si="202"/>
        <v/>
      </c>
      <c r="M788" s="2" t="str">
        <f t="shared" si="207"/>
        <v/>
      </c>
      <c r="N788" s="2" t="str">
        <f t="shared" si="203"/>
        <v/>
      </c>
      <c r="O788" s="8" t="str">
        <f t="shared" si="204"/>
        <v/>
      </c>
      <c r="P788" s="8" t="str">
        <f t="shared" si="205"/>
        <v/>
      </c>
      <c r="Q788" s="40" t="str">
        <f t="shared" si="196"/>
        <v/>
      </c>
      <c r="R788" s="48" t="str">
        <f t="shared" si="206"/>
        <v/>
      </c>
      <c r="S788" s="8"/>
      <c r="U788" s="35">
        <f t="shared" si="197"/>
        <v>0</v>
      </c>
      <c r="V788" s="24">
        <f t="shared" si="198"/>
        <v>0</v>
      </c>
      <c r="W788" s="41">
        <f t="shared" si="193"/>
        <v>0</v>
      </c>
      <c r="X788" s="31"/>
      <c r="Y788" s="31"/>
      <c r="Z788" s="31"/>
      <c r="AA788" s="25">
        <f t="shared" si="199"/>
        <v>9.0359999999999996</v>
      </c>
      <c r="AB788" s="25">
        <f t="shared" si="200"/>
        <v>-184.49199999999999</v>
      </c>
      <c r="AD788" s="24">
        <f>IF(D788="M",IF(AG788&lt;78,BMILMS!$D$5*AG788^3+BMILMS!$E$5*AG788^2+BMILMS!$F$5*AG788+BMILMS!$G$5,IF(AG788&lt;150,BMILMS!$D$6*AG788^3+BMILMS!$E$6*AG788^2+BMILMS!$F$6*AG788+BMILMS!$G$6,BMILMS!$D$7*AG788^3+BMILMS!$E$7*AG788^2+BMILMS!$F$7*AG788+BMILMS!$G$7)),IF(AG788&lt;69,BMILMS!$D$9*AG788^3+BMILMS!$E$9*AG788^2+BMILMS!$F$9*AG788+BMILMS!$G$9,IF(AG788&lt;150,BMILMS!$D$10*AG788^3+BMILMS!$E$10*AG788^2+BMILMS!$F$10*AG788+BMILMS!$G$10,BMILMS!$D$11*AG788^3+BMILMS!$E$11*AG788^2+BMILMS!$F$11*AG788+BMILMS!$G$11)))</f>
        <v>0.79584630099999998</v>
      </c>
      <c r="AE788" s="24">
        <f>IF(D788="M",(IF(AG788&lt;2.5,BMILMS!$D$21*AG788^3+BMILMS!$E$21*AG788^2+BMILMS!$F$21*AG788+BMILMS!$G$21,IF(AG788&lt;9.5,BMILMS!$D$22*AG788^3+BMILMS!$E$22*AG788^2+BMILMS!$F$22*AG788+BMILMS!$G$22,IF(AG788&lt;26.75,BMILMS!$D$23*AG788^3+BMILMS!$E$23*AG788^2+BMILMS!$F$23*AG788+BMILMS!$G$23,IF(AG788&lt;90,BMILMS!$D$24*AG788^3+BMILMS!$E$24*AG788^2+BMILMS!$F$24*AG788+BMILMS!$G$24,BMILMS!$D$25*AG788^3+BMILMS!$E$25*AG788^2+BMILMS!$F$25*AG788+BMILMS!$G$25))))),(IF(AG788&lt;2.5,BMILMS!$D$27*AG788^3+BMILMS!$E$27*AG788^2+BMILMS!$F$27*AG788+BMILMS!$G$27,IF(AG788&lt;9.5,BMILMS!$D$28*AG788^3+BMILMS!$E$28*AG788^2+BMILMS!$F$28*AG788+BMILMS!$G$28,IF(AG788&lt;26.75,BMILMS!$D$29*AG788^3+BMILMS!$E$29*AG788^2+BMILMS!$F$29*AG788+BMILMS!$G$29,IF(AG788&lt;90,BMILMS!$D$30*AG788^3+BMILMS!$E$30*AG788^2+BMILMS!$F$30*AG788+BMILMS!$G$30,IF(AG788&lt;150,BMILMS!$D$31*AG788^3+BMILMS!$E$31*AG788^2+BMILMS!$F$31*AG788+BMILMS!$G$31,BMILMS!$D$32*AG788^3+BMILMS!$E$32*AG788^2+BMILMS!$F$32*AG788+BMILMS!$G$32)))))))</f>
        <v>12.568967990000001</v>
      </c>
      <c r="AF788" s="24">
        <f>IF(D788="M",(IF(AG788&lt;90,BMILMS!$D$14*AG788^3+BMILMS!$E$14*AG788^2+BMILMS!$F$14*AG788+BMILMS!$G$14,BMILMS!$D$15*AG788^3+BMILMS!$E$15*AG788^2+BMILMS!$F$15*AG788+BMILMS!$G$15)),(IF(AG788&lt;90,BMILMS!$D$17*AG788^3+BMILMS!$E$17*AG788^2+BMILMS!$F$17*AG788+BMILMS!$G$17,BMILMS!$D$18*AG788^3+BMILMS!$E$18*AG788^2+BMILMS!$F$18*AG788+BMILMS!$G$18)))</f>
        <v>8.8969350000000003E-2</v>
      </c>
      <c r="AG788" s="24">
        <f t="shared" si="208"/>
        <v>0</v>
      </c>
      <c r="AI788" s="38">
        <f>IF(D788="M",WeightSDS!P$5*$AG788^7+WeightSDS!Q$5*$AG788^6+WeightSDS!R$5*$AG788^5+WeightSDS!S$5*$AG788^4+WeightSDS!T$5*$AG788^3+WeightSDS!U$5*$AG788^2+WeightSDS!V$5*$AG788+WeightSDS!W$5,IF($AG788&lt;186,WeightSDS!P$8*$AG788^7+WeightSDS!Q$8*$AG788^6+WeightSDS!R$8*$AG788^5+WeightSDS!S$8*$AG788^4+WeightSDS!T$8*$AG788^3+WeightSDS!U$8*$AG788^2+WeightSDS!V$8*$AG788+WeightSDS!W$8,WeightSDS!$U$9-WeightSDS!$V$9*($AG788-WeightSDS!$W$9)))</f>
        <v>0.75407122999999998</v>
      </c>
      <c r="AJ788" s="24">
        <f>IF(D788="M",IF($AG788&lt;45,WeightSDS!M$23*$AG788^10+WeightSDS!N$23*$AG788^9+WeightSDS!O$23*$AG788^8+WeightSDS!P$23*$AG788^7+WeightSDS!Q$23*$AG788^6+WeightSDS!R$23*$AG788^5+WeightSDS!S$23*$AG788^4+WeightSDS!T$23*$AG788^3+WeightSDS!U$23*$AG788^2+WeightSDS!V$23*$AG788+WeightSDS!W$23,IF($AG788&lt;153,WeightSDS!M$25*$AG788^10+WeightSDS!N$25*$AG788^9+WeightSDS!O$25*$AG788^8+WeightSDS!P$25*$AG788^7+WeightSDS!Q$25*$AG788^6+WeightSDS!R$25*$AG788^5+WeightSDS!S$25*$AG788^4+WeightSDS!T$25*$AG788^3+WeightSDS!U$25*$AG788^2+WeightSDS!V$25*$AG788+WeightSDS!W$25,WeightSDS!M$27+WeightSDS!N$27/(1+EXP(WeightSDS!O$27+WeightSDS!P$27*$AG788)))),IF($AG788&lt;43.8,WeightSDS!M$29*$AG788^10+WeightSDS!N$29*$AG788^9+WeightSDS!O$29*$AG788^8+WeightSDS!P$29*$AG788^7+WeightSDS!Q$29*$AG788^6+WeightSDS!R$29*$AG788^5+WeightSDS!S$29*$AG788^4+WeightSDS!T$29*$AG788^3+WeightSDS!U$29*$AG788^2+WeightSDS!V$29*$AG788+WeightSDS!W$29-0.010431*(1-$AG788/210),IF($AG788&lt;123,WeightSDS!M$30*$AG788^10+WeightSDS!N$30*$AG788^9+WeightSDS!O$30*$AG788^8+WeightSDS!P$30*$AG788^7+WeightSDS!Q$30*$AG788^6+WeightSDS!R$30*$AG788^5+WeightSDS!S$30*$AG788^4+WeightSDS!T$30*$AG788^3+WeightSDS!U$30*$AG788^2+WeightSDS!V$30*$AG788+WeightSDS!W$30-0.010431*(1-1/$AG788),WeightSDS!M$32+WeightSDS!N$32/(1+EXP(WeightSDS!O$32+WeightSDS!P$32*$AG788))-0.010431*(1-$AG788/210))))</f>
        <v>2.9500001032655536</v>
      </c>
      <c r="AK788" s="24">
        <f>IF(D788="M",IF($AG788&lt;162,WeightSDS!P$12*$AG788^7+WeightSDS!Q$12*$AG788^6+WeightSDS!R$12*$AG788^5+WeightSDS!S$12*$AG788^4+WeightSDS!T$12*$AG788^3+WeightSDS!U$12*$AG788^2+WeightSDS!V$12*$AG788+WeightSDS!W$12,WeightSDS!P$14*$AG788^7+WeightSDS!Q$14*$AG788^6+WeightSDS!R$14*$AG788^5+WeightSDS!S$14*$AG788^4+WeightSDS!T$14*$AG788^3+WeightSDS!U$14*$AG788^2+WeightSDS!V$14*$AG788+WeightSDS!W$14),IF($AG788&lt;156,WeightSDS!O$17*$AG788^8+WeightSDS!P$17*$AG788^7+WeightSDS!Q$17*$AG788^6+WeightSDS!R$17*$AG788^5+WeightSDS!S$17*$AG788^4+WeightSDS!T$17*$AG788^3+WeightSDS!U$17*$AG788^2+WeightSDS!V$17*$AG788+WeightSDS!W$17,IF($AG788&lt;186,WeightSDS!$U$18+(WeightSDS!$V$18-WeightSDS!$U$18)/24*($AG788-186)+WeightSDS!$W$18*(-$AG788+186)^2-0.005,WeightSDS!$U$18+(WeightSDS!$V$18-WeightSDS!$U$18)/24*($AG788-186)-0.005)))</f>
        <v>0.14604529399999999</v>
      </c>
    </row>
    <row r="789" spans="1:37">
      <c r="A789" s="4"/>
      <c r="B789" s="21"/>
      <c r="C789" s="21"/>
      <c r="D789" s="21"/>
      <c r="E789" s="22"/>
      <c r="F789" s="22"/>
      <c r="G789" s="23"/>
      <c r="H789" s="23"/>
      <c r="I789" s="8" t="str">
        <f t="shared" si="194"/>
        <v/>
      </c>
      <c r="J789" s="2" t="str">
        <f t="shared" si="201"/>
        <v/>
      </c>
      <c r="K789" s="2" t="str">
        <f t="shared" si="195"/>
        <v/>
      </c>
      <c r="L789" s="2" t="str">
        <f t="shared" si="202"/>
        <v/>
      </c>
      <c r="M789" s="2" t="str">
        <f t="shared" si="207"/>
        <v/>
      </c>
      <c r="N789" s="2" t="str">
        <f t="shared" si="203"/>
        <v/>
      </c>
      <c r="O789" s="8" t="str">
        <f t="shared" si="204"/>
        <v/>
      </c>
      <c r="P789" s="8" t="str">
        <f t="shared" si="205"/>
        <v/>
      </c>
      <c r="Q789" s="40" t="str">
        <f t="shared" si="196"/>
        <v/>
      </c>
      <c r="R789" s="48" t="str">
        <f t="shared" si="206"/>
        <v/>
      </c>
      <c r="S789" s="8"/>
      <c r="U789" s="35">
        <f t="shared" si="197"/>
        <v>0</v>
      </c>
      <c r="V789" s="24">
        <f t="shared" si="198"/>
        <v>0</v>
      </c>
      <c r="W789" s="41">
        <f t="shared" si="193"/>
        <v>0</v>
      </c>
      <c r="X789" s="31"/>
      <c r="Y789" s="31"/>
      <c r="Z789" s="31"/>
      <c r="AA789" s="25">
        <f t="shared" si="199"/>
        <v>9.0359999999999996</v>
      </c>
      <c r="AB789" s="25">
        <f t="shared" si="200"/>
        <v>-184.49199999999999</v>
      </c>
      <c r="AD789" s="24">
        <f>IF(D789="M",IF(AG789&lt;78,BMILMS!$D$5*AG789^3+BMILMS!$E$5*AG789^2+BMILMS!$F$5*AG789+BMILMS!$G$5,IF(AG789&lt;150,BMILMS!$D$6*AG789^3+BMILMS!$E$6*AG789^2+BMILMS!$F$6*AG789+BMILMS!$G$6,BMILMS!$D$7*AG789^3+BMILMS!$E$7*AG789^2+BMILMS!$F$7*AG789+BMILMS!$G$7)),IF(AG789&lt;69,BMILMS!$D$9*AG789^3+BMILMS!$E$9*AG789^2+BMILMS!$F$9*AG789+BMILMS!$G$9,IF(AG789&lt;150,BMILMS!$D$10*AG789^3+BMILMS!$E$10*AG789^2+BMILMS!$F$10*AG789+BMILMS!$G$10,BMILMS!$D$11*AG789^3+BMILMS!$E$11*AG789^2+BMILMS!$F$11*AG789+BMILMS!$G$11)))</f>
        <v>0.79584630099999998</v>
      </c>
      <c r="AE789" s="24">
        <f>IF(D789="M",(IF(AG789&lt;2.5,BMILMS!$D$21*AG789^3+BMILMS!$E$21*AG789^2+BMILMS!$F$21*AG789+BMILMS!$G$21,IF(AG789&lt;9.5,BMILMS!$D$22*AG789^3+BMILMS!$E$22*AG789^2+BMILMS!$F$22*AG789+BMILMS!$G$22,IF(AG789&lt;26.75,BMILMS!$D$23*AG789^3+BMILMS!$E$23*AG789^2+BMILMS!$F$23*AG789+BMILMS!$G$23,IF(AG789&lt;90,BMILMS!$D$24*AG789^3+BMILMS!$E$24*AG789^2+BMILMS!$F$24*AG789+BMILMS!$G$24,BMILMS!$D$25*AG789^3+BMILMS!$E$25*AG789^2+BMILMS!$F$25*AG789+BMILMS!$G$25))))),(IF(AG789&lt;2.5,BMILMS!$D$27*AG789^3+BMILMS!$E$27*AG789^2+BMILMS!$F$27*AG789+BMILMS!$G$27,IF(AG789&lt;9.5,BMILMS!$D$28*AG789^3+BMILMS!$E$28*AG789^2+BMILMS!$F$28*AG789+BMILMS!$G$28,IF(AG789&lt;26.75,BMILMS!$D$29*AG789^3+BMILMS!$E$29*AG789^2+BMILMS!$F$29*AG789+BMILMS!$G$29,IF(AG789&lt;90,BMILMS!$D$30*AG789^3+BMILMS!$E$30*AG789^2+BMILMS!$F$30*AG789+BMILMS!$G$30,IF(AG789&lt;150,BMILMS!$D$31*AG789^3+BMILMS!$E$31*AG789^2+BMILMS!$F$31*AG789+BMILMS!$G$31,BMILMS!$D$32*AG789^3+BMILMS!$E$32*AG789^2+BMILMS!$F$32*AG789+BMILMS!$G$32)))))))</f>
        <v>12.568967990000001</v>
      </c>
      <c r="AF789" s="24">
        <f>IF(D789="M",(IF(AG789&lt;90,BMILMS!$D$14*AG789^3+BMILMS!$E$14*AG789^2+BMILMS!$F$14*AG789+BMILMS!$G$14,BMILMS!$D$15*AG789^3+BMILMS!$E$15*AG789^2+BMILMS!$F$15*AG789+BMILMS!$G$15)),(IF(AG789&lt;90,BMILMS!$D$17*AG789^3+BMILMS!$E$17*AG789^2+BMILMS!$F$17*AG789+BMILMS!$G$17,BMILMS!$D$18*AG789^3+BMILMS!$E$18*AG789^2+BMILMS!$F$18*AG789+BMILMS!$G$18)))</f>
        <v>8.8969350000000003E-2</v>
      </c>
      <c r="AG789" s="24">
        <f t="shared" si="208"/>
        <v>0</v>
      </c>
      <c r="AI789" s="38">
        <f>IF(D789="M",WeightSDS!P$5*$AG789^7+WeightSDS!Q$5*$AG789^6+WeightSDS!R$5*$AG789^5+WeightSDS!S$5*$AG789^4+WeightSDS!T$5*$AG789^3+WeightSDS!U$5*$AG789^2+WeightSDS!V$5*$AG789+WeightSDS!W$5,IF($AG789&lt;186,WeightSDS!P$8*$AG789^7+WeightSDS!Q$8*$AG789^6+WeightSDS!R$8*$AG789^5+WeightSDS!S$8*$AG789^4+WeightSDS!T$8*$AG789^3+WeightSDS!U$8*$AG789^2+WeightSDS!V$8*$AG789+WeightSDS!W$8,WeightSDS!$U$9-WeightSDS!$V$9*($AG789-WeightSDS!$W$9)))</f>
        <v>0.75407122999999998</v>
      </c>
      <c r="AJ789" s="24">
        <f>IF(D789="M",IF($AG789&lt;45,WeightSDS!M$23*$AG789^10+WeightSDS!N$23*$AG789^9+WeightSDS!O$23*$AG789^8+WeightSDS!P$23*$AG789^7+WeightSDS!Q$23*$AG789^6+WeightSDS!R$23*$AG789^5+WeightSDS!S$23*$AG789^4+WeightSDS!T$23*$AG789^3+WeightSDS!U$23*$AG789^2+WeightSDS!V$23*$AG789+WeightSDS!W$23,IF($AG789&lt;153,WeightSDS!M$25*$AG789^10+WeightSDS!N$25*$AG789^9+WeightSDS!O$25*$AG789^8+WeightSDS!P$25*$AG789^7+WeightSDS!Q$25*$AG789^6+WeightSDS!R$25*$AG789^5+WeightSDS!S$25*$AG789^4+WeightSDS!T$25*$AG789^3+WeightSDS!U$25*$AG789^2+WeightSDS!V$25*$AG789+WeightSDS!W$25,WeightSDS!M$27+WeightSDS!N$27/(1+EXP(WeightSDS!O$27+WeightSDS!P$27*$AG789)))),IF($AG789&lt;43.8,WeightSDS!M$29*$AG789^10+WeightSDS!N$29*$AG789^9+WeightSDS!O$29*$AG789^8+WeightSDS!P$29*$AG789^7+WeightSDS!Q$29*$AG789^6+WeightSDS!R$29*$AG789^5+WeightSDS!S$29*$AG789^4+WeightSDS!T$29*$AG789^3+WeightSDS!U$29*$AG789^2+WeightSDS!V$29*$AG789+WeightSDS!W$29-0.010431*(1-$AG789/210),IF($AG789&lt;123,WeightSDS!M$30*$AG789^10+WeightSDS!N$30*$AG789^9+WeightSDS!O$30*$AG789^8+WeightSDS!P$30*$AG789^7+WeightSDS!Q$30*$AG789^6+WeightSDS!R$30*$AG789^5+WeightSDS!S$30*$AG789^4+WeightSDS!T$30*$AG789^3+WeightSDS!U$30*$AG789^2+WeightSDS!V$30*$AG789+WeightSDS!W$30-0.010431*(1-1/$AG789),WeightSDS!M$32+WeightSDS!N$32/(1+EXP(WeightSDS!O$32+WeightSDS!P$32*$AG789))-0.010431*(1-$AG789/210))))</f>
        <v>2.9500001032655536</v>
      </c>
      <c r="AK789" s="24">
        <f>IF(D789="M",IF($AG789&lt;162,WeightSDS!P$12*$AG789^7+WeightSDS!Q$12*$AG789^6+WeightSDS!R$12*$AG789^5+WeightSDS!S$12*$AG789^4+WeightSDS!T$12*$AG789^3+WeightSDS!U$12*$AG789^2+WeightSDS!V$12*$AG789+WeightSDS!W$12,WeightSDS!P$14*$AG789^7+WeightSDS!Q$14*$AG789^6+WeightSDS!R$14*$AG789^5+WeightSDS!S$14*$AG789^4+WeightSDS!T$14*$AG789^3+WeightSDS!U$14*$AG789^2+WeightSDS!V$14*$AG789+WeightSDS!W$14),IF($AG789&lt;156,WeightSDS!O$17*$AG789^8+WeightSDS!P$17*$AG789^7+WeightSDS!Q$17*$AG789^6+WeightSDS!R$17*$AG789^5+WeightSDS!S$17*$AG789^4+WeightSDS!T$17*$AG789^3+WeightSDS!U$17*$AG789^2+WeightSDS!V$17*$AG789+WeightSDS!W$17,IF($AG789&lt;186,WeightSDS!$U$18+(WeightSDS!$V$18-WeightSDS!$U$18)/24*($AG789-186)+WeightSDS!$W$18*(-$AG789+186)^2-0.005,WeightSDS!$U$18+(WeightSDS!$V$18-WeightSDS!$U$18)/24*($AG789-186)-0.005)))</f>
        <v>0.14604529399999999</v>
      </c>
    </row>
    <row r="790" spans="1:37">
      <c r="A790" s="4"/>
      <c r="B790" s="21"/>
      <c r="C790" s="21"/>
      <c r="D790" s="21"/>
      <c r="E790" s="22"/>
      <c r="F790" s="22"/>
      <c r="G790" s="23"/>
      <c r="H790" s="23"/>
      <c r="I790" s="8" t="str">
        <f t="shared" si="194"/>
        <v/>
      </c>
      <c r="J790" s="2" t="str">
        <f t="shared" si="201"/>
        <v/>
      </c>
      <c r="K790" s="2" t="str">
        <f t="shared" si="195"/>
        <v/>
      </c>
      <c r="L790" s="2" t="str">
        <f t="shared" si="202"/>
        <v/>
      </c>
      <c r="M790" s="2" t="str">
        <f t="shared" si="207"/>
        <v/>
      </c>
      <c r="N790" s="2" t="str">
        <f t="shared" si="203"/>
        <v/>
      </c>
      <c r="O790" s="8" t="str">
        <f t="shared" si="204"/>
        <v/>
      </c>
      <c r="P790" s="8" t="str">
        <f t="shared" si="205"/>
        <v/>
      </c>
      <c r="Q790" s="40" t="str">
        <f t="shared" si="196"/>
        <v/>
      </c>
      <c r="R790" s="48" t="str">
        <f t="shared" si="206"/>
        <v/>
      </c>
      <c r="S790" s="8"/>
      <c r="U790" s="35">
        <f t="shared" si="197"/>
        <v>0</v>
      </c>
      <c r="V790" s="24">
        <f t="shared" si="198"/>
        <v>0</v>
      </c>
      <c r="W790" s="41">
        <f t="shared" si="193"/>
        <v>0</v>
      </c>
      <c r="X790" s="31"/>
      <c r="Y790" s="31"/>
      <c r="Z790" s="31"/>
      <c r="AA790" s="25">
        <f t="shared" si="199"/>
        <v>9.0359999999999996</v>
      </c>
      <c r="AB790" s="25">
        <f t="shared" si="200"/>
        <v>-184.49199999999999</v>
      </c>
      <c r="AD790" s="24">
        <f>IF(D790="M",IF(AG790&lt;78,BMILMS!$D$5*AG790^3+BMILMS!$E$5*AG790^2+BMILMS!$F$5*AG790+BMILMS!$G$5,IF(AG790&lt;150,BMILMS!$D$6*AG790^3+BMILMS!$E$6*AG790^2+BMILMS!$F$6*AG790+BMILMS!$G$6,BMILMS!$D$7*AG790^3+BMILMS!$E$7*AG790^2+BMILMS!$F$7*AG790+BMILMS!$G$7)),IF(AG790&lt;69,BMILMS!$D$9*AG790^3+BMILMS!$E$9*AG790^2+BMILMS!$F$9*AG790+BMILMS!$G$9,IF(AG790&lt;150,BMILMS!$D$10*AG790^3+BMILMS!$E$10*AG790^2+BMILMS!$F$10*AG790+BMILMS!$G$10,BMILMS!$D$11*AG790^3+BMILMS!$E$11*AG790^2+BMILMS!$F$11*AG790+BMILMS!$G$11)))</f>
        <v>0.79584630099999998</v>
      </c>
      <c r="AE790" s="24">
        <f>IF(D790="M",(IF(AG790&lt;2.5,BMILMS!$D$21*AG790^3+BMILMS!$E$21*AG790^2+BMILMS!$F$21*AG790+BMILMS!$G$21,IF(AG790&lt;9.5,BMILMS!$D$22*AG790^3+BMILMS!$E$22*AG790^2+BMILMS!$F$22*AG790+BMILMS!$G$22,IF(AG790&lt;26.75,BMILMS!$D$23*AG790^3+BMILMS!$E$23*AG790^2+BMILMS!$F$23*AG790+BMILMS!$G$23,IF(AG790&lt;90,BMILMS!$D$24*AG790^3+BMILMS!$E$24*AG790^2+BMILMS!$F$24*AG790+BMILMS!$G$24,BMILMS!$D$25*AG790^3+BMILMS!$E$25*AG790^2+BMILMS!$F$25*AG790+BMILMS!$G$25))))),(IF(AG790&lt;2.5,BMILMS!$D$27*AG790^3+BMILMS!$E$27*AG790^2+BMILMS!$F$27*AG790+BMILMS!$G$27,IF(AG790&lt;9.5,BMILMS!$D$28*AG790^3+BMILMS!$E$28*AG790^2+BMILMS!$F$28*AG790+BMILMS!$G$28,IF(AG790&lt;26.75,BMILMS!$D$29*AG790^3+BMILMS!$E$29*AG790^2+BMILMS!$F$29*AG790+BMILMS!$G$29,IF(AG790&lt;90,BMILMS!$D$30*AG790^3+BMILMS!$E$30*AG790^2+BMILMS!$F$30*AG790+BMILMS!$G$30,IF(AG790&lt;150,BMILMS!$D$31*AG790^3+BMILMS!$E$31*AG790^2+BMILMS!$F$31*AG790+BMILMS!$G$31,BMILMS!$D$32*AG790^3+BMILMS!$E$32*AG790^2+BMILMS!$F$32*AG790+BMILMS!$G$32)))))))</f>
        <v>12.568967990000001</v>
      </c>
      <c r="AF790" s="24">
        <f>IF(D790="M",(IF(AG790&lt;90,BMILMS!$D$14*AG790^3+BMILMS!$E$14*AG790^2+BMILMS!$F$14*AG790+BMILMS!$G$14,BMILMS!$D$15*AG790^3+BMILMS!$E$15*AG790^2+BMILMS!$F$15*AG790+BMILMS!$G$15)),(IF(AG790&lt;90,BMILMS!$D$17*AG790^3+BMILMS!$E$17*AG790^2+BMILMS!$F$17*AG790+BMILMS!$G$17,BMILMS!$D$18*AG790^3+BMILMS!$E$18*AG790^2+BMILMS!$F$18*AG790+BMILMS!$G$18)))</f>
        <v>8.8969350000000003E-2</v>
      </c>
      <c r="AG790" s="24">
        <f t="shared" si="208"/>
        <v>0</v>
      </c>
      <c r="AI790" s="38">
        <f>IF(D790="M",WeightSDS!P$5*$AG790^7+WeightSDS!Q$5*$AG790^6+WeightSDS!R$5*$AG790^5+WeightSDS!S$5*$AG790^4+WeightSDS!T$5*$AG790^3+WeightSDS!U$5*$AG790^2+WeightSDS!V$5*$AG790+WeightSDS!W$5,IF($AG790&lt;186,WeightSDS!P$8*$AG790^7+WeightSDS!Q$8*$AG790^6+WeightSDS!R$8*$AG790^5+WeightSDS!S$8*$AG790^4+WeightSDS!T$8*$AG790^3+WeightSDS!U$8*$AG790^2+WeightSDS!V$8*$AG790+WeightSDS!W$8,WeightSDS!$U$9-WeightSDS!$V$9*($AG790-WeightSDS!$W$9)))</f>
        <v>0.75407122999999998</v>
      </c>
      <c r="AJ790" s="24">
        <f>IF(D790="M",IF($AG790&lt;45,WeightSDS!M$23*$AG790^10+WeightSDS!N$23*$AG790^9+WeightSDS!O$23*$AG790^8+WeightSDS!P$23*$AG790^7+WeightSDS!Q$23*$AG790^6+WeightSDS!R$23*$AG790^5+WeightSDS!S$23*$AG790^4+WeightSDS!T$23*$AG790^3+WeightSDS!U$23*$AG790^2+WeightSDS!V$23*$AG790+WeightSDS!W$23,IF($AG790&lt;153,WeightSDS!M$25*$AG790^10+WeightSDS!N$25*$AG790^9+WeightSDS!O$25*$AG790^8+WeightSDS!P$25*$AG790^7+WeightSDS!Q$25*$AG790^6+WeightSDS!R$25*$AG790^5+WeightSDS!S$25*$AG790^4+WeightSDS!T$25*$AG790^3+WeightSDS!U$25*$AG790^2+WeightSDS!V$25*$AG790+WeightSDS!W$25,WeightSDS!M$27+WeightSDS!N$27/(1+EXP(WeightSDS!O$27+WeightSDS!P$27*$AG790)))),IF($AG790&lt;43.8,WeightSDS!M$29*$AG790^10+WeightSDS!N$29*$AG790^9+WeightSDS!O$29*$AG790^8+WeightSDS!P$29*$AG790^7+WeightSDS!Q$29*$AG790^6+WeightSDS!R$29*$AG790^5+WeightSDS!S$29*$AG790^4+WeightSDS!T$29*$AG790^3+WeightSDS!U$29*$AG790^2+WeightSDS!V$29*$AG790+WeightSDS!W$29-0.010431*(1-$AG790/210),IF($AG790&lt;123,WeightSDS!M$30*$AG790^10+WeightSDS!N$30*$AG790^9+WeightSDS!O$30*$AG790^8+WeightSDS!P$30*$AG790^7+WeightSDS!Q$30*$AG790^6+WeightSDS!R$30*$AG790^5+WeightSDS!S$30*$AG790^4+WeightSDS!T$30*$AG790^3+WeightSDS!U$30*$AG790^2+WeightSDS!V$30*$AG790+WeightSDS!W$30-0.010431*(1-1/$AG790),WeightSDS!M$32+WeightSDS!N$32/(1+EXP(WeightSDS!O$32+WeightSDS!P$32*$AG790))-0.010431*(1-$AG790/210))))</f>
        <v>2.9500001032655536</v>
      </c>
      <c r="AK790" s="24">
        <f>IF(D790="M",IF($AG790&lt;162,WeightSDS!P$12*$AG790^7+WeightSDS!Q$12*$AG790^6+WeightSDS!R$12*$AG790^5+WeightSDS!S$12*$AG790^4+WeightSDS!T$12*$AG790^3+WeightSDS!U$12*$AG790^2+WeightSDS!V$12*$AG790+WeightSDS!W$12,WeightSDS!P$14*$AG790^7+WeightSDS!Q$14*$AG790^6+WeightSDS!R$14*$AG790^5+WeightSDS!S$14*$AG790^4+WeightSDS!T$14*$AG790^3+WeightSDS!U$14*$AG790^2+WeightSDS!V$14*$AG790+WeightSDS!W$14),IF($AG790&lt;156,WeightSDS!O$17*$AG790^8+WeightSDS!P$17*$AG790^7+WeightSDS!Q$17*$AG790^6+WeightSDS!R$17*$AG790^5+WeightSDS!S$17*$AG790^4+WeightSDS!T$17*$AG790^3+WeightSDS!U$17*$AG790^2+WeightSDS!V$17*$AG790+WeightSDS!W$17,IF($AG790&lt;186,WeightSDS!$U$18+(WeightSDS!$V$18-WeightSDS!$U$18)/24*($AG790-186)+WeightSDS!$W$18*(-$AG790+186)^2-0.005,WeightSDS!$U$18+(WeightSDS!$V$18-WeightSDS!$U$18)/24*($AG790-186)-0.005)))</f>
        <v>0.14604529399999999</v>
      </c>
    </row>
    <row r="791" spans="1:37">
      <c r="A791" s="4"/>
      <c r="B791" s="21"/>
      <c r="C791" s="21"/>
      <c r="D791" s="21"/>
      <c r="E791" s="22"/>
      <c r="F791" s="22"/>
      <c r="G791" s="23"/>
      <c r="H791" s="23"/>
      <c r="I791" s="8" t="str">
        <f t="shared" si="194"/>
        <v/>
      </c>
      <c r="J791" s="2" t="str">
        <f t="shared" si="201"/>
        <v/>
      </c>
      <c r="K791" s="2" t="str">
        <f t="shared" si="195"/>
        <v/>
      </c>
      <c r="L791" s="2" t="str">
        <f t="shared" si="202"/>
        <v/>
      </c>
      <c r="M791" s="2" t="str">
        <f t="shared" si="207"/>
        <v/>
      </c>
      <c r="N791" s="2" t="str">
        <f t="shared" si="203"/>
        <v/>
      </c>
      <c r="O791" s="8" t="str">
        <f t="shared" si="204"/>
        <v/>
      </c>
      <c r="P791" s="8" t="str">
        <f t="shared" si="205"/>
        <v/>
      </c>
      <c r="Q791" s="40" t="str">
        <f t="shared" si="196"/>
        <v/>
      </c>
      <c r="R791" s="48" t="str">
        <f t="shared" si="206"/>
        <v/>
      </c>
      <c r="S791" s="8"/>
      <c r="U791" s="35">
        <f t="shared" si="197"/>
        <v>0</v>
      </c>
      <c r="V791" s="24">
        <f t="shared" si="198"/>
        <v>0</v>
      </c>
      <c r="W791" s="41">
        <f t="shared" si="193"/>
        <v>0</v>
      </c>
      <c r="X791" s="31"/>
      <c r="Y791" s="31"/>
      <c r="Z791" s="31"/>
      <c r="AA791" s="25">
        <f t="shared" si="199"/>
        <v>9.0359999999999996</v>
      </c>
      <c r="AB791" s="25">
        <f t="shared" si="200"/>
        <v>-184.49199999999999</v>
      </c>
      <c r="AD791" s="24">
        <f>IF(D791="M",IF(AG791&lt;78,BMILMS!$D$5*AG791^3+BMILMS!$E$5*AG791^2+BMILMS!$F$5*AG791+BMILMS!$G$5,IF(AG791&lt;150,BMILMS!$D$6*AG791^3+BMILMS!$E$6*AG791^2+BMILMS!$F$6*AG791+BMILMS!$G$6,BMILMS!$D$7*AG791^3+BMILMS!$E$7*AG791^2+BMILMS!$F$7*AG791+BMILMS!$G$7)),IF(AG791&lt;69,BMILMS!$D$9*AG791^3+BMILMS!$E$9*AG791^2+BMILMS!$F$9*AG791+BMILMS!$G$9,IF(AG791&lt;150,BMILMS!$D$10*AG791^3+BMILMS!$E$10*AG791^2+BMILMS!$F$10*AG791+BMILMS!$G$10,BMILMS!$D$11*AG791^3+BMILMS!$E$11*AG791^2+BMILMS!$F$11*AG791+BMILMS!$G$11)))</f>
        <v>0.79584630099999998</v>
      </c>
      <c r="AE791" s="24">
        <f>IF(D791="M",(IF(AG791&lt;2.5,BMILMS!$D$21*AG791^3+BMILMS!$E$21*AG791^2+BMILMS!$F$21*AG791+BMILMS!$G$21,IF(AG791&lt;9.5,BMILMS!$D$22*AG791^3+BMILMS!$E$22*AG791^2+BMILMS!$F$22*AG791+BMILMS!$G$22,IF(AG791&lt;26.75,BMILMS!$D$23*AG791^3+BMILMS!$E$23*AG791^2+BMILMS!$F$23*AG791+BMILMS!$G$23,IF(AG791&lt;90,BMILMS!$D$24*AG791^3+BMILMS!$E$24*AG791^2+BMILMS!$F$24*AG791+BMILMS!$G$24,BMILMS!$D$25*AG791^3+BMILMS!$E$25*AG791^2+BMILMS!$F$25*AG791+BMILMS!$G$25))))),(IF(AG791&lt;2.5,BMILMS!$D$27*AG791^3+BMILMS!$E$27*AG791^2+BMILMS!$F$27*AG791+BMILMS!$G$27,IF(AG791&lt;9.5,BMILMS!$D$28*AG791^3+BMILMS!$E$28*AG791^2+BMILMS!$F$28*AG791+BMILMS!$G$28,IF(AG791&lt;26.75,BMILMS!$D$29*AG791^3+BMILMS!$E$29*AG791^2+BMILMS!$F$29*AG791+BMILMS!$G$29,IF(AG791&lt;90,BMILMS!$D$30*AG791^3+BMILMS!$E$30*AG791^2+BMILMS!$F$30*AG791+BMILMS!$G$30,IF(AG791&lt;150,BMILMS!$D$31*AG791^3+BMILMS!$E$31*AG791^2+BMILMS!$F$31*AG791+BMILMS!$G$31,BMILMS!$D$32*AG791^3+BMILMS!$E$32*AG791^2+BMILMS!$F$32*AG791+BMILMS!$G$32)))))))</f>
        <v>12.568967990000001</v>
      </c>
      <c r="AF791" s="24">
        <f>IF(D791="M",(IF(AG791&lt;90,BMILMS!$D$14*AG791^3+BMILMS!$E$14*AG791^2+BMILMS!$F$14*AG791+BMILMS!$G$14,BMILMS!$D$15*AG791^3+BMILMS!$E$15*AG791^2+BMILMS!$F$15*AG791+BMILMS!$G$15)),(IF(AG791&lt;90,BMILMS!$D$17*AG791^3+BMILMS!$E$17*AG791^2+BMILMS!$F$17*AG791+BMILMS!$G$17,BMILMS!$D$18*AG791^3+BMILMS!$E$18*AG791^2+BMILMS!$F$18*AG791+BMILMS!$G$18)))</f>
        <v>8.8969350000000003E-2</v>
      </c>
      <c r="AG791" s="24">
        <f t="shared" si="208"/>
        <v>0</v>
      </c>
      <c r="AI791" s="38">
        <f>IF(D791="M",WeightSDS!P$5*$AG791^7+WeightSDS!Q$5*$AG791^6+WeightSDS!R$5*$AG791^5+WeightSDS!S$5*$AG791^4+WeightSDS!T$5*$AG791^3+WeightSDS!U$5*$AG791^2+WeightSDS!V$5*$AG791+WeightSDS!W$5,IF($AG791&lt;186,WeightSDS!P$8*$AG791^7+WeightSDS!Q$8*$AG791^6+WeightSDS!R$8*$AG791^5+WeightSDS!S$8*$AG791^4+WeightSDS!T$8*$AG791^3+WeightSDS!U$8*$AG791^2+WeightSDS!V$8*$AG791+WeightSDS!W$8,WeightSDS!$U$9-WeightSDS!$V$9*($AG791-WeightSDS!$W$9)))</f>
        <v>0.75407122999999998</v>
      </c>
      <c r="AJ791" s="24">
        <f>IF(D791="M",IF($AG791&lt;45,WeightSDS!M$23*$AG791^10+WeightSDS!N$23*$AG791^9+WeightSDS!O$23*$AG791^8+WeightSDS!P$23*$AG791^7+WeightSDS!Q$23*$AG791^6+WeightSDS!R$23*$AG791^5+WeightSDS!S$23*$AG791^4+WeightSDS!T$23*$AG791^3+WeightSDS!U$23*$AG791^2+WeightSDS!V$23*$AG791+WeightSDS!W$23,IF($AG791&lt;153,WeightSDS!M$25*$AG791^10+WeightSDS!N$25*$AG791^9+WeightSDS!O$25*$AG791^8+WeightSDS!P$25*$AG791^7+WeightSDS!Q$25*$AG791^6+WeightSDS!R$25*$AG791^5+WeightSDS!S$25*$AG791^4+WeightSDS!T$25*$AG791^3+WeightSDS!U$25*$AG791^2+WeightSDS!V$25*$AG791+WeightSDS!W$25,WeightSDS!M$27+WeightSDS!N$27/(1+EXP(WeightSDS!O$27+WeightSDS!P$27*$AG791)))),IF($AG791&lt;43.8,WeightSDS!M$29*$AG791^10+WeightSDS!N$29*$AG791^9+WeightSDS!O$29*$AG791^8+WeightSDS!P$29*$AG791^7+WeightSDS!Q$29*$AG791^6+WeightSDS!R$29*$AG791^5+WeightSDS!S$29*$AG791^4+WeightSDS!T$29*$AG791^3+WeightSDS!U$29*$AG791^2+WeightSDS!V$29*$AG791+WeightSDS!W$29-0.010431*(1-$AG791/210),IF($AG791&lt;123,WeightSDS!M$30*$AG791^10+WeightSDS!N$30*$AG791^9+WeightSDS!O$30*$AG791^8+WeightSDS!P$30*$AG791^7+WeightSDS!Q$30*$AG791^6+WeightSDS!R$30*$AG791^5+WeightSDS!S$30*$AG791^4+WeightSDS!T$30*$AG791^3+WeightSDS!U$30*$AG791^2+WeightSDS!V$30*$AG791+WeightSDS!W$30-0.010431*(1-1/$AG791),WeightSDS!M$32+WeightSDS!N$32/(1+EXP(WeightSDS!O$32+WeightSDS!P$32*$AG791))-0.010431*(1-$AG791/210))))</f>
        <v>2.9500001032655536</v>
      </c>
      <c r="AK791" s="24">
        <f>IF(D791="M",IF($AG791&lt;162,WeightSDS!P$12*$AG791^7+WeightSDS!Q$12*$AG791^6+WeightSDS!R$12*$AG791^5+WeightSDS!S$12*$AG791^4+WeightSDS!T$12*$AG791^3+WeightSDS!U$12*$AG791^2+WeightSDS!V$12*$AG791+WeightSDS!W$12,WeightSDS!P$14*$AG791^7+WeightSDS!Q$14*$AG791^6+WeightSDS!R$14*$AG791^5+WeightSDS!S$14*$AG791^4+WeightSDS!T$14*$AG791^3+WeightSDS!U$14*$AG791^2+WeightSDS!V$14*$AG791+WeightSDS!W$14),IF($AG791&lt;156,WeightSDS!O$17*$AG791^8+WeightSDS!P$17*$AG791^7+WeightSDS!Q$17*$AG791^6+WeightSDS!R$17*$AG791^5+WeightSDS!S$17*$AG791^4+WeightSDS!T$17*$AG791^3+WeightSDS!U$17*$AG791^2+WeightSDS!V$17*$AG791+WeightSDS!W$17,IF($AG791&lt;186,WeightSDS!$U$18+(WeightSDS!$V$18-WeightSDS!$U$18)/24*($AG791-186)+WeightSDS!$W$18*(-$AG791+186)^2-0.005,WeightSDS!$U$18+(WeightSDS!$V$18-WeightSDS!$U$18)/24*($AG791-186)-0.005)))</f>
        <v>0.14604529399999999</v>
      </c>
    </row>
    <row r="792" spans="1:37">
      <c r="A792" s="4"/>
      <c r="B792" s="21"/>
      <c r="C792" s="21"/>
      <c r="D792" s="21"/>
      <c r="E792" s="22"/>
      <c r="F792" s="22"/>
      <c r="G792" s="23"/>
      <c r="H792" s="23"/>
      <c r="I792" s="8" t="str">
        <f t="shared" si="194"/>
        <v/>
      </c>
      <c r="J792" s="2" t="str">
        <f t="shared" si="201"/>
        <v/>
      </c>
      <c r="K792" s="2" t="str">
        <f t="shared" si="195"/>
        <v/>
      </c>
      <c r="L792" s="2" t="str">
        <f t="shared" si="202"/>
        <v/>
      </c>
      <c r="M792" s="2" t="str">
        <f t="shared" si="207"/>
        <v/>
      </c>
      <c r="N792" s="2" t="str">
        <f t="shared" si="203"/>
        <v/>
      </c>
      <c r="O792" s="8" t="str">
        <f t="shared" si="204"/>
        <v/>
      </c>
      <c r="P792" s="8" t="str">
        <f t="shared" si="205"/>
        <v/>
      </c>
      <c r="Q792" s="40" t="str">
        <f t="shared" si="196"/>
        <v/>
      </c>
      <c r="R792" s="48" t="str">
        <f t="shared" si="206"/>
        <v/>
      </c>
      <c r="S792" s="8"/>
      <c r="U792" s="35">
        <f t="shared" si="197"/>
        <v>0</v>
      </c>
      <c r="V792" s="24">
        <f t="shared" si="198"/>
        <v>0</v>
      </c>
      <c r="W792" s="41">
        <f t="shared" si="193"/>
        <v>0</v>
      </c>
      <c r="X792" s="31"/>
      <c r="Y792" s="31"/>
      <c r="Z792" s="31"/>
      <c r="AA792" s="25">
        <f t="shared" si="199"/>
        <v>9.0359999999999996</v>
      </c>
      <c r="AB792" s="25">
        <f t="shared" si="200"/>
        <v>-184.49199999999999</v>
      </c>
      <c r="AD792" s="24">
        <f>IF(D792="M",IF(AG792&lt;78,BMILMS!$D$5*AG792^3+BMILMS!$E$5*AG792^2+BMILMS!$F$5*AG792+BMILMS!$G$5,IF(AG792&lt;150,BMILMS!$D$6*AG792^3+BMILMS!$E$6*AG792^2+BMILMS!$F$6*AG792+BMILMS!$G$6,BMILMS!$D$7*AG792^3+BMILMS!$E$7*AG792^2+BMILMS!$F$7*AG792+BMILMS!$G$7)),IF(AG792&lt;69,BMILMS!$D$9*AG792^3+BMILMS!$E$9*AG792^2+BMILMS!$F$9*AG792+BMILMS!$G$9,IF(AG792&lt;150,BMILMS!$D$10*AG792^3+BMILMS!$E$10*AG792^2+BMILMS!$F$10*AG792+BMILMS!$G$10,BMILMS!$D$11*AG792^3+BMILMS!$E$11*AG792^2+BMILMS!$F$11*AG792+BMILMS!$G$11)))</f>
        <v>0.79584630099999998</v>
      </c>
      <c r="AE792" s="24">
        <f>IF(D792="M",(IF(AG792&lt;2.5,BMILMS!$D$21*AG792^3+BMILMS!$E$21*AG792^2+BMILMS!$F$21*AG792+BMILMS!$G$21,IF(AG792&lt;9.5,BMILMS!$D$22*AG792^3+BMILMS!$E$22*AG792^2+BMILMS!$F$22*AG792+BMILMS!$G$22,IF(AG792&lt;26.75,BMILMS!$D$23*AG792^3+BMILMS!$E$23*AG792^2+BMILMS!$F$23*AG792+BMILMS!$G$23,IF(AG792&lt;90,BMILMS!$D$24*AG792^3+BMILMS!$E$24*AG792^2+BMILMS!$F$24*AG792+BMILMS!$G$24,BMILMS!$D$25*AG792^3+BMILMS!$E$25*AG792^2+BMILMS!$F$25*AG792+BMILMS!$G$25))))),(IF(AG792&lt;2.5,BMILMS!$D$27*AG792^3+BMILMS!$E$27*AG792^2+BMILMS!$F$27*AG792+BMILMS!$G$27,IF(AG792&lt;9.5,BMILMS!$D$28*AG792^3+BMILMS!$E$28*AG792^2+BMILMS!$F$28*AG792+BMILMS!$G$28,IF(AG792&lt;26.75,BMILMS!$D$29*AG792^3+BMILMS!$E$29*AG792^2+BMILMS!$F$29*AG792+BMILMS!$G$29,IF(AG792&lt;90,BMILMS!$D$30*AG792^3+BMILMS!$E$30*AG792^2+BMILMS!$F$30*AG792+BMILMS!$G$30,IF(AG792&lt;150,BMILMS!$D$31*AG792^3+BMILMS!$E$31*AG792^2+BMILMS!$F$31*AG792+BMILMS!$G$31,BMILMS!$D$32*AG792^3+BMILMS!$E$32*AG792^2+BMILMS!$F$32*AG792+BMILMS!$G$32)))))))</f>
        <v>12.568967990000001</v>
      </c>
      <c r="AF792" s="24">
        <f>IF(D792="M",(IF(AG792&lt;90,BMILMS!$D$14*AG792^3+BMILMS!$E$14*AG792^2+BMILMS!$F$14*AG792+BMILMS!$G$14,BMILMS!$D$15*AG792^3+BMILMS!$E$15*AG792^2+BMILMS!$F$15*AG792+BMILMS!$G$15)),(IF(AG792&lt;90,BMILMS!$D$17*AG792^3+BMILMS!$E$17*AG792^2+BMILMS!$F$17*AG792+BMILMS!$G$17,BMILMS!$D$18*AG792^3+BMILMS!$E$18*AG792^2+BMILMS!$F$18*AG792+BMILMS!$G$18)))</f>
        <v>8.8969350000000003E-2</v>
      </c>
      <c r="AG792" s="24">
        <f t="shared" si="208"/>
        <v>0</v>
      </c>
      <c r="AI792" s="38">
        <f>IF(D792="M",WeightSDS!P$5*$AG792^7+WeightSDS!Q$5*$AG792^6+WeightSDS!R$5*$AG792^5+WeightSDS!S$5*$AG792^4+WeightSDS!T$5*$AG792^3+WeightSDS!U$5*$AG792^2+WeightSDS!V$5*$AG792+WeightSDS!W$5,IF($AG792&lt;186,WeightSDS!P$8*$AG792^7+WeightSDS!Q$8*$AG792^6+WeightSDS!R$8*$AG792^5+WeightSDS!S$8*$AG792^4+WeightSDS!T$8*$AG792^3+WeightSDS!U$8*$AG792^2+WeightSDS!V$8*$AG792+WeightSDS!W$8,WeightSDS!$U$9-WeightSDS!$V$9*($AG792-WeightSDS!$W$9)))</f>
        <v>0.75407122999999998</v>
      </c>
      <c r="AJ792" s="24">
        <f>IF(D792="M",IF($AG792&lt;45,WeightSDS!M$23*$AG792^10+WeightSDS!N$23*$AG792^9+WeightSDS!O$23*$AG792^8+WeightSDS!P$23*$AG792^7+WeightSDS!Q$23*$AG792^6+WeightSDS!R$23*$AG792^5+WeightSDS!S$23*$AG792^4+WeightSDS!T$23*$AG792^3+WeightSDS!U$23*$AG792^2+WeightSDS!V$23*$AG792+WeightSDS!W$23,IF($AG792&lt;153,WeightSDS!M$25*$AG792^10+WeightSDS!N$25*$AG792^9+WeightSDS!O$25*$AG792^8+WeightSDS!P$25*$AG792^7+WeightSDS!Q$25*$AG792^6+WeightSDS!R$25*$AG792^5+WeightSDS!S$25*$AG792^4+WeightSDS!T$25*$AG792^3+WeightSDS!U$25*$AG792^2+WeightSDS!V$25*$AG792+WeightSDS!W$25,WeightSDS!M$27+WeightSDS!N$27/(1+EXP(WeightSDS!O$27+WeightSDS!P$27*$AG792)))),IF($AG792&lt;43.8,WeightSDS!M$29*$AG792^10+WeightSDS!N$29*$AG792^9+WeightSDS!O$29*$AG792^8+WeightSDS!P$29*$AG792^7+WeightSDS!Q$29*$AG792^6+WeightSDS!R$29*$AG792^5+WeightSDS!S$29*$AG792^4+WeightSDS!T$29*$AG792^3+WeightSDS!U$29*$AG792^2+WeightSDS!V$29*$AG792+WeightSDS!W$29-0.010431*(1-$AG792/210),IF($AG792&lt;123,WeightSDS!M$30*$AG792^10+WeightSDS!N$30*$AG792^9+WeightSDS!O$30*$AG792^8+WeightSDS!P$30*$AG792^7+WeightSDS!Q$30*$AG792^6+WeightSDS!R$30*$AG792^5+WeightSDS!S$30*$AG792^4+WeightSDS!T$30*$AG792^3+WeightSDS!U$30*$AG792^2+WeightSDS!V$30*$AG792+WeightSDS!W$30-0.010431*(1-1/$AG792),WeightSDS!M$32+WeightSDS!N$32/(1+EXP(WeightSDS!O$32+WeightSDS!P$32*$AG792))-0.010431*(1-$AG792/210))))</f>
        <v>2.9500001032655536</v>
      </c>
      <c r="AK792" s="24">
        <f>IF(D792="M",IF($AG792&lt;162,WeightSDS!P$12*$AG792^7+WeightSDS!Q$12*$AG792^6+WeightSDS!R$12*$AG792^5+WeightSDS!S$12*$AG792^4+WeightSDS!T$12*$AG792^3+WeightSDS!U$12*$AG792^2+WeightSDS!V$12*$AG792+WeightSDS!W$12,WeightSDS!P$14*$AG792^7+WeightSDS!Q$14*$AG792^6+WeightSDS!R$14*$AG792^5+WeightSDS!S$14*$AG792^4+WeightSDS!T$14*$AG792^3+WeightSDS!U$14*$AG792^2+WeightSDS!V$14*$AG792+WeightSDS!W$14),IF($AG792&lt;156,WeightSDS!O$17*$AG792^8+WeightSDS!P$17*$AG792^7+WeightSDS!Q$17*$AG792^6+WeightSDS!R$17*$AG792^5+WeightSDS!S$17*$AG792^4+WeightSDS!T$17*$AG792^3+WeightSDS!U$17*$AG792^2+WeightSDS!V$17*$AG792+WeightSDS!W$17,IF($AG792&lt;186,WeightSDS!$U$18+(WeightSDS!$V$18-WeightSDS!$U$18)/24*($AG792-186)+WeightSDS!$W$18*(-$AG792+186)^2-0.005,WeightSDS!$U$18+(WeightSDS!$V$18-WeightSDS!$U$18)/24*($AG792-186)-0.005)))</f>
        <v>0.14604529399999999</v>
      </c>
    </row>
    <row r="793" spans="1:37">
      <c r="A793" s="4"/>
      <c r="B793" s="21"/>
      <c r="C793" s="21"/>
      <c r="D793" s="21"/>
      <c r="E793" s="22"/>
      <c r="F793" s="22"/>
      <c r="G793" s="23"/>
      <c r="H793" s="23"/>
      <c r="I793" s="8" t="str">
        <f t="shared" si="194"/>
        <v/>
      </c>
      <c r="J793" s="2" t="str">
        <f t="shared" si="201"/>
        <v/>
      </c>
      <c r="K793" s="2" t="str">
        <f t="shared" si="195"/>
        <v/>
      </c>
      <c r="L793" s="2" t="str">
        <f t="shared" si="202"/>
        <v/>
      </c>
      <c r="M793" s="2" t="str">
        <f t="shared" si="207"/>
        <v/>
      </c>
      <c r="N793" s="2" t="str">
        <f t="shared" si="203"/>
        <v/>
      </c>
      <c r="O793" s="8" t="str">
        <f t="shared" si="204"/>
        <v/>
      </c>
      <c r="P793" s="8" t="str">
        <f t="shared" si="205"/>
        <v/>
      </c>
      <c r="Q793" s="40" t="str">
        <f t="shared" si="196"/>
        <v/>
      </c>
      <c r="R793" s="48" t="str">
        <f t="shared" si="206"/>
        <v/>
      </c>
      <c r="S793" s="8"/>
      <c r="U793" s="35">
        <f t="shared" si="197"/>
        <v>0</v>
      </c>
      <c r="V793" s="24">
        <f t="shared" si="198"/>
        <v>0</v>
      </c>
      <c r="W793" s="41">
        <f t="shared" si="193"/>
        <v>0</v>
      </c>
      <c r="X793" s="31"/>
      <c r="Y793" s="31"/>
      <c r="Z793" s="31"/>
      <c r="AA793" s="25">
        <f t="shared" si="199"/>
        <v>9.0359999999999996</v>
      </c>
      <c r="AB793" s="25">
        <f t="shared" si="200"/>
        <v>-184.49199999999999</v>
      </c>
      <c r="AD793" s="24">
        <f>IF(D793="M",IF(AG793&lt;78,BMILMS!$D$5*AG793^3+BMILMS!$E$5*AG793^2+BMILMS!$F$5*AG793+BMILMS!$G$5,IF(AG793&lt;150,BMILMS!$D$6*AG793^3+BMILMS!$E$6*AG793^2+BMILMS!$F$6*AG793+BMILMS!$G$6,BMILMS!$D$7*AG793^3+BMILMS!$E$7*AG793^2+BMILMS!$F$7*AG793+BMILMS!$G$7)),IF(AG793&lt;69,BMILMS!$D$9*AG793^3+BMILMS!$E$9*AG793^2+BMILMS!$F$9*AG793+BMILMS!$G$9,IF(AG793&lt;150,BMILMS!$D$10*AG793^3+BMILMS!$E$10*AG793^2+BMILMS!$F$10*AG793+BMILMS!$G$10,BMILMS!$D$11*AG793^3+BMILMS!$E$11*AG793^2+BMILMS!$F$11*AG793+BMILMS!$G$11)))</f>
        <v>0.79584630099999998</v>
      </c>
      <c r="AE793" s="24">
        <f>IF(D793="M",(IF(AG793&lt;2.5,BMILMS!$D$21*AG793^3+BMILMS!$E$21*AG793^2+BMILMS!$F$21*AG793+BMILMS!$G$21,IF(AG793&lt;9.5,BMILMS!$D$22*AG793^3+BMILMS!$E$22*AG793^2+BMILMS!$F$22*AG793+BMILMS!$G$22,IF(AG793&lt;26.75,BMILMS!$D$23*AG793^3+BMILMS!$E$23*AG793^2+BMILMS!$F$23*AG793+BMILMS!$G$23,IF(AG793&lt;90,BMILMS!$D$24*AG793^3+BMILMS!$E$24*AG793^2+BMILMS!$F$24*AG793+BMILMS!$G$24,BMILMS!$D$25*AG793^3+BMILMS!$E$25*AG793^2+BMILMS!$F$25*AG793+BMILMS!$G$25))))),(IF(AG793&lt;2.5,BMILMS!$D$27*AG793^3+BMILMS!$E$27*AG793^2+BMILMS!$F$27*AG793+BMILMS!$G$27,IF(AG793&lt;9.5,BMILMS!$D$28*AG793^3+BMILMS!$E$28*AG793^2+BMILMS!$F$28*AG793+BMILMS!$G$28,IF(AG793&lt;26.75,BMILMS!$D$29*AG793^3+BMILMS!$E$29*AG793^2+BMILMS!$F$29*AG793+BMILMS!$G$29,IF(AG793&lt;90,BMILMS!$D$30*AG793^3+BMILMS!$E$30*AG793^2+BMILMS!$F$30*AG793+BMILMS!$G$30,IF(AG793&lt;150,BMILMS!$D$31*AG793^3+BMILMS!$E$31*AG793^2+BMILMS!$F$31*AG793+BMILMS!$G$31,BMILMS!$D$32*AG793^3+BMILMS!$E$32*AG793^2+BMILMS!$F$32*AG793+BMILMS!$G$32)))))))</f>
        <v>12.568967990000001</v>
      </c>
      <c r="AF793" s="24">
        <f>IF(D793="M",(IF(AG793&lt;90,BMILMS!$D$14*AG793^3+BMILMS!$E$14*AG793^2+BMILMS!$F$14*AG793+BMILMS!$G$14,BMILMS!$D$15*AG793^3+BMILMS!$E$15*AG793^2+BMILMS!$F$15*AG793+BMILMS!$G$15)),(IF(AG793&lt;90,BMILMS!$D$17*AG793^3+BMILMS!$E$17*AG793^2+BMILMS!$F$17*AG793+BMILMS!$G$17,BMILMS!$D$18*AG793^3+BMILMS!$E$18*AG793^2+BMILMS!$F$18*AG793+BMILMS!$G$18)))</f>
        <v>8.8969350000000003E-2</v>
      </c>
      <c r="AG793" s="24">
        <f t="shared" si="208"/>
        <v>0</v>
      </c>
      <c r="AI793" s="38">
        <f>IF(D793="M",WeightSDS!P$5*$AG793^7+WeightSDS!Q$5*$AG793^6+WeightSDS!R$5*$AG793^5+WeightSDS!S$5*$AG793^4+WeightSDS!T$5*$AG793^3+WeightSDS!U$5*$AG793^2+WeightSDS!V$5*$AG793+WeightSDS!W$5,IF($AG793&lt;186,WeightSDS!P$8*$AG793^7+WeightSDS!Q$8*$AG793^6+WeightSDS!R$8*$AG793^5+WeightSDS!S$8*$AG793^4+WeightSDS!T$8*$AG793^3+WeightSDS!U$8*$AG793^2+WeightSDS!V$8*$AG793+WeightSDS!W$8,WeightSDS!$U$9-WeightSDS!$V$9*($AG793-WeightSDS!$W$9)))</f>
        <v>0.75407122999999998</v>
      </c>
      <c r="AJ793" s="24">
        <f>IF(D793="M",IF($AG793&lt;45,WeightSDS!M$23*$AG793^10+WeightSDS!N$23*$AG793^9+WeightSDS!O$23*$AG793^8+WeightSDS!P$23*$AG793^7+WeightSDS!Q$23*$AG793^6+WeightSDS!R$23*$AG793^5+WeightSDS!S$23*$AG793^4+WeightSDS!T$23*$AG793^3+WeightSDS!U$23*$AG793^2+WeightSDS!V$23*$AG793+WeightSDS!W$23,IF($AG793&lt;153,WeightSDS!M$25*$AG793^10+WeightSDS!N$25*$AG793^9+WeightSDS!O$25*$AG793^8+WeightSDS!P$25*$AG793^7+WeightSDS!Q$25*$AG793^6+WeightSDS!R$25*$AG793^5+WeightSDS!S$25*$AG793^4+WeightSDS!T$25*$AG793^3+WeightSDS!U$25*$AG793^2+WeightSDS!V$25*$AG793+WeightSDS!W$25,WeightSDS!M$27+WeightSDS!N$27/(1+EXP(WeightSDS!O$27+WeightSDS!P$27*$AG793)))),IF($AG793&lt;43.8,WeightSDS!M$29*$AG793^10+WeightSDS!N$29*$AG793^9+WeightSDS!O$29*$AG793^8+WeightSDS!P$29*$AG793^7+WeightSDS!Q$29*$AG793^6+WeightSDS!R$29*$AG793^5+WeightSDS!S$29*$AG793^4+WeightSDS!T$29*$AG793^3+WeightSDS!U$29*$AG793^2+WeightSDS!V$29*$AG793+WeightSDS!W$29-0.010431*(1-$AG793/210),IF($AG793&lt;123,WeightSDS!M$30*$AG793^10+WeightSDS!N$30*$AG793^9+WeightSDS!O$30*$AG793^8+WeightSDS!P$30*$AG793^7+WeightSDS!Q$30*$AG793^6+WeightSDS!R$30*$AG793^5+WeightSDS!S$30*$AG793^4+WeightSDS!T$30*$AG793^3+WeightSDS!U$30*$AG793^2+WeightSDS!V$30*$AG793+WeightSDS!W$30-0.010431*(1-1/$AG793),WeightSDS!M$32+WeightSDS!N$32/(1+EXP(WeightSDS!O$32+WeightSDS!P$32*$AG793))-0.010431*(1-$AG793/210))))</f>
        <v>2.9500001032655536</v>
      </c>
      <c r="AK793" s="24">
        <f>IF(D793="M",IF($AG793&lt;162,WeightSDS!P$12*$AG793^7+WeightSDS!Q$12*$AG793^6+WeightSDS!R$12*$AG793^5+WeightSDS!S$12*$AG793^4+WeightSDS!T$12*$AG793^3+WeightSDS!U$12*$AG793^2+WeightSDS!V$12*$AG793+WeightSDS!W$12,WeightSDS!P$14*$AG793^7+WeightSDS!Q$14*$AG793^6+WeightSDS!R$14*$AG793^5+WeightSDS!S$14*$AG793^4+WeightSDS!T$14*$AG793^3+WeightSDS!U$14*$AG793^2+WeightSDS!V$14*$AG793+WeightSDS!W$14),IF($AG793&lt;156,WeightSDS!O$17*$AG793^8+WeightSDS!P$17*$AG793^7+WeightSDS!Q$17*$AG793^6+WeightSDS!R$17*$AG793^5+WeightSDS!S$17*$AG793^4+WeightSDS!T$17*$AG793^3+WeightSDS!U$17*$AG793^2+WeightSDS!V$17*$AG793+WeightSDS!W$17,IF($AG793&lt;186,WeightSDS!$U$18+(WeightSDS!$V$18-WeightSDS!$U$18)/24*($AG793-186)+WeightSDS!$W$18*(-$AG793+186)^2-0.005,WeightSDS!$U$18+(WeightSDS!$V$18-WeightSDS!$U$18)/24*($AG793-186)-0.005)))</f>
        <v>0.14604529399999999</v>
      </c>
    </row>
    <row r="794" spans="1:37">
      <c r="A794" s="4"/>
      <c r="B794" s="21"/>
      <c r="C794" s="21"/>
      <c r="D794" s="21"/>
      <c r="E794" s="22"/>
      <c r="F794" s="22"/>
      <c r="G794" s="23"/>
      <c r="H794" s="23"/>
      <c r="I794" s="8" t="str">
        <f t="shared" si="194"/>
        <v/>
      </c>
      <c r="J794" s="2" t="str">
        <f t="shared" si="201"/>
        <v/>
      </c>
      <c r="K794" s="2" t="str">
        <f t="shared" si="195"/>
        <v/>
      </c>
      <c r="L794" s="2" t="str">
        <f t="shared" si="202"/>
        <v/>
      </c>
      <c r="M794" s="2" t="str">
        <f t="shared" si="207"/>
        <v/>
      </c>
      <c r="N794" s="2" t="str">
        <f t="shared" si="203"/>
        <v/>
      </c>
      <c r="O794" s="8" t="str">
        <f t="shared" si="204"/>
        <v/>
      </c>
      <c r="P794" s="8" t="str">
        <f t="shared" si="205"/>
        <v/>
      </c>
      <c r="Q794" s="40" t="str">
        <f t="shared" si="196"/>
        <v/>
      </c>
      <c r="R794" s="48" t="str">
        <f t="shared" si="206"/>
        <v/>
      </c>
      <c r="S794" s="8"/>
      <c r="U794" s="35">
        <f t="shared" si="197"/>
        <v>0</v>
      </c>
      <c r="V794" s="24">
        <f t="shared" si="198"/>
        <v>0</v>
      </c>
      <c r="W794" s="41">
        <f t="shared" si="193"/>
        <v>0</v>
      </c>
      <c r="X794" s="31"/>
      <c r="Y794" s="31"/>
      <c r="Z794" s="31"/>
      <c r="AA794" s="25">
        <f t="shared" si="199"/>
        <v>9.0359999999999996</v>
      </c>
      <c r="AB794" s="25">
        <f t="shared" si="200"/>
        <v>-184.49199999999999</v>
      </c>
      <c r="AD794" s="24">
        <f>IF(D794="M",IF(AG794&lt;78,BMILMS!$D$5*AG794^3+BMILMS!$E$5*AG794^2+BMILMS!$F$5*AG794+BMILMS!$G$5,IF(AG794&lt;150,BMILMS!$D$6*AG794^3+BMILMS!$E$6*AG794^2+BMILMS!$F$6*AG794+BMILMS!$G$6,BMILMS!$D$7*AG794^3+BMILMS!$E$7*AG794^2+BMILMS!$F$7*AG794+BMILMS!$G$7)),IF(AG794&lt;69,BMILMS!$D$9*AG794^3+BMILMS!$E$9*AG794^2+BMILMS!$F$9*AG794+BMILMS!$G$9,IF(AG794&lt;150,BMILMS!$D$10*AG794^3+BMILMS!$E$10*AG794^2+BMILMS!$F$10*AG794+BMILMS!$G$10,BMILMS!$D$11*AG794^3+BMILMS!$E$11*AG794^2+BMILMS!$F$11*AG794+BMILMS!$G$11)))</f>
        <v>0.79584630099999998</v>
      </c>
      <c r="AE794" s="24">
        <f>IF(D794="M",(IF(AG794&lt;2.5,BMILMS!$D$21*AG794^3+BMILMS!$E$21*AG794^2+BMILMS!$F$21*AG794+BMILMS!$G$21,IF(AG794&lt;9.5,BMILMS!$D$22*AG794^3+BMILMS!$E$22*AG794^2+BMILMS!$F$22*AG794+BMILMS!$G$22,IF(AG794&lt;26.75,BMILMS!$D$23*AG794^3+BMILMS!$E$23*AG794^2+BMILMS!$F$23*AG794+BMILMS!$G$23,IF(AG794&lt;90,BMILMS!$D$24*AG794^3+BMILMS!$E$24*AG794^2+BMILMS!$F$24*AG794+BMILMS!$G$24,BMILMS!$D$25*AG794^3+BMILMS!$E$25*AG794^2+BMILMS!$F$25*AG794+BMILMS!$G$25))))),(IF(AG794&lt;2.5,BMILMS!$D$27*AG794^3+BMILMS!$E$27*AG794^2+BMILMS!$F$27*AG794+BMILMS!$G$27,IF(AG794&lt;9.5,BMILMS!$D$28*AG794^3+BMILMS!$E$28*AG794^2+BMILMS!$F$28*AG794+BMILMS!$G$28,IF(AG794&lt;26.75,BMILMS!$D$29*AG794^3+BMILMS!$E$29*AG794^2+BMILMS!$F$29*AG794+BMILMS!$G$29,IF(AG794&lt;90,BMILMS!$D$30*AG794^3+BMILMS!$E$30*AG794^2+BMILMS!$F$30*AG794+BMILMS!$G$30,IF(AG794&lt;150,BMILMS!$D$31*AG794^3+BMILMS!$E$31*AG794^2+BMILMS!$F$31*AG794+BMILMS!$G$31,BMILMS!$D$32*AG794^3+BMILMS!$E$32*AG794^2+BMILMS!$F$32*AG794+BMILMS!$G$32)))))))</f>
        <v>12.568967990000001</v>
      </c>
      <c r="AF794" s="24">
        <f>IF(D794="M",(IF(AG794&lt;90,BMILMS!$D$14*AG794^3+BMILMS!$E$14*AG794^2+BMILMS!$F$14*AG794+BMILMS!$G$14,BMILMS!$D$15*AG794^3+BMILMS!$E$15*AG794^2+BMILMS!$F$15*AG794+BMILMS!$G$15)),(IF(AG794&lt;90,BMILMS!$D$17*AG794^3+BMILMS!$E$17*AG794^2+BMILMS!$F$17*AG794+BMILMS!$G$17,BMILMS!$D$18*AG794^3+BMILMS!$E$18*AG794^2+BMILMS!$F$18*AG794+BMILMS!$G$18)))</f>
        <v>8.8969350000000003E-2</v>
      </c>
      <c r="AG794" s="24">
        <f t="shared" si="208"/>
        <v>0</v>
      </c>
      <c r="AI794" s="38">
        <f>IF(D794="M",WeightSDS!P$5*$AG794^7+WeightSDS!Q$5*$AG794^6+WeightSDS!R$5*$AG794^5+WeightSDS!S$5*$AG794^4+WeightSDS!T$5*$AG794^3+WeightSDS!U$5*$AG794^2+WeightSDS!V$5*$AG794+WeightSDS!W$5,IF($AG794&lt;186,WeightSDS!P$8*$AG794^7+WeightSDS!Q$8*$AG794^6+WeightSDS!R$8*$AG794^5+WeightSDS!S$8*$AG794^4+WeightSDS!T$8*$AG794^3+WeightSDS!U$8*$AG794^2+WeightSDS!V$8*$AG794+WeightSDS!W$8,WeightSDS!$U$9-WeightSDS!$V$9*($AG794-WeightSDS!$W$9)))</f>
        <v>0.75407122999999998</v>
      </c>
      <c r="AJ794" s="24">
        <f>IF(D794="M",IF($AG794&lt;45,WeightSDS!M$23*$AG794^10+WeightSDS!N$23*$AG794^9+WeightSDS!O$23*$AG794^8+WeightSDS!P$23*$AG794^7+WeightSDS!Q$23*$AG794^6+WeightSDS!R$23*$AG794^5+WeightSDS!S$23*$AG794^4+WeightSDS!T$23*$AG794^3+WeightSDS!U$23*$AG794^2+WeightSDS!V$23*$AG794+WeightSDS!W$23,IF($AG794&lt;153,WeightSDS!M$25*$AG794^10+WeightSDS!N$25*$AG794^9+WeightSDS!O$25*$AG794^8+WeightSDS!P$25*$AG794^7+WeightSDS!Q$25*$AG794^6+WeightSDS!R$25*$AG794^5+WeightSDS!S$25*$AG794^4+WeightSDS!T$25*$AG794^3+WeightSDS!U$25*$AG794^2+WeightSDS!V$25*$AG794+WeightSDS!W$25,WeightSDS!M$27+WeightSDS!N$27/(1+EXP(WeightSDS!O$27+WeightSDS!P$27*$AG794)))),IF($AG794&lt;43.8,WeightSDS!M$29*$AG794^10+WeightSDS!N$29*$AG794^9+WeightSDS!O$29*$AG794^8+WeightSDS!P$29*$AG794^7+WeightSDS!Q$29*$AG794^6+WeightSDS!R$29*$AG794^5+WeightSDS!S$29*$AG794^4+WeightSDS!T$29*$AG794^3+WeightSDS!U$29*$AG794^2+WeightSDS!V$29*$AG794+WeightSDS!W$29-0.010431*(1-$AG794/210),IF($AG794&lt;123,WeightSDS!M$30*$AG794^10+WeightSDS!N$30*$AG794^9+WeightSDS!O$30*$AG794^8+WeightSDS!P$30*$AG794^7+WeightSDS!Q$30*$AG794^6+WeightSDS!R$30*$AG794^5+WeightSDS!S$30*$AG794^4+WeightSDS!T$30*$AG794^3+WeightSDS!U$30*$AG794^2+WeightSDS!V$30*$AG794+WeightSDS!W$30-0.010431*(1-1/$AG794),WeightSDS!M$32+WeightSDS!N$32/(1+EXP(WeightSDS!O$32+WeightSDS!P$32*$AG794))-0.010431*(1-$AG794/210))))</f>
        <v>2.9500001032655536</v>
      </c>
      <c r="AK794" s="24">
        <f>IF(D794="M",IF($AG794&lt;162,WeightSDS!P$12*$AG794^7+WeightSDS!Q$12*$AG794^6+WeightSDS!R$12*$AG794^5+WeightSDS!S$12*$AG794^4+WeightSDS!T$12*$AG794^3+WeightSDS!U$12*$AG794^2+WeightSDS!V$12*$AG794+WeightSDS!W$12,WeightSDS!P$14*$AG794^7+WeightSDS!Q$14*$AG794^6+WeightSDS!R$14*$AG794^5+WeightSDS!S$14*$AG794^4+WeightSDS!T$14*$AG794^3+WeightSDS!U$14*$AG794^2+WeightSDS!V$14*$AG794+WeightSDS!W$14),IF($AG794&lt;156,WeightSDS!O$17*$AG794^8+WeightSDS!P$17*$AG794^7+WeightSDS!Q$17*$AG794^6+WeightSDS!R$17*$AG794^5+WeightSDS!S$17*$AG794^4+WeightSDS!T$17*$AG794^3+WeightSDS!U$17*$AG794^2+WeightSDS!V$17*$AG794+WeightSDS!W$17,IF($AG794&lt;186,WeightSDS!$U$18+(WeightSDS!$V$18-WeightSDS!$U$18)/24*($AG794-186)+WeightSDS!$W$18*(-$AG794+186)^2-0.005,WeightSDS!$U$18+(WeightSDS!$V$18-WeightSDS!$U$18)/24*($AG794-186)-0.005)))</f>
        <v>0.14604529399999999</v>
      </c>
    </row>
    <row r="795" spans="1:37">
      <c r="A795" s="4"/>
      <c r="B795" s="21"/>
      <c r="C795" s="21"/>
      <c r="D795" s="21"/>
      <c r="E795" s="22"/>
      <c r="F795" s="22"/>
      <c r="G795" s="23"/>
      <c r="H795" s="23"/>
      <c r="I795" s="8" t="str">
        <f t="shared" si="194"/>
        <v/>
      </c>
      <c r="J795" s="2" t="str">
        <f t="shared" si="201"/>
        <v/>
      </c>
      <c r="K795" s="2" t="str">
        <f t="shared" si="195"/>
        <v/>
      </c>
      <c r="L795" s="2" t="str">
        <f t="shared" si="202"/>
        <v/>
      </c>
      <c r="M795" s="2" t="str">
        <f t="shared" si="207"/>
        <v/>
      </c>
      <c r="N795" s="2" t="str">
        <f t="shared" si="203"/>
        <v/>
      </c>
      <c r="O795" s="8" t="str">
        <f t="shared" si="204"/>
        <v/>
      </c>
      <c r="P795" s="8" t="str">
        <f t="shared" si="205"/>
        <v/>
      </c>
      <c r="Q795" s="40" t="str">
        <f t="shared" si="196"/>
        <v/>
      </c>
      <c r="R795" s="48" t="str">
        <f t="shared" si="206"/>
        <v/>
      </c>
      <c r="S795" s="8"/>
      <c r="U795" s="35">
        <f t="shared" si="197"/>
        <v>0</v>
      </c>
      <c r="V795" s="24">
        <f t="shared" si="198"/>
        <v>0</v>
      </c>
      <c r="W795" s="41">
        <f t="shared" si="193"/>
        <v>0</v>
      </c>
      <c r="X795" s="31"/>
      <c r="Y795" s="31"/>
      <c r="Z795" s="31"/>
      <c r="AA795" s="25">
        <f t="shared" si="199"/>
        <v>9.0359999999999996</v>
      </c>
      <c r="AB795" s="25">
        <f t="shared" si="200"/>
        <v>-184.49199999999999</v>
      </c>
      <c r="AD795" s="24">
        <f>IF(D795="M",IF(AG795&lt;78,BMILMS!$D$5*AG795^3+BMILMS!$E$5*AG795^2+BMILMS!$F$5*AG795+BMILMS!$G$5,IF(AG795&lt;150,BMILMS!$D$6*AG795^3+BMILMS!$E$6*AG795^2+BMILMS!$F$6*AG795+BMILMS!$G$6,BMILMS!$D$7*AG795^3+BMILMS!$E$7*AG795^2+BMILMS!$F$7*AG795+BMILMS!$G$7)),IF(AG795&lt;69,BMILMS!$D$9*AG795^3+BMILMS!$E$9*AG795^2+BMILMS!$F$9*AG795+BMILMS!$G$9,IF(AG795&lt;150,BMILMS!$D$10*AG795^3+BMILMS!$E$10*AG795^2+BMILMS!$F$10*AG795+BMILMS!$G$10,BMILMS!$D$11*AG795^3+BMILMS!$E$11*AG795^2+BMILMS!$F$11*AG795+BMILMS!$G$11)))</f>
        <v>0.79584630099999998</v>
      </c>
      <c r="AE795" s="24">
        <f>IF(D795="M",(IF(AG795&lt;2.5,BMILMS!$D$21*AG795^3+BMILMS!$E$21*AG795^2+BMILMS!$F$21*AG795+BMILMS!$G$21,IF(AG795&lt;9.5,BMILMS!$D$22*AG795^3+BMILMS!$E$22*AG795^2+BMILMS!$F$22*AG795+BMILMS!$G$22,IF(AG795&lt;26.75,BMILMS!$D$23*AG795^3+BMILMS!$E$23*AG795^2+BMILMS!$F$23*AG795+BMILMS!$G$23,IF(AG795&lt;90,BMILMS!$D$24*AG795^3+BMILMS!$E$24*AG795^2+BMILMS!$F$24*AG795+BMILMS!$G$24,BMILMS!$D$25*AG795^3+BMILMS!$E$25*AG795^2+BMILMS!$F$25*AG795+BMILMS!$G$25))))),(IF(AG795&lt;2.5,BMILMS!$D$27*AG795^3+BMILMS!$E$27*AG795^2+BMILMS!$F$27*AG795+BMILMS!$G$27,IF(AG795&lt;9.5,BMILMS!$D$28*AG795^3+BMILMS!$E$28*AG795^2+BMILMS!$F$28*AG795+BMILMS!$G$28,IF(AG795&lt;26.75,BMILMS!$D$29*AG795^3+BMILMS!$E$29*AG795^2+BMILMS!$F$29*AG795+BMILMS!$G$29,IF(AG795&lt;90,BMILMS!$D$30*AG795^3+BMILMS!$E$30*AG795^2+BMILMS!$F$30*AG795+BMILMS!$G$30,IF(AG795&lt;150,BMILMS!$D$31*AG795^3+BMILMS!$E$31*AG795^2+BMILMS!$F$31*AG795+BMILMS!$G$31,BMILMS!$D$32*AG795^3+BMILMS!$E$32*AG795^2+BMILMS!$F$32*AG795+BMILMS!$G$32)))))))</f>
        <v>12.568967990000001</v>
      </c>
      <c r="AF795" s="24">
        <f>IF(D795="M",(IF(AG795&lt;90,BMILMS!$D$14*AG795^3+BMILMS!$E$14*AG795^2+BMILMS!$F$14*AG795+BMILMS!$G$14,BMILMS!$D$15*AG795^3+BMILMS!$E$15*AG795^2+BMILMS!$F$15*AG795+BMILMS!$G$15)),(IF(AG795&lt;90,BMILMS!$D$17*AG795^3+BMILMS!$E$17*AG795^2+BMILMS!$F$17*AG795+BMILMS!$G$17,BMILMS!$D$18*AG795^3+BMILMS!$E$18*AG795^2+BMILMS!$F$18*AG795+BMILMS!$G$18)))</f>
        <v>8.8969350000000003E-2</v>
      </c>
      <c r="AG795" s="24">
        <f t="shared" si="208"/>
        <v>0</v>
      </c>
      <c r="AI795" s="38">
        <f>IF(D795="M",WeightSDS!P$5*$AG795^7+WeightSDS!Q$5*$AG795^6+WeightSDS!R$5*$AG795^5+WeightSDS!S$5*$AG795^4+WeightSDS!T$5*$AG795^3+WeightSDS!U$5*$AG795^2+WeightSDS!V$5*$AG795+WeightSDS!W$5,IF($AG795&lt;186,WeightSDS!P$8*$AG795^7+WeightSDS!Q$8*$AG795^6+WeightSDS!R$8*$AG795^5+WeightSDS!S$8*$AG795^4+WeightSDS!T$8*$AG795^3+WeightSDS!U$8*$AG795^2+WeightSDS!V$8*$AG795+WeightSDS!W$8,WeightSDS!$U$9-WeightSDS!$V$9*($AG795-WeightSDS!$W$9)))</f>
        <v>0.75407122999999998</v>
      </c>
      <c r="AJ795" s="24">
        <f>IF(D795="M",IF($AG795&lt;45,WeightSDS!M$23*$AG795^10+WeightSDS!N$23*$AG795^9+WeightSDS!O$23*$AG795^8+WeightSDS!P$23*$AG795^7+WeightSDS!Q$23*$AG795^6+WeightSDS!R$23*$AG795^5+WeightSDS!S$23*$AG795^4+WeightSDS!T$23*$AG795^3+WeightSDS!U$23*$AG795^2+WeightSDS!V$23*$AG795+WeightSDS!W$23,IF($AG795&lt;153,WeightSDS!M$25*$AG795^10+WeightSDS!N$25*$AG795^9+WeightSDS!O$25*$AG795^8+WeightSDS!P$25*$AG795^7+WeightSDS!Q$25*$AG795^6+WeightSDS!R$25*$AG795^5+WeightSDS!S$25*$AG795^4+WeightSDS!T$25*$AG795^3+WeightSDS!U$25*$AG795^2+WeightSDS!V$25*$AG795+WeightSDS!W$25,WeightSDS!M$27+WeightSDS!N$27/(1+EXP(WeightSDS!O$27+WeightSDS!P$27*$AG795)))),IF($AG795&lt;43.8,WeightSDS!M$29*$AG795^10+WeightSDS!N$29*$AG795^9+WeightSDS!O$29*$AG795^8+WeightSDS!P$29*$AG795^7+WeightSDS!Q$29*$AG795^6+WeightSDS!R$29*$AG795^5+WeightSDS!S$29*$AG795^4+WeightSDS!T$29*$AG795^3+WeightSDS!U$29*$AG795^2+WeightSDS!V$29*$AG795+WeightSDS!W$29-0.010431*(1-$AG795/210),IF($AG795&lt;123,WeightSDS!M$30*$AG795^10+WeightSDS!N$30*$AG795^9+WeightSDS!O$30*$AG795^8+WeightSDS!P$30*$AG795^7+WeightSDS!Q$30*$AG795^6+WeightSDS!R$30*$AG795^5+WeightSDS!S$30*$AG795^4+WeightSDS!T$30*$AG795^3+WeightSDS!U$30*$AG795^2+WeightSDS!V$30*$AG795+WeightSDS!W$30-0.010431*(1-1/$AG795),WeightSDS!M$32+WeightSDS!N$32/(1+EXP(WeightSDS!O$32+WeightSDS!P$32*$AG795))-0.010431*(1-$AG795/210))))</f>
        <v>2.9500001032655536</v>
      </c>
      <c r="AK795" s="24">
        <f>IF(D795="M",IF($AG795&lt;162,WeightSDS!P$12*$AG795^7+WeightSDS!Q$12*$AG795^6+WeightSDS!R$12*$AG795^5+WeightSDS!S$12*$AG795^4+WeightSDS!T$12*$AG795^3+WeightSDS!U$12*$AG795^2+WeightSDS!V$12*$AG795+WeightSDS!W$12,WeightSDS!P$14*$AG795^7+WeightSDS!Q$14*$AG795^6+WeightSDS!R$14*$AG795^5+WeightSDS!S$14*$AG795^4+WeightSDS!T$14*$AG795^3+WeightSDS!U$14*$AG795^2+WeightSDS!V$14*$AG795+WeightSDS!W$14),IF($AG795&lt;156,WeightSDS!O$17*$AG795^8+WeightSDS!P$17*$AG795^7+WeightSDS!Q$17*$AG795^6+WeightSDS!R$17*$AG795^5+WeightSDS!S$17*$AG795^4+WeightSDS!T$17*$AG795^3+WeightSDS!U$17*$AG795^2+WeightSDS!V$17*$AG795+WeightSDS!W$17,IF($AG795&lt;186,WeightSDS!$U$18+(WeightSDS!$V$18-WeightSDS!$U$18)/24*($AG795-186)+WeightSDS!$W$18*(-$AG795+186)^2-0.005,WeightSDS!$U$18+(WeightSDS!$V$18-WeightSDS!$U$18)/24*($AG795-186)-0.005)))</f>
        <v>0.14604529399999999</v>
      </c>
    </row>
    <row r="796" spans="1:37">
      <c r="A796" s="4"/>
      <c r="B796" s="21"/>
      <c r="C796" s="21"/>
      <c r="D796" s="21"/>
      <c r="E796" s="22"/>
      <c r="F796" s="22"/>
      <c r="G796" s="23"/>
      <c r="H796" s="23"/>
      <c r="I796" s="8" t="str">
        <f t="shared" si="194"/>
        <v/>
      </c>
      <c r="J796" s="2" t="str">
        <f t="shared" si="201"/>
        <v/>
      </c>
      <c r="K796" s="2" t="str">
        <f t="shared" si="195"/>
        <v/>
      </c>
      <c r="L796" s="2" t="str">
        <f t="shared" si="202"/>
        <v/>
      </c>
      <c r="M796" s="2" t="str">
        <f t="shared" si="207"/>
        <v/>
      </c>
      <c r="N796" s="2" t="str">
        <f t="shared" si="203"/>
        <v/>
      </c>
      <c r="O796" s="8" t="str">
        <f t="shared" si="204"/>
        <v/>
      </c>
      <c r="P796" s="8" t="str">
        <f t="shared" si="205"/>
        <v/>
      </c>
      <c r="Q796" s="40" t="str">
        <f t="shared" si="196"/>
        <v/>
      </c>
      <c r="R796" s="48" t="str">
        <f t="shared" si="206"/>
        <v/>
      </c>
      <c r="S796" s="8"/>
      <c r="U796" s="35">
        <f t="shared" si="197"/>
        <v>0</v>
      </c>
      <c r="V796" s="24">
        <f t="shared" si="198"/>
        <v>0</v>
      </c>
      <c r="W796" s="41">
        <f t="shared" si="193"/>
        <v>0</v>
      </c>
      <c r="X796" s="31"/>
      <c r="Y796" s="31"/>
      <c r="Z796" s="31"/>
      <c r="AA796" s="25">
        <f t="shared" si="199"/>
        <v>9.0359999999999996</v>
      </c>
      <c r="AB796" s="25">
        <f t="shared" si="200"/>
        <v>-184.49199999999999</v>
      </c>
      <c r="AD796" s="24">
        <f>IF(D796="M",IF(AG796&lt;78,BMILMS!$D$5*AG796^3+BMILMS!$E$5*AG796^2+BMILMS!$F$5*AG796+BMILMS!$G$5,IF(AG796&lt;150,BMILMS!$D$6*AG796^3+BMILMS!$E$6*AG796^2+BMILMS!$F$6*AG796+BMILMS!$G$6,BMILMS!$D$7*AG796^3+BMILMS!$E$7*AG796^2+BMILMS!$F$7*AG796+BMILMS!$G$7)),IF(AG796&lt;69,BMILMS!$D$9*AG796^3+BMILMS!$E$9*AG796^2+BMILMS!$F$9*AG796+BMILMS!$G$9,IF(AG796&lt;150,BMILMS!$D$10*AG796^3+BMILMS!$E$10*AG796^2+BMILMS!$F$10*AG796+BMILMS!$G$10,BMILMS!$D$11*AG796^3+BMILMS!$E$11*AG796^2+BMILMS!$F$11*AG796+BMILMS!$G$11)))</f>
        <v>0.79584630099999998</v>
      </c>
      <c r="AE796" s="24">
        <f>IF(D796="M",(IF(AG796&lt;2.5,BMILMS!$D$21*AG796^3+BMILMS!$E$21*AG796^2+BMILMS!$F$21*AG796+BMILMS!$G$21,IF(AG796&lt;9.5,BMILMS!$D$22*AG796^3+BMILMS!$E$22*AG796^2+BMILMS!$F$22*AG796+BMILMS!$G$22,IF(AG796&lt;26.75,BMILMS!$D$23*AG796^3+BMILMS!$E$23*AG796^2+BMILMS!$F$23*AG796+BMILMS!$G$23,IF(AG796&lt;90,BMILMS!$D$24*AG796^3+BMILMS!$E$24*AG796^2+BMILMS!$F$24*AG796+BMILMS!$G$24,BMILMS!$D$25*AG796^3+BMILMS!$E$25*AG796^2+BMILMS!$F$25*AG796+BMILMS!$G$25))))),(IF(AG796&lt;2.5,BMILMS!$D$27*AG796^3+BMILMS!$E$27*AG796^2+BMILMS!$F$27*AG796+BMILMS!$G$27,IF(AG796&lt;9.5,BMILMS!$D$28*AG796^3+BMILMS!$E$28*AG796^2+BMILMS!$F$28*AG796+BMILMS!$G$28,IF(AG796&lt;26.75,BMILMS!$D$29*AG796^3+BMILMS!$E$29*AG796^2+BMILMS!$F$29*AG796+BMILMS!$G$29,IF(AG796&lt;90,BMILMS!$D$30*AG796^3+BMILMS!$E$30*AG796^2+BMILMS!$F$30*AG796+BMILMS!$G$30,IF(AG796&lt;150,BMILMS!$D$31*AG796^3+BMILMS!$E$31*AG796^2+BMILMS!$F$31*AG796+BMILMS!$G$31,BMILMS!$D$32*AG796^3+BMILMS!$E$32*AG796^2+BMILMS!$F$32*AG796+BMILMS!$G$32)))))))</f>
        <v>12.568967990000001</v>
      </c>
      <c r="AF796" s="24">
        <f>IF(D796="M",(IF(AG796&lt;90,BMILMS!$D$14*AG796^3+BMILMS!$E$14*AG796^2+BMILMS!$F$14*AG796+BMILMS!$G$14,BMILMS!$D$15*AG796^3+BMILMS!$E$15*AG796^2+BMILMS!$F$15*AG796+BMILMS!$G$15)),(IF(AG796&lt;90,BMILMS!$D$17*AG796^3+BMILMS!$E$17*AG796^2+BMILMS!$F$17*AG796+BMILMS!$G$17,BMILMS!$D$18*AG796^3+BMILMS!$E$18*AG796^2+BMILMS!$F$18*AG796+BMILMS!$G$18)))</f>
        <v>8.8969350000000003E-2</v>
      </c>
      <c r="AG796" s="24">
        <f t="shared" si="208"/>
        <v>0</v>
      </c>
      <c r="AI796" s="38">
        <f>IF(D796="M",WeightSDS!P$5*$AG796^7+WeightSDS!Q$5*$AG796^6+WeightSDS!R$5*$AG796^5+WeightSDS!S$5*$AG796^4+WeightSDS!T$5*$AG796^3+WeightSDS!U$5*$AG796^2+WeightSDS!V$5*$AG796+WeightSDS!W$5,IF($AG796&lt;186,WeightSDS!P$8*$AG796^7+WeightSDS!Q$8*$AG796^6+WeightSDS!R$8*$AG796^5+WeightSDS!S$8*$AG796^4+WeightSDS!T$8*$AG796^3+WeightSDS!U$8*$AG796^2+WeightSDS!V$8*$AG796+WeightSDS!W$8,WeightSDS!$U$9-WeightSDS!$V$9*($AG796-WeightSDS!$W$9)))</f>
        <v>0.75407122999999998</v>
      </c>
      <c r="AJ796" s="24">
        <f>IF(D796="M",IF($AG796&lt;45,WeightSDS!M$23*$AG796^10+WeightSDS!N$23*$AG796^9+WeightSDS!O$23*$AG796^8+WeightSDS!P$23*$AG796^7+WeightSDS!Q$23*$AG796^6+WeightSDS!R$23*$AG796^5+WeightSDS!S$23*$AG796^4+WeightSDS!T$23*$AG796^3+WeightSDS!U$23*$AG796^2+WeightSDS!V$23*$AG796+WeightSDS!W$23,IF($AG796&lt;153,WeightSDS!M$25*$AG796^10+WeightSDS!N$25*$AG796^9+WeightSDS!O$25*$AG796^8+WeightSDS!P$25*$AG796^7+WeightSDS!Q$25*$AG796^6+WeightSDS!R$25*$AG796^5+WeightSDS!S$25*$AG796^4+WeightSDS!T$25*$AG796^3+WeightSDS!U$25*$AG796^2+WeightSDS!V$25*$AG796+WeightSDS!W$25,WeightSDS!M$27+WeightSDS!N$27/(1+EXP(WeightSDS!O$27+WeightSDS!P$27*$AG796)))),IF($AG796&lt;43.8,WeightSDS!M$29*$AG796^10+WeightSDS!N$29*$AG796^9+WeightSDS!O$29*$AG796^8+WeightSDS!P$29*$AG796^7+WeightSDS!Q$29*$AG796^6+WeightSDS!R$29*$AG796^5+WeightSDS!S$29*$AG796^4+WeightSDS!T$29*$AG796^3+WeightSDS!U$29*$AG796^2+WeightSDS!V$29*$AG796+WeightSDS!W$29-0.010431*(1-$AG796/210),IF($AG796&lt;123,WeightSDS!M$30*$AG796^10+WeightSDS!N$30*$AG796^9+WeightSDS!O$30*$AG796^8+WeightSDS!P$30*$AG796^7+WeightSDS!Q$30*$AG796^6+WeightSDS!R$30*$AG796^5+WeightSDS!S$30*$AG796^4+WeightSDS!T$30*$AG796^3+WeightSDS!U$30*$AG796^2+WeightSDS!V$30*$AG796+WeightSDS!W$30-0.010431*(1-1/$AG796),WeightSDS!M$32+WeightSDS!N$32/(1+EXP(WeightSDS!O$32+WeightSDS!P$32*$AG796))-0.010431*(1-$AG796/210))))</f>
        <v>2.9500001032655536</v>
      </c>
      <c r="AK796" s="24">
        <f>IF(D796="M",IF($AG796&lt;162,WeightSDS!P$12*$AG796^7+WeightSDS!Q$12*$AG796^6+WeightSDS!R$12*$AG796^5+WeightSDS!S$12*$AG796^4+WeightSDS!T$12*$AG796^3+WeightSDS!U$12*$AG796^2+WeightSDS!V$12*$AG796+WeightSDS!W$12,WeightSDS!P$14*$AG796^7+WeightSDS!Q$14*$AG796^6+WeightSDS!R$14*$AG796^5+WeightSDS!S$14*$AG796^4+WeightSDS!T$14*$AG796^3+WeightSDS!U$14*$AG796^2+WeightSDS!V$14*$AG796+WeightSDS!W$14),IF($AG796&lt;156,WeightSDS!O$17*$AG796^8+WeightSDS!P$17*$AG796^7+WeightSDS!Q$17*$AG796^6+WeightSDS!R$17*$AG796^5+WeightSDS!S$17*$AG796^4+WeightSDS!T$17*$AG796^3+WeightSDS!U$17*$AG796^2+WeightSDS!V$17*$AG796+WeightSDS!W$17,IF($AG796&lt;186,WeightSDS!$U$18+(WeightSDS!$V$18-WeightSDS!$U$18)/24*($AG796-186)+WeightSDS!$W$18*(-$AG796+186)^2-0.005,WeightSDS!$U$18+(WeightSDS!$V$18-WeightSDS!$U$18)/24*($AG796-186)-0.005)))</f>
        <v>0.14604529399999999</v>
      </c>
    </row>
    <row r="797" spans="1:37">
      <c r="A797" s="4"/>
      <c r="B797" s="21"/>
      <c r="C797" s="21"/>
      <c r="D797" s="21"/>
      <c r="E797" s="22"/>
      <c r="F797" s="22"/>
      <c r="G797" s="23"/>
      <c r="H797" s="23"/>
      <c r="I797" s="8" t="str">
        <f t="shared" si="194"/>
        <v/>
      </c>
      <c r="J797" s="2" t="str">
        <f t="shared" si="201"/>
        <v/>
      </c>
      <c r="K797" s="2" t="str">
        <f t="shared" si="195"/>
        <v/>
      </c>
      <c r="L797" s="2" t="str">
        <f t="shared" si="202"/>
        <v/>
      </c>
      <c r="M797" s="2" t="str">
        <f t="shared" si="207"/>
        <v/>
      </c>
      <c r="N797" s="2" t="str">
        <f t="shared" si="203"/>
        <v/>
      </c>
      <c r="O797" s="8" t="str">
        <f t="shared" si="204"/>
        <v/>
      </c>
      <c r="P797" s="8" t="str">
        <f t="shared" si="205"/>
        <v/>
      </c>
      <c r="Q797" s="40" t="str">
        <f t="shared" si="196"/>
        <v/>
      </c>
      <c r="R797" s="48" t="str">
        <f t="shared" si="206"/>
        <v/>
      </c>
      <c r="S797" s="8"/>
      <c r="U797" s="35">
        <f t="shared" si="197"/>
        <v>0</v>
      </c>
      <c r="V797" s="24">
        <f t="shared" si="198"/>
        <v>0</v>
      </c>
      <c r="W797" s="41">
        <f t="shared" si="193"/>
        <v>0</v>
      </c>
      <c r="X797" s="31"/>
      <c r="Y797" s="31"/>
      <c r="Z797" s="31"/>
      <c r="AA797" s="25">
        <f t="shared" si="199"/>
        <v>9.0359999999999996</v>
      </c>
      <c r="AB797" s="25">
        <f t="shared" si="200"/>
        <v>-184.49199999999999</v>
      </c>
      <c r="AD797" s="24">
        <f>IF(D797="M",IF(AG797&lt;78,BMILMS!$D$5*AG797^3+BMILMS!$E$5*AG797^2+BMILMS!$F$5*AG797+BMILMS!$G$5,IF(AG797&lt;150,BMILMS!$D$6*AG797^3+BMILMS!$E$6*AG797^2+BMILMS!$F$6*AG797+BMILMS!$G$6,BMILMS!$D$7*AG797^3+BMILMS!$E$7*AG797^2+BMILMS!$F$7*AG797+BMILMS!$G$7)),IF(AG797&lt;69,BMILMS!$D$9*AG797^3+BMILMS!$E$9*AG797^2+BMILMS!$F$9*AG797+BMILMS!$G$9,IF(AG797&lt;150,BMILMS!$D$10*AG797^3+BMILMS!$E$10*AG797^2+BMILMS!$F$10*AG797+BMILMS!$G$10,BMILMS!$D$11*AG797^3+BMILMS!$E$11*AG797^2+BMILMS!$F$11*AG797+BMILMS!$G$11)))</f>
        <v>0.79584630099999998</v>
      </c>
      <c r="AE797" s="24">
        <f>IF(D797="M",(IF(AG797&lt;2.5,BMILMS!$D$21*AG797^3+BMILMS!$E$21*AG797^2+BMILMS!$F$21*AG797+BMILMS!$G$21,IF(AG797&lt;9.5,BMILMS!$D$22*AG797^3+BMILMS!$E$22*AG797^2+BMILMS!$F$22*AG797+BMILMS!$G$22,IF(AG797&lt;26.75,BMILMS!$D$23*AG797^3+BMILMS!$E$23*AG797^2+BMILMS!$F$23*AG797+BMILMS!$G$23,IF(AG797&lt;90,BMILMS!$D$24*AG797^3+BMILMS!$E$24*AG797^2+BMILMS!$F$24*AG797+BMILMS!$G$24,BMILMS!$D$25*AG797^3+BMILMS!$E$25*AG797^2+BMILMS!$F$25*AG797+BMILMS!$G$25))))),(IF(AG797&lt;2.5,BMILMS!$D$27*AG797^3+BMILMS!$E$27*AG797^2+BMILMS!$F$27*AG797+BMILMS!$G$27,IF(AG797&lt;9.5,BMILMS!$D$28*AG797^3+BMILMS!$E$28*AG797^2+BMILMS!$F$28*AG797+BMILMS!$G$28,IF(AG797&lt;26.75,BMILMS!$D$29*AG797^3+BMILMS!$E$29*AG797^2+BMILMS!$F$29*AG797+BMILMS!$G$29,IF(AG797&lt;90,BMILMS!$D$30*AG797^3+BMILMS!$E$30*AG797^2+BMILMS!$F$30*AG797+BMILMS!$G$30,IF(AG797&lt;150,BMILMS!$D$31*AG797^3+BMILMS!$E$31*AG797^2+BMILMS!$F$31*AG797+BMILMS!$G$31,BMILMS!$D$32*AG797^3+BMILMS!$E$32*AG797^2+BMILMS!$F$32*AG797+BMILMS!$G$32)))))))</f>
        <v>12.568967990000001</v>
      </c>
      <c r="AF797" s="24">
        <f>IF(D797="M",(IF(AG797&lt;90,BMILMS!$D$14*AG797^3+BMILMS!$E$14*AG797^2+BMILMS!$F$14*AG797+BMILMS!$G$14,BMILMS!$D$15*AG797^3+BMILMS!$E$15*AG797^2+BMILMS!$F$15*AG797+BMILMS!$G$15)),(IF(AG797&lt;90,BMILMS!$D$17*AG797^3+BMILMS!$E$17*AG797^2+BMILMS!$F$17*AG797+BMILMS!$G$17,BMILMS!$D$18*AG797^3+BMILMS!$E$18*AG797^2+BMILMS!$F$18*AG797+BMILMS!$G$18)))</f>
        <v>8.8969350000000003E-2</v>
      </c>
      <c r="AG797" s="24">
        <f t="shared" si="208"/>
        <v>0</v>
      </c>
      <c r="AI797" s="38">
        <f>IF(D797="M",WeightSDS!P$5*$AG797^7+WeightSDS!Q$5*$AG797^6+WeightSDS!R$5*$AG797^5+WeightSDS!S$5*$AG797^4+WeightSDS!T$5*$AG797^3+WeightSDS!U$5*$AG797^2+WeightSDS!V$5*$AG797+WeightSDS!W$5,IF($AG797&lt;186,WeightSDS!P$8*$AG797^7+WeightSDS!Q$8*$AG797^6+WeightSDS!R$8*$AG797^5+WeightSDS!S$8*$AG797^4+WeightSDS!T$8*$AG797^3+WeightSDS!U$8*$AG797^2+WeightSDS!V$8*$AG797+WeightSDS!W$8,WeightSDS!$U$9-WeightSDS!$V$9*($AG797-WeightSDS!$W$9)))</f>
        <v>0.75407122999999998</v>
      </c>
      <c r="AJ797" s="24">
        <f>IF(D797="M",IF($AG797&lt;45,WeightSDS!M$23*$AG797^10+WeightSDS!N$23*$AG797^9+WeightSDS!O$23*$AG797^8+WeightSDS!P$23*$AG797^7+WeightSDS!Q$23*$AG797^6+WeightSDS!R$23*$AG797^5+WeightSDS!S$23*$AG797^4+WeightSDS!T$23*$AG797^3+WeightSDS!U$23*$AG797^2+WeightSDS!V$23*$AG797+WeightSDS!W$23,IF($AG797&lt;153,WeightSDS!M$25*$AG797^10+WeightSDS!N$25*$AG797^9+WeightSDS!O$25*$AG797^8+WeightSDS!P$25*$AG797^7+WeightSDS!Q$25*$AG797^6+WeightSDS!R$25*$AG797^5+WeightSDS!S$25*$AG797^4+WeightSDS!T$25*$AG797^3+WeightSDS!U$25*$AG797^2+WeightSDS!V$25*$AG797+WeightSDS!W$25,WeightSDS!M$27+WeightSDS!N$27/(1+EXP(WeightSDS!O$27+WeightSDS!P$27*$AG797)))),IF($AG797&lt;43.8,WeightSDS!M$29*$AG797^10+WeightSDS!N$29*$AG797^9+WeightSDS!O$29*$AG797^8+WeightSDS!P$29*$AG797^7+WeightSDS!Q$29*$AG797^6+WeightSDS!R$29*$AG797^5+WeightSDS!S$29*$AG797^4+WeightSDS!T$29*$AG797^3+WeightSDS!U$29*$AG797^2+WeightSDS!V$29*$AG797+WeightSDS!W$29-0.010431*(1-$AG797/210),IF($AG797&lt;123,WeightSDS!M$30*$AG797^10+WeightSDS!N$30*$AG797^9+WeightSDS!O$30*$AG797^8+WeightSDS!P$30*$AG797^7+WeightSDS!Q$30*$AG797^6+WeightSDS!R$30*$AG797^5+WeightSDS!S$30*$AG797^4+WeightSDS!T$30*$AG797^3+WeightSDS!U$30*$AG797^2+WeightSDS!V$30*$AG797+WeightSDS!W$30-0.010431*(1-1/$AG797),WeightSDS!M$32+WeightSDS!N$32/(1+EXP(WeightSDS!O$32+WeightSDS!P$32*$AG797))-0.010431*(1-$AG797/210))))</f>
        <v>2.9500001032655536</v>
      </c>
      <c r="AK797" s="24">
        <f>IF(D797="M",IF($AG797&lt;162,WeightSDS!P$12*$AG797^7+WeightSDS!Q$12*$AG797^6+WeightSDS!R$12*$AG797^5+WeightSDS!S$12*$AG797^4+WeightSDS!T$12*$AG797^3+WeightSDS!U$12*$AG797^2+WeightSDS!V$12*$AG797+WeightSDS!W$12,WeightSDS!P$14*$AG797^7+WeightSDS!Q$14*$AG797^6+WeightSDS!R$14*$AG797^5+WeightSDS!S$14*$AG797^4+WeightSDS!T$14*$AG797^3+WeightSDS!U$14*$AG797^2+WeightSDS!V$14*$AG797+WeightSDS!W$14),IF($AG797&lt;156,WeightSDS!O$17*$AG797^8+WeightSDS!P$17*$AG797^7+WeightSDS!Q$17*$AG797^6+WeightSDS!R$17*$AG797^5+WeightSDS!S$17*$AG797^4+WeightSDS!T$17*$AG797^3+WeightSDS!U$17*$AG797^2+WeightSDS!V$17*$AG797+WeightSDS!W$17,IF($AG797&lt;186,WeightSDS!$U$18+(WeightSDS!$V$18-WeightSDS!$U$18)/24*($AG797-186)+WeightSDS!$W$18*(-$AG797+186)^2-0.005,WeightSDS!$U$18+(WeightSDS!$V$18-WeightSDS!$U$18)/24*($AG797-186)-0.005)))</f>
        <v>0.14604529399999999</v>
      </c>
    </row>
    <row r="798" spans="1:37">
      <c r="A798" s="4"/>
      <c r="B798" s="21"/>
      <c r="C798" s="21"/>
      <c r="D798" s="21"/>
      <c r="E798" s="22"/>
      <c r="F798" s="22"/>
      <c r="G798" s="23"/>
      <c r="H798" s="23"/>
      <c r="I798" s="8" t="str">
        <f t="shared" si="194"/>
        <v/>
      </c>
      <c r="J798" s="2" t="str">
        <f t="shared" si="201"/>
        <v/>
      </c>
      <c r="K798" s="2" t="str">
        <f t="shared" si="195"/>
        <v/>
      </c>
      <c r="L798" s="2" t="str">
        <f t="shared" si="202"/>
        <v/>
      </c>
      <c r="M798" s="2" t="str">
        <f t="shared" si="207"/>
        <v/>
      </c>
      <c r="N798" s="2" t="str">
        <f t="shared" si="203"/>
        <v/>
      </c>
      <c r="O798" s="8" t="str">
        <f t="shared" si="204"/>
        <v/>
      </c>
      <c r="P798" s="8" t="str">
        <f t="shared" si="205"/>
        <v/>
      </c>
      <c r="Q798" s="40" t="str">
        <f t="shared" si="196"/>
        <v/>
      </c>
      <c r="R798" s="48" t="str">
        <f t="shared" si="206"/>
        <v/>
      </c>
      <c r="S798" s="8"/>
      <c r="U798" s="35">
        <f t="shared" si="197"/>
        <v>0</v>
      </c>
      <c r="V798" s="24">
        <f t="shared" si="198"/>
        <v>0</v>
      </c>
      <c r="W798" s="41">
        <f t="shared" ref="W798:W861" si="209">DATEDIF(E798,F798,"Y")+(F798-(DATE(YEAR(E798)+DATEDIF(E798,F798,"Y"),MONTH(E798),DAY(E798))))/(365+IF(MOD(YEAR((DATE(YEAR(F798)-1,MONTH(E798),DAY(E798)))),4)=0,IF((DATE(YEAR(F798)-1,MONTH(E798),DAY(E798)))&gt;DATE(YEAR((DATE(YEAR(F798)-1,MONTH(E798),DAY(E798)))),2,29),0,1),0)+IF(MOD(YEAR(F798),4)=0,IF(F798&gt;DATE(YEAR(F798),2,29),1,0),0))</f>
        <v>0</v>
      </c>
      <c r="X798" s="31"/>
      <c r="Y798" s="31"/>
      <c r="Z798" s="31"/>
      <c r="AA798" s="25">
        <f t="shared" si="199"/>
        <v>9.0359999999999996</v>
      </c>
      <c r="AB798" s="25">
        <f t="shared" si="200"/>
        <v>-184.49199999999999</v>
      </c>
      <c r="AD798" s="24">
        <f>IF(D798="M",IF(AG798&lt;78,BMILMS!$D$5*AG798^3+BMILMS!$E$5*AG798^2+BMILMS!$F$5*AG798+BMILMS!$G$5,IF(AG798&lt;150,BMILMS!$D$6*AG798^3+BMILMS!$E$6*AG798^2+BMILMS!$F$6*AG798+BMILMS!$G$6,BMILMS!$D$7*AG798^3+BMILMS!$E$7*AG798^2+BMILMS!$F$7*AG798+BMILMS!$G$7)),IF(AG798&lt;69,BMILMS!$D$9*AG798^3+BMILMS!$E$9*AG798^2+BMILMS!$F$9*AG798+BMILMS!$G$9,IF(AG798&lt;150,BMILMS!$D$10*AG798^3+BMILMS!$E$10*AG798^2+BMILMS!$F$10*AG798+BMILMS!$G$10,BMILMS!$D$11*AG798^3+BMILMS!$E$11*AG798^2+BMILMS!$F$11*AG798+BMILMS!$G$11)))</f>
        <v>0.79584630099999998</v>
      </c>
      <c r="AE798" s="24">
        <f>IF(D798="M",(IF(AG798&lt;2.5,BMILMS!$D$21*AG798^3+BMILMS!$E$21*AG798^2+BMILMS!$F$21*AG798+BMILMS!$G$21,IF(AG798&lt;9.5,BMILMS!$D$22*AG798^3+BMILMS!$E$22*AG798^2+BMILMS!$F$22*AG798+BMILMS!$G$22,IF(AG798&lt;26.75,BMILMS!$D$23*AG798^3+BMILMS!$E$23*AG798^2+BMILMS!$F$23*AG798+BMILMS!$G$23,IF(AG798&lt;90,BMILMS!$D$24*AG798^3+BMILMS!$E$24*AG798^2+BMILMS!$F$24*AG798+BMILMS!$G$24,BMILMS!$D$25*AG798^3+BMILMS!$E$25*AG798^2+BMILMS!$F$25*AG798+BMILMS!$G$25))))),(IF(AG798&lt;2.5,BMILMS!$D$27*AG798^3+BMILMS!$E$27*AG798^2+BMILMS!$F$27*AG798+BMILMS!$G$27,IF(AG798&lt;9.5,BMILMS!$D$28*AG798^3+BMILMS!$E$28*AG798^2+BMILMS!$F$28*AG798+BMILMS!$G$28,IF(AG798&lt;26.75,BMILMS!$D$29*AG798^3+BMILMS!$E$29*AG798^2+BMILMS!$F$29*AG798+BMILMS!$G$29,IF(AG798&lt;90,BMILMS!$D$30*AG798^3+BMILMS!$E$30*AG798^2+BMILMS!$F$30*AG798+BMILMS!$G$30,IF(AG798&lt;150,BMILMS!$D$31*AG798^3+BMILMS!$E$31*AG798^2+BMILMS!$F$31*AG798+BMILMS!$G$31,BMILMS!$D$32*AG798^3+BMILMS!$E$32*AG798^2+BMILMS!$F$32*AG798+BMILMS!$G$32)))))))</f>
        <v>12.568967990000001</v>
      </c>
      <c r="AF798" s="24">
        <f>IF(D798="M",(IF(AG798&lt;90,BMILMS!$D$14*AG798^3+BMILMS!$E$14*AG798^2+BMILMS!$F$14*AG798+BMILMS!$G$14,BMILMS!$D$15*AG798^3+BMILMS!$E$15*AG798^2+BMILMS!$F$15*AG798+BMILMS!$G$15)),(IF(AG798&lt;90,BMILMS!$D$17*AG798^3+BMILMS!$E$17*AG798^2+BMILMS!$F$17*AG798+BMILMS!$G$17,BMILMS!$D$18*AG798^3+BMILMS!$E$18*AG798^2+BMILMS!$F$18*AG798+BMILMS!$G$18)))</f>
        <v>8.8969350000000003E-2</v>
      </c>
      <c r="AG798" s="24">
        <f t="shared" si="208"/>
        <v>0</v>
      </c>
      <c r="AI798" s="38">
        <f>IF(D798="M",WeightSDS!P$5*$AG798^7+WeightSDS!Q$5*$AG798^6+WeightSDS!R$5*$AG798^5+WeightSDS!S$5*$AG798^4+WeightSDS!T$5*$AG798^3+WeightSDS!U$5*$AG798^2+WeightSDS!V$5*$AG798+WeightSDS!W$5,IF($AG798&lt;186,WeightSDS!P$8*$AG798^7+WeightSDS!Q$8*$AG798^6+WeightSDS!R$8*$AG798^5+WeightSDS!S$8*$AG798^4+WeightSDS!T$8*$AG798^3+WeightSDS!U$8*$AG798^2+WeightSDS!V$8*$AG798+WeightSDS!W$8,WeightSDS!$U$9-WeightSDS!$V$9*($AG798-WeightSDS!$W$9)))</f>
        <v>0.75407122999999998</v>
      </c>
      <c r="AJ798" s="24">
        <f>IF(D798="M",IF($AG798&lt;45,WeightSDS!M$23*$AG798^10+WeightSDS!N$23*$AG798^9+WeightSDS!O$23*$AG798^8+WeightSDS!P$23*$AG798^7+WeightSDS!Q$23*$AG798^6+WeightSDS!R$23*$AG798^5+WeightSDS!S$23*$AG798^4+WeightSDS!T$23*$AG798^3+WeightSDS!U$23*$AG798^2+WeightSDS!V$23*$AG798+WeightSDS!W$23,IF($AG798&lt;153,WeightSDS!M$25*$AG798^10+WeightSDS!N$25*$AG798^9+WeightSDS!O$25*$AG798^8+WeightSDS!P$25*$AG798^7+WeightSDS!Q$25*$AG798^6+WeightSDS!R$25*$AG798^5+WeightSDS!S$25*$AG798^4+WeightSDS!T$25*$AG798^3+WeightSDS!U$25*$AG798^2+WeightSDS!V$25*$AG798+WeightSDS!W$25,WeightSDS!M$27+WeightSDS!N$27/(1+EXP(WeightSDS!O$27+WeightSDS!P$27*$AG798)))),IF($AG798&lt;43.8,WeightSDS!M$29*$AG798^10+WeightSDS!N$29*$AG798^9+WeightSDS!O$29*$AG798^8+WeightSDS!P$29*$AG798^7+WeightSDS!Q$29*$AG798^6+WeightSDS!R$29*$AG798^5+WeightSDS!S$29*$AG798^4+WeightSDS!T$29*$AG798^3+WeightSDS!U$29*$AG798^2+WeightSDS!V$29*$AG798+WeightSDS!W$29-0.010431*(1-$AG798/210),IF($AG798&lt;123,WeightSDS!M$30*$AG798^10+WeightSDS!N$30*$AG798^9+WeightSDS!O$30*$AG798^8+WeightSDS!P$30*$AG798^7+WeightSDS!Q$30*$AG798^6+WeightSDS!R$30*$AG798^5+WeightSDS!S$30*$AG798^4+WeightSDS!T$30*$AG798^3+WeightSDS!U$30*$AG798^2+WeightSDS!V$30*$AG798+WeightSDS!W$30-0.010431*(1-1/$AG798),WeightSDS!M$32+WeightSDS!N$32/(1+EXP(WeightSDS!O$32+WeightSDS!P$32*$AG798))-0.010431*(1-$AG798/210))))</f>
        <v>2.9500001032655536</v>
      </c>
      <c r="AK798" s="24">
        <f>IF(D798="M",IF($AG798&lt;162,WeightSDS!P$12*$AG798^7+WeightSDS!Q$12*$AG798^6+WeightSDS!R$12*$AG798^5+WeightSDS!S$12*$AG798^4+WeightSDS!T$12*$AG798^3+WeightSDS!U$12*$AG798^2+WeightSDS!V$12*$AG798+WeightSDS!W$12,WeightSDS!P$14*$AG798^7+WeightSDS!Q$14*$AG798^6+WeightSDS!R$14*$AG798^5+WeightSDS!S$14*$AG798^4+WeightSDS!T$14*$AG798^3+WeightSDS!U$14*$AG798^2+WeightSDS!V$14*$AG798+WeightSDS!W$14),IF($AG798&lt;156,WeightSDS!O$17*$AG798^8+WeightSDS!P$17*$AG798^7+WeightSDS!Q$17*$AG798^6+WeightSDS!R$17*$AG798^5+WeightSDS!S$17*$AG798^4+WeightSDS!T$17*$AG798^3+WeightSDS!U$17*$AG798^2+WeightSDS!V$17*$AG798+WeightSDS!W$17,IF($AG798&lt;186,WeightSDS!$U$18+(WeightSDS!$V$18-WeightSDS!$U$18)/24*($AG798-186)+WeightSDS!$W$18*(-$AG798+186)^2-0.005,WeightSDS!$U$18+(WeightSDS!$V$18-WeightSDS!$U$18)/24*($AG798-186)-0.005)))</f>
        <v>0.14604529399999999</v>
      </c>
    </row>
    <row r="799" spans="1:37">
      <c r="A799" s="4"/>
      <c r="B799" s="21"/>
      <c r="C799" s="21"/>
      <c r="D799" s="21"/>
      <c r="E799" s="22"/>
      <c r="F799" s="22"/>
      <c r="G799" s="23"/>
      <c r="H799" s="23"/>
      <c r="I799" s="8" t="str">
        <f t="shared" si="194"/>
        <v/>
      </c>
      <c r="J799" s="2" t="str">
        <f t="shared" si="201"/>
        <v/>
      </c>
      <c r="K799" s="2" t="str">
        <f t="shared" si="195"/>
        <v/>
      </c>
      <c r="L799" s="2" t="str">
        <f t="shared" si="202"/>
        <v/>
      </c>
      <c r="M799" s="2" t="str">
        <f t="shared" si="207"/>
        <v/>
      </c>
      <c r="N799" s="2" t="str">
        <f t="shared" si="203"/>
        <v/>
      </c>
      <c r="O799" s="8" t="str">
        <f t="shared" si="204"/>
        <v/>
      </c>
      <c r="P799" s="8" t="str">
        <f t="shared" si="205"/>
        <v/>
      </c>
      <c r="Q799" s="40" t="str">
        <f t="shared" si="196"/>
        <v/>
      </c>
      <c r="R799" s="48" t="str">
        <f t="shared" si="206"/>
        <v/>
      </c>
      <c r="S799" s="8"/>
      <c r="U799" s="35">
        <f t="shared" si="197"/>
        <v>0</v>
      </c>
      <c r="V799" s="24">
        <f t="shared" si="198"/>
        <v>0</v>
      </c>
      <c r="W799" s="41">
        <f t="shared" si="209"/>
        <v>0</v>
      </c>
      <c r="X799" s="31"/>
      <c r="Y799" s="31"/>
      <c r="Z799" s="31"/>
      <c r="AA799" s="25">
        <f t="shared" si="199"/>
        <v>9.0359999999999996</v>
      </c>
      <c r="AB799" s="25">
        <f t="shared" si="200"/>
        <v>-184.49199999999999</v>
      </c>
      <c r="AD799" s="24">
        <f>IF(D799="M",IF(AG799&lt;78,BMILMS!$D$5*AG799^3+BMILMS!$E$5*AG799^2+BMILMS!$F$5*AG799+BMILMS!$G$5,IF(AG799&lt;150,BMILMS!$D$6*AG799^3+BMILMS!$E$6*AG799^2+BMILMS!$F$6*AG799+BMILMS!$G$6,BMILMS!$D$7*AG799^3+BMILMS!$E$7*AG799^2+BMILMS!$F$7*AG799+BMILMS!$G$7)),IF(AG799&lt;69,BMILMS!$D$9*AG799^3+BMILMS!$E$9*AG799^2+BMILMS!$F$9*AG799+BMILMS!$G$9,IF(AG799&lt;150,BMILMS!$D$10*AG799^3+BMILMS!$E$10*AG799^2+BMILMS!$F$10*AG799+BMILMS!$G$10,BMILMS!$D$11*AG799^3+BMILMS!$E$11*AG799^2+BMILMS!$F$11*AG799+BMILMS!$G$11)))</f>
        <v>0.79584630099999998</v>
      </c>
      <c r="AE799" s="24">
        <f>IF(D799="M",(IF(AG799&lt;2.5,BMILMS!$D$21*AG799^3+BMILMS!$E$21*AG799^2+BMILMS!$F$21*AG799+BMILMS!$G$21,IF(AG799&lt;9.5,BMILMS!$D$22*AG799^3+BMILMS!$E$22*AG799^2+BMILMS!$F$22*AG799+BMILMS!$G$22,IF(AG799&lt;26.75,BMILMS!$D$23*AG799^3+BMILMS!$E$23*AG799^2+BMILMS!$F$23*AG799+BMILMS!$G$23,IF(AG799&lt;90,BMILMS!$D$24*AG799^3+BMILMS!$E$24*AG799^2+BMILMS!$F$24*AG799+BMILMS!$G$24,BMILMS!$D$25*AG799^3+BMILMS!$E$25*AG799^2+BMILMS!$F$25*AG799+BMILMS!$G$25))))),(IF(AG799&lt;2.5,BMILMS!$D$27*AG799^3+BMILMS!$E$27*AG799^2+BMILMS!$F$27*AG799+BMILMS!$G$27,IF(AG799&lt;9.5,BMILMS!$D$28*AG799^3+BMILMS!$E$28*AG799^2+BMILMS!$F$28*AG799+BMILMS!$G$28,IF(AG799&lt;26.75,BMILMS!$D$29*AG799^3+BMILMS!$E$29*AG799^2+BMILMS!$F$29*AG799+BMILMS!$G$29,IF(AG799&lt;90,BMILMS!$D$30*AG799^3+BMILMS!$E$30*AG799^2+BMILMS!$F$30*AG799+BMILMS!$G$30,IF(AG799&lt;150,BMILMS!$D$31*AG799^3+BMILMS!$E$31*AG799^2+BMILMS!$F$31*AG799+BMILMS!$G$31,BMILMS!$D$32*AG799^3+BMILMS!$E$32*AG799^2+BMILMS!$F$32*AG799+BMILMS!$G$32)))))))</f>
        <v>12.568967990000001</v>
      </c>
      <c r="AF799" s="24">
        <f>IF(D799="M",(IF(AG799&lt;90,BMILMS!$D$14*AG799^3+BMILMS!$E$14*AG799^2+BMILMS!$F$14*AG799+BMILMS!$G$14,BMILMS!$D$15*AG799^3+BMILMS!$E$15*AG799^2+BMILMS!$F$15*AG799+BMILMS!$G$15)),(IF(AG799&lt;90,BMILMS!$D$17*AG799^3+BMILMS!$E$17*AG799^2+BMILMS!$F$17*AG799+BMILMS!$G$17,BMILMS!$D$18*AG799^3+BMILMS!$E$18*AG799^2+BMILMS!$F$18*AG799+BMILMS!$G$18)))</f>
        <v>8.8969350000000003E-2</v>
      </c>
      <c r="AG799" s="24">
        <f t="shared" si="208"/>
        <v>0</v>
      </c>
      <c r="AI799" s="38">
        <f>IF(D799="M",WeightSDS!P$5*$AG799^7+WeightSDS!Q$5*$AG799^6+WeightSDS!R$5*$AG799^5+WeightSDS!S$5*$AG799^4+WeightSDS!T$5*$AG799^3+WeightSDS!U$5*$AG799^2+WeightSDS!V$5*$AG799+WeightSDS!W$5,IF($AG799&lt;186,WeightSDS!P$8*$AG799^7+WeightSDS!Q$8*$AG799^6+WeightSDS!R$8*$AG799^5+WeightSDS!S$8*$AG799^4+WeightSDS!T$8*$AG799^3+WeightSDS!U$8*$AG799^2+WeightSDS!V$8*$AG799+WeightSDS!W$8,WeightSDS!$U$9-WeightSDS!$V$9*($AG799-WeightSDS!$W$9)))</f>
        <v>0.75407122999999998</v>
      </c>
      <c r="AJ799" s="24">
        <f>IF(D799="M",IF($AG799&lt;45,WeightSDS!M$23*$AG799^10+WeightSDS!N$23*$AG799^9+WeightSDS!O$23*$AG799^8+WeightSDS!P$23*$AG799^7+WeightSDS!Q$23*$AG799^6+WeightSDS!R$23*$AG799^5+WeightSDS!S$23*$AG799^4+WeightSDS!T$23*$AG799^3+WeightSDS!U$23*$AG799^2+WeightSDS!V$23*$AG799+WeightSDS!W$23,IF($AG799&lt;153,WeightSDS!M$25*$AG799^10+WeightSDS!N$25*$AG799^9+WeightSDS!O$25*$AG799^8+WeightSDS!P$25*$AG799^7+WeightSDS!Q$25*$AG799^6+WeightSDS!R$25*$AG799^5+WeightSDS!S$25*$AG799^4+WeightSDS!T$25*$AG799^3+WeightSDS!U$25*$AG799^2+WeightSDS!V$25*$AG799+WeightSDS!W$25,WeightSDS!M$27+WeightSDS!N$27/(1+EXP(WeightSDS!O$27+WeightSDS!P$27*$AG799)))),IF($AG799&lt;43.8,WeightSDS!M$29*$AG799^10+WeightSDS!N$29*$AG799^9+WeightSDS!O$29*$AG799^8+WeightSDS!P$29*$AG799^7+WeightSDS!Q$29*$AG799^6+WeightSDS!R$29*$AG799^5+WeightSDS!S$29*$AG799^4+WeightSDS!T$29*$AG799^3+WeightSDS!U$29*$AG799^2+WeightSDS!V$29*$AG799+WeightSDS!W$29-0.010431*(1-$AG799/210),IF($AG799&lt;123,WeightSDS!M$30*$AG799^10+WeightSDS!N$30*$AG799^9+WeightSDS!O$30*$AG799^8+WeightSDS!P$30*$AG799^7+WeightSDS!Q$30*$AG799^6+WeightSDS!R$30*$AG799^5+WeightSDS!S$30*$AG799^4+WeightSDS!T$30*$AG799^3+WeightSDS!U$30*$AG799^2+WeightSDS!V$30*$AG799+WeightSDS!W$30-0.010431*(1-1/$AG799),WeightSDS!M$32+WeightSDS!N$32/(1+EXP(WeightSDS!O$32+WeightSDS!P$32*$AG799))-0.010431*(1-$AG799/210))))</f>
        <v>2.9500001032655536</v>
      </c>
      <c r="AK799" s="24">
        <f>IF(D799="M",IF($AG799&lt;162,WeightSDS!P$12*$AG799^7+WeightSDS!Q$12*$AG799^6+WeightSDS!R$12*$AG799^5+WeightSDS!S$12*$AG799^4+WeightSDS!T$12*$AG799^3+WeightSDS!U$12*$AG799^2+WeightSDS!V$12*$AG799+WeightSDS!W$12,WeightSDS!P$14*$AG799^7+WeightSDS!Q$14*$AG799^6+WeightSDS!R$14*$AG799^5+WeightSDS!S$14*$AG799^4+WeightSDS!T$14*$AG799^3+WeightSDS!U$14*$AG799^2+WeightSDS!V$14*$AG799+WeightSDS!W$14),IF($AG799&lt;156,WeightSDS!O$17*$AG799^8+WeightSDS!P$17*$AG799^7+WeightSDS!Q$17*$AG799^6+WeightSDS!R$17*$AG799^5+WeightSDS!S$17*$AG799^4+WeightSDS!T$17*$AG799^3+WeightSDS!U$17*$AG799^2+WeightSDS!V$17*$AG799+WeightSDS!W$17,IF($AG799&lt;186,WeightSDS!$U$18+(WeightSDS!$V$18-WeightSDS!$U$18)/24*($AG799-186)+WeightSDS!$W$18*(-$AG799+186)^2-0.005,WeightSDS!$U$18+(WeightSDS!$V$18-WeightSDS!$U$18)/24*($AG799-186)-0.005)))</f>
        <v>0.14604529399999999</v>
      </c>
    </row>
    <row r="800" spans="1:37">
      <c r="A800" s="4"/>
      <c r="B800" s="21"/>
      <c r="C800" s="21"/>
      <c r="D800" s="21"/>
      <c r="E800" s="22"/>
      <c r="F800" s="22"/>
      <c r="G800" s="23"/>
      <c r="H800" s="23"/>
      <c r="I800" s="8" t="str">
        <f t="shared" si="194"/>
        <v/>
      </c>
      <c r="J800" s="2" t="str">
        <f t="shared" si="201"/>
        <v/>
      </c>
      <c r="K800" s="2" t="str">
        <f t="shared" si="195"/>
        <v/>
      </c>
      <c r="L800" s="2" t="str">
        <f t="shared" si="202"/>
        <v/>
      </c>
      <c r="M800" s="2" t="str">
        <f t="shared" si="207"/>
        <v/>
      </c>
      <c r="N800" s="2" t="str">
        <f t="shared" si="203"/>
        <v/>
      </c>
      <c r="O800" s="8" t="str">
        <f t="shared" si="204"/>
        <v/>
      </c>
      <c r="P800" s="8" t="str">
        <f t="shared" si="205"/>
        <v/>
      </c>
      <c r="Q800" s="40" t="str">
        <f t="shared" si="196"/>
        <v/>
      </c>
      <c r="R800" s="48" t="str">
        <f t="shared" si="206"/>
        <v/>
      </c>
      <c r="S800" s="8"/>
      <c r="U800" s="35">
        <f t="shared" si="197"/>
        <v>0</v>
      </c>
      <c r="V800" s="24">
        <f t="shared" si="198"/>
        <v>0</v>
      </c>
      <c r="W800" s="41">
        <f t="shared" si="209"/>
        <v>0</v>
      </c>
      <c r="X800" s="31"/>
      <c r="Y800" s="31"/>
      <c r="Z800" s="31"/>
      <c r="AA800" s="25">
        <f t="shared" si="199"/>
        <v>9.0359999999999996</v>
      </c>
      <c r="AB800" s="25">
        <f t="shared" si="200"/>
        <v>-184.49199999999999</v>
      </c>
      <c r="AD800" s="24">
        <f>IF(D800="M",IF(AG800&lt;78,BMILMS!$D$5*AG800^3+BMILMS!$E$5*AG800^2+BMILMS!$F$5*AG800+BMILMS!$G$5,IF(AG800&lt;150,BMILMS!$D$6*AG800^3+BMILMS!$E$6*AG800^2+BMILMS!$F$6*AG800+BMILMS!$G$6,BMILMS!$D$7*AG800^3+BMILMS!$E$7*AG800^2+BMILMS!$F$7*AG800+BMILMS!$G$7)),IF(AG800&lt;69,BMILMS!$D$9*AG800^3+BMILMS!$E$9*AG800^2+BMILMS!$F$9*AG800+BMILMS!$G$9,IF(AG800&lt;150,BMILMS!$D$10*AG800^3+BMILMS!$E$10*AG800^2+BMILMS!$F$10*AG800+BMILMS!$G$10,BMILMS!$D$11*AG800^3+BMILMS!$E$11*AG800^2+BMILMS!$F$11*AG800+BMILMS!$G$11)))</f>
        <v>0.79584630099999998</v>
      </c>
      <c r="AE800" s="24">
        <f>IF(D800="M",(IF(AG800&lt;2.5,BMILMS!$D$21*AG800^3+BMILMS!$E$21*AG800^2+BMILMS!$F$21*AG800+BMILMS!$G$21,IF(AG800&lt;9.5,BMILMS!$D$22*AG800^3+BMILMS!$E$22*AG800^2+BMILMS!$F$22*AG800+BMILMS!$G$22,IF(AG800&lt;26.75,BMILMS!$D$23*AG800^3+BMILMS!$E$23*AG800^2+BMILMS!$F$23*AG800+BMILMS!$G$23,IF(AG800&lt;90,BMILMS!$D$24*AG800^3+BMILMS!$E$24*AG800^2+BMILMS!$F$24*AG800+BMILMS!$G$24,BMILMS!$D$25*AG800^3+BMILMS!$E$25*AG800^2+BMILMS!$F$25*AG800+BMILMS!$G$25))))),(IF(AG800&lt;2.5,BMILMS!$D$27*AG800^3+BMILMS!$E$27*AG800^2+BMILMS!$F$27*AG800+BMILMS!$G$27,IF(AG800&lt;9.5,BMILMS!$D$28*AG800^3+BMILMS!$E$28*AG800^2+BMILMS!$F$28*AG800+BMILMS!$G$28,IF(AG800&lt;26.75,BMILMS!$D$29*AG800^3+BMILMS!$E$29*AG800^2+BMILMS!$F$29*AG800+BMILMS!$G$29,IF(AG800&lt;90,BMILMS!$D$30*AG800^3+BMILMS!$E$30*AG800^2+BMILMS!$F$30*AG800+BMILMS!$G$30,IF(AG800&lt;150,BMILMS!$D$31*AG800^3+BMILMS!$E$31*AG800^2+BMILMS!$F$31*AG800+BMILMS!$G$31,BMILMS!$D$32*AG800^3+BMILMS!$E$32*AG800^2+BMILMS!$F$32*AG800+BMILMS!$G$32)))))))</f>
        <v>12.568967990000001</v>
      </c>
      <c r="AF800" s="24">
        <f>IF(D800="M",(IF(AG800&lt;90,BMILMS!$D$14*AG800^3+BMILMS!$E$14*AG800^2+BMILMS!$F$14*AG800+BMILMS!$G$14,BMILMS!$D$15*AG800^3+BMILMS!$E$15*AG800^2+BMILMS!$F$15*AG800+BMILMS!$G$15)),(IF(AG800&lt;90,BMILMS!$D$17*AG800^3+BMILMS!$E$17*AG800^2+BMILMS!$F$17*AG800+BMILMS!$G$17,BMILMS!$D$18*AG800^3+BMILMS!$E$18*AG800^2+BMILMS!$F$18*AG800+BMILMS!$G$18)))</f>
        <v>8.8969350000000003E-2</v>
      </c>
      <c r="AG800" s="24">
        <f t="shared" si="208"/>
        <v>0</v>
      </c>
      <c r="AI800" s="38">
        <f>IF(D800="M",WeightSDS!P$5*$AG800^7+WeightSDS!Q$5*$AG800^6+WeightSDS!R$5*$AG800^5+WeightSDS!S$5*$AG800^4+WeightSDS!T$5*$AG800^3+WeightSDS!U$5*$AG800^2+WeightSDS!V$5*$AG800+WeightSDS!W$5,IF($AG800&lt;186,WeightSDS!P$8*$AG800^7+WeightSDS!Q$8*$AG800^6+WeightSDS!R$8*$AG800^5+WeightSDS!S$8*$AG800^4+WeightSDS!T$8*$AG800^3+WeightSDS!U$8*$AG800^2+WeightSDS!V$8*$AG800+WeightSDS!W$8,WeightSDS!$U$9-WeightSDS!$V$9*($AG800-WeightSDS!$W$9)))</f>
        <v>0.75407122999999998</v>
      </c>
      <c r="AJ800" s="24">
        <f>IF(D800="M",IF($AG800&lt;45,WeightSDS!M$23*$AG800^10+WeightSDS!N$23*$AG800^9+WeightSDS!O$23*$AG800^8+WeightSDS!P$23*$AG800^7+WeightSDS!Q$23*$AG800^6+WeightSDS!R$23*$AG800^5+WeightSDS!S$23*$AG800^4+WeightSDS!T$23*$AG800^3+WeightSDS!U$23*$AG800^2+WeightSDS!V$23*$AG800+WeightSDS!W$23,IF($AG800&lt;153,WeightSDS!M$25*$AG800^10+WeightSDS!N$25*$AG800^9+WeightSDS!O$25*$AG800^8+WeightSDS!P$25*$AG800^7+WeightSDS!Q$25*$AG800^6+WeightSDS!R$25*$AG800^5+WeightSDS!S$25*$AG800^4+WeightSDS!T$25*$AG800^3+WeightSDS!U$25*$AG800^2+WeightSDS!V$25*$AG800+WeightSDS!W$25,WeightSDS!M$27+WeightSDS!N$27/(1+EXP(WeightSDS!O$27+WeightSDS!P$27*$AG800)))),IF($AG800&lt;43.8,WeightSDS!M$29*$AG800^10+WeightSDS!N$29*$AG800^9+WeightSDS!O$29*$AG800^8+WeightSDS!P$29*$AG800^7+WeightSDS!Q$29*$AG800^6+WeightSDS!R$29*$AG800^5+WeightSDS!S$29*$AG800^4+WeightSDS!T$29*$AG800^3+WeightSDS!U$29*$AG800^2+WeightSDS!V$29*$AG800+WeightSDS!W$29-0.010431*(1-$AG800/210),IF($AG800&lt;123,WeightSDS!M$30*$AG800^10+WeightSDS!N$30*$AG800^9+WeightSDS!O$30*$AG800^8+WeightSDS!P$30*$AG800^7+WeightSDS!Q$30*$AG800^6+WeightSDS!R$30*$AG800^5+WeightSDS!S$30*$AG800^4+WeightSDS!T$30*$AG800^3+WeightSDS!U$30*$AG800^2+WeightSDS!V$30*$AG800+WeightSDS!W$30-0.010431*(1-1/$AG800),WeightSDS!M$32+WeightSDS!N$32/(1+EXP(WeightSDS!O$32+WeightSDS!P$32*$AG800))-0.010431*(1-$AG800/210))))</f>
        <v>2.9500001032655536</v>
      </c>
      <c r="AK800" s="24">
        <f>IF(D800="M",IF($AG800&lt;162,WeightSDS!P$12*$AG800^7+WeightSDS!Q$12*$AG800^6+WeightSDS!R$12*$AG800^5+WeightSDS!S$12*$AG800^4+WeightSDS!T$12*$AG800^3+WeightSDS!U$12*$AG800^2+WeightSDS!V$12*$AG800+WeightSDS!W$12,WeightSDS!P$14*$AG800^7+WeightSDS!Q$14*$AG800^6+WeightSDS!R$14*$AG800^5+WeightSDS!S$14*$AG800^4+WeightSDS!T$14*$AG800^3+WeightSDS!U$14*$AG800^2+WeightSDS!V$14*$AG800+WeightSDS!W$14),IF($AG800&lt;156,WeightSDS!O$17*$AG800^8+WeightSDS!P$17*$AG800^7+WeightSDS!Q$17*$AG800^6+WeightSDS!R$17*$AG800^5+WeightSDS!S$17*$AG800^4+WeightSDS!T$17*$AG800^3+WeightSDS!U$17*$AG800^2+WeightSDS!V$17*$AG800+WeightSDS!W$17,IF($AG800&lt;186,WeightSDS!$U$18+(WeightSDS!$V$18-WeightSDS!$U$18)/24*($AG800-186)+WeightSDS!$W$18*(-$AG800+186)^2-0.005,WeightSDS!$U$18+(WeightSDS!$V$18-WeightSDS!$U$18)/24*($AG800-186)-0.005)))</f>
        <v>0.14604529399999999</v>
      </c>
    </row>
    <row r="801" spans="1:37">
      <c r="A801" s="4"/>
      <c r="B801" s="21"/>
      <c r="C801" s="21"/>
      <c r="D801" s="21"/>
      <c r="E801" s="22"/>
      <c r="F801" s="22"/>
      <c r="G801" s="23"/>
      <c r="H801" s="23"/>
      <c r="I801" s="8" t="str">
        <f t="shared" si="194"/>
        <v/>
      </c>
      <c r="J801" s="2" t="str">
        <f t="shared" si="201"/>
        <v/>
      </c>
      <c r="K801" s="2" t="str">
        <f t="shared" si="195"/>
        <v/>
      </c>
      <c r="L801" s="2" t="str">
        <f t="shared" si="202"/>
        <v/>
      </c>
      <c r="M801" s="2" t="str">
        <f t="shared" si="207"/>
        <v/>
      </c>
      <c r="N801" s="2" t="str">
        <f t="shared" si="203"/>
        <v/>
      </c>
      <c r="O801" s="8" t="str">
        <f t="shared" si="204"/>
        <v/>
      </c>
      <c r="P801" s="8" t="str">
        <f t="shared" si="205"/>
        <v/>
      </c>
      <c r="Q801" s="40" t="str">
        <f t="shared" si="196"/>
        <v/>
      </c>
      <c r="R801" s="48" t="str">
        <f t="shared" si="206"/>
        <v/>
      </c>
      <c r="S801" s="8"/>
      <c r="U801" s="35">
        <f t="shared" si="197"/>
        <v>0</v>
      </c>
      <c r="V801" s="24">
        <f t="shared" si="198"/>
        <v>0</v>
      </c>
      <c r="W801" s="41">
        <f t="shared" si="209"/>
        <v>0</v>
      </c>
      <c r="X801" s="31"/>
      <c r="Y801" s="31"/>
      <c r="Z801" s="31"/>
      <c r="AA801" s="25">
        <f t="shared" si="199"/>
        <v>9.0359999999999996</v>
      </c>
      <c r="AB801" s="25">
        <f t="shared" si="200"/>
        <v>-184.49199999999999</v>
      </c>
      <c r="AD801" s="24">
        <f>IF(D801="M",IF(AG801&lt;78,BMILMS!$D$5*AG801^3+BMILMS!$E$5*AG801^2+BMILMS!$F$5*AG801+BMILMS!$G$5,IF(AG801&lt;150,BMILMS!$D$6*AG801^3+BMILMS!$E$6*AG801^2+BMILMS!$F$6*AG801+BMILMS!$G$6,BMILMS!$D$7*AG801^3+BMILMS!$E$7*AG801^2+BMILMS!$F$7*AG801+BMILMS!$G$7)),IF(AG801&lt;69,BMILMS!$D$9*AG801^3+BMILMS!$E$9*AG801^2+BMILMS!$F$9*AG801+BMILMS!$G$9,IF(AG801&lt;150,BMILMS!$D$10*AG801^3+BMILMS!$E$10*AG801^2+BMILMS!$F$10*AG801+BMILMS!$G$10,BMILMS!$D$11*AG801^3+BMILMS!$E$11*AG801^2+BMILMS!$F$11*AG801+BMILMS!$G$11)))</f>
        <v>0.79584630099999998</v>
      </c>
      <c r="AE801" s="24">
        <f>IF(D801="M",(IF(AG801&lt;2.5,BMILMS!$D$21*AG801^3+BMILMS!$E$21*AG801^2+BMILMS!$F$21*AG801+BMILMS!$G$21,IF(AG801&lt;9.5,BMILMS!$D$22*AG801^3+BMILMS!$E$22*AG801^2+BMILMS!$F$22*AG801+BMILMS!$G$22,IF(AG801&lt;26.75,BMILMS!$D$23*AG801^3+BMILMS!$E$23*AG801^2+BMILMS!$F$23*AG801+BMILMS!$G$23,IF(AG801&lt;90,BMILMS!$D$24*AG801^3+BMILMS!$E$24*AG801^2+BMILMS!$F$24*AG801+BMILMS!$G$24,BMILMS!$D$25*AG801^3+BMILMS!$E$25*AG801^2+BMILMS!$F$25*AG801+BMILMS!$G$25))))),(IF(AG801&lt;2.5,BMILMS!$D$27*AG801^3+BMILMS!$E$27*AG801^2+BMILMS!$F$27*AG801+BMILMS!$G$27,IF(AG801&lt;9.5,BMILMS!$D$28*AG801^3+BMILMS!$E$28*AG801^2+BMILMS!$F$28*AG801+BMILMS!$G$28,IF(AG801&lt;26.75,BMILMS!$D$29*AG801^3+BMILMS!$E$29*AG801^2+BMILMS!$F$29*AG801+BMILMS!$G$29,IF(AG801&lt;90,BMILMS!$D$30*AG801^3+BMILMS!$E$30*AG801^2+BMILMS!$F$30*AG801+BMILMS!$G$30,IF(AG801&lt;150,BMILMS!$D$31*AG801^3+BMILMS!$E$31*AG801^2+BMILMS!$F$31*AG801+BMILMS!$G$31,BMILMS!$D$32*AG801^3+BMILMS!$E$32*AG801^2+BMILMS!$F$32*AG801+BMILMS!$G$32)))))))</f>
        <v>12.568967990000001</v>
      </c>
      <c r="AF801" s="24">
        <f>IF(D801="M",(IF(AG801&lt;90,BMILMS!$D$14*AG801^3+BMILMS!$E$14*AG801^2+BMILMS!$F$14*AG801+BMILMS!$G$14,BMILMS!$D$15*AG801^3+BMILMS!$E$15*AG801^2+BMILMS!$F$15*AG801+BMILMS!$G$15)),(IF(AG801&lt;90,BMILMS!$D$17*AG801^3+BMILMS!$E$17*AG801^2+BMILMS!$F$17*AG801+BMILMS!$G$17,BMILMS!$D$18*AG801^3+BMILMS!$E$18*AG801^2+BMILMS!$F$18*AG801+BMILMS!$G$18)))</f>
        <v>8.8969350000000003E-2</v>
      </c>
      <c r="AG801" s="24">
        <f t="shared" si="208"/>
        <v>0</v>
      </c>
      <c r="AI801" s="38">
        <f>IF(D801="M",WeightSDS!P$5*$AG801^7+WeightSDS!Q$5*$AG801^6+WeightSDS!R$5*$AG801^5+WeightSDS!S$5*$AG801^4+WeightSDS!T$5*$AG801^3+WeightSDS!U$5*$AG801^2+WeightSDS!V$5*$AG801+WeightSDS!W$5,IF($AG801&lt;186,WeightSDS!P$8*$AG801^7+WeightSDS!Q$8*$AG801^6+WeightSDS!R$8*$AG801^5+WeightSDS!S$8*$AG801^4+WeightSDS!T$8*$AG801^3+WeightSDS!U$8*$AG801^2+WeightSDS!V$8*$AG801+WeightSDS!W$8,WeightSDS!$U$9-WeightSDS!$V$9*($AG801-WeightSDS!$W$9)))</f>
        <v>0.75407122999999998</v>
      </c>
      <c r="AJ801" s="24">
        <f>IF(D801="M",IF($AG801&lt;45,WeightSDS!M$23*$AG801^10+WeightSDS!N$23*$AG801^9+WeightSDS!O$23*$AG801^8+WeightSDS!P$23*$AG801^7+WeightSDS!Q$23*$AG801^6+WeightSDS!R$23*$AG801^5+WeightSDS!S$23*$AG801^4+WeightSDS!T$23*$AG801^3+WeightSDS!U$23*$AG801^2+WeightSDS!V$23*$AG801+WeightSDS!W$23,IF($AG801&lt;153,WeightSDS!M$25*$AG801^10+WeightSDS!N$25*$AG801^9+WeightSDS!O$25*$AG801^8+WeightSDS!P$25*$AG801^7+WeightSDS!Q$25*$AG801^6+WeightSDS!R$25*$AG801^5+WeightSDS!S$25*$AG801^4+WeightSDS!T$25*$AG801^3+WeightSDS!U$25*$AG801^2+WeightSDS!V$25*$AG801+WeightSDS!W$25,WeightSDS!M$27+WeightSDS!N$27/(1+EXP(WeightSDS!O$27+WeightSDS!P$27*$AG801)))),IF($AG801&lt;43.8,WeightSDS!M$29*$AG801^10+WeightSDS!N$29*$AG801^9+WeightSDS!O$29*$AG801^8+WeightSDS!P$29*$AG801^7+WeightSDS!Q$29*$AG801^6+WeightSDS!R$29*$AG801^5+WeightSDS!S$29*$AG801^4+WeightSDS!T$29*$AG801^3+WeightSDS!U$29*$AG801^2+WeightSDS!V$29*$AG801+WeightSDS!W$29-0.010431*(1-$AG801/210),IF($AG801&lt;123,WeightSDS!M$30*$AG801^10+WeightSDS!N$30*$AG801^9+WeightSDS!O$30*$AG801^8+WeightSDS!P$30*$AG801^7+WeightSDS!Q$30*$AG801^6+WeightSDS!R$30*$AG801^5+WeightSDS!S$30*$AG801^4+WeightSDS!T$30*$AG801^3+WeightSDS!U$30*$AG801^2+WeightSDS!V$30*$AG801+WeightSDS!W$30-0.010431*(1-1/$AG801),WeightSDS!M$32+WeightSDS!N$32/(1+EXP(WeightSDS!O$32+WeightSDS!P$32*$AG801))-0.010431*(1-$AG801/210))))</f>
        <v>2.9500001032655536</v>
      </c>
      <c r="AK801" s="24">
        <f>IF(D801="M",IF($AG801&lt;162,WeightSDS!P$12*$AG801^7+WeightSDS!Q$12*$AG801^6+WeightSDS!R$12*$AG801^5+WeightSDS!S$12*$AG801^4+WeightSDS!T$12*$AG801^3+WeightSDS!U$12*$AG801^2+WeightSDS!V$12*$AG801+WeightSDS!W$12,WeightSDS!P$14*$AG801^7+WeightSDS!Q$14*$AG801^6+WeightSDS!R$14*$AG801^5+WeightSDS!S$14*$AG801^4+WeightSDS!T$14*$AG801^3+WeightSDS!U$14*$AG801^2+WeightSDS!V$14*$AG801+WeightSDS!W$14),IF($AG801&lt;156,WeightSDS!O$17*$AG801^8+WeightSDS!P$17*$AG801^7+WeightSDS!Q$17*$AG801^6+WeightSDS!R$17*$AG801^5+WeightSDS!S$17*$AG801^4+WeightSDS!T$17*$AG801^3+WeightSDS!U$17*$AG801^2+WeightSDS!V$17*$AG801+WeightSDS!W$17,IF($AG801&lt;186,WeightSDS!$U$18+(WeightSDS!$V$18-WeightSDS!$U$18)/24*($AG801-186)+WeightSDS!$W$18*(-$AG801+186)^2-0.005,WeightSDS!$U$18+(WeightSDS!$V$18-WeightSDS!$U$18)/24*($AG801-186)-0.005)))</f>
        <v>0.14604529399999999</v>
      </c>
    </row>
    <row r="802" spans="1:37">
      <c r="A802" s="4"/>
      <c r="B802" s="21"/>
      <c r="C802" s="21"/>
      <c r="D802" s="21"/>
      <c r="E802" s="22"/>
      <c r="F802" s="22"/>
      <c r="G802" s="23"/>
      <c r="H802" s="23"/>
      <c r="I802" s="8" t="str">
        <f t="shared" si="194"/>
        <v/>
      </c>
      <c r="J802" s="2" t="str">
        <f t="shared" si="201"/>
        <v/>
      </c>
      <c r="K802" s="2" t="str">
        <f t="shared" si="195"/>
        <v/>
      </c>
      <c r="L802" s="2" t="str">
        <f t="shared" si="202"/>
        <v/>
      </c>
      <c r="M802" s="2" t="str">
        <f t="shared" si="207"/>
        <v/>
      </c>
      <c r="N802" s="2" t="str">
        <f t="shared" si="203"/>
        <v/>
      </c>
      <c r="O802" s="8" t="str">
        <f t="shared" si="204"/>
        <v/>
      </c>
      <c r="P802" s="8" t="str">
        <f t="shared" si="205"/>
        <v/>
      </c>
      <c r="Q802" s="40" t="str">
        <f t="shared" si="196"/>
        <v/>
      </c>
      <c r="R802" s="48" t="str">
        <f t="shared" si="206"/>
        <v/>
      </c>
      <c r="S802" s="8"/>
      <c r="U802" s="35">
        <f t="shared" si="197"/>
        <v>0</v>
      </c>
      <c r="V802" s="24">
        <f t="shared" si="198"/>
        <v>0</v>
      </c>
      <c r="W802" s="41">
        <f t="shared" si="209"/>
        <v>0</v>
      </c>
      <c r="X802" s="31"/>
      <c r="Y802" s="31"/>
      <c r="Z802" s="31"/>
      <c r="AA802" s="25">
        <f t="shared" si="199"/>
        <v>9.0359999999999996</v>
      </c>
      <c r="AB802" s="25">
        <f t="shared" si="200"/>
        <v>-184.49199999999999</v>
      </c>
      <c r="AD802" s="24">
        <f>IF(D802="M",IF(AG802&lt;78,BMILMS!$D$5*AG802^3+BMILMS!$E$5*AG802^2+BMILMS!$F$5*AG802+BMILMS!$G$5,IF(AG802&lt;150,BMILMS!$D$6*AG802^3+BMILMS!$E$6*AG802^2+BMILMS!$F$6*AG802+BMILMS!$G$6,BMILMS!$D$7*AG802^3+BMILMS!$E$7*AG802^2+BMILMS!$F$7*AG802+BMILMS!$G$7)),IF(AG802&lt;69,BMILMS!$D$9*AG802^3+BMILMS!$E$9*AG802^2+BMILMS!$F$9*AG802+BMILMS!$G$9,IF(AG802&lt;150,BMILMS!$D$10*AG802^3+BMILMS!$E$10*AG802^2+BMILMS!$F$10*AG802+BMILMS!$G$10,BMILMS!$D$11*AG802^3+BMILMS!$E$11*AG802^2+BMILMS!$F$11*AG802+BMILMS!$G$11)))</f>
        <v>0.79584630099999998</v>
      </c>
      <c r="AE802" s="24">
        <f>IF(D802="M",(IF(AG802&lt;2.5,BMILMS!$D$21*AG802^3+BMILMS!$E$21*AG802^2+BMILMS!$F$21*AG802+BMILMS!$G$21,IF(AG802&lt;9.5,BMILMS!$D$22*AG802^3+BMILMS!$E$22*AG802^2+BMILMS!$F$22*AG802+BMILMS!$G$22,IF(AG802&lt;26.75,BMILMS!$D$23*AG802^3+BMILMS!$E$23*AG802^2+BMILMS!$F$23*AG802+BMILMS!$G$23,IF(AG802&lt;90,BMILMS!$D$24*AG802^3+BMILMS!$E$24*AG802^2+BMILMS!$F$24*AG802+BMILMS!$G$24,BMILMS!$D$25*AG802^3+BMILMS!$E$25*AG802^2+BMILMS!$F$25*AG802+BMILMS!$G$25))))),(IF(AG802&lt;2.5,BMILMS!$D$27*AG802^3+BMILMS!$E$27*AG802^2+BMILMS!$F$27*AG802+BMILMS!$G$27,IF(AG802&lt;9.5,BMILMS!$D$28*AG802^3+BMILMS!$E$28*AG802^2+BMILMS!$F$28*AG802+BMILMS!$G$28,IF(AG802&lt;26.75,BMILMS!$D$29*AG802^3+BMILMS!$E$29*AG802^2+BMILMS!$F$29*AG802+BMILMS!$G$29,IF(AG802&lt;90,BMILMS!$D$30*AG802^3+BMILMS!$E$30*AG802^2+BMILMS!$F$30*AG802+BMILMS!$G$30,IF(AG802&lt;150,BMILMS!$D$31*AG802^3+BMILMS!$E$31*AG802^2+BMILMS!$F$31*AG802+BMILMS!$G$31,BMILMS!$D$32*AG802^3+BMILMS!$E$32*AG802^2+BMILMS!$F$32*AG802+BMILMS!$G$32)))))))</f>
        <v>12.568967990000001</v>
      </c>
      <c r="AF802" s="24">
        <f>IF(D802="M",(IF(AG802&lt;90,BMILMS!$D$14*AG802^3+BMILMS!$E$14*AG802^2+BMILMS!$F$14*AG802+BMILMS!$G$14,BMILMS!$D$15*AG802^3+BMILMS!$E$15*AG802^2+BMILMS!$F$15*AG802+BMILMS!$G$15)),(IF(AG802&lt;90,BMILMS!$D$17*AG802^3+BMILMS!$E$17*AG802^2+BMILMS!$F$17*AG802+BMILMS!$G$17,BMILMS!$D$18*AG802^3+BMILMS!$E$18*AG802^2+BMILMS!$F$18*AG802+BMILMS!$G$18)))</f>
        <v>8.8969350000000003E-2</v>
      </c>
      <c r="AG802" s="24">
        <f t="shared" si="208"/>
        <v>0</v>
      </c>
      <c r="AI802" s="38">
        <f>IF(D802="M",WeightSDS!P$5*$AG802^7+WeightSDS!Q$5*$AG802^6+WeightSDS!R$5*$AG802^5+WeightSDS!S$5*$AG802^4+WeightSDS!T$5*$AG802^3+WeightSDS!U$5*$AG802^2+WeightSDS!V$5*$AG802+WeightSDS!W$5,IF($AG802&lt;186,WeightSDS!P$8*$AG802^7+WeightSDS!Q$8*$AG802^6+WeightSDS!R$8*$AG802^5+WeightSDS!S$8*$AG802^4+WeightSDS!T$8*$AG802^3+WeightSDS!U$8*$AG802^2+WeightSDS!V$8*$AG802+WeightSDS!W$8,WeightSDS!$U$9-WeightSDS!$V$9*($AG802-WeightSDS!$W$9)))</f>
        <v>0.75407122999999998</v>
      </c>
      <c r="AJ802" s="24">
        <f>IF(D802="M",IF($AG802&lt;45,WeightSDS!M$23*$AG802^10+WeightSDS!N$23*$AG802^9+WeightSDS!O$23*$AG802^8+WeightSDS!P$23*$AG802^7+WeightSDS!Q$23*$AG802^6+WeightSDS!R$23*$AG802^5+WeightSDS!S$23*$AG802^4+WeightSDS!T$23*$AG802^3+WeightSDS!U$23*$AG802^2+WeightSDS!V$23*$AG802+WeightSDS!W$23,IF($AG802&lt;153,WeightSDS!M$25*$AG802^10+WeightSDS!N$25*$AG802^9+WeightSDS!O$25*$AG802^8+WeightSDS!P$25*$AG802^7+WeightSDS!Q$25*$AG802^6+WeightSDS!R$25*$AG802^5+WeightSDS!S$25*$AG802^4+WeightSDS!T$25*$AG802^3+WeightSDS!U$25*$AG802^2+WeightSDS!V$25*$AG802+WeightSDS!W$25,WeightSDS!M$27+WeightSDS!N$27/(1+EXP(WeightSDS!O$27+WeightSDS!P$27*$AG802)))),IF($AG802&lt;43.8,WeightSDS!M$29*$AG802^10+WeightSDS!N$29*$AG802^9+WeightSDS!O$29*$AG802^8+WeightSDS!P$29*$AG802^7+WeightSDS!Q$29*$AG802^6+WeightSDS!R$29*$AG802^5+WeightSDS!S$29*$AG802^4+WeightSDS!T$29*$AG802^3+WeightSDS!U$29*$AG802^2+WeightSDS!V$29*$AG802+WeightSDS!W$29-0.010431*(1-$AG802/210),IF($AG802&lt;123,WeightSDS!M$30*$AG802^10+WeightSDS!N$30*$AG802^9+WeightSDS!O$30*$AG802^8+WeightSDS!P$30*$AG802^7+WeightSDS!Q$30*$AG802^6+WeightSDS!R$30*$AG802^5+WeightSDS!S$30*$AG802^4+WeightSDS!T$30*$AG802^3+WeightSDS!U$30*$AG802^2+WeightSDS!V$30*$AG802+WeightSDS!W$30-0.010431*(1-1/$AG802),WeightSDS!M$32+WeightSDS!N$32/(1+EXP(WeightSDS!O$32+WeightSDS!P$32*$AG802))-0.010431*(1-$AG802/210))))</f>
        <v>2.9500001032655536</v>
      </c>
      <c r="AK802" s="24">
        <f>IF(D802="M",IF($AG802&lt;162,WeightSDS!P$12*$AG802^7+WeightSDS!Q$12*$AG802^6+WeightSDS!R$12*$AG802^5+WeightSDS!S$12*$AG802^4+WeightSDS!T$12*$AG802^3+WeightSDS!U$12*$AG802^2+WeightSDS!V$12*$AG802+WeightSDS!W$12,WeightSDS!P$14*$AG802^7+WeightSDS!Q$14*$AG802^6+WeightSDS!R$14*$AG802^5+WeightSDS!S$14*$AG802^4+WeightSDS!T$14*$AG802^3+WeightSDS!U$14*$AG802^2+WeightSDS!V$14*$AG802+WeightSDS!W$14),IF($AG802&lt;156,WeightSDS!O$17*$AG802^8+WeightSDS!P$17*$AG802^7+WeightSDS!Q$17*$AG802^6+WeightSDS!R$17*$AG802^5+WeightSDS!S$17*$AG802^4+WeightSDS!T$17*$AG802^3+WeightSDS!U$17*$AG802^2+WeightSDS!V$17*$AG802+WeightSDS!W$17,IF($AG802&lt;186,WeightSDS!$U$18+(WeightSDS!$V$18-WeightSDS!$U$18)/24*($AG802-186)+WeightSDS!$W$18*(-$AG802+186)^2-0.005,WeightSDS!$U$18+(WeightSDS!$V$18-WeightSDS!$U$18)/24*($AG802-186)-0.005)))</f>
        <v>0.14604529399999999</v>
      </c>
    </row>
    <row r="803" spans="1:37">
      <c r="A803" s="4"/>
      <c r="B803" s="21"/>
      <c r="C803" s="21"/>
      <c r="D803" s="21"/>
      <c r="E803" s="22"/>
      <c r="F803" s="22"/>
      <c r="G803" s="23"/>
      <c r="H803" s="23"/>
      <c r="I803" s="8" t="str">
        <f t="shared" si="194"/>
        <v/>
      </c>
      <c r="J803" s="2" t="str">
        <f t="shared" si="201"/>
        <v/>
      </c>
      <c r="K803" s="2" t="str">
        <f t="shared" si="195"/>
        <v/>
      </c>
      <c r="L803" s="2" t="str">
        <f t="shared" si="202"/>
        <v/>
      </c>
      <c r="M803" s="2" t="str">
        <f t="shared" si="207"/>
        <v/>
      </c>
      <c r="N803" s="2" t="str">
        <f t="shared" si="203"/>
        <v/>
      </c>
      <c r="O803" s="8" t="str">
        <f t="shared" si="204"/>
        <v/>
      </c>
      <c r="P803" s="8" t="str">
        <f t="shared" si="205"/>
        <v/>
      </c>
      <c r="Q803" s="40" t="str">
        <f t="shared" si="196"/>
        <v/>
      </c>
      <c r="R803" s="48" t="str">
        <f t="shared" si="206"/>
        <v/>
      </c>
      <c r="S803" s="8"/>
      <c r="U803" s="35">
        <f t="shared" si="197"/>
        <v>0</v>
      </c>
      <c r="V803" s="24">
        <f t="shared" si="198"/>
        <v>0</v>
      </c>
      <c r="W803" s="41">
        <f t="shared" si="209"/>
        <v>0</v>
      </c>
      <c r="X803" s="31"/>
      <c r="Y803" s="31"/>
      <c r="Z803" s="31"/>
      <c r="AA803" s="25">
        <f t="shared" si="199"/>
        <v>9.0359999999999996</v>
      </c>
      <c r="AB803" s="25">
        <f t="shared" si="200"/>
        <v>-184.49199999999999</v>
      </c>
      <c r="AD803" s="24">
        <f>IF(D803="M",IF(AG803&lt;78,BMILMS!$D$5*AG803^3+BMILMS!$E$5*AG803^2+BMILMS!$F$5*AG803+BMILMS!$G$5,IF(AG803&lt;150,BMILMS!$D$6*AG803^3+BMILMS!$E$6*AG803^2+BMILMS!$F$6*AG803+BMILMS!$G$6,BMILMS!$D$7*AG803^3+BMILMS!$E$7*AG803^2+BMILMS!$F$7*AG803+BMILMS!$G$7)),IF(AG803&lt;69,BMILMS!$D$9*AG803^3+BMILMS!$E$9*AG803^2+BMILMS!$F$9*AG803+BMILMS!$G$9,IF(AG803&lt;150,BMILMS!$D$10*AG803^3+BMILMS!$E$10*AG803^2+BMILMS!$F$10*AG803+BMILMS!$G$10,BMILMS!$D$11*AG803^3+BMILMS!$E$11*AG803^2+BMILMS!$F$11*AG803+BMILMS!$G$11)))</f>
        <v>0.79584630099999998</v>
      </c>
      <c r="AE803" s="24">
        <f>IF(D803="M",(IF(AG803&lt;2.5,BMILMS!$D$21*AG803^3+BMILMS!$E$21*AG803^2+BMILMS!$F$21*AG803+BMILMS!$G$21,IF(AG803&lt;9.5,BMILMS!$D$22*AG803^3+BMILMS!$E$22*AG803^2+BMILMS!$F$22*AG803+BMILMS!$G$22,IF(AG803&lt;26.75,BMILMS!$D$23*AG803^3+BMILMS!$E$23*AG803^2+BMILMS!$F$23*AG803+BMILMS!$G$23,IF(AG803&lt;90,BMILMS!$D$24*AG803^3+BMILMS!$E$24*AG803^2+BMILMS!$F$24*AG803+BMILMS!$G$24,BMILMS!$D$25*AG803^3+BMILMS!$E$25*AG803^2+BMILMS!$F$25*AG803+BMILMS!$G$25))))),(IF(AG803&lt;2.5,BMILMS!$D$27*AG803^3+BMILMS!$E$27*AG803^2+BMILMS!$F$27*AG803+BMILMS!$G$27,IF(AG803&lt;9.5,BMILMS!$D$28*AG803^3+BMILMS!$E$28*AG803^2+BMILMS!$F$28*AG803+BMILMS!$G$28,IF(AG803&lt;26.75,BMILMS!$D$29*AG803^3+BMILMS!$E$29*AG803^2+BMILMS!$F$29*AG803+BMILMS!$G$29,IF(AG803&lt;90,BMILMS!$D$30*AG803^3+BMILMS!$E$30*AG803^2+BMILMS!$F$30*AG803+BMILMS!$G$30,IF(AG803&lt;150,BMILMS!$D$31*AG803^3+BMILMS!$E$31*AG803^2+BMILMS!$F$31*AG803+BMILMS!$G$31,BMILMS!$D$32*AG803^3+BMILMS!$E$32*AG803^2+BMILMS!$F$32*AG803+BMILMS!$G$32)))))))</f>
        <v>12.568967990000001</v>
      </c>
      <c r="AF803" s="24">
        <f>IF(D803="M",(IF(AG803&lt;90,BMILMS!$D$14*AG803^3+BMILMS!$E$14*AG803^2+BMILMS!$F$14*AG803+BMILMS!$G$14,BMILMS!$D$15*AG803^3+BMILMS!$E$15*AG803^2+BMILMS!$F$15*AG803+BMILMS!$G$15)),(IF(AG803&lt;90,BMILMS!$D$17*AG803^3+BMILMS!$E$17*AG803^2+BMILMS!$F$17*AG803+BMILMS!$G$17,BMILMS!$D$18*AG803^3+BMILMS!$E$18*AG803^2+BMILMS!$F$18*AG803+BMILMS!$G$18)))</f>
        <v>8.8969350000000003E-2</v>
      </c>
      <c r="AG803" s="24">
        <f t="shared" si="208"/>
        <v>0</v>
      </c>
      <c r="AI803" s="38">
        <f>IF(D803="M",WeightSDS!P$5*$AG803^7+WeightSDS!Q$5*$AG803^6+WeightSDS!R$5*$AG803^5+WeightSDS!S$5*$AG803^4+WeightSDS!T$5*$AG803^3+WeightSDS!U$5*$AG803^2+WeightSDS!V$5*$AG803+WeightSDS!W$5,IF($AG803&lt;186,WeightSDS!P$8*$AG803^7+WeightSDS!Q$8*$AG803^6+WeightSDS!R$8*$AG803^5+WeightSDS!S$8*$AG803^4+WeightSDS!T$8*$AG803^3+WeightSDS!U$8*$AG803^2+WeightSDS!V$8*$AG803+WeightSDS!W$8,WeightSDS!$U$9-WeightSDS!$V$9*($AG803-WeightSDS!$W$9)))</f>
        <v>0.75407122999999998</v>
      </c>
      <c r="AJ803" s="24">
        <f>IF(D803="M",IF($AG803&lt;45,WeightSDS!M$23*$AG803^10+WeightSDS!N$23*$AG803^9+WeightSDS!O$23*$AG803^8+WeightSDS!P$23*$AG803^7+WeightSDS!Q$23*$AG803^6+WeightSDS!R$23*$AG803^5+WeightSDS!S$23*$AG803^4+WeightSDS!T$23*$AG803^3+WeightSDS!U$23*$AG803^2+WeightSDS!V$23*$AG803+WeightSDS!W$23,IF($AG803&lt;153,WeightSDS!M$25*$AG803^10+WeightSDS!N$25*$AG803^9+WeightSDS!O$25*$AG803^8+WeightSDS!P$25*$AG803^7+WeightSDS!Q$25*$AG803^6+WeightSDS!R$25*$AG803^5+WeightSDS!S$25*$AG803^4+WeightSDS!T$25*$AG803^3+WeightSDS!U$25*$AG803^2+WeightSDS!V$25*$AG803+WeightSDS!W$25,WeightSDS!M$27+WeightSDS!N$27/(1+EXP(WeightSDS!O$27+WeightSDS!P$27*$AG803)))),IF($AG803&lt;43.8,WeightSDS!M$29*$AG803^10+WeightSDS!N$29*$AG803^9+WeightSDS!O$29*$AG803^8+WeightSDS!P$29*$AG803^7+WeightSDS!Q$29*$AG803^6+WeightSDS!R$29*$AG803^5+WeightSDS!S$29*$AG803^4+WeightSDS!T$29*$AG803^3+WeightSDS!U$29*$AG803^2+WeightSDS!V$29*$AG803+WeightSDS!W$29-0.010431*(1-$AG803/210),IF($AG803&lt;123,WeightSDS!M$30*$AG803^10+WeightSDS!N$30*$AG803^9+WeightSDS!O$30*$AG803^8+WeightSDS!P$30*$AG803^7+WeightSDS!Q$30*$AG803^6+WeightSDS!R$30*$AG803^5+WeightSDS!S$30*$AG803^4+WeightSDS!T$30*$AG803^3+WeightSDS!U$30*$AG803^2+WeightSDS!V$30*$AG803+WeightSDS!W$30-0.010431*(1-1/$AG803),WeightSDS!M$32+WeightSDS!N$32/(1+EXP(WeightSDS!O$32+WeightSDS!P$32*$AG803))-0.010431*(1-$AG803/210))))</f>
        <v>2.9500001032655536</v>
      </c>
      <c r="AK803" s="24">
        <f>IF(D803="M",IF($AG803&lt;162,WeightSDS!P$12*$AG803^7+WeightSDS!Q$12*$AG803^6+WeightSDS!R$12*$AG803^5+WeightSDS!S$12*$AG803^4+WeightSDS!T$12*$AG803^3+WeightSDS!U$12*$AG803^2+WeightSDS!V$12*$AG803+WeightSDS!W$12,WeightSDS!P$14*$AG803^7+WeightSDS!Q$14*$AG803^6+WeightSDS!R$14*$AG803^5+WeightSDS!S$14*$AG803^4+WeightSDS!T$14*$AG803^3+WeightSDS!U$14*$AG803^2+WeightSDS!V$14*$AG803+WeightSDS!W$14),IF($AG803&lt;156,WeightSDS!O$17*$AG803^8+WeightSDS!P$17*$AG803^7+WeightSDS!Q$17*$AG803^6+WeightSDS!R$17*$AG803^5+WeightSDS!S$17*$AG803^4+WeightSDS!T$17*$AG803^3+WeightSDS!U$17*$AG803^2+WeightSDS!V$17*$AG803+WeightSDS!W$17,IF($AG803&lt;186,WeightSDS!$U$18+(WeightSDS!$V$18-WeightSDS!$U$18)/24*($AG803-186)+WeightSDS!$W$18*(-$AG803+186)^2-0.005,WeightSDS!$U$18+(WeightSDS!$V$18-WeightSDS!$U$18)/24*($AG803-186)-0.005)))</f>
        <v>0.14604529399999999</v>
      </c>
    </row>
    <row r="804" spans="1:37">
      <c r="A804" s="4"/>
      <c r="B804" s="21"/>
      <c r="C804" s="21"/>
      <c r="D804" s="21"/>
      <c r="E804" s="22"/>
      <c r="F804" s="22"/>
      <c r="G804" s="23"/>
      <c r="H804" s="23"/>
      <c r="I804" s="8" t="str">
        <f t="shared" si="194"/>
        <v/>
      </c>
      <c r="J804" s="2" t="str">
        <f t="shared" si="201"/>
        <v/>
      </c>
      <c r="K804" s="2" t="str">
        <f t="shared" si="195"/>
        <v/>
      </c>
      <c r="L804" s="2" t="str">
        <f t="shared" si="202"/>
        <v/>
      </c>
      <c r="M804" s="2" t="str">
        <f t="shared" si="207"/>
        <v/>
      </c>
      <c r="N804" s="2" t="str">
        <f t="shared" si="203"/>
        <v/>
      </c>
      <c r="O804" s="8" t="str">
        <f t="shared" si="204"/>
        <v/>
      </c>
      <c r="P804" s="8" t="str">
        <f t="shared" si="205"/>
        <v/>
      </c>
      <c r="Q804" s="40" t="str">
        <f t="shared" si="196"/>
        <v/>
      </c>
      <c r="R804" s="48" t="str">
        <f t="shared" si="206"/>
        <v/>
      </c>
      <c r="S804" s="8"/>
      <c r="U804" s="35">
        <f t="shared" si="197"/>
        <v>0</v>
      </c>
      <c r="V804" s="24">
        <f t="shared" si="198"/>
        <v>0</v>
      </c>
      <c r="W804" s="41">
        <f t="shared" si="209"/>
        <v>0</v>
      </c>
      <c r="X804" s="31"/>
      <c r="Y804" s="31"/>
      <c r="Z804" s="31"/>
      <c r="AA804" s="25">
        <f t="shared" si="199"/>
        <v>9.0359999999999996</v>
      </c>
      <c r="AB804" s="25">
        <f t="shared" si="200"/>
        <v>-184.49199999999999</v>
      </c>
      <c r="AD804" s="24">
        <f>IF(D804="M",IF(AG804&lt;78,BMILMS!$D$5*AG804^3+BMILMS!$E$5*AG804^2+BMILMS!$F$5*AG804+BMILMS!$G$5,IF(AG804&lt;150,BMILMS!$D$6*AG804^3+BMILMS!$E$6*AG804^2+BMILMS!$F$6*AG804+BMILMS!$G$6,BMILMS!$D$7*AG804^3+BMILMS!$E$7*AG804^2+BMILMS!$F$7*AG804+BMILMS!$G$7)),IF(AG804&lt;69,BMILMS!$D$9*AG804^3+BMILMS!$E$9*AG804^2+BMILMS!$F$9*AG804+BMILMS!$G$9,IF(AG804&lt;150,BMILMS!$D$10*AG804^3+BMILMS!$E$10*AG804^2+BMILMS!$F$10*AG804+BMILMS!$G$10,BMILMS!$D$11*AG804^3+BMILMS!$E$11*AG804^2+BMILMS!$F$11*AG804+BMILMS!$G$11)))</f>
        <v>0.79584630099999998</v>
      </c>
      <c r="AE804" s="24">
        <f>IF(D804="M",(IF(AG804&lt;2.5,BMILMS!$D$21*AG804^3+BMILMS!$E$21*AG804^2+BMILMS!$F$21*AG804+BMILMS!$G$21,IF(AG804&lt;9.5,BMILMS!$D$22*AG804^3+BMILMS!$E$22*AG804^2+BMILMS!$F$22*AG804+BMILMS!$G$22,IF(AG804&lt;26.75,BMILMS!$D$23*AG804^3+BMILMS!$E$23*AG804^2+BMILMS!$F$23*AG804+BMILMS!$G$23,IF(AG804&lt;90,BMILMS!$D$24*AG804^3+BMILMS!$E$24*AG804^2+BMILMS!$F$24*AG804+BMILMS!$G$24,BMILMS!$D$25*AG804^3+BMILMS!$E$25*AG804^2+BMILMS!$F$25*AG804+BMILMS!$G$25))))),(IF(AG804&lt;2.5,BMILMS!$D$27*AG804^3+BMILMS!$E$27*AG804^2+BMILMS!$F$27*AG804+BMILMS!$G$27,IF(AG804&lt;9.5,BMILMS!$D$28*AG804^3+BMILMS!$E$28*AG804^2+BMILMS!$F$28*AG804+BMILMS!$G$28,IF(AG804&lt;26.75,BMILMS!$D$29*AG804^3+BMILMS!$E$29*AG804^2+BMILMS!$F$29*AG804+BMILMS!$G$29,IF(AG804&lt;90,BMILMS!$D$30*AG804^3+BMILMS!$E$30*AG804^2+BMILMS!$F$30*AG804+BMILMS!$G$30,IF(AG804&lt;150,BMILMS!$D$31*AG804^3+BMILMS!$E$31*AG804^2+BMILMS!$F$31*AG804+BMILMS!$G$31,BMILMS!$D$32*AG804^3+BMILMS!$E$32*AG804^2+BMILMS!$F$32*AG804+BMILMS!$G$32)))))))</f>
        <v>12.568967990000001</v>
      </c>
      <c r="AF804" s="24">
        <f>IF(D804="M",(IF(AG804&lt;90,BMILMS!$D$14*AG804^3+BMILMS!$E$14*AG804^2+BMILMS!$F$14*AG804+BMILMS!$G$14,BMILMS!$D$15*AG804^3+BMILMS!$E$15*AG804^2+BMILMS!$F$15*AG804+BMILMS!$G$15)),(IF(AG804&lt;90,BMILMS!$D$17*AG804^3+BMILMS!$E$17*AG804^2+BMILMS!$F$17*AG804+BMILMS!$G$17,BMILMS!$D$18*AG804^3+BMILMS!$E$18*AG804^2+BMILMS!$F$18*AG804+BMILMS!$G$18)))</f>
        <v>8.8969350000000003E-2</v>
      </c>
      <c r="AG804" s="24">
        <f t="shared" si="208"/>
        <v>0</v>
      </c>
      <c r="AI804" s="38">
        <f>IF(D804="M",WeightSDS!P$5*$AG804^7+WeightSDS!Q$5*$AG804^6+WeightSDS!R$5*$AG804^5+WeightSDS!S$5*$AG804^4+WeightSDS!T$5*$AG804^3+WeightSDS!U$5*$AG804^2+WeightSDS!V$5*$AG804+WeightSDS!W$5,IF($AG804&lt;186,WeightSDS!P$8*$AG804^7+WeightSDS!Q$8*$AG804^6+WeightSDS!R$8*$AG804^5+WeightSDS!S$8*$AG804^4+WeightSDS!T$8*$AG804^3+WeightSDS!U$8*$AG804^2+WeightSDS!V$8*$AG804+WeightSDS!W$8,WeightSDS!$U$9-WeightSDS!$V$9*($AG804-WeightSDS!$W$9)))</f>
        <v>0.75407122999999998</v>
      </c>
      <c r="AJ804" s="24">
        <f>IF(D804="M",IF($AG804&lt;45,WeightSDS!M$23*$AG804^10+WeightSDS!N$23*$AG804^9+WeightSDS!O$23*$AG804^8+WeightSDS!P$23*$AG804^7+WeightSDS!Q$23*$AG804^6+WeightSDS!R$23*$AG804^5+WeightSDS!S$23*$AG804^4+WeightSDS!T$23*$AG804^3+WeightSDS!U$23*$AG804^2+WeightSDS!V$23*$AG804+WeightSDS!W$23,IF($AG804&lt;153,WeightSDS!M$25*$AG804^10+WeightSDS!N$25*$AG804^9+WeightSDS!O$25*$AG804^8+WeightSDS!P$25*$AG804^7+WeightSDS!Q$25*$AG804^6+WeightSDS!R$25*$AG804^5+WeightSDS!S$25*$AG804^4+WeightSDS!T$25*$AG804^3+WeightSDS!U$25*$AG804^2+WeightSDS!V$25*$AG804+WeightSDS!W$25,WeightSDS!M$27+WeightSDS!N$27/(1+EXP(WeightSDS!O$27+WeightSDS!P$27*$AG804)))),IF($AG804&lt;43.8,WeightSDS!M$29*$AG804^10+WeightSDS!N$29*$AG804^9+WeightSDS!O$29*$AG804^8+WeightSDS!P$29*$AG804^7+WeightSDS!Q$29*$AG804^6+WeightSDS!R$29*$AG804^5+WeightSDS!S$29*$AG804^4+WeightSDS!T$29*$AG804^3+WeightSDS!U$29*$AG804^2+WeightSDS!V$29*$AG804+WeightSDS!W$29-0.010431*(1-$AG804/210),IF($AG804&lt;123,WeightSDS!M$30*$AG804^10+WeightSDS!N$30*$AG804^9+WeightSDS!O$30*$AG804^8+WeightSDS!P$30*$AG804^7+WeightSDS!Q$30*$AG804^6+WeightSDS!R$30*$AG804^5+WeightSDS!S$30*$AG804^4+WeightSDS!T$30*$AG804^3+WeightSDS!U$30*$AG804^2+WeightSDS!V$30*$AG804+WeightSDS!W$30-0.010431*(1-1/$AG804),WeightSDS!M$32+WeightSDS!N$32/(1+EXP(WeightSDS!O$32+WeightSDS!P$32*$AG804))-0.010431*(1-$AG804/210))))</f>
        <v>2.9500001032655536</v>
      </c>
      <c r="AK804" s="24">
        <f>IF(D804="M",IF($AG804&lt;162,WeightSDS!P$12*$AG804^7+WeightSDS!Q$12*$AG804^6+WeightSDS!R$12*$AG804^5+WeightSDS!S$12*$AG804^4+WeightSDS!T$12*$AG804^3+WeightSDS!U$12*$AG804^2+WeightSDS!V$12*$AG804+WeightSDS!W$12,WeightSDS!P$14*$AG804^7+WeightSDS!Q$14*$AG804^6+WeightSDS!R$14*$AG804^5+WeightSDS!S$14*$AG804^4+WeightSDS!T$14*$AG804^3+WeightSDS!U$14*$AG804^2+WeightSDS!V$14*$AG804+WeightSDS!W$14),IF($AG804&lt;156,WeightSDS!O$17*$AG804^8+WeightSDS!P$17*$AG804^7+WeightSDS!Q$17*$AG804^6+WeightSDS!R$17*$AG804^5+WeightSDS!S$17*$AG804^4+WeightSDS!T$17*$AG804^3+WeightSDS!U$17*$AG804^2+WeightSDS!V$17*$AG804+WeightSDS!W$17,IF($AG804&lt;186,WeightSDS!$U$18+(WeightSDS!$V$18-WeightSDS!$U$18)/24*($AG804-186)+WeightSDS!$W$18*(-$AG804+186)^2-0.005,WeightSDS!$U$18+(WeightSDS!$V$18-WeightSDS!$U$18)/24*($AG804-186)-0.005)))</f>
        <v>0.14604529399999999</v>
      </c>
    </row>
    <row r="805" spans="1:37">
      <c r="A805" s="4"/>
      <c r="B805" s="21"/>
      <c r="C805" s="21"/>
      <c r="D805" s="21"/>
      <c r="E805" s="22"/>
      <c r="F805" s="22"/>
      <c r="G805" s="23"/>
      <c r="H805" s="23"/>
      <c r="I805" s="8" t="str">
        <f t="shared" si="194"/>
        <v/>
      </c>
      <c r="J805" s="2" t="str">
        <f t="shared" si="201"/>
        <v/>
      </c>
      <c r="K805" s="2" t="str">
        <f t="shared" si="195"/>
        <v/>
      </c>
      <c r="L805" s="2" t="str">
        <f t="shared" si="202"/>
        <v/>
      </c>
      <c r="M805" s="2" t="str">
        <f t="shared" si="207"/>
        <v/>
      </c>
      <c r="N805" s="2" t="str">
        <f t="shared" si="203"/>
        <v/>
      </c>
      <c r="O805" s="8" t="str">
        <f t="shared" si="204"/>
        <v/>
      </c>
      <c r="P805" s="8" t="str">
        <f t="shared" si="205"/>
        <v/>
      </c>
      <c r="Q805" s="40" t="str">
        <f t="shared" si="196"/>
        <v/>
      </c>
      <c r="R805" s="48" t="str">
        <f t="shared" si="206"/>
        <v/>
      </c>
      <c r="S805" s="8"/>
      <c r="U805" s="35">
        <f t="shared" si="197"/>
        <v>0</v>
      </c>
      <c r="V805" s="24">
        <f t="shared" si="198"/>
        <v>0</v>
      </c>
      <c r="W805" s="41">
        <f t="shared" si="209"/>
        <v>0</v>
      </c>
      <c r="X805" s="31"/>
      <c r="Y805" s="31"/>
      <c r="Z805" s="31"/>
      <c r="AA805" s="25">
        <f t="shared" si="199"/>
        <v>9.0359999999999996</v>
      </c>
      <c r="AB805" s="25">
        <f t="shared" si="200"/>
        <v>-184.49199999999999</v>
      </c>
      <c r="AD805" s="24">
        <f>IF(D805="M",IF(AG805&lt;78,BMILMS!$D$5*AG805^3+BMILMS!$E$5*AG805^2+BMILMS!$F$5*AG805+BMILMS!$G$5,IF(AG805&lt;150,BMILMS!$D$6*AG805^3+BMILMS!$E$6*AG805^2+BMILMS!$F$6*AG805+BMILMS!$G$6,BMILMS!$D$7*AG805^3+BMILMS!$E$7*AG805^2+BMILMS!$F$7*AG805+BMILMS!$G$7)),IF(AG805&lt;69,BMILMS!$D$9*AG805^3+BMILMS!$E$9*AG805^2+BMILMS!$F$9*AG805+BMILMS!$G$9,IF(AG805&lt;150,BMILMS!$D$10*AG805^3+BMILMS!$E$10*AG805^2+BMILMS!$F$10*AG805+BMILMS!$G$10,BMILMS!$D$11*AG805^3+BMILMS!$E$11*AG805^2+BMILMS!$F$11*AG805+BMILMS!$G$11)))</f>
        <v>0.79584630099999998</v>
      </c>
      <c r="AE805" s="24">
        <f>IF(D805="M",(IF(AG805&lt;2.5,BMILMS!$D$21*AG805^3+BMILMS!$E$21*AG805^2+BMILMS!$F$21*AG805+BMILMS!$G$21,IF(AG805&lt;9.5,BMILMS!$D$22*AG805^3+BMILMS!$E$22*AG805^2+BMILMS!$F$22*AG805+BMILMS!$G$22,IF(AG805&lt;26.75,BMILMS!$D$23*AG805^3+BMILMS!$E$23*AG805^2+BMILMS!$F$23*AG805+BMILMS!$G$23,IF(AG805&lt;90,BMILMS!$D$24*AG805^3+BMILMS!$E$24*AG805^2+BMILMS!$F$24*AG805+BMILMS!$G$24,BMILMS!$D$25*AG805^3+BMILMS!$E$25*AG805^2+BMILMS!$F$25*AG805+BMILMS!$G$25))))),(IF(AG805&lt;2.5,BMILMS!$D$27*AG805^3+BMILMS!$E$27*AG805^2+BMILMS!$F$27*AG805+BMILMS!$G$27,IF(AG805&lt;9.5,BMILMS!$D$28*AG805^3+BMILMS!$E$28*AG805^2+BMILMS!$F$28*AG805+BMILMS!$G$28,IF(AG805&lt;26.75,BMILMS!$D$29*AG805^3+BMILMS!$E$29*AG805^2+BMILMS!$F$29*AG805+BMILMS!$G$29,IF(AG805&lt;90,BMILMS!$D$30*AG805^3+BMILMS!$E$30*AG805^2+BMILMS!$F$30*AG805+BMILMS!$G$30,IF(AG805&lt;150,BMILMS!$D$31*AG805^3+BMILMS!$E$31*AG805^2+BMILMS!$F$31*AG805+BMILMS!$G$31,BMILMS!$D$32*AG805^3+BMILMS!$E$32*AG805^2+BMILMS!$F$32*AG805+BMILMS!$G$32)))))))</f>
        <v>12.568967990000001</v>
      </c>
      <c r="AF805" s="24">
        <f>IF(D805="M",(IF(AG805&lt;90,BMILMS!$D$14*AG805^3+BMILMS!$E$14*AG805^2+BMILMS!$F$14*AG805+BMILMS!$G$14,BMILMS!$D$15*AG805^3+BMILMS!$E$15*AG805^2+BMILMS!$F$15*AG805+BMILMS!$G$15)),(IF(AG805&lt;90,BMILMS!$D$17*AG805^3+BMILMS!$E$17*AG805^2+BMILMS!$F$17*AG805+BMILMS!$G$17,BMILMS!$D$18*AG805^3+BMILMS!$E$18*AG805^2+BMILMS!$F$18*AG805+BMILMS!$G$18)))</f>
        <v>8.8969350000000003E-2</v>
      </c>
      <c r="AG805" s="24">
        <f t="shared" si="208"/>
        <v>0</v>
      </c>
      <c r="AI805" s="38">
        <f>IF(D805="M",WeightSDS!P$5*$AG805^7+WeightSDS!Q$5*$AG805^6+WeightSDS!R$5*$AG805^5+WeightSDS!S$5*$AG805^4+WeightSDS!T$5*$AG805^3+WeightSDS!U$5*$AG805^2+WeightSDS!V$5*$AG805+WeightSDS!W$5,IF($AG805&lt;186,WeightSDS!P$8*$AG805^7+WeightSDS!Q$8*$AG805^6+WeightSDS!R$8*$AG805^5+WeightSDS!S$8*$AG805^4+WeightSDS!T$8*$AG805^3+WeightSDS!U$8*$AG805^2+WeightSDS!V$8*$AG805+WeightSDS!W$8,WeightSDS!$U$9-WeightSDS!$V$9*($AG805-WeightSDS!$W$9)))</f>
        <v>0.75407122999999998</v>
      </c>
      <c r="AJ805" s="24">
        <f>IF(D805="M",IF($AG805&lt;45,WeightSDS!M$23*$AG805^10+WeightSDS!N$23*$AG805^9+WeightSDS!O$23*$AG805^8+WeightSDS!P$23*$AG805^7+WeightSDS!Q$23*$AG805^6+WeightSDS!R$23*$AG805^5+WeightSDS!S$23*$AG805^4+WeightSDS!T$23*$AG805^3+WeightSDS!U$23*$AG805^2+WeightSDS!V$23*$AG805+WeightSDS!W$23,IF($AG805&lt;153,WeightSDS!M$25*$AG805^10+WeightSDS!N$25*$AG805^9+WeightSDS!O$25*$AG805^8+WeightSDS!P$25*$AG805^7+WeightSDS!Q$25*$AG805^6+WeightSDS!R$25*$AG805^5+WeightSDS!S$25*$AG805^4+WeightSDS!T$25*$AG805^3+WeightSDS!U$25*$AG805^2+WeightSDS!V$25*$AG805+WeightSDS!W$25,WeightSDS!M$27+WeightSDS!N$27/(1+EXP(WeightSDS!O$27+WeightSDS!P$27*$AG805)))),IF($AG805&lt;43.8,WeightSDS!M$29*$AG805^10+WeightSDS!N$29*$AG805^9+WeightSDS!O$29*$AG805^8+WeightSDS!P$29*$AG805^7+WeightSDS!Q$29*$AG805^6+WeightSDS!R$29*$AG805^5+WeightSDS!S$29*$AG805^4+WeightSDS!T$29*$AG805^3+WeightSDS!U$29*$AG805^2+WeightSDS!V$29*$AG805+WeightSDS!W$29-0.010431*(1-$AG805/210),IF($AG805&lt;123,WeightSDS!M$30*$AG805^10+WeightSDS!N$30*$AG805^9+WeightSDS!O$30*$AG805^8+WeightSDS!P$30*$AG805^7+WeightSDS!Q$30*$AG805^6+WeightSDS!R$30*$AG805^5+WeightSDS!S$30*$AG805^4+WeightSDS!T$30*$AG805^3+WeightSDS!U$30*$AG805^2+WeightSDS!V$30*$AG805+WeightSDS!W$30-0.010431*(1-1/$AG805),WeightSDS!M$32+WeightSDS!N$32/(1+EXP(WeightSDS!O$32+WeightSDS!P$32*$AG805))-0.010431*(1-$AG805/210))))</f>
        <v>2.9500001032655536</v>
      </c>
      <c r="AK805" s="24">
        <f>IF(D805="M",IF($AG805&lt;162,WeightSDS!P$12*$AG805^7+WeightSDS!Q$12*$AG805^6+WeightSDS!R$12*$AG805^5+WeightSDS!S$12*$AG805^4+WeightSDS!T$12*$AG805^3+WeightSDS!U$12*$AG805^2+WeightSDS!V$12*$AG805+WeightSDS!W$12,WeightSDS!P$14*$AG805^7+WeightSDS!Q$14*$AG805^6+WeightSDS!R$14*$AG805^5+WeightSDS!S$14*$AG805^4+WeightSDS!T$14*$AG805^3+WeightSDS!U$14*$AG805^2+WeightSDS!V$14*$AG805+WeightSDS!W$14),IF($AG805&lt;156,WeightSDS!O$17*$AG805^8+WeightSDS!P$17*$AG805^7+WeightSDS!Q$17*$AG805^6+WeightSDS!R$17*$AG805^5+WeightSDS!S$17*$AG805^4+WeightSDS!T$17*$AG805^3+WeightSDS!U$17*$AG805^2+WeightSDS!V$17*$AG805+WeightSDS!W$17,IF($AG805&lt;186,WeightSDS!$U$18+(WeightSDS!$V$18-WeightSDS!$U$18)/24*($AG805-186)+WeightSDS!$W$18*(-$AG805+186)^2-0.005,WeightSDS!$U$18+(WeightSDS!$V$18-WeightSDS!$U$18)/24*($AG805-186)-0.005)))</f>
        <v>0.14604529399999999</v>
      </c>
    </row>
    <row r="806" spans="1:37">
      <c r="A806" s="4"/>
      <c r="B806" s="21"/>
      <c r="C806" s="21"/>
      <c r="D806" s="21"/>
      <c r="E806" s="22"/>
      <c r="F806" s="22"/>
      <c r="G806" s="23"/>
      <c r="H806" s="23"/>
      <c r="I806" s="8" t="str">
        <f t="shared" si="194"/>
        <v/>
      </c>
      <c r="J806" s="2" t="str">
        <f t="shared" si="201"/>
        <v/>
      </c>
      <c r="K806" s="2" t="str">
        <f t="shared" si="195"/>
        <v/>
      </c>
      <c r="L806" s="2" t="str">
        <f t="shared" si="202"/>
        <v/>
      </c>
      <c r="M806" s="2" t="str">
        <f t="shared" si="207"/>
        <v/>
      </c>
      <c r="N806" s="2" t="str">
        <f t="shared" si="203"/>
        <v/>
      </c>
      <c r="O806" s="8" t="str">
        <f t="shared" si="204"/>
        <v/>
      </c>
      <c r="P806" s="8" t="str">
        <f t="shared" si="205"/>
        <v/>
      </c>
      <c r="Q806" s="40" t="str">
        <f t="shared" si="196"/>
        <v/>
      </c>
      <c r="R806" s="48" t="str">
        <f t="shared" si="206"/>
        <v/>
      </c>
      <c r="S806" s="8"/>
      <c r="U806" s="35">
        <f t="shared" si="197"/>
        <v>0</v>
      </c>
      <c r="V806" s="24">
        <f t="shared" si="198"/>
        <v>0</v>
      </c>
      <c r="W806" s="41">
        <f t="shared" si="209"/>
        <v>0</v>
      </c>
      <c r="X806" s="31"/>
      <c r="Y806" s="31"/>
      <c r="Z806" s="31"/>
      <c r="AA806" s="25">
        <f t="shared" si="199"/>
        <v>9.0359999999999996</v>
      </c>
      <c r="AB806" s="25">
        <f t="shared" si="200"/>
        <v>-184.49199999999999</v>
      </c>
      <c r="AD806" s="24">
        <f>IF(D806="M",IF(AG806&lt;78,BMILMS!$D$5*AG806^3+BMILMS!$E$5*AG806^2+BMILMS!$F$5*AG806+BMILMS!$G$5,IF(AG806&lt;150,BMILMS!$D$6*AG806^3+BMILMS!$E$6*AG806^2+BMILMS!$F$6*AG806+BMILMS!$G$6,BMILMS!$D$7*AG806^3+BMILMS!$E$7*AG806^2+BMILMS!$F$7*AG806+BMILMS!$G$7)),IF(AG806&lt;69,BMILMS!$D$9*AG806^3+BMILMS!$E$9*AG806^2+BMILMS!$F$9*AG806+BMILMS!$G$9,IF(AG806&lt;150,BMILMS!$D$10*AG806^3+BMILMS!$E$10*AG806^2+BMILMS!$F$10*AG806+BMILMS!$G$10,BMILMS!$D$11*AG806^3+BMILMS!$E$11*AG806^2+BMILMS!$F$11*AG806+BMILMS!$G$11)))</f>
        <v>0.79584630099999998</v>
      </c>
      <c r="AE806" s="24">
        <f>IF(D806="M",(IF(AG806&lt;2.5,BMILMS!$D$21*AG806^3+BMILMS!$E$21*AG806^2+BMILMS!$F$21*AG806+BMILMS!$G$21,IF(AG806&lt;9.5,BMILMS!$D$22*AG806^3+BMILMS!$E$22*AG806^2+BMILMS!$F$22*AG806+BMILMS!$G$22,IF(AG806&lt;26.75,BMILMS!$D$23*AG806^3+BMILMS!$E$23*AG806^2+BMILMS!$F$23*AG806+BMILMS!$G$23,IF(AG806&lt;90,BMILMS!$D$24*AG806^3+BMILMS!$E$24*AG806^2+BMILMS!$F$24*AG806+BMILMS!$G$24,BMILMS!$D$25*AG806^3+BMILMS!$E$25*AG806^2+BMILMS!$F$25*AG806+BMILMS!$G$25))))),(IF(AG806&lt;2.5,BMILMS!$D$27*AG806^3+BMILMS!$E$27*AG806^2+BMILMS!$F$27*AG806+BMILMS!$G$27,IF(AG806&lt;9.5,BMILMS!$D$28*AG806^3+BMILMS!$E$28*AG806^2+BMILMS!$F$28*AG806+BMILMS!$G$28,IF(AG806&lt;26.75,BMILMS!$D$29*AG806^3+BMILMS!$E$29*AG806^2+BMILMS!$F$29*AG806+BMILMS!$G$29,IF(AG806&lt;90,BMILMS!$D$30*AG806^3+BMILMS!$E$30*AG806^2+BMILMS!$F$30*AG806+BMILMS!$G$30,IF(AG806&lt;150,BMILMS!$D$31*AG806^3+BMILMS!$E$31*AG806^2+BMILMS!$F$31*AG806+BMILMS!$G$31,BMILMS!$D$32*AG806^3+BMILMS!$E$32*AG806^2+BMILMS!$F$32*AG806+BMILMS!$G$32)))))))</f>
        <v>12.568967990000001</v>
      </c>
      <c r="AF806" s="24">
        <f>IF(D806="M",(IF(AG806&lt;90,BMILMS!$D$14*AG806^3+BMILMS!$E$14*AG806^2+BMILMS!$F$14*AG806+BMILMS!$G$14,BMILMS!$D$15*AG806^3+BMILMS!$E$15*AG806^2+BMILMS!$F$15*AG806+BMILMS!$G$15)),(IF(AG806&lt;90,BMILMS!$D$17*AG806^3+BMILMS!$E$17*AG806^2+BMILMS!$F$17*AG806+BMILMS!$G$17,BMILMS!$D$18*AG806^3+BMILMS!$E$18*AG806^2+BMILMS!$F$18*AG806+BMILMS!$G$18)))</f>
        <v>8.8969350000000003E-2</v>
      </c>
      <c r="AG806" s="24">
        <f t="shared" si="208"/>
        <v>0</v>
      </c>
      <c r="AI806" s="38">
        <f>IF(D806="M",WeightSDS!P$5*$AG806^7+WeightSDS!Q$5*$AG806^6+WeightSDS!R$5*$AG806^5+WeightSDS!S$5*$AG806^4+WeightSDS!T$5*$AG806^3+WeightSDS!U$5*$AG806^2+WeightSDS!V$5*$AG806+WeightSDS!W$5,IF($AG806&lt;186,WeightSDS!P$8*$AG806^7+WeightSDS!Q$8*$AG806^6+WeightSDS!R$8*$AG806^5+WeightSDS!S$8*$AG806^4+WeightSDS!T$8*$AG806^3+WeightSDS!U$8*$AG806^2+WeightSDS!V$8*$AG806+WeightSDS!W$8,WeightSDS!$U$9-WeightSDS!$V$9*($AG806-WeightSDS!$W$9)))</f>
        <v>0.75407122999999998</v>
      </c>
      <c r="AJ806" s="24">
        <f>IF(D806="M",IF($AG806&lt;45,WeightSDS!M$23*$AG806^10+WeightSDS!N$23*$AG806^9+WeightSDS!O$23*$AG806^8+WeightSDS!P$23*$AG806^7+WeightSDS!Q$23*$AG806^6+WeightSDS!R$23*$AG806^5+WeightSDS!S$23*$AG806^4+WeightSDS!T$23*$AG806^3+WeightSDS!U$23*$AG806^2+WeightSDS!V$23*$AG806+WeightSDS!W$23,IF($AG806&lt;153,WeightSDS!M$25*$AG806^10+WeightSDS!N$25*$AG806^9+WeightSDS!O$25*$AG806^8+WeightSDS!P$25*$AG806^7+WeightSDS!Q$25*$AG806^6+WeightSDS!R$25*$AG806^5+WeightSDS!S$25*$AG806^4+WeightSDS!T$25*$AG806^3+WeightSDS!U$25*$AG806^2+WeightSDS!V$25*$AG806+WeightSDS!W$25,WeightSDS!M$27+WeightSDS!N$27/(1+EXP(WeightSDS!O$27+WeightSDS!P$27*$AG806)))),IF($AG806&lt;43.8,WeightSDS!M$29*$AG806^10+WeightSDS!N$29*$AG806^9+WeightSDS!O$29*$AG806^8+WeightSDS!P$29*$AG806^7+WeightSDS!Q$29*$AG806^6+WeightSDS!R$29*$AG806^5+WeightSDS!S$29*$AG806^4+WeightSDS!T$29*$AG806^3+WeightSDS!U$29*$AG806^2+WeightSDS!V$29*$AG806+WeightSDS!W$29-0.010431*(1-$AG806/210),IF($AG806&lt;123,WeightSDS!M$30*$AG806^10+WeightSDS!N$30*$AG806^9+WeightSDS!O$30*$AG806^8+WeightSDS!P$30*$AG806^7+WeightSDS!Q$30*$AG806^6+WeightSDS!R$30*$AG806^5+WeightSDS!S$30*$AG806^4+WeightSDS!T$30*$AG806^3+WeightSDS!U$30*$AG806^2+WeightSDS!V$30*$AG806+WeightSDS!W$30-0.010431*(1-1/$AG806),WeightSDS!M$32+WeightSDS!N$32/(1+EXP(WeightSDS!O$32+WeightSDS!P$32*$AG806))-0.010431*(1-$AG806/210))))</f>
        <v>2.9500001032655536</v>
      </c>
      <c r="AK806" s="24">
        <f>IF(D806="M",IF($AG806&lt;162,WeightSDS!P$12*$AG806^7+WeightSDS!Q$12*$AG806^6+WeightSDS!R$12*$AG806^5+WeightSDS!S$12*$AG806^4+WeightSDS!T$12*$AG806^3+WeightSDS!U$12*$AG806^2+WeightSDS!V$12*$AG806+WeightSDS!W$12,WeightSDS!P$14*$AG806^7+WeightSDS!Q$14*$AG806^6+WeightSDS!R$14*$AG806^5+WeightSDS!S$14*$AG806^4+WeightSDS!T$14*$AG806^3+WeightSDS!U$14*$AG806^2+WeightSDS!V$14*$AG806+WeightSDS!W$14),IF($AG806&lt;156,WeightSDS!O$17*$AG806^8+WeightSDS!P$17*$AG806^7+WeightSDS!Q$17*$AG806^6+WeightSDS!R$17*$AG806^5+WeightSDS!S$17*$AG806^4+WeightSDS!T$17*$AG806^3+WeightSDS!U$17*$AG806^2+WeightSDS!V$17*$AG806+WeightSDS!W$17,IF($AG806&lt;186,WeightSDS!$U$18+(WeightSDS!$V$18-WeightSDS!$U$18)/24*($AG806-186)+WeightSDS!$W$18*(-$AG806+186)^2-0.005,WeightSDS!$U$18+(WeightSDS!$V$18-WeightSDS!$U$18)/24*($AG806-186)-0.005)))</f>
        <v>0.14604529399999999</v>
      </c>
    </row>
    <row r="807" spans="1:37">
      <c r="A807" s="4"/>
      <c r="B807" s="21"/>
      <c r="C807" s="21"/>
      <c r="D807" s="21"/>
      <c r="E807" s="22"/>
      <c r="F807" s="22"/>
      <c r="G807" s="23"/>
      <c r="H807" s="23"/>
      <c r="I807" s="8" t="str">
        <f t="shared" si="194"/>
        <v/>
      </c>
      <c r="J807" s="2" t="str">
        <f t="shared" si="201"/>
        <v/>
      </c>
      <c r="K807" s="2" t="str">
        <f t="shared" si="195"/>
        <v/>
      </c>
      <c r="L807" s="2" t="str">
        <f t="shared" si="202"/>
        <v/>
      </c>
      <c r="M807" s="2" t="str">
        <f t="shared" si="207"/>
        <v/>
      </c>
      <c r="N807" s="2" t="str">
        <f t="shared" si="203"/>
        <v/>
      </c>
      <c r="O807" s="8" t="str">
        <f t="shared" si="204"/>
        <v/>
      </c>
      <c r="P807" s="8" t="str">
        <f t="shared" si="205"/>
        <v/>
      </c>
      <c r="Q807" s="40" t="str">
        <f t="shared" si="196"/>
        <v/>
      </c>
      <c r="R807" s="48" t="str">
        <f t="shared" si="206"/>
        <v/>
      </c>
      <c r="S807" s="8"/>
      <c r="U807" s="35">
        <f t="shared" si="197"/>
        <v>0</v>
      </c>
      <c r="V807" s="24">
        <f t="shared" si="198"/>
        <v>0</v>
      </c>
      <c r="W807" s="41">
        <f t="shared" si="209"/>
        <v>0</v>
      </c>
      <c r="X807" s="31"/>
      <c r="Y807" s="31"/>
      <c r="Z807" s="31"/>
      <c r="AA807" s="25">
        <f t="shared" si="199"/>
        <v>9.0359999999999996</v>
      </c>
      <c r="AB807" s="25">
        <f t="shared" si="200"/>
        <v>-184.49199999999999</v>
      </c>
      <c r="AD807" s="24">
        <f>IF(D807="M",IF(AG807&lt;78,BMILMS!$D$5*AG807^3+BMILMS!$E$5*AG807^2+BMILMS!$F$5*AG807+BMILMS!$G$5,IF(AG807&lt;150,BMILMS!$D$6*AG807^3+BMILMS!$E$6*AG807^2+BMILMS!$F$6*AG807+BMILMS!$G$6,BMILMS!$D$7*AG807^3+BMILMS!$E$7*AG807^2+BMILMS!$F$7*AG807+BMILMS!$G$7)),IF(AG807&lt;69,BMILMS!$D$9*AG807^3+BMILMS!$E$9*AG807^2+BMILMS!$F$9*AG807+BMILMS!$G$9,IF(AG807&lt;150,BMILMS!$D$10*AG807^3+BMILMS!$E$10*AG807^2+BMILMS!$F$10*AG807+BMILMS!$G$10,BMILMS!$D$11*AG807^3+BMILMS!$E$11*AG807^2+BMILMS!$F$11*AG807+BMILMS!$G$11)))</f>
        <v>0.79584630099999998</v>
      </c>
      <c r="AE807" s="24">
        <f>IF(D807="M",(IF(AG807&lt;2.5,BMILMS!$D$21*AG807^3+BMILMS!$E$21*AG807^2+BMILMS!$F$21*AG807+BMILMS!$G$21,IF(AG807&lt;9.5,BMILMS!$D$22*AG807^3+BMILMS!$E$22*AG807^2+BMILMS!$F$22*AG807+BMILMS!$G$22,IF(AG807&lt;26.75,BMILMS!$D$23*AG807^3+BMILMS!$E$23*AG807^2+BMILMS!$F$23*AG807+BMILMS!$G$23,IF(AG807&lt;90,BMILMS!$D$24*AG807^3+BMILMS!$E$24*AG807^2+BMILMS!$F$24*AG807+BMILMS!$G$24,BMILMS!$D$25*AG807^3+BMILMS!$E$25*AG807^2+BMILMS!$F$25*AG807+BMILMS!$G$25))))),(IF(AG807&lt;2.5,BMILMS!$D$27*AG807^3+BMILMS!$E$27*AG807^2+BMILMS!$F$27*AG807+BMILMS!$G$27,IF(AG807&lt;9.5,BMILMS!$D$28*AG807^3+BMILMS!$E$28*AG807^2+BMILMS!$F$28*AG807+BMILMS!$G$28,IF(AG807&lt;26.75,BMILMS!$D$29*AG807^3+BMILMS!$E$29*AG807^2+BMILMS!$F$29*AG807+BMILMS!$G$29,IF(AG807&lt;90,BMILMS!$D$30*AG807^3+BMILMS!$E$30*AG807^2+BMILMS!$F$30*AG807+BMILMS!$G$30,IF(AG807&lt;150,BMILMS!$D$31*AG807^3+BMILMS!$E$31*AG807^2+BMILMS!$F$31*AG807+BMILMS!$G$31,BMILMS!$D$32*AG807^3+BMILMS!$E$32*AG807^2+BMILMS!$F$32*AG807+BMILMS!$G$32)))))))</f>
        <v>12.568967990000001</v>
      </c>
      <c r="AF807" s="24">
        <f>IF(D807="M",(IF(AG807&lt;90,BMILMS!$D$14*AG807^3+BMILMS!$E$14*AG807^2+BMILMS!$F$14*AG807+BMILMS!$G$14,BMILMS!$D$15*AG807^3+BMILMS!$E$15*AG807^2+BMILMS!$F$15*AG807+BMILMS!$G$15)),(IF(AG807&lt;90,BMILMS!$D$17*AG807^3+BMILMS!$E$17*AG807^2+BMILMS!$F$17*AG807+BMILMS!$G$17,BMILMS!$D$18*AG807^3+BMILMS!$E$18*AG807^2+BMILMS!$F$18*AG807+BMILMS!$G$18)))</f>
        <v>8.8969350000000003E-2</v>
      </c>
      <c r="AG807" s="24">
        <f t="shared" si="208"/>
        <v>0</v>
      </c>
      <c r="AI807" s="38">
        <f>IF(D807="M",WeightSDS!P$5*$AG807^7+WeightSDS!Q$5*$AG807^6+WeightSDS!R$5*$AG807^5+WeightSDS!S$5*$AG807^4+WeightSDS!T$5*$AG807^3+WeightSDS!U$5*$AG807^2+WeightSDS!V$5*$AG807+WeightSDS!W$5,IF($AG807&lt;186,WeightSDS!P$8*$AG807^7+WeightSDS!Q$8*$AG807^6+WeightSDS!R$8*$AG807^5+WeightSDS!S$8*$AG807^4+WeightSDS!T$8*$AG807^3+WeightSDS!U$8*$AG807^2+WeightSDS!V$8*$AG807+WeightSDS!W$8,WeightSDS!$U$9-WeightSDS!$V$9*($AG807-WeightSDS!$W$9)))</f>
        <v>0.75407122999999998</v>
      </c>
      <c r="AJ807" s="24">
        <f>IF(D807="M",IF($AG807&lt;45,WeightSDS!M$23*$AG807^10+WeightSDS!N$23*$AG807^9+WeightSDS!O$23*$AG807^8+WeightSDS!P$23*$AG807^7+WeightSDS!Q$23*$AG807^6+WeightSDS!R$23*$AG807^5+WeightSDS!S$23*$AG807^4+WeightSDS!T$23*$AG807^3+WeightSDS!U$23*$AG807^2+WeightSDS!V$23*$AG807+WeightSDS!W$23,IF($AG807&lt;153,WeightSDS!M$25*$AG807^10+WeightSDS!N$25*$AG807^9+WeightSDS!O$25*$AG807^8+WeightSDS!P$25*$AG807^7+WeightSDS!Q$25*$AG807^6+WeightSDS!R$25*$AG807^5+WeightSDS!S$25*$AG807^4+WeightSDS!T$25*$AG807^3+WeightSDS!U$25*$AG807^2+WeightSDS!V$25*$AG807+WeightSDS!W$25,WeightSDS!M$27+WeightSDS!N$27/(1+EXP(WeightSDS!O$27+WeightSDS!P$27*$AG807)))),IF($AG807&lt;43.8,WeightSDS!M$29*$AG807^10+WeightSDS!N$29*$AG807^9+WeightSDS!O$29*$AG807^8+WeightSDS!P$29*$AG807^7+WeightSDS!Q$29*$AG807^6+WeightSDS!R$29*$AG807^5+WeightSDS!S$29*$AG807^4+WeightSDS!T$29*$AG807^3+WeightSDS!U$29*$AG807^2+WeightSDS!V$29*$AG807+WeightSDS!W$29-0.010431*(1-$AG807/210),IF($AG807&lt;123,WeightSDS!M$30*$AG807^10+WeightSDS!N$30*$AG807^9+WeightSDS!O$30*$AG807^8+WeightSDS!P$30*$AG807^7+WeightSDS!Q$30*$AG807^6+WeightSDS!R$30*$AG807^5+WeightSDS!S$30*$AG807^4+WeightSDS!T$30*$AG807^3+WeightSDS!U$30*$AG807^2+WeightSDS!V$30*$AG807+WeightSDS!W$30-0.010431*(1-1/$AG807),WeightSDS!M$32+WeightSDS!N$32/(1+EXP(WeightSDS!O$32+WeightSDS!P$32*$AG807))-0.010431*(1-$AG807/210))))</f>
        <v>2.9500001032655536</v>
      </c>
      <c r="AK807" s="24">
        <f>IF(D807="M",IF($AG807&lt;162,WeightSDS!P$12*$AG807^7+WeightSDS!Q$12*$AG807^6+WeightSDS!R$12*$AG807^5+WeightSDS!S$12*$AG807^4+WeightSDS!T$12*$AG807^3+WeightSDS!U$12*$AG807^2+WeightSDS!V$12*$AG807+WeightSDS!W$12,WeightSDS!P$14*$AG807^7+WeightSDS!Q$14*$AG807^6+WeightSDS!R$14*$AG807^5+WeightSDS!S$14*$AG807^4+WeightSDS!T$14*$AG807^3+WeightSDS!U$14*$AG807^2+WeightSDS!V$14*$AG807+WeightSDS!W$14),IF($AG807&lt;156,WeightSDS!O$17*$AG807^8+WeightSDS!P$17*$AG807^7+WeightSDS!Q$17*$AG807^6+WeightSDS!R$17*$AG807^5+WeightSDS!S$17*$AG807^4+WeightSDS!T$17*$AG807^3+WeightSDS!U$17*$AG807^2+WeightSDS!V$17*$AG807+WeightSDS!W$17,IF($AG807&lt;186,WeightSDS!$U$18+(WeightSDS!$V$18-WeightSDS!$U$18)/24*($AG807-186)+WeightSDS!$W$18*(-$AG807+186)^2-0.005,WeightSDS!$U$18+(WeightSDS!$V$18-WeightSDS!$U$18)/24*($AG807-186)-0.005)))</f>
        <v>0.14604529399999999</v>
      </c>
    </row>
    <row r="808" spans="1:37">
      <c r="A808" s="4"/>
      <c r="B808" s="21"/>
      <c r="C808" s="21"/>
      <c r="D808" s="21"/>
      <c r="E808" s="22"/>
      <c r="F808" s="22"/>
      <c r="G808" s="23"/>
      <c r="H808" s="23"/>
      <c r="I808" s="8" t="str">
        <f t="shared" si="194"/>
        <v/>
      </c>
      <c r="J808" s="2" t="str">
        <f t="shared" si="201"/>
        <v/>
      </c>
      <c r="K808" s="2" t="str">
        <f t="shared" si="195"/>
        <v/>
      </c>
      <c r="L808" s="2" t="str">
        <f t="shared" si="202"/>
        <v/>
      </c>
      <c r="M808" s="2" t="str">
        <f t="shared" si="207"/>
        <v/>
      </c>
      <c r="N808" s="2" t="str">
        <f t="shared" si="203"/>
        <v/>
      </c>
      <c r="O808" s="8" t="str">
        <f t="shared" si="204"/>
        <v/>
      </c>
      <c r="P808" s="8" t="str">
        <f t="shared" si="205"/>
        <v/>
      </c>
      <c r="Q808" s="40" t="str">
        <f t="shared" si="196"/>
        <v/>
      </c>
      <c r="R808" s="48" t="str">
        <f t="shared" si="206"/>
        <v/>
      </c>
      <c r="S808" s="8"/>
      <c r="U808" s="35">
        <f t="shared" si="197"/>
        <v>0</v>
      </c>
      <c r="V808" s="24">
        <f t="shared" si="198"/>
        <v>0</v>
      </c>
      <c r="W808" s="41">
        <f t="shared" si="209"/>
        <v>0</v>
      </c>
      <c r="X808" s="31"/>
      <c r="Y808" s="31"/>
      <c r="Z808" s="31"/>
      <c r="AA808" s="25">
        <f t="shared" si="199"/>
        <v>9.0359999999999996</v>
      </c>
      <c r="AB808" s="25">
        <f t="shared" si="200"/>
        <v>-184.49199999999999</v>
      </c>
      <c r="AD808" s="24">
        <f>IF(D808="M",IF(AG808&lt;78,BMILMS!$D$5*AG808^3+BMILMS!$E$5*AG808^2+BMILMS!$F$5*AG808+BMILMS!$G$5,IF(AG808&lt;150,BMILMS!$D$6*AG808^3+BMILMS!$E$6*AG808^2+BMILMS!$F$6*AG808+BMILMS!$G$6,BMILMS!$D$7*AG808^3+BMILMS!$E$7*AG808^2+BMILMS!$F$7*AG808+BMILMS!$G$7)),IF(AG808&lt;69,BMILMS!$D$9*AG808^3+BMILMS!$E$9*AG808^2+BMILMS!$F$9*AG808+BMILMS!$G$9,IF(AG808&lt;150,BMILMS!$D$10*AG808^3+BMILMS!$E$10*AG808^2+BMILMS!$F$10*AG808+BMILMS!$G$10,BMILMS!$D$11*AG808^3+BMILMS!$E$11*AG808^2+BMILMS!$F$11*AG808+BMILMS!$G$11)))</f>
        <v>0.79584630099999998</v>
      </c>
      <c r="AE808" s="24">
        <f>IF(D808="M",(IF(AG808&lt;2.5,BMILMS!$D$21*AG808^3+BMILMS!$E$21*AG808^2+BMILMS!$F$21*AG808+BMILMS!$G$21,IF(AG808&lt;9.5,BMILMS!$D$22*AG808^3+BMILMS!$E$22*AG808^2+BMILMS!$F$22*AG808+BMILMS!$G$22,IF(AG808&lt;26.75,BMILMS!$D$23*AG808^3+BMILMS!$E$23*AG808^2+BMILMS!$F$23*AG808+BMILMS!$G$23,IF(AG808&lt;90,BMILMS!$D$24*AG808^3+BMILMS!$E$24*AG808^2+BMILMS!$F$24*AG808+BMILMS!$G$24,BMILMS!$D$25*AG808^3+BMILMS!$E$25*AG808^2+BMILMS!$F$25*AG808+BMILMS!$G$25))))),(IF(AG808&lt;2.5,BMILMS!$D$27*AG808^3+BMILMS!$E$27*AG808^2+BMILMS!$F$27*AG808+BMILMS!$G$27,IF(AG808&lt;9.5,BMILMS!$D$28*AG808^3+BMILMS!$E$28*AG808^2+BMILMS!$F$28*AG808+BMILMS!$G$28,IF(AG808&lt;26.75,BMILMS!$D$29*AG808^3+BMILMS!$E$29*AG808^2+BMILMS!$F$29*AG808+BMILMS!$G$29,IF(AG808&lt;90,BMILMS!$D$30*AG808^3+BMILMS!$E$30*AG808^2+BMILMS!$F$30*AG808+BMILMS!$G$30,IF(AG808&lt;150,BMILMS!$D$31*AG808^3+BMILMS!$E$31*AG808^2+BMILMS!$F$31*AG808+BMILMS!$G$31,BMILMS!$D$32*AG808^3+BMILMS!$E$32*AG808^2+BMILMS!$F$32*AG808+BMILMS!$G$32)))))))</f>
        <v>12.568967990000001</v>
      </c>
      <c r="AF808" s="24">
        <f>IF(D808="M",(IF(AG808&lt;90,BMILMS!$D$14*AG808^3+BMILMS!$E$14*AG808^2+BMILMS!$F$14*AG808+BMILMS!$G$14,BMILMS!$D$15*AG808^3+BMILMS!$E$15*AG808^2+BMILMS!$F$15*AG808+BMILMS!$G$15)),(IF(AG808&lt;90,BMILMS!$D$17*AG808^3+BMILMS!$E$17*AG808^2+BMILMS!$F$17*AG808+BMILMS!$G$17,BMILMS!$D$18*AG808^3+BMILMS!$E$18*AG808^2+BMILMS!$F$18*AG808+BMILMS!$G$18)))</f>
        <v>8.8969350000000003E-2</v>
      </c>
      <c r="AG808" s="24">
        <f t="shared" si="208"/>
        <v>0</v>
      </c>
      <c r="AI808" s="38">
        <f>IF(D808="M",WeightSDS!P$5*$AG808^7+WeightSDS!Q$5*$AG808^6+WeightSDS!R$5*$AG808^5+WeightSDS!S$5*$AG808^4+WeightSDS!T$5*$AG808^3+WeightSDS!U$5*$AG808^2+WeightSDS!V$5*$AG808+WeightSDS!W$5,IF($AG808&lt;186,WeightSDS!P$8*$AG808^7+WeightSDS!Q$8*$AG808^6+WeightSDS!R$8*$AG808^5+WeightSDS!S$8*$AG808^4+WeightSDS!T$8*$AG808^3+WeightSDS!U$8*$AG808^2+WeightSDS!V$8*$AG808+WeightSDS!W$8,WeightSDS!$U$9-WeightSDS!$V$9*($AG808-WeightSDS!$W$9)))</f>
        <v>0.75407122999999998</v>
      </c>
      <c r="AJ808" s="24">
        <f>IF(D808="M",IF($AG808&lt;45,WeightSDS!M$23*$AG808^10+WeightSDS!N$23*$AG808^9+WeightSDS!O$23*$AG808^8+WeightSDS!P$23*$AG808^7+WeightSDS!Q$23*$AG808^6+WeightSDS!R$23*$AG808^5+WeightSDS!S$23*$AG808^4+WeightSDS!T$23*$AG808^3+WeightSDS!U$23*$AG808^2+WeightSDS!V$23*$AG808+WeightSDS!W$23,IF($AG808&lt;153,WeightSDS!M$25*$AG808^10+WeightSDS!N$25*$AG808^9+WeightSDS!O$25*$AG808^8+WeightSDS!P$25*$AG808^7+WeightSDS!Q$25*$AG808^6+WeightSDS!R$25*$AG808^5+WeightSDS!S$25*$AG808^4+WeightSDS!T$25*$AG808^3+WeightSDS!U$25*$AG808^2+WeightSDS!V$25*$AG808+WeightSDS!W$25,WeightSDS!M$27+WeightSDS!N$27/(1+EXP(WeightSDS!O$27+WeightSDS!P$27*$AG808)))),IF($AG808&lt;43.8,WeightSDS!M$29*$AG808^10+WeightSDS!N$29*$AG808^9+WeightSDS!O$29*$AG808^8+WeightSDS!P$29*$AG808^7+WeightSDS!Q$29*$AG808^6+WeightSDS!R$29*$AG808^5+WeightSDS!S$29*$AG808^4+WeightSDS!T$29*$AG808^3+WeightSDS!U$29*$AG808^2+WeightSDS!V$29*$AG808+WeightSDS!W$29-0.010431*(1-$AG808/210),IF($AG808&lt;123,WeightSDS!M$30*$AG808^10+WeightSDS!N$30*$AG808^9+WeightSDS!O$30*$AG808^8+WeightSDS!P$30*$AG808^7+WeightSDS!Q$30*$AG808^6+WeightSDS!R$30*$AG808^5+WeightSDS!S$30*$AG808^4+WeightSDS!T$30*$AG808^3+WeightSDS!U$30*$AG808^2+WeightSDS!V$30*$AG808+WeightSDS!W$30-0.010431*(1-1/$AG808),WeightSDS!M$32+WeightSDS!N$32/(1+EXP(WeightSDS!O$32+WeightSDS!P$32*$AG808))-0.010431*(1-$AG808/210))))</f>
        <v>2.9500001032655536</v>
      </c>
      <c r="AK808" s="24">
        <f>IF(D808="M",IF($AG808&lt;162,WeightSDS!P$12*$AG808^7+WeightSDS!Q$12*$AG808^6+WeightSDS!R$12*$AG808^5+WeightSDS!S$12*$AG808^4+WeightSDS!T$12*$AG808^3+WeightSDS!U$12*$AG808^2+WeightSDS!V$12*$AG808+WeightSDS!W$12,WeightSDS!P$14*$AG808^7+WeightSDS!Q$14*$AG808^6+WeightSDS!R$14*$AG808^5+WeightSDS!S$14*$AG808^4+WeightSDS!T$14*$AG808^3+WeightSDS!U$14*$AG808^2+WeightSDS!V$14*$AG808+WeightSDS!W$14),IF($AG808&lt;156,WeightSDS!O$17*$AG808^8+WeightSDS!P$17*$AG808^7+WeightSDS!Q$17*$AG808^6+WeightSDS!R$17*$AG808^5+WeightSDS!S$17*$AG808^4+WeightSDS!T$17*$AG808^3+WeightSDS!U$17*$AG808^2+WeightSDS!V$17*$AG808+WeightSDS!W$17,IF($AG808&lt;186,WeightSDS!$U$18+(WeightSDS!$V$18-WeightSDS!$U$18)/24*($AG808-186)+WeightSDS!$W$18*(-$AG808+186)^2-0.005,WeightSDS!$U$18+(WeightSDS!$V$18-WeightSDS!$U$18)/24*($AG808-186)-0.005)))</f>
        <v>0.14604529399999999</v>
      </c>
    </row>
    <row r="809" spans="1:37">
      <c r="A809" s="4"/>
      <c r="B809" s="21"/>
      <c r="C809" s="21"/>
      <c r="D809" s="21"/>
      <c r="E809" s="22"/>
      <c r="F809" s="22"/>
      <c r="G809" s="23"/>
      <c r="H809" s="23"/>
      <c r="I809" s="8" t="str">
        <f t="shared" si="194"/>
        <v/>
      </c>
      <c r="J809" s="2" t="str">
        <f t="shared" si="201"/>
        <v/>
      </c>
      <c r="K809" s="2" t="str">
        <f t="shared" si="195"/>
        <v/>
      </c>
      <c r="L809" s="2" t="str">
        <f t="shared" si="202"/>
        <v/>
      </c>
      <c r="M809" s="2" t="str">
        <f t="shared" si="207"/>
        <v/>
      </c>
      <c r="N809" s="2" t="str">
        <f t="shared" si="203"/>
        <v/>
      </c>
      <c r="O809" s="8" t="str">
        <f t="shared" si="204"/>
        <v/>
      </c>
      <c r="P809" s="8" t="str">
        <f t="shared" si="205"/>
        <v/>
      </c>
      <c r="Q809" s="40" t="str">
        <f t="shared" si="196"/>
        <v/>
      </c>
      <c r="R809" s="48" t="str">
        <f t="shared" si="206"/>
        <v/>
      </c>
      <c r="S809" s="8"/>
      <c r="U809" s="35">
        <f t="shared" si="197"/>
        <v>0</v>
      </c>
      <c r="V809" s="24">
        <f t="shared" si="198"/>
        <v>0</v>
      </c>
      <c r="W809" s="41">
        <f t="shared" si="209"/>
        <v>0</v>
      </c>
      <c r="X809" s="31"/>
      <c r="Y809" s="31"/>
      <c r="Z809" s="31"/>
      <c r="AA809" s="25">
        <f t="shared" si="199"/>
        <v>9.0359999999999996</v>
      </c>
      <c r="AB809" s="25">
        <f t="shared" si="200"/>
        <v>-184.49199999999999</v>
      </c>
      <c r="AD809" s="24">
        <f>IF(D809="M",IF(AG809&lt;78,BMILMS!$D$5*AG809^3+BMILMS!$E$5*AG809^2+BMILMS!$F$5*AG809+BMILMS!$G$5,IF(AG809&lt;150,BMILMS!$D$6*AG809^3+BMILMS!$E$6*AG809^2+BMILMS!$F$6*AG809+BMILMS!$G$6,BMILMS!$D$7*AG809^3+BMILMS!$E$7*AG809^2+BMILMS!$F$7*AG809+BMILMS!$G$7)),IF(AG809&lt;69,BMILMS!$D$9*AG809^3+BMILMS!$E$9*AG809^2+BMILMS!$F$9*AG809+BMILMS!$G$9,IF(AG809&lt;150,BMILMS!$D$10*AG809^3+BMILMS!$E$10*AG809^2+BMILMS!$F$10*AG809+BMILMS!$G$10,BMILMS!$D$11*AG809^3+BMILMS!$E$11*AG809^2+BMILMS!$F$11*AG809+BMILMS!$G$11)))</f>
        <v>0.79584630099999998</v>
      </c>
      <c r="AE809" s="24">
        <f>IF(D809="M",(IF(AG809&lt;2.5,BMILMS!$D$21*AG809^3+BMILMS!$E$21*AG809^2+BMILMS!$F$21*AG809+BMILMS!$G$21,IF(AG809&lt;9.5,BMILMS!$D$22*AG809^3+BMILMS!$E$22*AG809^2+BMILMS!$F$22*AG809+BMILMS!$G$22,IF(AG809&lt;26.75,BMILMS!$D$23*AG809^3+BMILMS!$E$23*AG809^2+BMILMS!$F$23*AG809+BMILMS!$G$23,IF(AG809&lt;90,BMILMS!$D$24*AG809^3+BMILMS!$E$24*AG809^2+BMILMS!$F$24*AG809+BMILMS!$G$24,BMILMS!$D$25*AG809^3+BMILMS!$E$25*AG809^2+BMILMS!$F$25*AG809+BMILMS!$G$25))))),(IF(AG809&lt;2.5,BMILMS!$D$27*AG809^3+BMILMS!$E$27*AG809^2+BMILMS!$F$27*AG809+BMILMS!$G$27,IF(AG809&lt;9.5,BMILMS!$D$28*AG809^3+BMILMS!$E$28*AG809^2+BMILMS!$F$28*AG809+BMILMS!$G$28,IF(AG809&lt;26.75,BMILMS!$D$29*AG809^3+BMILMS!$E$29*AG809^2+BMILMS!$F$29*AG809+BMILMS!$G$29,IF(AG809&lt;90,BMILMS!$D$30*AG809^3+BMILMS!$E$30*AG809^2+BMILMS!$F$30*AG809+BMILMS!$G$30,IF(AG809&lt;150,BMILMS!$D$31*AG809^3+BMILMS!$E$31*AG809^2+BMILMS!$F$31*AG809+BMILMS!$G$31,BMILMS!$D$32*AG809^3+BMILMS!$E$32*AG809^2+BMILMS!$F$32*AG809+BMILMS!$G$32)))))))</f>
        <v>12.568967990000001</v>
      </c>
      <c r="AF809" s="24">
        <f>IF(D809="M",(IF(AG809&lt;90,BMILMS!$D$14*AG809^3+BMILMS!$E$14*AG809^2+BMILMS!$F$14*AG809+BMILMS!$G$14,BMILMS!$D$15*AG809^3+BMILMS!$E$15*AG809^2+BMILMS!$F$15*AG809+BMILMS!$G$15)),(IF(AG809&lt;90,BMILMS!$D$17*AG809^3+BMILMS!$E$17*AG809^2+BMILMS!$F$17*AG809+BMILMS!$G$17,BMILMS!$D$18*AG809^3+BMILMS!$E$18*AG809^2+BMILMS!$F$18*AG809+BMILMS!$G$18)))</f>
        <v>8.8969350000000003E-2</v>
      </c>
      <c r="AG809" s="24">
        <f t="shared" si="208"/>
        <v>0</v>
      </c>
      <c r="AI809" s="38">
        <f>IF(D809="M",WeightSDS!P$5*$AG809^7+WeightSDS!Q$5*$AG809^6+WeightSDS!R$5*$AG809^5+WeightSDS!S$5*$AG809^4+WeightSDS!T$5*$AG809^3+WeightSDS!U$5*$AG809^2+WeightSDS!V$5*$AG809+WeightSDS!W$5,IF($AG809&lt;186,WeightSDS!P$8*$AG809^7+WeightSDS!Q$8*$AG809^6+WeightSDS!R$8*$AG809^5+WeightSDS!S$8*$AG809^4+WeightSDS!T$8*$AG809^3+WeightSDS!U$8*$AG809^2+WeightSDS!V$8*$AG809+WeightSDS!W$8,WeightSDS!$U$9-WeightSDS!$V$9*($AG809-WeightSDS!$W$9)))</f>
        <v>0.75407122999999998</v>
      </c>
      <c r="AJ809" s="24">
        <f>IF(D809="M",IF($AG809&lt;45,WeightSDS!M$23*$AG809^10+WeightSDS!N$23*$AG809^9+WeightSDS!O$23*$AG809^8+WeightSDS!P$23*$AG809^7+WeightSDS!Q$23*$AG809^6+WeightSDS!R$23*$AG809^5+WeightSDS!S$23*$AG809^4+WeightSDS!T$23*$AG809^3+WeightSDS!U$23*$AG809^2+WeightSDS!V$23*$AG809+WeightSDS!W$23,IF($AG809&lt;153,WeightSDS!M$25*$AG809^10+WeightSDS!N$25*$AG809^9+WeightSDS!O$25*$AG809^8+WeightSDS!P$25*$AG809^7+WeightSDS!Q$25*$AG809^6+WeightSDS!R$25*$AG809^5+WeightSDS!S$25*$AG809^4+WeightSDS!T$25*$AG809^3+WeightSDS!U$25*$AG809^2+WeightSDS!V$25*$AG809+WeightSDS!W$25,WeightSDS!M$27+WeightSDS!N$27/(1+EXP(WeightSDS!O$27+WeightSDS!P$27*$AG809)))),IF($AG809&lt;43.8,WeightSDS!M$29*$AG809^10+WeightSDS!N$29*$AG809^9+WeightSDS!O$29*$AG809^8+WeightSDS!P$29*$AG809^7+WeightSDS!Q$29*$AG809^6+WeightSDS!R$29*$AG809^5+WeightSDS!S$29*$AG809^4+WeightSDS!T$29*$AG809^3+WeightSDS!U$29*$AG809^2+WeightSDS!V$29*$AG809+WeightSDS!W$29-0.010431*(1-$AG809/210),IF($AG809&lt;123,WeightSDS!M$30*$AG809^10+WeightSDS!N$30*$AG809^9+WeightSDS!O$30*$AG809^8+WeightSDS!P$30*$AG809^7+WeightSDS!Q$30*$AG809^6+WeightSDS!R$30*$AG809^5+WeightSDS!S$30*$AG809^4+WeightSDS!T$30*$AG809^3+WeightSDS!U$30*$AG809^2+WeightSDS!V$30*$AG809+WeightSDS!W$30-0.010431*(1-1/$AG809),WeightSDS!M$32+WeightSDS!N$32/(1+EXP(WeightSDS!O$32+WeightSDS!P$32*$AG809))-0.010431*(1-$AG809/210))))</f>
        <v>2.9500001032655536</v>
      </c>
      <c r="AK809" s="24">
        <f>IF(D809="M",IF($AG809&lt;162,WeightSDS!P$12*$AG809^7+WeightSDS!Q$12*$AG809^6+WeightSDS!R$12*$AG809^5+WeightSDS!S$12*$AG809^4+WeightSDS!T$12*$AG809^3+WeightSDS!U$12*$AG809^2+WeightSDS!V$12*$AG809+WeightSDS!W$12,WeightSDS!P$14*$AG809^7+WeightSDS!Q$14*$AG809^6+WeightSDS!R$14*$AG809^5+WeightSDS!S$14*$AG809^4+WeightSDS!T$14*$AG809^3+WeightSDS!U$14*$AG809^2+WeightSDS!V$14*$AG809+WeightSDS!W$14),IF($AG809&lt;156,WeightSDS!O$17*$AG809^8+WeightSDS!P$17*$AG809^7+WeightSDS!Q$17*$AG809^6+WeightSDS!R$17*$AG809^5+WeightSDS!S$17*$AG809^4+WeightSDS!T$17*$AG809^3+WeightSDS!U$17*$AG809^2+WeightSDS!V$17*$AG809+WeightSDS!W$17,IF($AG809&lt;186,WeightSDS!$U$18+(WeightSDS!$V$18-WeightSDS!$U$18)/24*($AG809-186)+WeightSDS!$W$18*(-$AG809+186)^2-0.005,WeightSDS!$U$18+(WeightSDS!$V$18-WeightSDS!$U$18)/24*($AG809-186)-0.005)))</f>
        <v>0.14604529399999999</v>
      </c>
    </row>
    <row r="810" spans="1:37">
      <c r="A810" s="4"/>
      <c r="B810" s="21"/>
      <c r="C810" s="21"/>
      <c r="D810" s="21"/>
      <c r="E810" s="22"/>
      <c r="F810" s="22"/>
      <c r="G810" s="23"/>
      <c r="H810" s="23"/>
      <c r="I810" s="8" t="str">
        <f t="shared" si="194"/>
        <v/>
      </c>
      <c r="J810" s="2" t="str">
        <f t="shared" si="201"/>
        <v/>
      </c>
      <c r="K810" s="2" t="str">
        <f t="shared" si="195"/>
        <v/>
      </c>
      <c r="L810" s="2" t="str">
        <f t="shared" si="202"/>
        <v/>
      </c>
      <c r="M810" s="2" t="str">
        <f t="shared" si="207"/>
        <v/>
      </c>
      <c r="N810" s="2" t="str">
        <f t="shared" si="203"/>
        <v/>
      </c>
      <c r="O810" s="8" t="str">
        <f t="shared" si="204"/>
        <v/>
      </c>
      <c r="P810" s="8" t="str">
        <f t="shared" si="205"/>
        <v/>
      </c>
      <c r="Q810" s="40" t="str">
        <f t="shared" si="196"/>
        <v/>
      </c>
      <c r="R810" s="48" t="str">
        <f t="shared" si="206"/>
        <v/>
      </c>
      <c r="S810" s="8"/>
      <c r="U810" s="35">
        <f t="shared" si="197"/>
        <v>0</v>
      </c>
      <c r="V810" s="24">
        <f t="shared" si="198"/>
        <v>0</v>
      </c>
      <c r="W810" s="41">
        <f t="shared" si="209"/>
        <v>0</v>
      </c>
      <c r="X810" s="31"/>
      <c r="Y810" s="31"/>
      <c r="Z810" s="31"/>
      <c r="AA810" s="25">
        <f t="shared" si="199"/>
        <v>9.0359999999999996</v>
      </c>
      <c r="AB810" s="25">
        <f t="shared" si="200"/>
        <v>-184.49199999999999</v>
      </c>
      <c r="AD810" s="24">
        <f>IF(D810="M",IF(AG810&lt;78,BMILMS!$D$5*AG810^3+BMILMS!$E$5*AG810^2+BMILMS!$F$5*AG810+BMILMS!$G$5,IF(AG810&lt;150,BMILMS!$D$6*AG810^3+BMILMS!$E$6*AG810^2+BMILMS!$F$6*AG810+BMILMS!$G$6,BMILMS!$D$7*AG810^3+BMILMS!$E$7*AG810^2+BMILMS!$F$7*AG810+BMILMS!$G$7)),IF(AG810&lt;69,BMILMS!$D$9*AG810^3+BMILMS!$E$9*AG810^2+BMILMS!$F$9*AG810+BMILMS!$G$9,IF(AG810&lt;150,BMILMS!$D$10*AG810^3+BMILMS!$E$10*AG810^2+BMILMS!$F$10*AG810+BMILMS!$G$10,BMILMS!$D$11*AG810^3+BMILMS!$E$11*AG810^2+BMILMS!$F$11*AG810+BMILMS!$G$11)))</f>
        <v>0.79584630099999998</v>
      </c>
      <c r="AE810" s="24">
        <f>IF(D810="M",(IF(AG810&lt;2.5,BMILMS!$D$21*AG810^3+BMILMS!$E$21*AG810^2+BMILMS!$F$21*AG810+BMILMS!$G$21,IF(AG810&lt;9.5,BMILMS!$D$22*AG810^3+BMILMS!$E$22*AG810^2+BMILMS!$F$22*AG810+BMILMS!$G$22,IF(AG810&lt;26.75,BMILMS!$D$23*AG810^3+BMILMS!$E$23*AG810^2+BMILMS!$F$23*AG810+BMILMS!$G$23,IF(AG810&lt;90,BMILMS!$D$24*AG810^3+BMILMS!$E$24*AG810^2+BMILMS!$F$24*AG810+BMILMS!$G$24,BMILMS!$D$25*AG810^3+BMILMS!$E$25*AG810^2+BMILMS!$F$25*AG810+BMILMS!$G$25))))),(IF(AG810&lt;2.5,BMILMS!$D$27*AG810^3+BMILMS!$E$27*AG810^2+BMILMS!$F$27*AG810+BMILMS!$G$27,IF(AG810&lt;9.5,BMILMS!$D$28*AG810^3+BMILMS!$E$28*AG810^2+BMILMS!$F$28*AG810+BMILMS!$G$28,IF(AG810&lt;26.75,BMILMS!$D$29*AG810^3+BMILMS!$E$29*AG810^2+BMILMS!$F$29*AG810+BMILMS!$G$29,IF(AG810&lt;90,BMILMS!$D$30*AG810^3+BMILMS!$E$30*AG810^2+BMILMS!$F$30*AG810+BMILMS!$G$30,IF(AG810&lt;150,BMILMS!$D$31*AG810^3+BMILMS!$E$31*AG810^2+BMILMS!$F$31*AG810+BMILMS!$G$31,BMILMS!$D$32*AG810^3+BMILMS!$E$32*AG810^2+BMILMS!$F$32*AG810+BMILMS!$G$32)))))))</f>
        <v>12.568967990000001</v>
      </c>
      <c r="AF810" s="24">
        <f>IF(D810="M",(IF(AG810&lt;90,BMILMS!$D$14*AG810^3+BMILMS!$E$14*AG810^2+BMILMS!$F$14*AG810+BMILMS!$G$14,BMILMS!$D$15*AG810^3+BMILMS!$E$15*AG810^2+BMILMS!$F$15*AG810+BMILMS!$G$15)),(IF(AG810&lt;90,BMILMS!$D$17*AG810^3+BMILMS!$E$17*AG810^2+BMILMS!$F$17*AG810+BMILMS!$G$17,BMILMS!$D$18*AG810^3+BMILMS!$E$18*AG810^2+BMILMS!$F$18*AG810+BMILMS!$G$18)))</f>
        <v>8.8969350000000003E-2</v>
      </c>
      <c r="AG810" s="24">
        <f t="shared" si="208"/>
        <v>0</v>
      </c>
      <c r="AI810" s="38">
        <f>IF(D810="M",WeightSDS!P$5*$AG810^7+WeightSDS!Q$5*$AG810^6+WeightSDS!R$5*$AG810^5+WeightSDS!S$5*$AG810^4+WeightSDS!T$5*$AG810^3+WeightSDS!U$5*$AG810^2+WeightSDS!V$5*$AG810+WeightSDS!W$5,IF($AG810&lt;186,WeightSDS!P$8*$AG810^7+WeightSDS!Q$8*$AG810^6+WeightSDS!R$8*$AG810^5+WeightSDS!S$8*$AG810^4+WeightSDS!T$8*$AG810^3+WeightSDS!U$8*$AG810^2+WeightSDS!V$8*$AG810+WeightSDS!W$8,WeightSDS!$U$9-WeightSDS!$V$9*($AG810-WeightSDS!$W$9)))</f>
        <v>0.75407122999999998</v>
      </c>
      <c r="AJ810" s="24">
        <f>IF(D810="M",IF($AG810&lt;45,WeightSDS!M$23*$AG810^10+WeightSDS!N$23*$AG810^9+WeightSDS!O$23*$AG810^8+WeightSDS!P$23*$AG810^7+WeightSDS!Q$23*$AG810^6+WeightSDS!R$23*$AG810^5+WeightSDS!S$23*$AG810^4+WeightSDS!T$23*$AG810^3+WeightSDS!U$23*$AG810^2+WeightSDS!V$23*$AG810+WeightSDS!W$23,IF($AG810&lt;153,WeightSDS!M$25*$AG810^10+WeightSDS!N$25*$AG810^9+WeightSDS!O$25*$AG810^8+WeightSDS!P$25*$AG810^7+WeightSDS!Q$25*$AG810^6+WeightSDS!R$25*$AG810^5+WeightSDS!S$25*$AG810^4+WeightSDS!T$25*$AG810^3+WeightSDS!U$25*$AG810^2+WeightSDS!V$25*$AG810+WeightSDS!W$25,WeightSDS!M$27+WeightSDS!N$27/(1+EXP(WeightSDS!O$27+WeightSDS!P$27*$AG810)))),IF($AG810&lt;43.8,WeightSDS!M$29*$AG810^10+WeightSDS!N$29*$AG810^9+WeightSDS!O$29*$AG810^8+WeightSDS!P$29*$AG810^7+WeightSDS!Q$29*$AG810^6+WeightSDS!R$29*$AG810^5+WeightSDS!S$29*$AG810^4+WeightSDS!T$29*$AG810^3+WeightSDS!U$29*$AG810^2+WeightSDS!V$29*$AG810+WeightSDS!W$29-0.010431*(1-$AG810/210),IF($AG810&lt;123,WeightSDS!M$30*$AG810^10+WeightSDS!N$30*$AG810^9+WeightSDS!O$30*$AG810^8+WeightSDS!P$30*$AG810^7+WeightSDS!Q$30*$AG810^6+WeightSDS!R$30*$AG810^5+WeightSDS!S$30*$AG810^4+WeightSDS!T$30*$AG810^3+WeightSDS!U$30*$AG810^2+WeightSDS!V$30*$AG810+WeightSDS!W$30-0.010431*(1-1/$AG810),WeightSDS!M$32+WeightSDS!N$32/(1+EXP(WeightSDS!O$32+WeightSDS!P$32*$AG810))-0.010431*(1-$AG810/210))))</f>
        <v>2.9500001032655536</v>
      </c>
      <c r="AK810" s="24">
        <f>IF(D810="M",IF($AG810&lt;162,WeightSDS!P$12*$AG810^7+WeightSDS!Q$12*$AG810^6+WeightSDS!R$12*$AG810^5+WeightSDS!S$12*$AG810^4+WeightSDS!T$12*$AG810^3+WeightSDS!U$12*$AG810^2+WeightSDS!V$12*$AG810+WeightSDS!W$12,WeightSDS!P$14*$AG810^7+WeightSDS!Q$14*$AG810^6+WeightSDS!R$14*$AG810^5+WeightSDS!S$14*$AG810^4+WeightSDS!T$14*$AG810^3+WeightSDS!U$14*$AG810^2+WeightSDS!V$14*$AG810+WeightSDS!W$14),IF($AG810&lt;156,WeightSDS!O$17*$AG810^8+WeightSDS!P$17*$AG810^7+WeightSDS!Q$17*$AG810^6+WeightSDS!R$17*$AG810^5+WeightSDS!S$17*$AG810^4+WeightSDS!T$17*$AG810^3+WeightSDS!U$17*$AG810^2+WeightSDS!V$17*$AG810+WeightSDS!W$17,IF($AG810&lt;186,WeightSDS!$U$18+(WeightSDS!$V$18-WeightSDS!$U$18)/24*($AG810-186)+WeightSDS!$W$18*(-$AG810+186)^2-0.005,WeightSDS!$U$18+(WeightSDS!$V$18-WeightSDS!$U$18)/24*($AG810-186)-0.005)))</f>
        <v>0.14604529399999999</v>
      </c>
    </row>
    <row r="811" spans="1:37">
      <c r="A811" s="4"/>
      <c r="B811" s="21"/>
      <c r="C811" s="21"/>
      <c r="D811" s="21"/>
      <c r="E811" s="22"/>
      <c r="F811" s="22"/>
      <c r="G811" s="23"/>
      <c r="H811" s="23"/>
      <c r="I811" s="8" t="str">
        <f t="shared" si="194"/>
        <v/>
      </c>
      <c r="J811" s="2" t="str">
        <f t="shared" si="201"/>
        <v/>
      </c>
      <c r="K811" s="2" t="str">
        <f t="shared" si="195"/>
        <v/>
      </c>
      <c r="L811" s="2" t="str">
        <f t="shared" si="202"/>
        <v/>
      </c>
      <c r="M811" s="2" t="str">
        <f t="shared" si="207"/>
        <v/>
      </c>
      <c r="N811" s="2" t="str">
        <f t="shared" si="203"/>
        <v/>
      </c>
      <c r="O811" s="8" t="str">
        <f t="shared" si="204"/>
        <v/>
      </c>
      <c r="P811" s="8" t="str">
        <f t="shared" si="205"/>
        <v/>
      </c>
      <c r="Q811" s="40" t="str">
        <f t="shared" si="196"/>
        <v/>
      </c>
      <c r="R811" s="48" t="str">
        <f t="shared" si="206"/>
        <v/>
      </c>
      <c r="S811" s="8"/>
      <c r="U811" s="35">
        <f t="shared" si="197"/>
        <v>0</v>
      </c>
      <c r="V811" s="24">
        <f t="shared" si="198"/>
        <v>0</v>
      </c>
      <c r="W811" s="41">
        <f t="shared" si="209"/>
        <v>0</v>
      </c>
      <c r="X811" s="31"/>
      <c r="Y811" s="31"/>
      <c r="Z811" s="31"/>
      <c r="AA811" s="25">
        <f t="shared" si="199"/>
        <v>9.0359999999999996</v>
      </c>
      <c r="AB811" s="25">
        <f t="shared" si="200"/>
        <v>-184.49199999999999</v>
      </c>
      <c r="AD811" s="24">
        <f>IF(D811="M",IF(AG811&lt;78,BMILMS!$D$5*AG811^3+BMILMS!$E$5*AG811^2+BMILMS!$F$5*AG811+BMILMS!$G$5,IF(AG811&lt;150,BMILMS!$D$6*AG811^3+BMILMS!$E$6*AG811^2+BMILMS!$F$6*AG811+BMILMS!$G$6,BMILMS!$D$7*AG811^3+BMILMS!$E$7*AG811^2+BMILMS!$F$7*AG811+BMILMS!$G$7)),IF(AG811&lt;69,BMILMS!$D$9*AG811^3+BMILMS!$E$9*AG811^2+BMILMS!$F$9*AG811+BMILMS!$G$9,IF(AG811&lt;150,BMILMS!$D$10*AG811^3+BMILMS!$E$10*AG811^2+BMILMS!$F$10*AG811+BMILMS!$G$10,BMILMS!$D$11*AG811^3+BMILMS!$E$11*AG811^2+BMILMS!$F$11*AG811+BMILMS!$G$11)))</f>
        <v>0.79584630099999998</v>
      </c>
      <c r="AE811" s="24">
        <f>IF(D811="M",(IF(AG811&lt;2.5,BMILMS!$D$21*AG811^3+BMILMS!$E$21*AG811^2+BMILMS!$F$21*AG811+BMILMS!$G$21,IF(AG811&lt;9.5,BMILMS!$D$22*AG811^3+BMILMS!$E$22*AG811^2+BMILMS!$F$22*AG811+BMILMS!$G$22,IF(AG811&lt;26.75,BMILMS!$D$23*AG811^3+BMILMS!$E$23*AG811^2+BMILMS!$F$23*AG811+BMILMS!$G$23,IF(AG811&lt;90,BMILMS!$D$24*AG811^3+BMILMS!$E$24*AG811^2+BMILMS!$F$24*AG811+BMILMS!$G$24,BMILMS!$D$25*AG811^3+BMILMS!$E$25*AG811^2+BMILMS!$F$25*AG811+BMILMS!$G$25))))),(IF(AG811&lt;2.5,BMILMS!$D$27*AG811^3+BMILMS!$E$27*AG811^2+BMILMS!$F$27*AG811+BMILMS!$G$27,IF(AG811&lt;9.5,BMILMS!$D$28*AG811^3+BMILMS!$E$28*AG811^2+BMILMS!$F$28*AG811+BMILMS!$G$28,IF(AG811&lt;26.75,BMILMS!$D$29*AG811^3+BMILMS!$E$29*AG811^2+BMILMS!$F$29*AG811+BMILMS!$G$29,IF(AG811&lt;90,BMILMS!$D$30*AG811^3+BMILMS!$E$30*AG811^2+BMILMS!$F$30*AG811+BMILMS!$G$30,IF(AG811&lt;150,BMILMS!$D$31*AG811^3+BMILMS!$E$31*AG811^2+BMILMS!$F$31*AG811+BMILMS!$G$31,BMILMS!$D$32*AG811^3+BMILMS!$E$32*AG811^2+BMILMS!$F$32*AG811+BMILMS!$G$32)))))))</f>
        <v>12.568967990000001</v>
      </c>
      <c r="AF811" s="24">
        <f>IF(D811="M",(IF(AG811&lt;90,BMILMS!$D$14*AG811^3+BMILMS!$E$14*AG811^2+BMILMS!$F$14*AG811+BMILMS!$G$14,BMILMS!$D$15*AG811^3+BMILMS!$E$15*AG811^2+BMILMS!$F$15*AG811+BMILMS!$G$15)),(IF(AG811&lt;90,BMILMS!$D$17*AG811^3+BMILMS!$E$17*AG811^2+BMILMS!$F$17*AG811+BMILMS!$G$17,BMILMS!$D$18*AG811^3+BMILMS!$E$18*AG811^2+BMILMS!$F$18*AG811+BMILMS!$G$18)))</f>
        <v>8.8969350000000003E-2</v>
      </c>
      <c r="AG811" s="24">
        <f t="shared" si="208"/>
        <v>0</v>
      </c>
      <c r="AI811" s="38">
        <f>IF(D811="M",WeightSDS!P$5*$AG811^7+WeightSDS!Q$5*$AG811^6+WeightSDS!R$5*$AG811^5+WeightSDS!S$5*$AG811^4+WeightSDS!T$5*$AG811^3+WeightSDS!U$5*$AG811^2+WeightSDS!V$5*$AG811+WeightSDS!W$5,IF($AG811&lt;186,WeightSDS!P$8*$AG811^7+WeightSDS!Q$8*$AG811^6+WeightSDS!R$8*$AG811^5+WeightSDS!S$8*$AG811^4+WeightSDS!T$8*$AG811^3+WeightSDS!U$8*$AG811^2+WeightSDS!V$8*$AG811+WeightSDS!W$8,WeightSDS!$U$9-WeightSDS!$V$9*($AG811-WeightSDS!$W$9)))</f>
        <v>0.75407122999999998</v>
      </c>
      <c r="AJ811" s="24">
        <f>IF(D811="M",IF($AG811&lt;45,WeightSDS!M$23*$AG811^10+WeightSDS!N$23*$AG811^9+WeightSDS!O$23*$AG811^8+WeightSDS!P$23*$AG811^7+WeightSDS!Q$23*$AG811^6+WeightSDS!R$23*$AG811^5+WeightSDS!S$23*$AG811^4+WeightSDS!T$23*$AG811^3+WeightSDS!U$23*$AG811^2+WeightSDS!V$23*$AG811+WeightSDS!W$23,IF($AG811&lt;153,WeightSDS!M$25*$AG811^10+WeightSDS!N$25*$AG811^9+WeightSDS!O$25*$AG811^8+WeightSDS!P$25*$AG811^7+WeightSDS!Q$25*$AG811^6+WeightSDS!R$25*$AG811^5+WeightSDS!S$25*$AG811^4+WeightSDS!T$25*$AG811^3+WeightSDS!U$25*$AG811^2+WeightSDS!V$25*$AG811+WeightSDS!W$25,WeightSDS!M$27+WeightSDS!N$27/(1+EXP(WeightSDS!O$27+WeightSDS!P$27*$AG811)))),IF($AG811&lt;43.8,WeightSDS!M$29*$AG811^10+WeightSDS!N$29*$AG811^9+WeightSDS!O$29*$AG811^8+WeightSDS!P$29*$AG811^7+WeightSDS!Q$29*$AG811^6+WeightSDS!R$29*$AG811^5+WeightSDS!S$29*$AG811^4+WeightSDS!T$29*$AG811^3+WeightSDS!U$29*$AG811^2+WeightSDS!V$29*$AG811+WeightSDS!W$29-0.010431*(1-$AG811/210),IF($AG811&lt;123,WeightSDS!M$30*$AG811^10+WeightSDS!N$30*$AG811^9+WeightSDS!O$30*$AG811^8+WeightSDS!P$30*$AG811^7+WeightSDS!Q$30*$AG811^6+WeightSDS!R$30*$AG811^5+WeightSDS!S$30*$AG811^4+WeightSDS!T$30*$AG811^3+WeightSDS!U$30*$AG811^2+WeightSDS!V$30*$AG811+WeightSDS!W$30-0.010431*(1-1/$AG811),WeightSDS!M$32+WeightSDS!N$32/(1+EXP(WeightSDS!O$32+WeightSDS!P$32*$AG811))-0.010431*(1-$AG811/210))))</f>
        <v>2.9500001032655536</v>
      </c>
      <c r="AK811" s="24">
        <f>IF(D811="M",IF($AG811&lt;162,WeightSDS!P$12*$AG811^7+WeightSDS!Q$12*$AG811^6+WeightSDS!R$12*$AG811^5+WeightSDS!S$12*$AG811^4+WeightSDS!T$12*$AG811^3+WeightSDS!U$12*$AG811^2+WeightSDS!V$12*$AG811+WeightSDS!W$12,WeightSDS!P$14*$AG811^7+WeightSDS!Q$14*$AG811^6+WeightSDS!R$14*$AG811^5+WeightSDS!S$14*$AG811^4+WeightSDS!T$14*$AG811^3+WeightSDS!U$14*$AG811^2+WeightSDS!V$14*$AG811+WeightSDS!W$14),IF($AG811&lt;156,WeightSDS!O$17*$AG811^8+WeightSDS!P$17*$AG811^7+WeightSDS!Q$17*$AG811^6+WeightSDS!R$17*$AG811^5+WeightSDS!S$17*$AG811^4+WeightSDS!T$17*$AG811^3+WeightSDS!U$17*$AG811^2+WeightSDS!V$17*$AG811+WeightSDS!W$17,IF($AG811&lt;186,WeightSDS!$U$18+(WeightSDS!$V$18-WeightSDS!$U$18)/24*($AG811-186)+WeightSDS!$W$18*(-$AG811+186)^2-0.005,WeightSDS!$U$18+(WeightSDS!$V$18-WeightSDS!$U$18)/24*($AG811-186)-0.005)))</f>
        <v>0.14604529399999999</v>
      </c>
    </row>
    <row r="812" spans="1:37">
      <c r="A812" s="4"/>
      <c r="B812" s="21"/>
      <c r="C812" s="21"/>
      <c r="D812" s="21"/>
      <c r="E812" s="22"/>
      <c r="F812" s="22"/>
      <c r="G812" s="23"/>
      <c r="H812" s="23"/>
      <c r="I812" s="8" t="str">
        <f t="shared" si="194"/>
        <v/>
      </c>
      <c r="J812" s="2" t="str">
        <f t="shared" si="201"/>
        <v/>
      </c>
      <c r="K812" s="2" t="str">
        <f t="shared" si="195"/>
        <v/>
      </c>
      <c r="L812" s="2" t="str">
        <f t="shared" si="202"/>
        <v/>
      </c>
      <c r="M812" s="2" t="str">
        <f t="shared" si="207"/>
        <v/>
      </c>
      <c r="N812" s="2" t="str">
        <f t="shared" si="203"/>
        <v/>
      </c>
      <c r="O812" s="8" t="str">
        <f t="shared" si="204"/>
        <v/>
      </c>
      <c r="P812" s="8" t="str">
        <f t="shared" si="205"/>
        <v/>
      </c>
      <c r="Q812" s="40" t="str">
        <f t="shared" si="196"/>
        <v/>
      </c>
      <c r="R812" s="48" t="str">
        <f t="shared" si="206"/>
        <v/>
      </c>
      <c r="S812" s="8"/>
      <c r="U812" s="35">
        <f t="shared" si="197"/>
        <v>0</v>
      </c>
      <c r="V812" s="24">
        <f t="shared" si="198"/>
        <v>0</v>
      </c>
      <c r="W812" s="41">
        <f t="shared" si="209"/>
        <v>0</v>
      </c>
      <c r="X812" s="31"/>
      <c r="Y812" s="31"/>
      <c r="Z812" s="31"/>
      <c r="AA812" s="25">
        <f t="shared" si="199"/>
        <v>9.0359999999999996</v>
      </c>
      <c r="AB812" s="25">
        <f t="shared" si="200"/>
        <v>-184.49199999999999</v>
      </c>
      <c r="AD812" s="24">
        <f>IF(D812="M",IF(AG812&lt;78,BMILMS!$D$5*AG812^3+BMILMS!$E$5*AG812^2+BMILMS!$F$5*AG812+BMILMS!$G$5,IF(AG812&lt;150,BMILMS!$D$6*AG812^3+BMILMS!$E$6*AG812^2+BMILMS!$F$6*AG812+BMILMS!$G$6,BMILMS!$D$7*AG812^3+BMILMS!$E$7*AG812^2+BMILMS!$F$7*AG812+BMILMS!$G$7)),IF(AG812&lt;69,BMILMS!$D$9*AG812^3+BMILMS!$E$9*AG812^2+BMILMS!$F$9*AG812+BMILMS!$G$9,IF(AG812&lt;150,BMILMS!$D$10*AG812^3+BMILMS!$E$10*AG812^2+BMILMS!$F$10*AG812+BMILMS!$G$10,BMILMS!$D$11*AG812^3+BMILMS!$E$11*AG812^2+BMILMS!$F$11*AG812+BMILMS!$G$11)))</f>
        <v>0.79584630099999998</v>
      </c>
      <c r="AE812" s="24">
        <f>IF(D812="M",(IF(AG812&lt;2.5,BMILMS!$D$21*AG812^3+BMILMS!$E$21*AG812^2+BMILMS!$F$21*AG812+BMILMS!$G$21,IF(AG812&lt;9.5,BMILMS!$D$22*AG812^3+BMILMS!$E$22*AG812^2+BMILMS!$F$22*AG812+BMILMS!$G$22,IF(AG812&lt;26.75,BMILMS!$D$23*AG812^3+BMILMS!$E$23*AG812^2+BMILMS!$F$23*AG812+BMILMS!$G$23,IF(AG812&lt;90,BMILMS!$D$24*AG812^3+BMILMS!$E$24*AG812^2+BMILMS!$F$24*AG812+BMILMS!$G$24,BMILMS!$D$25*AG812^3+BMILMS!$E$25*AG812^2+BMILMS!$F$25*AG812+BMILMS!$G$25))))),(IF(AG812&lt;2.5,BMILMS!$D$27*AG812^3+BMILMS!$E$27*AG812^2+BMILMS!$F$27*AG812+BMILMS!$G$27,IF(AG812&lt;9.5,BMILMS!$D$28*AG812^3+BMILMS!$E$28*AG812^2+BMILMS!$F$28*AG812+BMILMS!$G$28,IF(AG812&lt;26.75,BMILMS!$D$29*AG812^3+BMILMS!$E$29*AG812^2+BMILMS!$F$29*AG812+BMILMS!$G$29,IF(AG812&lt;90,BMILMS!$D$30*AG812^3+BMILMS!$E$30*AG812^2+BMILMS!$F$30*AG812+BMILMS!$G$30,IF(AG812&lt;150,BMILMS!$D$31*AG812^3+BMILMS!$E$31*AG812^2+BMILMS!$F$31*AG812+BMILMS!$G$31,BMILMS!$D$32*AG812^3+BMILMS!$E$32*AG812^2+BMILMS!$F$32*AG812+BMILMS!$G$32)))))))</f>
        <v>12.568967990000001</v>
      </c>
      <c r="AF812" s="24">
        <f>IF(D812="M",(IF(AG812&lt;90,BMILMS!$D$14*AG812^3+BMILMS!$E$14*AG812^2+BMILMS!$F$14*AG812+BMILMS!$G$14,BMILMS!$D$15*AG812^3+BMILMS!$E$15*AG812^2+BMILMS!$F$15*AG812+BMILMS!$G$15)),(IF(AG812&lt;90,BMILMS!$D$17*AG812^3+BMILMS!$E$17*AG812^2+BMILMS!$F$17*AG812+BMILMS!$G$17,BMILMS!$D$18*AG812^3+BMILMS!$E$18*AG812^2+BMILMS!$F$18*AG812+BMILMS!$G$18)))</f>
        <v>8.8969350000000003E-2</v>
      </c>
      <c r="AG812" s="24">
        <f t="shared" si="208"/>
        <v>0</v>
      </c>
      <c r="AI812" s="38">
        <f>IF(D812="M",WeightSDS!P$5*$AG812^7+WeightSDS!Q$5*$AG812^6+WeightSDS!R$5*$AG812^5+WeightSDS!S$5*$AG812^4+WeightSDS!T$5*$AG812^3+WeightSDS!U$5*$AG812^2+WeightSDS!V$5*$AG812+WeightSDS!W$5,IF($AG812&lt;186,WeightSDS!P$8*$AG812^7+WeightSDS!Q$8*$AG812^6+WeightSDS!R$8*$AG812^5+WeightSDS!S$8*$AG812^4+WeightSDS!T$8*$AG812^3+WeightSDS!U$8*$AG812^2+WeightSDS!V$8*$AG812+WeightSDS!W$8,WeightSDS!$U$9-WeightSDS!$V$9*($AG812-WeightSDS!$W$9)))</f>
        <v>0.75407122999999998</v>
      </c>
      <c r="AJ812" s="24">
        <f>IF(D812="M",IF($AG812&lt;45,WeightSDS!M$23*$AG812^10+WeightSDS!N$23*$AG812^9+WeightSDS!O$23*$AG812^8+WeightSDS!P$23*$AG812^7+WeightSDS!Q$23*$AG812^6+WeightSDS!R$23*$AG812^5+WeightSDS!S$23*$AG812^4+WeightSDS!T$23*$AG812^3+WeightSDS!U$23*$AG812^2+WeightSDS!V$23*$AG812+WeightSDS!W$23,IF($AG812&lt;153,WeightSDS!M$25*$AG812^10+WeightSDS!N$25*$AG812^9+WeightSDS!O$25*$AG812^8+WeightSDS!P$25*$AG812^7+WeightSDS!Q$25*$AG812^6+WeightSDS!R$25*$AG812^5+WeightSDS!S$25*$AG812^4+WeightSDS!T$25*$AG812^3+WeightSDS!U$25*$AG812^2+WeightSDS!V$25*$AG812+WeightSDS!W$25,WeightSDS!M$27+WeightSDS!N$27/(1+EXP(WeightSDS!O$27+WeightSDS!P$27*$AG812)))),IF($AG812&lt;43.8,WeightSDS!M$29*$AG812^10+WeightSDS!N$29*$AG812^9+WeightSDS!O$29*$AG812^8+WeightSDS!P$29*$AG812^7+WeightSDS!Q$29*$AG812^6+WeightSDS!R$29*$AG812^5+WeightSDS!S$29*$AG812^4+WeightSDS!T$29*$AG812^3+WeightSDS!U$29*$AG812^2+WeightSDS!V$29*$AG812+WeightSDS!W$29-0.010431*(1-$AG812/210),IF($AG812&lt;123,WeightSDS!M$30*$AG812^10+WeightSDS!N$30*$AG812^9+WeightSDS!O$30*$AG812^8+WeightSDS!P$30*$AG812^7+WeightSDS!Q$30*$AG812^6+WeightSDS!R$30*$AG812^5+WeightSDS!S$30*$AG812^4+WeightSDS!T$30*$AG812^3+WeightSDS!U$30*$AG812^2+WeightSDS!V$30*$AG812+WeightSDS!W$30-0.010431*(1-1/$AG812),WeightSDS!M$32+WeightSDS!N$32/(1+EXP(WeightSDS!O$32+WeightSDS!P$32*$AG812))-0.010431*(1-$AG812/210))))</f>
        <v>2.9500001032655536</v>
      </c>
      <c r="AK812" s="24">
        <f>IF(D812="M",IF($AG812&lt;162,WeightSDS!P$12*$AG812^7+WeightSDS!Q$12*$AG812^6+WeightSDS!R$12*$AG812^5+WeightSDS!S$12*$AG812^4+WeightSDS!T$12*$AG812^3+WeightSDS!U$12*$AG812^2+WeightSDS!V$12*$AG812+WeightSDS!W$12,WeightSDS!P$14*$AG812^7+WeightSDS!Q$14*$AG812^6+WeightSDS!R$14*$AG812^5+WeightSDS!S$14*$AG812^4+WeightSDS!T$14*$AG812^3+WeightSDS!U$14*$AG812^2+WeightSDS!V$14*$AG812+WeightSDS!W$14),IF($AG812&lt;156,WeightSDS!O$17*$AG812^8+WeightSDS!P$17*$AG812^7+WeightSDS!Q$17*$AG812^6+WeightSDS!R$17*$AG812^5+WeightSDS!S$17*$AG812^4+WeightSDS!T$17*$AG812^3+WeightSDS!U$17*$AG812^2+WeightSDS!V$17*$AG812+WeightSDS!W$17,IF($AG812&lt;186,WeightSDS!$U$18+(WeightSDS!$V$18-WeightSDS!$U$18)/24*($AG812-186)+WeightSDS!$W$18*(-$AG812+186)^2-0.005,WeightSDS!$U$18+(WeightSDS!$V$18-WeightSDS!$U$18)/24*($AG812-186)-0.005)))</f>
        <v>0.14604529399999999</v>
      </c>
    </row>
    <row r="813" spans="1:37">
      <c r="A813" s="4"/>
      <c r="B813" s="21"/>
      <c r="C813" s="21"/>
      <c r="D813" s="21"/>
      <c r="E813" s="22"/>
      <c r="F813" s="22"/>
      <c r="G813" s="23"/>
      <c r="H813" s="23"/>
      <c r="I813" s="8" t="str">
        <f t="shared" si="194"/>
        <v/>
      </c>
      <c r="J813" s="2" t="str">
        <f t="shared" si="201"/>
        <v/>
      </c>
      <c r="K813" s="2" t="str">
        <f t="shared" si="195"/>
        <v/>
      </c>
      <c r="L813" s="2" t="str">
        <f t="shared" si="202"/>
        <v/>
      </c>
      <c r="M813" s="2" t="str">
        <f t="shared" si="207"/>
        <v/>
      </c>
      <c r="N813" s="2" t="str">
        <f t="shared" si="203"/>
        <v/>
      </c>
      <c r="O813" s="8" t="str">
        <f t="shared" si="204"/>
        <v/>
      </c>
      <c r="P813" s="8" t="str">
        <f t="shared" si="205"/>
        <v/>
      </c>
      <c r="Q813" s="40" t="str">
        <f t="shared" si="196"/>
        <v/>
      </c>
      <c r="R813" s="48" t="str">
        <f t="shared" si="206"/>
        <v/>
      </c>
      <c r="S813" s="8"/>
      <c r="U813" s="35">
        <f t="shared" si="197"/>
        <v>0</v>
      </c>
      <c r="V813" s="24">
        <f t="shared" si="198"/>
        <v>0</v>
      </c>
      <c r="W813" s="41">
        <f t="shared" si="209"/>
        <v>0</v>
      </c>
      <c r="X813" s="31"/>
      <c r="Y813" s="31"/>
      <c r="Z813" s="31"/>
      <c r="AA813" s="25">
        <f t="shared" si="199"/>
        <v>9.0359999999999996</v>
      </c>
      <c r="AB813" s="25">
        <f t="shared" si="200"/>
        <v>-184.49199999999999</v>
      </c>
      <c r="AD813" s="24">
        <f>IF(D813="M",IF(AG813&lt;78,BMILMS!$D$5*AG813^3+BMILMS!$E$5*AG813^2+BMILMS!$F$5*AG813+BMILMS!$G$5,IF(AG813&lt;150,BMILMS!$D$6*AG813^3+BMILMS!$E$6*AG813^2+BMILMS!$F$6*AG813+BMILMS!$G$6,BMILMS!$D$7*AG813^3+BMILMS!$E$7*AG813^2+BMILMS!$F$7*AG813+BMILMS!$G$7)),IF(AG813&lt;69,BMILMS!$D$9*AG813^3+BMILMS!$E$9*AG813^2+BMILMS!$F$9*AG813+BMILMS!$G$9,IF(AG813&lt;150,BMILMS!$D$10*AG813^3+BMILMS!$E$10*AG813^2+BMILMS!$F$10*AG813+BMILMS!$G$10,BMILMS!$D$11*AG813^3+BMILMS!$E$11*AG813^2+BMILMS!$F$11*AG813+BMILMS!$G$11)))</f>
        <v>0.79584630099999998</v>
      </c>
      <c r="AE813" s="24">
        <f>IF(D813="M",(IF(AG813&lt;2.5,BMILMS!$D$21*AG813^3+BMILMS!$E$21*AG813^2+BMILMS!$F$21*AG813+BMILMS!$G$21,IF(AG813&lt;9.5,BMILMS!$D$22*AG813^3+BMILMS!$E$22*AG813^2+BMILMS!$F$22*AG813+BMILMS!$G$22,IF(AG813&lt;26.75,BMILMS!$D$23*AG813^3+BMILMS!$E$23*AG813^2+BMILMS!$F$23*AG813+BMILMS!$G$23,IF(AG813&lt;90,BMILMS!$D$24*AG813^3+BMILMS!$E$24*AG813^2+BMILMS!$F$24*AG813+BMILMS!$G$24,BMILMS!$D$25*AG813^3+BMILMS!$E$25*AG813^2+BMILMS!$F$25*AG813+BMILMS!$G$25))))),(IF(AG813&lt;2.5,BMILMS!$D$27*AG813^3+BMILMS!$E$27*AG813^2+BMILMS!$F$27*AG813+BMILMS!$G$27,IF(AG813&lt;9.5,BMILMS!$D$28*AG813^3+BMILMS!$E$28*AG813^2+BMILMS!$F$28*AG813+BMILMS!$G$28,IF(AG813&lt;26.75,BMILMS!$D$29*AG813^3+BMILMS!$E$29*AG813^2+BMILMS!$F$29*AG813+BMILMS!$G$29,IF(AG813&lt;90,BMILMS!$D$30*AG813^3+BMILMS!$E$30*AG813^2+BMILMS!$F$30*AG813+BMILMS!$G$30,IF(AG813&lt;150,BMILMS!$D$31*AG813^3+BMILMS!$E$31*AG813^2+BMILMS!$F$31*AG813+BMILMS!$G$31,BMILMS!$D$32*AG813^3+BMILMS!$E$32*AG813^2+BMILMS!$F$32*AG813+BMILMS!$G$32)))))))</f>
        <v>12.568967990000001</v>
      </c>
      <c r="AF813" s="24">
        <f>IF(D813="M",(IF(AG813&lt;90,BMILMS!$D$14*AG813^3+BMILMS!$E$14*AG813^2+BMILMS!$F$14*AG813+BMILMS!$G$14,BMILMS!$D$15*AG813^3+BMILMS!$E$15*AG813^2+BMILMS!$F$15*AG813+BMILMS!$G$15)),(IF(AG813&lt;90,BMILMS!$D$17*AG813^3+BMILMS!$E$17*AG813^2+BMILMS!$F$17*AG813+BMILMS!$G$17,BMILMS!$D$18*AG813^3+BMILMS!$E$18*AG813^2+BMILMS!$F$18*AG813+BMILMS!$G$18)))</f>
        <v>8.8969350000000003E-2</v>
      </c>
      <c r="AG813" s="24">
        <f t="shared" si="208"/>
        <v>0</v>
      </c>
      <c r="AI813" s="38">
        <f>IF(D813="M",WeightSDS!P$5*$AG813^7+WeightSDS!Q$5*$AG813^6+WeightSDS!R$5*$AG813^5+WeightSDS!S$5*$AG813^4+WeightSDS!T$5*$AG813^3+WeightSDS!U$5*$AG813^2+WeightSDS!V$5*$AG813+WeightSDS!W$5,IF($AG813&lt;186,WeightSDS!P$8*$AG813^7+WeightSDS!Q$8*$AG813^6+WeightSDS!R$8*$AG813^5+WeightSDS!S$8*$AG813^4+WeightSDS!T$8*$AG813^3+WeightSDS!U$8*$AG813^2+WeightSDS!V$8*$AG813+WeightSDS!W$8,WeightSDS!$U$9-WeightSDS!$V$9*($AG813-WeightSDS!$W$9)))</f>
        <v>0.75407122999999998</v>
      </c>
      <c r="AJ813" s="24">
        <f>IF(D813="M",IF($AG813&lt;45,WeightSDS!M$23*$AG813^10+WeightSDS!N$23*$AG813^9+WeightSDS!O$23*$AG813^8+WeightSDS!P$23*$AG813^7+WeightSDS!Q$23*$AG813^6+WeightSDS!R$23*$AG813^5+WeightSDS!S$23*$AG813^4+WeightSDS!T$23*$AG813^3+WeightSDS!U$23*$AG813^2+WeightSDS!V$23*$AG813+WeightSDS!W$23,IF($AG813&lt;153,WeightSDS!M$25*$AG813^10+WeightSDS!N$25*$AG813^9+WeightSDS!O$25*$AG813^8+WeightSDS!P$25*$AG813^7+WeightSDS!Q$25*$AG813^6+WeightSDS!R$25*$AG813^5+WeightSDS!S$25*$AG813^4+WeightSDS!T$25*$AG813^3+WeightSDS!U$25*$AG813^2+WeightSDS!V$25*$AG813+WeightSDS!W$25,WeightSDS!M$27+WeightSDS!N$27/(1+EXP(WeightSDS!O$27+WeightSDS!P$27*$AG813)))),IF($AG813&lt;43.8,WeightSDS!M$29*$AG813^10+WeightSDS!N$29*$AG813^9+WeightSDS!O$29*$AG813^8+WeightSDS!P$29*$AG813^7+WeightSDS!Q$29*$AG813^6+WeightSDS!R$29*$AG813^5+WeightSDS!S$29*$AG813^4+WeightSDS!T$29*$AG813^3+WeightSDS!U$29*$AG813^2+WeightSDS!V$29*$AG813+WeightSDS!W$29-0.010431*(1-$AG813/210),IF($AG813&lt;123,WeightSDS!M$30*$AG813^10+WeightSDS!N$30*$AG813^9+WeightSDS!O$30*$AG813^8+WeightSDS!P$30*$AG813^7+WeightSDS!Q$30*$AG813^6+WeightSDS!R$30*$AG813^5+WeightSDS!S$30*$AG813^4+WeightSDS!T$30*$AG813^3+WeightSDS!U$30*$AG813^2+WeightSDS!V$30*$AG813+WeightSDS!W$30-0.010431*(1-1/$AG813),WeightSDS!M$32+WeightSDS!N$32/(1+EXP(WeightSDS!O$32+WeightSDS!P$32*$AG813))-0.010431*(1-$AG813/210))))</f>
        <v>2.9500001032655536</v>
      </c>
      <c r="AK813" s="24">
        <f>IF(D813="M",IF($AG813&lt;162,WeightSDS!P$12*$AG813^7+WeightSDS!Q$12*$AG813^6+WeightSDS!R$12*$AG813^5+WeightSDS!S$12*$AG813^4+WeightSDS!T$12*$AG813^3+WeightSDS!U$12*$AG813^2+WeightSDS!V$12*$AG813+WeightSDS!W$12,WeightSDS!P$14*$AG813^7+WeightSDS!Q$14*$AG813^6+WeightSDS!R$14*$AG813^5+WeightSDS!S$14*$AG813^4+WeightSDS!T$14*$AG813^3+WeightSDS!U$14*$AG813^2+WeightSDS!V$14*$AG813+WeightSDS!W$14),IF($AG813&lt;156,WeightSDS!O$17*$AG813^8+WeightSDS!P$17*$AG813^7+WeightSDS!Q$17*$AG813^6+WeightSDS!R$17*$AG813^5+WeightSDS!S$17*$AG813^4+WeightSDS!T$17*$AG813^3+WeightSDS!U$17*$AG813^2+WeightSDS!V$17*$AG813+WeightSDS!W$17,IF($AG813&lt;186,WeightSDS!$U$18+(WeightSDS!$V$18-WeightSDS!$U$18)/24*($AG813-186)+WeightSDS!$W$18*(-$AG813+186)^2-0.005,WeightSDS!$U$18+(WeightSDS!$V$18-WeightSDS!$U$18)/24*($AG813-186)-0.005)))</f>
        <v>0.14604529399999999</v>
      </c>
    </row>
    <row r="814" spans="1:37">
      <c r="A814" s="4"/>
      <c r="B814" s="21"/>
      <c r="C814" s="21"/>
      <c r="D814" s="21"/>
      <c r="E814" s="22"/>
      <c r="F814" s="22"/>
      <c r="G814" s="23"/>
      <c r="H814" s="23"/>
      <c r="I814" s="8" t="str">
        <f t="shared" si="194"/>
        <v/>
      </c>
      <c r="J814" s="2" t="str">
        <f t="shared" si="201"/>
        <v/>
      </c>
      <c r="K814" s="2" t="str">
        <f t="shared" si="195"/>
        <v/>
      </c>
      <c r="L814" s="2" t="str">
        <f t="shared" si="202"/>
        <v/>
      </c>
      <c r="M814" s="2" t="str">
        <f t="shared" si="207"/>
        <v/>
      </c>
      <c r="N814" s="2" t="str">
        <f t="shared" si="203"/>
        <v/>
      </c>
      <c r="O814" s="8" t="str">
        <f t="shared" si="204"/>
        <v/>
      </c>
      <c r="P814" s="8" t="str">
        <f t="shared" si="205"/>
        <v/>
      </c>
      <c r="Q814" s="40" t="str">
        <f t="shared" si="196"/>
        <v/>
      </c>
      <c r="R814" s="48" t="str">
        <f t="shared" si="206"/>
        <v/>
      </c>
      <c r="S814" s="8"/>
      <c r="U814" s="35">
        <f t="shared" si="197"/>
        <v>0</v>
      </c>
      <c r="V814" s="24">
        <f t="shared" si="198"/>
        <v>0</v>
      </c>
      <c r="W814" s="41">
        <f t="shared" si="209"/>
        <v>0</v>
      </c>
      <c r="X814" s="31"/>
      <c r="Y814" s="31"/>
      <c r="Z814" s="31"/>
      <c r="AA814" s="25">
        <f t="shared" si="199"/>
        <v>9.0359999999999996</v>
      </c>
      <c r="AB814" s="25">
        <f t="shared" si="200"/>
        <v>-184.49199999999999</v>
      </c>
      <c r="AD814" s="24">
        <f>IF(D814="M",IF(AG814&lt;78,BMILMS!$D$5*AG814^3+BMILMS!$E$5*AG814^2+BMILMS!$F$5*AG814+BMILMS!$G$5,IF(AG814&lt;150,BMILMS!$D$6*AG814^3+BMILMS!$E$6*AG814^2+BMILMS!$F$6*AG814+BMILMS!$G$6,BMILMS!$D$7*AG814^3+BMILMS!$E$7*AG814^2+BMILMS!$F$7*AG814+BMILMS!$G$7)),IF(AG814&lt;69,BMILMS!$D$9*AG814^3+BMILMS!$E$9*AG814^2+BMILMS!$F$9*AG814+BMILMS!$G$9,IF(AG814&lt;150,BMILMS!$D$10*AG814^3+BMILMS!$E$10*AG814^2+BMILMS!$F$10*AG814+BMILMS!$G$10,BMILMS!$D$11*AG814^3+BMILMS!$E$11*AG814^2+BMILMS!$F$11*AG814+BMILMS!$G$11)))</f>
        <v>0.79584630099999998</v>
      </c>
      <c r="AE814" s="24">
        <f>IF(D814="M",(IF(AG814&lt;2.5,BMILMS!$D$21*AG814^3+BMILMS!$E$21*AG814^2+BMILMS!$F$21*AG814+BMILMS!$G$21,IF(AG814&lt;9.5,BMILMS!$D$22*AG814^3+BMILMS!$E$22*AG814^2+BMILMS!$F$22*AG814+BMILMS!$G$22,IF(AG814&lt;26.75,BMILMS!$D$23*AG814^3+BMILMS!$E$23*AG814^2+BMILMS!$F$23*AG814+BMILMS!$G$23,IF(AG814&lt;90,BMILMS!$D$24*AG814^3+BMILMS!$E$24*AG814^2+BMILMS!$F$24*AG814+BMILMS!$G$24,BMILMS!$D$25*AG814^3+BMILMS!$E$25*AG814^2+BMILMS!$F$25*AG814+BMILMS!$G$25))))),(IF(AG814&lt;2.5,BMILMS!$D$27*AG814^3+BMILMS!$E$27*AG814^2+BMILMS!$F$27*AG814+BMILMS!$G$27,IF(AG814&lt;9.5,BMILMS!$D$28*AG814^3+BMILMS!$E$28*AG814^2+BMILMS!$F$28*AG814+BMILMS!$G$28,IF(AG814&lt;26.75,BMILMS!$D$29*AG814^3+BMILMS!$E$29*AG814^2+BMILMS!$F$29*AG814+BMILMS!$G$29,IF(AG814&lt;90,BMILMS!$D$30*AG814^3+BMILMS!$E$30*AG814^2+BMILMS!$F$30*AG814+BMILMS!$G$30,IF(AG814&lt;150,BMILMS!$D$31*AG814^3+BMILMS!$E$31*AG814^2+BMILMS!$F$31*AG814+BMILMS!$G$31,BMILMS!$D$32*AG814^3+BMILMS!$E$32*AG814^2+BMILMS!$F$32*AG814+BMILMS!$G$32)))))))</f>
        <v>12.568967990000001</v>
      </c>
      <c r="AF814" s="24">
        <f>IF(D814="M",(IF(AG814&lt;90,BMILMS!$D$14*AG814^3+BMILMS!$E$14*AG814^2+BMILMS!$F$14*AG814+BMILMS!$G$14,BMILMS!$D$15*AG814^3+BMILMS!$E$15*AG814^2+BMILMS!$F$15*AG814+BMILMS!$G$15)),(IF(AG814&lt;90,BMILMS!$D$17*AG814^3+BMILMS!$E$17*AG814^2+BMILMS!$F$17*AG814+BMILMS!$G$17,BMILMS!$D$18*AG814^3+BMILMS!$E$18*AG814^2+BMILMS!$F$18*AG814+BMILMS!$G$18)))</f>
        <v>8.8969350000000003E-2</v>
      </c>
      <c r="AG814" s="24">
        <f t="shared" si="208"/>
        <v>0</v>
      </c>
      <c r="AI814" s="38">
        <f>IF(D814="M",WeightSDS!P$5*$AG814^7+WeightSDS!Q$5*$AG814^6+WeightSDS!R$5*$AG814^5+WeightSDS!S$5*$AG814^4+WeightSDS!T$5*$AG814^3+WeightSDS!U$5*$AG814^2+WeightSDS!V$5*$AG814+WeightSDS!W$5,IF($AG814&lt;186,WeightSDS!P$8*$AG814^7+WeightSDS!Q$8*$AG814^6+WeightSDS!R$8*$AG814^5+WeightSDS!S$8*$AG814^4+WeightSDS!T$8*$AG814^3+WeightSDS!U$8*$AG814^2+WeightSDS!V$8*$AG814+WeightSDS!W$8,WeightSDS!$U$9-WeightSDS!$V$9*($AG814-WeightSDS!$W$9)))</f>
        <v>0.75407122999999998</v>
      </c>
      <c r="AJ814" s="24">
        <f>IF(D814="M",IF($AG814&lt;45,WeightSDS!M$23*$AG814^10+WeightSDS!N$23*$AG814^9+WeightSDS!O$23*$AG814^8+WeightSDS!P$23*$AG814^7+WeightSDS!Q$23*$AG814^6+WeightSDS!R$23*$AG814^5+WeightSDS!S$23*$AG814^4+WeightSDS!T$23*$AG814^3+WeightSDS!U$23*$AG814^2+WeightSDS!V$23*$AG814+WeightSDS!W$23,IF($AG814&lt;153,WeightSDS!M$25*$AG814^10+WeightSDS!N$25*$AG814^9+WeightSDS!O$25*$AG814^8+WeightSDS!P$25*$AG814^7+WeightSDS!Q$25*$AG814^6+WeightSDS!R$25*$AG814^5+WeightSDS!S$25*$AG814^4+WeightSDS!T$25*$AG814^3+WeightSDS!U$25*$AG814^2+WeightSDS!V$25*$AG814+WeightSDS!W$25,WeightSDS!M$27+WeightSDS!N$27/(1+EXP(WeightSDS!O$27+WeightSDS!P$27*$AG814)))),IF($AG814&lt;43.8,WeightSDS!M$29*$AG814^10+WeightSDS!N$29*$AG814^9+WeightSDS!O$29*$AG814^8+WeightSDS!P$29*$AG814^7+WeightSDS!Q$29*$AG814^6+WeightSDS!R$29*$AG814^5+WeightSDS!S$29*$AG814^4+WeightSDS!T$29*$AG814^3+WeightSDS!U$29*$AG814^2+WeightSDS!V$29*$AG814+WeightSDS!W$29-0.010431*(1-$AG814/210),IF($AG814&lt;123,WeightSDS!M$30*$AG814^10+WeightSDS!N$30*$AG814^9+WeightSDS!O$30*$AG814^8+WeightSDS!P$30*$AG814^7+WeightSDS!Q$30*$AG814^6+WeightSDS!R$30*$AG814^5+WeightSDS!S$30*$AG814^4+WeightSDS!T$30*$AG814^3+WeightSDS!U$30*$AG814^2+WeightSDS!V$30*$AG814+WeightSDS!W$30-0.010431*(1-1/$AG814),WeightSDS!M$32+WeightSDS!N$32/(1+EXP(WeightSDS!O$32+WeightSDS!P$32*$AG814))-0.010431*(1-$AG814/210))))</f>
        <v>2.9500001032655536</v>
      </c>
      <c r="AK814" s="24">
        <f>IF(D814="M",IF($AG814&lt;162,WeightSDS!P$12*$AG814^7+WeightSDS!Q$12*$AG814^6+WeightSDS!R$12*$AG814^5+WeightSDS!S$12*$AG814^4+WeightSDS!T$12*$AG814^3+WeightSDS!U$12*$AG814^2+WeightSDS!V$12*$AG814+WeightSDS!W$12,WeightSDS!P$14*$AG814^7+WeightSDS!Q$14*$AG814^6+WeightSDS!R$14*$AG814^5+WeightSDS!S$14*$AG814^4+WeightSDS!T$14*$AG814^3+WeightSDS!U$14*$AG814^2+WeightSDS!V$14*$AG814+WeightSDS!W$14),IF($AG814&lt;156,WeightSDS!O$17*$AG814^8+WeightSDS!P$17*$AG814^7+WeightSDS!Q$17*$AG814^6+WeightSDS!R$17*$AG814^5+WeightSDS!S$17*$AG814^4+WeightSDS!T$17*$AG814^3+WeightSDS!U$17*$AG814^2+WeightSDS!V$17*$AG814+WeightSDS!W$17,IF($AG814&lt;186,WeightSDS!$U$18+(WeightSDS!$V$18-WeightSDS!$U$18)/24*($AG814-186)+WeightSDS!$W$18*(-$AG814+186)^2-0.005,WeightSDS!$U$18+(WeightSDS!$V$18-WeightSDS!$U$18)/24*($AG814-186)-0.005)))</f>
        <v>0.14604529399999999</v>
      </c>
    </row>
    <row r="815" spans="1:37">
      <c r="A815" s="4"/>
      <c r="B815" s="21"/>
      <c r="C815" s="21"/>
      <c r="D815" s="21"/>
      <c r="E815" s="22"/>
      <c r="F815" s="22"/>
      <c r="G815" s="23"/>
      <c r="H815" s="23"/>
      <c r="I815" s="8" t="str">
        <f t="shared" si="194"/>
        <v/>
      </c>
      <c r="J815" s="2" t="str">
        <f t="shared" si="201"/>
        <v/>
      </c>
      <c r="K815" s="2" t="str">
        <f t="shared" si="195"/>
        <v/>
      </c>
      <c r="L815" s="2" t="str">
        <f t="shared" si="202"/>
        <v/>
      </c>
      <c r="M815" s="2" t="str">
        <f t="shared" si="207"/>
        <v/>
      </c>
      <c r="N815" s="2" t="str">
        <f t="shared" si="203"/>
        <v/>
      </c>
      <c r="O815" s="8" t="str">
        <f t="shared" si="204"/>
        <v/>
      </c>
      <c r="P815" s="8" t="str">
        <f t="shared" si="205"/>
        <v/>
      </c>
      <c r="Q815" s="40" t="str">
        <f t="shared" si="196"/>
        <v/>
      </c>
      <c r="R815" s="48" t="str">
        <f t="shared" si="206"/>
        <v/>
      </c>
      <c r="S815" s="8"/>
      <c r="U815" s="35">
        <f t="shared" si="197"/>
        <v>0</v>
      </c>
      <c r="V815" s="24">
        <f t="shared" si="198"/>
        <v>0</v>
      </c>
      <c r="W815" s="41">
        <f t="shared" si="209"/>
        <v>0</v>
      </c>
      <c r="X815" s="31"/>
      <c r="Y815" s="31"/>
      <c r="Z815" s="31"/>
      <c r="AA815" s="25">
        <f t="shared" si="199"/>
        <v>9.0359999999999996</v>
      </c>
      <c r="AB815" s="25">
        <f t="shared" si="200"/>
        <v>-184.49199999999999</v>
      </c>
      <c r="AD815" s="24">
        <f>IF(D815="M",IF(AG815&lt;78,BMILMS!$D$5*AG815^3+BMILMS!$E$5*AG815^2+BMILMS!$F$5*AG815+BMILMS!$G$5,IF(AG815&lt;150,BMILMS!$D$6*AG815^3+BMILMS!$E$6*AG815^2+BMILMS!$F$6*AG815+BMILMS!$G$6,BMILMS!$D$7*AG815^3+BMILMS!$E$7*AG815^2+BMILMS!$F$7*AG815+BMILMS!$G$7)),IF(AG815&lt;69,BMILMS!$D$9*AG815^3+BMILMS!$E$9*AG815^2+BMILMS!$F$9*AG815+BMILMS!$G$9,IF(AG815&lt;150,BMILMS!$D$10*AG815^3+BMILMS!$E$10*AG815^2+BMILMS!$F$10*AG815+BMILMS!$G$10,BMILMS!$D$11*AG815^3+BMILMS!$E$11*AG815^2+BMILMS!$F$11*AG815+BMILMS!$G$11)))</f>
        <v>0.79584630099999998</v>
      </c>
      <c r="AE815" s="24">
        <f>IF(D815="M",(IF(AG815&lt;2.5,BMILMS!$D$21*AG815^3+BMILMS!$E$21*AG815^2+BMILMS!$F$21*AG815+BMILMS!$G$21,IF(AG815&lt;9.5,BMILMS!$D$22*AG815^3+BMILMS!$E$22*AG815^2+BMILMS!$F$22*AG815+BMILMS!$G$22,IF(AG815&lt;26.75,BMILMS!$D$23*AG815^3+BMILMS!$E$23*AG815^2+BMILMS!$F$23*AG815+BMILMS!$G$23,IF(AG815&lt;90,BMILMS!$D$24*AG815^3+BMILMS!$E$24*AG815^2+BMILMS!$F$24*AG815+BMILMS!$G$24,BMILMS!$D$25*AG815^3+BMILMS!$E$25*AG815^2+BMILMS!$F$25*AG815+BMILMS!$G$25))))),(IF(AG815&lt;2.5,BMILMS!$D$27*AG815^3+BMILMS!$E$27*AG815^2+BMILMS!$F$27*AG815+BMILMS!$G$27,IF(AG815&lt;9.5,BMILMS!$D$28*AG815^3+BMILMS!$E$28*AG815^2+BMILMS!$F$28*AG815+BMILMS!$G$28,IF(AG815&lt;26.75,BMILMS!$D$29*AG815^3+BMILMS!$E$29*AG815^2+BMILMS!$F$29*AG815+BMILMS!$G$29,IF(AG815&lt;90,BMILMS!$D$30*AG815^3+BMILMS!$E$30*AG815^2+BMILMS!$F$30*AG815+BMILMS!$G$30,IF(AG815&lt;150,BMILMS!$D$31*AG815^3+BMILMS!$E$31*AG815^2+BMILMS!$F$31*AG815+BMILMS!$G$31,BMILMS!$D$32*AG815^3+BMILMS!$E$32*AG815^2+BMILMS!$F$32*AG815+BMILMS!$G$32)))))))</f>
        <v>12.568967990000001</v>
      </c>
      <c r="AF815" s="24">
        <f>IF(D815="M",(IF(AG815&lt;90,BMILMS!$D$14*AG815^3+BMILMS!$E$14*AG815^2+BMILMS!$F$14*AG815+BMILMS!$G$14,BMILMS!$D$15*AG815^3+BMILMS!$E$15*AG815^2+BMILMS!$F$15*AG815+BMILMS!$G$15)),(IF(AG815&lt;90,BMILMS!$D$17*AG815^3+BMILMS!$E$17*AG815^2+BMILMS!$F$17*AG815+BMILMS!$G$17,BMILMS!$D$18*AG815^3+BMILMS!$E$18*AG815^2+BMILMS!$F$18*AG815+BMILMS!$G$18)))</f>
        <v>8.8969350000000003E-2</v>
      </c>
      <c r="AG815" s="24">
        <f t="shared" si="208"/>
        <v>0</v>
      </c>
      <c r="AI815" s="38">
        <f>IF(D815="M",WeightSDS!P$5*$AG815^7+WeightSDS!Q$5*$AG815^6+WeightSDS!R$5*$AG815^5+WeightSDS!S$5*$AG815^4+WeightSDS!T$5*$AG815^3+WeightSDS!U$5*$AG815^2+WeightSDS!V$5*$AG815+WeightSDS!W$5,IF($AG815&lt;186,WeightSDS!P$8*$AG815^7+WeightSDS!Q$8*$AG815^6+WeightSDS!R$8*$AG815^5+WeightSDS!S$8*$AG815^4+WeightSDS!T$8*$AG815^3+WeightSDS!U$8*$AG815^2+WeightSDS!V$8*$AG815+WeightSDS!W$8,WeightSDS!$U$9-WeightSDS!$V$9*($AG815-WeightSDS!$W$9)))</f>
        <v>0.75407122999999998</v>
      </c>
      <c r="AJ815" s="24">
        <f>IF(D815="M",IF($AG815&lt;45,WeightSDS!M$23*$AG815^10+WeightSDS!N$23*$AG815^9+WeightSDS!O$23*$AG815^8+WeightSDS!P$23*$AG815^7+WeightSDS!Q$23*$AG815^6+WeightSDS!R$23*$AG815^5+WeightSDS!S$23*$AG815^4+WeightSDS!T$23*$AG815^3+WeightSDS!U$23*$AG815^2+WeightSDS!V$23*$AG815+WeightSDS!W$23,IF($AG815&lt;153,WeightSDS!M$25*$AG815^10+WeightSDS!N$25*$AG815^9+WeightSDS!O$25*$AG815^8+WeightSDS!P$25*$AG815^7+WeightSDS!Q$25*$AG815^6+WeightSDS!R$25*$AG815^5+WeightSDS!S$25*$AG815^4+WeightSDS!T$25*$AG815^3+WeightSDS!U$25*$AG815^2+WeightSDS!V$25*$AG815+WeightSDS!W$25,WeightSDS!M$27+WeightSDS!N$27/(1+EXP(WeightSDS!O$27+WeightSDS!P$27*$AG815)))),IF($AG815&lt;43.8,WeightSDS!M$29*$AG815^10+WeightSDS!N$29*$AG815^9+WeightSDS!O$29*$AG815^8+WeightSDS!P$29*$AG815^7+WeightSDS!Q$29*$AG815^6+WeightSDS!R$29*$AG815^5+WeightSDS!S$29*$AG815^4+WeightSDS!T$29*$AG815^3+WeightSDS!U$29*$AG815^2+WeightSDS!V$29*$AG815+WeightSDS!W$29-0.010431*(1-$AG815/210),IF($AG815&lt;123,WeightSDS!M$30*$AG815^10+WeightSDS!N$30*$AG815^9+WeightSDS!O$30*$AG815^8+WeightSDS!P$30*$AG815^7+WeightSDS!Q$30*$AG815^6+WeightSDS!R$30*$AG815^5+WeightSDS!S$30*$AG815^4+WeightSDS!T$30*$AG815^3+WeightSDS!U$30*$AG815^2+WeightSDS!V$30*$AG815+WeightSDS!W$30-0.010431*(1-1/$AG815),WeightSDS!M$32+WeightSDS!N$32/(1+EXP(WeightSDS!O$32+WeightSDS!P$32*$AG815))-0.010431*(1-$AG815/210))))</f>
        <v>2.9500001032655536</v>
      </c>
      <c r="AK815" s="24">
        <f>IF(D815="M",IF($AG815&lt;162,WeightSDS!P$12*$AG815^7+WeightSDS!Q$12*$AG815^6+WeightSDS!R$12*$AG815^5+WeightSDS!S$12*$AG815^4+WeightSDS!T$12*$AG815^3+WeightSDS!U$12*$AG815^2+WeightSDS!V$12*$AG815+WeightSDS!W$12,WeightSDS!P$14*$AG815^7+WeightSDS!Q$14*$AG815^6+WeightSDS!R$14*$AG815^5+WeightSDS!S$14*$AG815^4+WeightSDS!T$14*$AG815^3+WeightSDS!U$14*$AG815^2+WeightSDS!V$14*$AG815+WeightSDS!W$14),IF($AG815&lt;156,WeightSDS!O$17*$AG815^8+WeightSDS!P$17*$AG815^7+WeightSDS!Q$17*$AG815^6+WeightSDS!R$17*$AG815^5+WeightSDS!S$17*$AG815^4+WeightSDS!T$17*$AG815^3+WeightSDS!U$17*$AG815^2+WeightSDS!V$17*$AG815+WeightSDS!W$17,IF($AG815&lt;186,WeightSDS!$U$18+(WeightSDS!$V$18-WeightSDS!$U$18)/24*($AG815-186)+WeightSDS!$W$18*(-$AG815+186)^2-0.005,WeightSDS!$U$18+(WeightSDS!$V$18-WeightSDS!$U$18)/24*($AG815-186)-0.005)))</f>
        <v>0.14604529399999999</v>
      </c>
    </row>
    <row r="816" spans="1:37">
      <c r="A816" s="4"/>
      <c r="B816" s="21"/>
      <c r="C816" s="21"/>
      <c r="D816" s="21"/>
      <c r="E816" s="22"/>
      <c r="F816" s="22"/>
      <c r="G816" s="23"/>
      <c r="H816" s="23"/>
      <c r="I816" s="8" t="str">
        <f t="shared" si="194"/>
        <v/>
      </c>
      <c r="J816" s="2" t="str">
        <f t="shared" si="201"/>
        <v/>
      </c>
      <c r="K816" s="2" t="str">
        <f t="shared" si="195"/>
        <v/>
      </c>
      <c r="L816" s="2" t="str">
        <f t="shared" si="202"/>
        <v/>
      </c>
      <c r="M816" s="2" t="str">
        <f t="shared" si="207"/>
        <v/>
      </c>
      <c r="N816" s="2" t="str">
        <f t="shared" si="203"/>
        <v/>
      </c>
      <c r="O816" s="8" t="str">
        <f t="shared" si="204"/>
        <v/>
      </c>
      <c r="P816" s="8" t="str">
        <f t="shared" si="205"/>
        <v/>
      </c>
      <c r="Q816" s="40" t="str">
        <f t="shared" si="196"/>
        <v/>
      </c>
      <c r="R816" s="48" t="str">
        <f t="shared" si="206"/>
        <v/>
      </c>
      <c r="S816" s="8"/>
      <c r="U816" s="35">
        <f t="shared" si="197"/>
        <v>0</v>
      </c>
      <c r="V816" s="24">
        <f t="shared" si="198"/>
        <v>0</v>
      </c>
      <c r="W816" s="41">
        <f t="shared" si="209"/>
        <v>0</v>
      </c>
      <c r="X816" s="31"/>
      <c r="Y816" s="31"/>
      <c r="Z816" s="31"/>
      <c r="AA816" s="25">
        <f t="shared" si="199"/>
        <v>9.0359999999999996</v>
      </c>
      <c r="AB816" s="25">
        <f t="shared" si="200"/>
        <v>-184.49199999999999</v>
      </c>
      <c r="AD816" s="24">
        <f>IF(D816="M",IF(AG816&lt;78,BMILMS!$D$5*AG816^3+BMILMS!$E$5*AG816^2+BMILMS!$F$5*AG816+BMILMS!$G$5,IF(AG816&lt;150,BMILMS!$D$6*AG816^3+BMILMS!$E$6*AG816^2+BMILMS!$F$6*AG816+BMILMS!$G$6,BMILMS!$D$7*AG816^3+BMILMS!$E$7*AG816^2+BMILMS!$F$7*AG816+BMILMS!$G$7)),IF(AG816&lt;69,BMILMS!$D$9*AG816^3+BMILMS!$E$9*AG816^2+BMILMS!$F$9*AG816+BMILMS!$G$9,IF(AG816&lt;150,BMILMS!$D$10*AG816^3+BMILMS!$E$10*AG816^2+BMILMS!$F$10*AG816+BMILMS!$G$10,BMILMS!$D$11*AG816^3+BMILMS!$E$11*AG816^2+BMILMS!$F$11*AG816+BMILMS!$G$11)))</f>
        <v>0.79584630099999998</v>
      </c>
      <c r="AE816" s="24">
        <f>IF(D816="M",(IF(AG816&lt;2.5,BMILMS!$D$21*AG816^3+BMILMS!$E$21*AG816^2+BMILMS!$F$21*AG816+BMILMS!$G$21,IF(AG816&lt;9.5,BMILMS!$D$22*AG816^3+BMILMS!$E$22*AG816^2+BMILMS!$F$22*AG816+BMILMS!$G$22,IF(AG816&lt;26.75,BMILMS!$D$23*AG816^3+BMILMS!$E$23*AG816^2+BMILMS!$F$23*AG816+BMILMS!$G$23,IF(AG816&lt;90,BMILMS!$D$24*AG816^3+BMILMS!$E$24*AG816^2+BMILMS!$F$24*AG816+BMILMS!$G$24,BMILMS!$D$25*AG816^3+BMILMS!$E$25*AG816^2+BMILMS!$F$25*AG816+BMILMS!$G$25))))),(IF(AG816&lt;2.5,BMILMS!$D$27*AG816^3+BMILMS!$E$27*AG816^2+BMILMS!$F$27*AG816+BMILMS!$G$27,IF(AG816&lt;9.5,BMILMS!$D$28*AG816^3+BMILMS!$E$28*AG816^2+BMILMS!$F$28*AG816+BMILMS!$G$28,IF(AG816&lt;26.75,BMILMS!$D$29*AG816^3+BMILMS!$E$29*AG816^2+BMILMS!$F$29*AG816+BMILMS!$G$29,IF(AG816&lt;90,BMILMS!$D$30*AG816^3+BMILMS!$E$30*AG816^2+BMILMS!$F$30*AG816+BMILMS!$G$30,IF(AG816&lt;150,BMILMS!$D$31*AG816^3+BMILMS!$E$31*AG816^2+BMILMS!$F$31*AG816+BMILMS!$G$31,BMILMS!$D$32*AG816^3+BMILMS!$E$32*AG816^2+BMILMS!$F$32*AG816+BMILMS!$G$32)))))))</f>
        <v>12.568967990000001</v>
      </c>
      <c r="AF816" s="24">
        <f>IF(D816="M",(IF(AG816&lt;90,BMILMS!$D$14*AG816^3+BMILMS!$E$14*AG816^2+BMILMS!$F$14*AG816+BMILMS!$G$14,BMILMS!$D$15*AG816^3+BMILMS!$E$15*AG816^2+BMILMS!$F$15*AG816+BMILMS!$G$15)),(IF(AG816&lt;90,BMILMS!$D$17*AG816^3+BMILMS!$E$17*AG816^2+BMILMS!$F$17*AG816+BMILMS!$G$17,BMILMS!$D$18*AG816^3+BMILMS!$E$18*AG816^2+BMILMS!$F$18*AG816+BMILMS!$G$18)))</f>
        <v>8.8969350000000003E-2</v>
      </c>
      <c r="AG816" s="24">
        <f t="shared" si="208"/>
        <v>0</v>
      </c>
      <c r="AI816" s="38">
        <f>IF(D816="M",WeightSDS!P$5*$AG816^7+WeightSDS!Q$5*$AG816^6+WeightSDS!R$5*$AG816^5+WeightSDS!S$5*$AG816^4+WeightSDS!T$5*$AG816^3+WeightSDS!U$5*$AG816^2+WeightSDS!V$5*$AG816+WeightSDS!W$5,IF($AG816&lt;186,WeightSDS!P$8*$AG816^7+WeightSDS!Q$8*$AG816^6+WeightSDS!R$8*$AG816^5+WeightSDS!S$8*$AG816^4+WeightSDS!T$8*$AG816^3+WeightSDS!U$8*$AG816^2+WeightSDS!V$8*$AG816+WeightSDS!W$8,WeightSDS!$U$9-WeightSDS!$V$9*($AG816-WeightSDS!$W$9)))</f>
        <v>0.75407122999999998</v>
      </c>
      <c r="AJ816" s="24">
        <f>IF(D816="M",IF($AG816&lt;45,WeightSDS!M$23*$AG816^10+WeightSDS!N$23*$AG816^9+WeightSDS!O$23*$AG816^8+WeightSDS!P$23*$AG816^7+WeightSDS!Q$23*$AG816^6+WeightSDS!R$23*$AG816^5+WeightSDS!S$23*$AG816^4+WeightSDS!T$23*$AG816^3+WeightSDS!U$23*$AG816^2+WeightSDS!V$23*$AG816+WeightSDS!W$23,IF($AG816&lt;153,WeightSDS!M$25*$AG816^10+WeightSDS!N$25*$AG816^9+WeightSDS!O$25*$AG816^8+WeightSDS!P$25*$AG816^7+WeightSDS!Q$25*$AG816^6+WeightSDS!R$25*$AG816^5+WeightSDS!S$25*$AG816^4+WeightSDS!T$25*$AG816^3+WeightSDS!U$25*$AG816^2+WeightSDS!V$25*$AG816+WeightSDS!W$25,WeightSDS!M$27+WeightSDS!N$27/(1+EXP(WeightSDS!O$27+WeightSDS!P$27*$AG816)))),IF($AG816&lt;43.8,WeightSDS!M$29*$AG816^10+WeightSDS!N$29*$AG816^9+WeightSDS!O$29*$AG816^8+WeightSDS!P$29*$AG816^7+WeightSDS!Q$29*$AG816^6+WeightSDS!R$29*$AG816^5+WeightSDS!S$29*$AG816^4+WeightSDS!T$29*$AG816^3+WeightSDS!U$29*$AG816^2+WeightSDS!V$29*$AG816+WeightSDS!W$29-0.010431*(1-$AG816/210),IF($AG816&lt;123,WeightSDS!M$30*$AG816^10+WeightSDS!N$30*$AG816^9+WeightSDS!O$30*$AG816^8+WeightSDS!P$30*$AG816^7+WeightSDS!Q$30*$AG816^6+WeightSDS!R$30*$AG816^5+WeightSDS!S$30*$AG816^4+WeightSDS!T$30*$AG816^3+WeightSDS!U$30*$AG816^2+WeightSDS!V$30*$AG816+WeightSDS!W$30-0.010431*(1-1/$AG816),WeightSDS!M$32+WeightSDS!N$32/(1+EXP(WeightSDS!O$32+WeightSDS!P$32*$AG816))-0.010431*(1-$AG816/210))))</f>
        <v>2.9500001032655536</v>
      </c>
      <c r="AK816" s="24">
        <f>IF(D816="M",IF($AG816&lt;162,WeightSDS!P$12*$AG816^7+WeightSDS!Q$12*$AG816^6+WeightSDS!R$12*$AG816^5+WeightSDS!S$12*$AG816^4+WeightSDS!T$12*$AG816^3+WeightSDS!U$12*$AG816^2+WeightSDS!V$12*$AG816+WeightSDS!W$12,WeightSDS!P$14*$AG816^7+WeightSDS!Q$14*$AG816^6+WeightSDS!R$14*$AG816^5+WeightSDS!S$14*$AG816^4+WeightSDS!T$14*$AG816^3+WeightSDS!U$14*$AG816^2+WeightSDS!V$14*$AG816+WeightSDS!W$14),IF($AG816&lt;156,WeightSDS!O$17*$AG816^8+WeightSDS!P$17*$AG816^7+WeightSDS!Q$17*$AG816^6+WeightSDS!R$17*$AG816^5+WeightSDS!S$17*$AG816^4+WeightSDS!T$17*$AG816^3+WeightSDS!U$17*$AG816^2+WeightSDS!V$17*$AG816+WeightSDS!W$17,IF($AG816&lt;186,WeightSDS!$U$18+(WeightSDS!$V$18-WeightSDS!$U$18)/24*($AG816-186)+WeightSDS!$W$18*(-$AG816+186)^2-0.005,WeightSDS!$U$18+(WeightSDS!$V$18-WeightSDS!$U$18)/24*($AG816-186)-0.005)))</f>
        <v>0.14604529399999999</v>
      </c>
    </row>
    <row r="817" spans="1:37">
      <c r="A817" s="4"/>
      <c r="B817" s="21"/>
      <c r="C817" s="21"/>
      <c r="D817" s="21"/>
      <c r="E817" s="22"/>
      <c r="F817" s="22"/>
      <c r="G817" s="23"/>
      <c r="H817" s="23"/>
      <c r="I817" s="8" t="str">
        <f t="shared" si="194"/>
        <v/>
      </c>
      <c r="J817" s="2" t="str">
        <f t="shared" si="201"/>
        <v/>
      </c>
      <c r="K817" s="2" t="str">
        <f t="shared" si="195"/>
        <v/>
      </c>
      <c r="L817" s="2" t="str">
        <f t="shared" si="202"/>
        <v/>
      </c>
      <c r="M817" s="2" t="str">
        <f t="shared" si="207"/>
        <v/>
      </c>
      <c r="N817" s="2" t="str">
        <f t="shared" si="203"/>
        <v/>
      </c>
      <c r="O817" s="8" t="str">
        <f t="shared" si="204"/>
        <v/>
      </c>
      <c r="P817" s="8" t="str">
        <f t="shared" si="205"/>
        <v/>
      </c>
      <c r="Q817" s="40" t="str">
        <f t="shared" si="196"/>
        <v/>
      </c>
      <c r="R817" s="48" t="str">
        <f t="shared" si="206"/>
        <v/>
      </c>
      <c r="S817" s="8"/>
      <c r="U817" s="35">
        <f t="shared" si="197"/>
        <v>0</v>
      </c>
      <c r="V817" s="24">
        <f t="shared" si="198"/>
        <v>0</v>
      </c>
      <c r="W817" s="41">
        <f t="shared" si="209"/>
        <v>0</v>
      </c>
      <c r="X817" s="31"/>
      <c r="Y817" s="31"/>
      <c r="Z817" s="31"/>
      <c r="AA817" s="25">
        <f t="shared" si="199"/>
        <v>9.0359999999999996</v>
      </c>
      <c r="AB817" s="25">
        <f t="shared" si="200"/>
        <v>-184.49199999999999</v>
      </c>
      <c r="AD817" s="24">
        <f>IF(D817="M",IF(AG817&lt;78,BMILMS!$D$5*AG817^3+BMILMS!$E$5*AG817^2+BMILMS!$F$5*AG817+BMILMS!$G$5,IF(AG817&lt;150,BMILMS!$D$6*AG817^3+BMILMS!$E$6*AG817^2+BMILMS!$F$6*AG817+BMILMS!$G$6,BMILMS!$D$7*AG817^3+BMILMS!$E$7*AG817^2+BMILMS!$F$7*AG817+BMILMS!$G$7)),IF(AG817&lt;69,BMILMS!$D$9*AG817^3+BMILMS!$E$9*AG817^2+BMILMS!$F$9*AG817+BMILMS!$G$9,IF(AG817&lt;150,BMILMS!$D$10*AG817^3+BMILMS!$E$10*AG817^2+BMILMS!$F$10*AG817+BMILMS!$G$10,BMILMS!$D$11*AG817^3+BMILMS!$E$11*AG817^2+BMILMS!$F$11*AG817+BMILMS!$G$11)))</f>
        <v>0.79584630099999998</v>
      </c>
      <c r="AE817" s="24">
        <f>IF(D817="M",(IF(AG817&lt;2.5,BMILMS!$D$21*AG817^3+BMILMS!$E$21*AG817^2+BMILMS!$F$21*AG817+BMILMS!$G$21,IF(AG817&lt;9.5,BMILMS!$D$22*AG817^3+BMILMS!$E$22*AG817^2+BMILMS!$F$22*AG817+BMILMS!$G$22,IF(AG817&lt;26.75,BMILMS!$D$23*AG817^3+BMILMS!$E$23*AG817^2+BMILMS!$F$23*AG817+BMILMS!$G$23,IF(AG817&lt;90,BMILMS!$D$24*AG817^3+BMILMS!$E$24*AG817^2+BMILMS!$F$24*AG817+BMILMS!$G$24,BMILMS!$D$25*AG817^3+BMILMS!$E$25*AG817^2+BMILMS!$F$25*AG817+BMILMS!$G$25))))),(IF(AG817&lt;2.5,BMILMS!$D$27*AG817^3+BMILMS!$E$27*AG817^2+BMILMS!$F$27*AG817+BMILMS!$G$27,IF(AG817&lt;9.5,BMILMS!$D$28*AG817^3+BMILMS!$E$28*AG817^2+BMILMS!$F$28*AG817+BMILMS!$G$28,IF(AG817&lt;26.75,BMILMS!$D$29*AG817^3+BMILMS!$E$29*AG817^2+BMILMS!$F$29*AG817+BMILMS!$G$29,IF(AG817&lt;90,BMILMS!$D$30*AG817^3+BMILMS!$E$30*AG817^2+BMILMS!$F$30*AG817+BMILMS!$G$30,IF(AG817&lt;150,BMILMS!$D$31*AG817^3+BMILMS!$E$31*AG817^2+BMILMS!$F$31*AG817+BMILMS!$G$31,BMILMS!$D$32*AG817^3+BMILMS!$E$32*AG817^2+BMILMS!$F$32*AG817+BMILMS!$G$32)))))))</f>
        <v>12.568967990000001</v>
      </c>
      <c r="AF817" s="24">
        <f>IF(D817="M",(IF(AG817&lt;90,BMILMS!$D$14*AG817^3+BMILMS!$E$14*AG817^2+BMILMS!$F$14*AG817+BMILMS!$G$14,BMILMS!$D$15*AG817^3+BMILMS!$E$15*AG817^2+BMILMS!$F$15*AG817+BMILMS!$G$15)),(IF(AG817&lt;90,BMILMS!$D$17*AG817^3+BMILMS!$E$17*AG817^2+BMILMS!$F$17*AG817+BMILMS!$G$17,BMILMS!$D$18*AG817^3+BMILMS!$E$18*AG817^2+BMILMS!$F$18*AG817+BMILMS!$G$18)))</f>
        <v>8.8969350000000003E-2</v>
      </c>
      <c r="AG817" s="24">
        <f t="shared" si="208"/>
        <v>0</v>
      </c>
      <c r="AI817" s="38">
        <f>IF(D817="M",WeightSDS!P$5*$AG817^7+WeightSDS!Q$5*$AG817^6+WeightSDS!R$5*$AG817^5+WeightSDS!S$5*$AG817^4+WeightSDS!T$5*$AG817^3+WeightSDS!U$5*$AG817^2+WeightSDS!V$5*$AG817+WeightSDS!W$5,IF($AG817&lt;186,WeightSDS!P$8*$AG817^7+WeightSDS!Q$8*$AG817^6+WeightSDS!R$8*$AG817^5+WeightSDS!S$8*$AG817^4+WeightSDS!T$8*$AG817^3+WeightSDS!U$8*$AG817^2+WeightSDS!V$8*$AG817+WeightSDS!W$8,WeightSDS!$U$9-WeightSDS!$V$9*($AG817-WeightSDS!$W$9)))</f>
        <v>0.75407122999999998</v>
      </c>
      <c r="AJ817" s="24">
        <f>IF(D817="M",IF($AG817&lt;45,WeightSDS!M$23*$AG817^10+WeightSDS!N$23*$AG817^9+WeightSDS!O$23*$AG817^8+WeightSDS!P$23*$AG817^7+WeightSDS!Q$23*$AG817^6+WeightSDS!R$23*$AG817^5+WeightSDS!S$23*$AG817^4+WeightSDS!T$23*$AG817^3+WeightSDS!U$23*$AG817^2+WeightSDS!V$23*$AG817+WeightSDS!W$23,IF($AG817&lt;153,WeightSDS!M$25*$AG817^10+WeightSDS!N$25*$AG817^9+WeightSDS!O$25*$AG817^8+WeightSDS!P$25*$AG817^7+WeightSDS!Q$25*$AG817^6+WeightSDS!R$25*$AG817^5+WeightSDS!S$25*$AG817^4+WeightSDS!T$25*$AG817^3+WeightSDS!U$25*$AG817^2+WeightSDS!V$25*$AG817+WeightSDS!W$25,WeightSDS!M$27+WeightSDS!N$27/(1+EXP(WeightSDS!O$27+WeightSDS!P$27*$AG817)))),IF($AG817&lt;43.8,WeightSDS!M$29*$AG817^10+WeightSDS!N$29*$AG817^9+WeightSDS!O$29*$AG817^8+WeightSDS!P$29*$AG817^7+WeightSDS!Q$29*$AG817^6+WeightSDS!R$29*$AG817^5+WeightSDS!S$29*$AG817^4+WeightSDS!T$29*$AG817^3+WeightSDS!U$29*$AG817^2+WeightSDS!V$29*$AG817+WeightSDS!W$29-0.010431*(1-$AG817/210),IF($AG817&lt;123,WeightSDS!M$30*$AG817^10+WeightSDS!N$30*$AG817^9+WeightSDS!O$30*$AG817^8+WeightSDS!P$30*$AG817^7+WeightSDS!Q$30*$AG817^6+WeightSDS!R$30*$AG817^5+WeightSDS!S$30*$AG817^4+WeightSDS!T$30*$AG817^3+WeightSDS!U$30*$AG817^2+WeightSDS!V$30*$AG817+WeightSDS!W$30-0.010431*(1-1/$AG817),WeightSDS!M$32+WeightSDS!N$32/(1+EXP(WeightSDS!O$32+WeightSDS!P$32*$AG817))-0.010431*(1-$AG817/210))))</f>
        <v>2.9500001032655536</v>
      </c>
      <c r="AK817" s="24">
        <f>IF(D817="M",IF($AG817&lt;162,WeightSDS!P$12*$AG817^7+WeightSDS!Q$12*$AG817^6+WeightSDS!R$12*$AG817^5+WeightSDS!S$12*$AG817^4+WeightSDS!T$12*$AG817^3+WeightSDS!U$12*$AG817^2+WeightSDS!V$12*$AG817+WeightSDS!W$12,WeightSDS!P$14*$AG817^7+WeightSDS!Q$14*$AG817^6+WeightSDS!R$14*$AG817^5+WeightSDS!S$14*$AG817^4+WeightSDS!T$14*$AG817^3+WeightSDS!U$14*$AG817^2+WeightSDS!V$14*$AG817+WeightSDS!W$14),IF($AG817&lt;156,WeightSDS!O$17*$AG817^8+WeightSDS!P$17*$AG817^7+WeightSDS!Q$17*$AG817^6+WeightSDS!R$17*$AG817^5+WeightSDS!S$17*$AG817^4+WeightSDS!T$17*$AG817^3+WeightSDS!U$17*$AG817^2+WeightSDS!V$17*$AG817+WeightSDS!W$17,IF($AG817&lt;186,WeightSDS!$U$18+(WeightSDS!$V$18-WeightSDS!$U$18)/24*($AG817-186)+WeightSDS!$W$18*(-$AG817+186)^2-0.005,WeightSDS!$U$18+(WeightSDS!$V$18-WeightSDS!$U$18)/24*($AG817-186)-0.005)))</f>
        <v>0.14604529399999999</v>
      </c>
    </row>
    <row r="818" spans="1:37">
      <c r="A818" s="4"/>
      <c r="B818" s="21"/>
      <c r="C818" s="21"/>
      <c r="D818" s="21"/>
      <c r="E818" s="22"/>
      <c r="F818" s="22"/>
      <c r="G818" s="23"/>
      <c r="H818" s="23"/>
      <c r="I818" s="8" t="str">
        <f t="shared" si="194"/>
        <v/>
      </c>
      <c r="J818" s="2" t="str">
        <f t="shared" si="201"/>
        <v/>
      </c>
      <c r="K818" s="2" t="str">
        <f t="shared" si="195"/>
        <v/>
      </c>
      <c r="L818" s="2" t="str">
        <f t="shared" si="202"/>
        <v/>
      </c>
      <c r="M818" s="2" t="str">
        <f t="shared" si="207"/>
        <v/>
      </c>
      <c r="N818" s="2" t="str">
        <f t="shared" si="203"/>
        <v/>
      </c>
      <c r="O818" s="8" t="str">
        <f t="shared" si="204"/>
        <v/>
      </c>
      <c r="P818" s="8" t="str">
        <f t="shared" si="205"/>
        <v/>
      </c>
      <c r="Q818" s="40" t="str">
        <f t="shared" si="196"/>
        <v/>
      </c>
      <c r="R818" s="48" t="str">
        <f t="shared" si="206"/>
        <v/>
      </c>
      <c r="S818" s="8"/>
      <c r="U818" s="35">
        <f t="shared" si="197"/>
        <v>0</v>
      </c>
      <c r="V818" s="24">
        <f t="shared" si="198"/>
        <v>0</v>
      </c>
      <c r="W818" s="41">
        <f t="shared" si="209"/>
        <v>0</v>
      </c>
      <c r="X818" s="31"/>
      <c r="Y818" s="31"/>
      <c r="Z818" s="31"/>
      <c r="AA818" s="25">
        <f t="shared" si="199"/>
        <v>9.0359999999999996</v>
      </c>
      <c r="AB818" s="25">
        <f t="shared" si="200"/>
        <v>-184.49199999999999</v>
      </c>
      <c r="AD818" s="24">
        <f>IF(D818="M",IF(AG818&lt;78,BMILMS!$D$5*AG818^3+BMILMS!$E$5*AG818^2+BMILMS!$F$5*AG818+BMILMS!$G$5,IF(AG818&lt;150,BMILMS!$D$6*AG818^3+BMILMS!$E$6*AG818^2+BMILMS!$F$6*AG818+BMILMS!$G$6,BMILMS!$D$7*AG818^3+BMILMS!$E$7*AG818^2+BMILMS!$F$7*AG818+BMILMS!$G$7)),IF(AG818&lt;69,BMILMS!$D$9*AG818^3+BMILMS!$E$9*AG818^2+BMILMS!$F$9*AG818+BMILMS!$G$9,IF(AG818&lt;150,BMILMS!$D$10*AG818^3+BMILMS!$E$10*AG818^2+BMILMS!$F$10*AG818+BMILMS!$G$10,BMILMS!$D$11*AG818^3+BMILMS!$E$11*AG818^2+BMILMS!$F$11*AG818+BMILMS!$G$11)))</f>
        <v>0.79584630099999998</v>
      </c>
      <c r="AE818" s="24">
        <f>IF(D818="M",(IF(AG818&lt;2.5,BMILMS!$D$21*AG818^3+BMILMS!$E$21*AG818^2+BMILMS!$F$21*AG818+BMILMS!$G$21,IF(AG818&lt;9.5,BMILMS!$D$22*AG818^3+BMILMS!$E$22*AG818^2+BMILMS!$F$22*AG818+BMILMS!$G$22,IF(AG818&lt;26.75,BMILMS!$D$23*AG818^3+BMILMS!$E$23*AG818^2+BMILMS!$F$23*AG818+BMILMS!$G$23,IF(AG818&lt;90,BMILMS!$D$24*AG818^3+BMILMS!$E$24*AG818^2+BMILMS!$F$24*AG818+BMILMS!$G$24,BMILMS!$D$25*AG818^3+BMILMS!$E$25*AG818^2+BMILMS!$F$25*AG818+BMILMS!$G$25))))),(IF(AG818&lt;2.5,BMILMS!$D$27*AG818^3+BMILMS!$E$27*AG818^2+BMILMS!$F$27*AG818+BMILMS!$G$27,IF(AG818&lt;9.5,BMILMS!$D$28*AG818^3+BMILMS!$E$28*AG818^2+BMILMS!$F$28*AG818+BMILMS!$G$28,IF(AG818&lt;26.75,BMILMS!$D$29*AG818^3+BMILMS!$E$29*AG818^2+BMILMS!$F$29*AG818+BMILMS!$G$29,IF(AG818&lt;90,BMILMS!$D$30*AG818^3+BMILMS!$E$30*AG818^2+BMILMS!$F$30*AG818+BMILMS!$G$30,IF(AG818&lt;150,BMILMS!$D$31*AG818^3+BMILMS!$E$31*AG818^2+BMILMS!$F$31*AG818+BMILMS!$G$31,BMILMS!$D$32*AG818^3+BMILMS!$E$32*AG818^2+BMILMS!$F$32*AG818+BMILMS!$G$32)))))))</f>
        <v>12.568967990000001</v>
      </c>
      <c r="AF818" s="24">
        <f>IF(D818="M",(IF(AG818&lt;90,BMILMS!$D$14*AG818^3+BMILMS!$E$14*AG818^2+BMILMS!$F$14*AG818+BMILMS!$G$14,BMILMS!$D$15*AG818^3+BMILMS!$E$15*AG818^2+BMILMS!$F$15*AG818+BMILMS!$G$15)),(IF(AG818&lt;90,BMILMS!$D$17*AG818^3+BMILMS!$E$17*AG818^2+BMILMS!$F$17*AG818+BMILMS!$G$17,BMILMS!$D$18*AG818^3+BMILMS!$E$18*AG818^2+BMILMS!$F$18*AG818+BMILMS!$G$18)))</f>
        <v>8.8969350000000003E-2</v>
      </c>
      <c r="AG818" s="24">
        <f t="shared" si="208"/>
        <v>0</v>
      </c>
      <c r="AI818" s="38">
        <f>IF(D818="M",WeightSDS!P$5*$AG818^7+WeightSDS!Q$5*$AG818^6+WeightSDS!R$5*$AG818^5+WeightSDS!S$5*$AG818^4+WeightSDS!T$5*$AG818^3+WeightSDS!U$5*$AG818^2+WeightSDS!V$5*$AG818+WeightSDS!W$5,IF($AG818&lt;186,WeightSDS!P$8*$AG818^7+WeightSDS!Q$8*$AG818^6+WeightSDS!R$8*$AG818^5+WeightSDS!S$8*$AG818^4+WeightSDS!T$8*$AG818^3+WeightSDS!U$8*$AG818^2+WeightSDS!V$8*$AG818+WeightSDS!W$8,WeightSDS!$U$9-WeightSDS!$V$9*($AG818-WeightSDS!$W$9)))</f>
        <v>0.75407122999999998</v>
      </c>
      <c r="AJ818" s="24">
        <f>IF(D818="M",IF($AG818&lt;45,WeightSDS!M$23*$AG818^10+WeightSDS!N$23*$AG818^9+WeightSDS!O$23*$AG818^8+WeightSDS!P$23*$AG818^7+WeightSDS!Q$23*$AG818^6+WeightSDS!R$23*$AG818^5+WeightSDS!S$23*$AG818^4+WeightSDS!T$23*$AG818^3+WeightSDS!U$23*$AG818^2+WeightSDS!V$23*$AG818+WeightSDS!W$23,IF($AG818&lt;153,WeightSDS!M$25*$AG818^10+WeightSDS!N$25*$AG818^9+WeightSDS!O$25*$AG818^8+WeightSDS!P$25*$AG818^7+WeightSDS!Q$25*$AG818^6+WeightSDS!R$25*$AG818^5+WeightSDS!S$25*$AG818^4+WeightSDS!T$25*$AG818^3+WeightSDS!U$25*$AG818^2+WeightSDS!V$25*$AG818+WeightSDS!W$25,WeightSDS!M$27+WeightSDS!N$27/(1+EXP(WeightSDS!O$27+WeightSDS!P$27*$AG818)))),IF($AG818&lt;43.8,WeightSDS!M$29*$AG818^10+WeightSDS!N$29*$AG818^9+WeightSDS!O$29*$AG818^8+WeightSDS!P$29*$AG818^7+WeightSDS!Q$29*$AG818^6+WeightSDS!R$29*$AG818^5+WeightSDS!S$29*$AG818^4+WeightSDS!T$29*$AG818^3+WeightSDS!U$29*$AG818^2+WeightSDS!V$29*$AG818+WeightSDS!W$29-0.010431*(1-$AG818/210),IF($AG818&lt;123,WeightSDS!M$30*$AG818^10+WeightSDS!N$30*$AG818^9+WeightSDS!O$30*$AG818^8+WeightSDS!P$30*$AG818^7+WeightSDS!Q$30*$AG818^6+WeightSDS!R$30*$AG818^5+WeightSDS!S$30*$AG818^4+WeightSDS!T$30*$AG818^3+WeightSDS!U$30*$AG818^2+WeightSDS!V$30*$AG818+WeightSDS!W$30-0.010431*(1-1/$AG818),WeightSDS!M$32+WeightSDS!N$32/(1+EXP(WeightSDS!O$32+WeightSDS!P$32*$AG818))-0.010431*(1-$AG818/210))))</f>
        <v>2.9500001032655536</v>
      </c>
      <c r="AK818" s="24">
        <f>IF(D818="M",IF($AG818&lt;162,WeightSDS!P$12*$AG818^7+WeightSDS!Q$12*$AG818^6+WeightSDS!R$12*$AG818^5+WeightSDS!S$12*$AG818^4+WeightSDS!T$12*$AG818^3+WeightSDS!U$12*$AG818^2+WeightSDS!V$12*$AG818+WeightSDS!W$12,WeightSDS!P$14*$AG818^7+WeightSDS!Q$14*$AG818^6+WeightSDS!R$14*$AG818^5+WeightSDS!S$14*$AG818^4+WeightSDS!T$14*$AG818^3+WeightSDS!U$14*$AG818^2+WeightSDS!V$14*$AG818+WeightSDS!W$14),IF($AG818&lt;156,WeightSDS!O$17*$AG818^8+WeightSDS!P$17*$AG818^7+WeightSDS!Q$17*$AG818^6+WeightSDS!R$17*$AG818^5+WeightSDS!S$17*$AG818^4+WeightSDS!T$17*$AG818^3+WeightSDS!U$17*$AG818^2+WeightSDS!V$17*$AG818+WeightSDS!W$17,IF($AG818&lt;186,WeightSDS!$U$18+(WeightSDS!$V$18-WeightSDS!$U$18)/24*($AG818-186)+WeightSDS!$W$18*(-$AG818+186)^2-0.005,WeightSDS!$U$18+(WeightSDS!$V$18-WeightSDS!$U$18)/24*($AG818-186)-0.005)))</f>
        <v>0.14604529399999999</v>
      </c>
    </row>
    <row r="819" spans="1:37">
      <c r="A819" s="4"/>
      <c r="B819" s="21"/>
      <c r="C819" s="21"/>
      <c r="D819" s="21"/>
      <c r="E819" s="22"/>
      <c r="F819" s="22"/>
      <c r="G819" s="23"/>
      <c r="H819" s="23"/>
      <c r="I819" s="8" t="str">
        <f t="shared" si="194"/>
        <v/>
      </c>
      <c r="J819" s="2" t="str">
        <f t="shared" si="201"/>
        <v/>
      </c>
      <c r="K819" s="2" t="str">
        <f t="shared" si="195"/>
        <v/>
      </c>
      <c r="L819" s="2" t="str">
        <f t="shared" si="202"/>
        <v/>
      </c>
      <c r="M819" s="2" t="str">
        <f t="shared" si="207"/>
        <v/>
      </c>
      <c r="N819" s="2" t="str">
        <f t="shared" si="203"/>
        <v/>
      </c>
      <c r="O819" s="8" t="str">
        <f t="shared" si="204"/>
        <v/>
      </c>
      <c r="P819" s="8" t="str">
        <f t="shared" si="205"/>
        <v/>
      </c>
      <c r="Q819" s="40" t="str">
        <f t="shared" si="196"/>
        <v/>
      </c>
      <c r="R819" s="48" t="str">
        <f t="shared" si="206"/>
        <v/>
      </c>
      <c r="S819" s="8"/>
      <c r="U819" s="35">
        <f t="shared" si="197"/>
        <v>0</v>
      </c>
      <c r="V819" s="24">
        <f t="shared" si="198"/>
        <v>0</v>
      </c>
      <c r="W819" s="41">
        <f t="shared" si="209"/>
        <v>0</v>
      </c>
      <c r="X819" s="31"/>
      <c r="Y819" s="31"/>
      <c r="Z819" s="31"/>
      <c r="AA819" s="25">
        <f t="shared" si="199"/>
        <v>9.0359999999999996</v>
      </c>
      <c r="AB819" s="25">
        <f t="shared" si="200"/>
        <v>-184.49199999999999</v>
      </c>
      <c r="AD819" s="24">
        <f>IF(D819="M",IF(AG819&lt;78,BMILMS!$D$5*AG819^3+BMILMS!$E$5*AG819^2+BMILMS!$F$5*AG819+BMILMS!$G$5,IF(AG819&lt;150,BMILMS!$D$6*AG819^3+BMILMS!$E$6*AG819^2+BMILMS!$F$6*AG819+BMILMS!$G$6,BMILMS!$D$7*AG819^3+BMILMS!$E$7*AG819^2+BMILMS!$F$7*AG819+BMILMS!$G$7)),IF(AG819&lt;69,BMILMS!$D$9*AG819^3+BMILMS!$E$9*AG819^2+BMILMS!$F$9*AG819+BMILMS!$G$9,IF(AG819&lt;150,BMILMS!$D$10*AG819^3+BMILMS!$E$10*AG819^2+BMILMS!$F$10*AG819+BMILMS!$G$10,BMILMS!$D$11*AG819^3+BMILMS!$E$11*AG819^2+BMILMS!$F$11*AG819+BMILMS!$G$11)))</f>
        <v>0.79584630099999998</v>
      </c>
      <c r="AE819" s="24">
        <f>IF(D819="M",(IF(AG819&lt;2.5,BMILMS!$D$21*AG819^3+BMILMS!$E$21*AG819^2+BMILMS!$F$21*AG819+BMILMS!$G$21,IF(AG819&lt;9.5,BMILMS!$D$22*AG819^3+BMILMS!$E$22*AG819^2+BMILMS!$F$22*AG819+BMILMS!$G$22,IF(AG819&lt;26.75,BMILMS!$D$23*AG819^3+BMILMS!$E$23*AG819^2+BMILMS!$F$23*AG819+BMILMS!$G$23,IF(AG819&lt;90,BMILMS!$D$24*AG819^3+BMILMS!$E$24*AG819^2+BMILMS!$F$24*AG819+BMILMS!$G$24,BMILMS!$D$25*AG819^3+BMILMS!$E$25*AG819^2+BMILMS!$F$25*AG819+BMILMS!$G$25))))),(IF(AG819&lt;2.5,BMILMS!$D$27*AG819^3+BMILMS!$E$27*AG819^2+BMILMS!$F$27*AG819+BMILMS!$G$27,IF(AG819&lt;9.5,BMILMS!$D$28*AG819^3+BMILMS!$E$28*AG819^2+BMILMS!$F$28*AG819+BMILMS!$G$28,IF(AG819&lt;26.75,BMILMS!$D$29*AG819^3+BMILMS!$E$29*AG819^2+BMILMS!$F$29*AG819+BMILMS!$G$29,IF(AG819&lt;90,BMILMS!$D$30*AG819^3+BMILMS!$E$30*AG819^2+BMILMS!$F$30*AG819+BMILMS!$G$30,IF(AG819&lt;150,BMILMS!$D$31*AG819^3+BMILMS!$E$31*AG819^2+BMILMS!$F$31*AG819+BMILMS!$G$31,BMILMS!$D$32*AG819^3+BMILMS!$E$32*AG819^2+BMILMS!$F$32*AG819+BMILMS!$G$32)))))))</f>
        <v>12.568967990000001</v>
      </c>
      <c r="AF819" s="24">
        <f>IF(D819="M",(IF(AG819&lt;90,BMILMS!$D$14*AG819^3+BMILMS!$E$14*AG819^2+BMILMS!$F$14*AG819+BMILMS!$G$14,BMILMS!$D$15*AG819^3+BMILMS!$E$15*AG819^2+BMILMS!$F$15*AG819+BMILMS!$G$15)),(IF(AG819&lt;90,BMILMS!$D$17*AG819^3+BMILMS!$E$17*AG819^2+BMILMS!$F$17*AG819+BMILMS!$G$17,BMILMS!$D$18*AG819^3+BMILMS!$E$18*AG819^2+BMILMS!$F$18*AG819+BMILMS!$G$18)))</f>
        <v>8.8969350000000003E-2</v>
      </c>
      <c r="AG819" s="24">
        <f t="shared" si="208"/>
        <v>0</v>
      </c>
      <c r="AI819" s="38">
        <f>IF(D819="M",WeightSDS!P$5*$AG819^7+WeightSDS!Q$5*$AG819^6+WeightSDS!R$5*$AG819^5+WeightSDS!S$5*$AG819^4+WeightSDS!T$5*$AG819^3+WeightSDS!U$5*$AG819^2+WeightSDS!V$5*$AG819+WeightSDS!W$5,IF($AG819&lt;186,WeightSDS!P$8*$AG819^7+WeightSDS!Q$8*$AG819^6+WeightSDS!R$8*$AG819^5+WeightSDS!S$8*$AG819^4+WeightSDS!T$8*$AG819^3+WeightSDS!U$8*$AG819^2+WeightSDS!V$8*$AG819+WeightSDS!W$8,WeightSDS!$U$9-WeightSDS!$V$9*($AG819-WeightSDS!$W$9)))</f>
        <v>0.75407122999999998</v>
      </c>
      <c r="AJ819" s="24">
        <f>IF(D819="M",IF($AG819&lt;45,WeightSDS!M$23*$AG819^10+WeightSDS!N$23*$AG819^9+WeightSDS!O$23*$AG819^8+WeightSDS!P$23*$AG819^7+WeightSDS!Q$23*$AG819^6+WeightSDS!R$23*$AG819^5+WeightSDS!S$23*$AG819^4+WeightSDS!T$23*$AG819^3+WeightSDS!U$23*$AG819^2+WeightSDS!V$23*$AG819+WeightSDS!W$23,IF($AG819&lt;153,WeightSDS!M$25*$AG819^10+WeightSDS!N$25*$AG819^9+WeightSDS!O$25*$AG819^8+WeightSDS!P$25*$AG819^7+WeightSDS!Q$25*$AG819^6+WeightSDS!R$25*$AG819^5+WeightSDS!S$25*$AG819^4+WeightSDS!T$25*$AG819^3+WeightSDS!U$25*$AG819^2+WeightSDS!V$25*$AG819+WeightSDS!W$25,WeightSDS!M$27+WeightSDS!N$27/(1+EXP(WeightSDS!O$27+WeightSDS!P$27*$AG819)))),IF($AG819&lt;43.8,WeightSDS!M$29*$AG819^10+WeightSDS!N$29*$AG819^9+WeightSDS!O$29*$AG819^8+WeightSDS!P$29*$AG819^7+WeightSDS!Q$29*$AG819^6+WeightSDS!R$29*$AG819^5+WeightSDS!S$29*$AG819^4+WeightSDS!T$29*$AG819^3+WeightSDS!U$29*$AG819^2+WeightSDS!V$29*$AG819+WeightSDS!W$29-0.010431*(1-$AG819/210),IF($AG819&lt;123,WeightSDS!M$30*$AG819^10+WeightSDS!N$30*$AG819^9+WeightSDS!O$30*$AG819^8+WeightSDS!P$30*$AG819^7+WeightSDS!Q$30*$AG819^6+WeightSDS!R$30*$AG819^5+WeightSDS!S$30*$AG819^4+WeightSDS!T$30*$AG819^3+WeightSDS!U$30*$AG819^2+WeightSDS!V$30*$AG819+WeightSDS!W$30-0.010431*(1-1/$AG819),WeightSDS!M$32+WeightSDS!N$32/(1+EXP(WeightSDS!O$32+WeightSDS!P$32*$AG819))-0.010431*(1-$AG819/210))))</f>
        <v>2.9500001032655536</v>
      </c>
      <c r="AK819" s="24">
        <f>IF(D819="M",IF($AG819&lt;162,WeightSDS!P$12*$AG819^7+WeightSDS!Q$12*$AG819^6+WeightSDS!R$12*$AG819^5+WeightSDS!S$12*$AG819^4+WeightSDS!T$12*$AG819^3+WeightSDS!U$12*$AG819^2+WeightSDS!V$12*$AG819+WeightSDS!W$12,WeightSDS!P$14*$AG819^7+WeightSDS!Q$14*$AG819^6+WeightSDS!R$14*$AG819^5+WeightSDS!S$14*$AG819^4+WeightSDS!T$14*$AG819^3+WeightSDS!U$14*$AG819^2+WeightSDS!V$14*$AG819+WeightSDS!W$14),IF($AG819&lt;156,WeightSDS!O$17*$AG819^8+WeightSDS!P$17*$AG819^7+WeightSDS!Q$17*$AG819^6+WeightSDS!R$17*$AG819^5+WeightSDS!S$17*$AG819^4+WeightSDS!T$17*$AG819^3+WeightSDS!U$17*$AG819^2+WeightSDS!V$17*$AG819+WeightSDS!W$17,IF($AG819&lt;186,WeightSDS!$U$18+(WeightSDS!$V$18-WeightSDS!$U$18)/24*($AG819-186)+WeightSDS!$W$18*(-$AG819+186)^2-0.005,WeightSDS!$U$18+(WeightSDS!$V$18-WeightSDS!$U$18)/24*($AG819-186)-0.005)))</f>
        <v>0.14604529399999999</v>
      </c>
    </row>
    <row r="820" spans="1:37">
      <c r="A820" s="4"/>
      <c r="B820" s="21"/>
      <c r="C820" s="21"/>
      <c r="D820" s="21"/>
      <c r="E820" s="22"/>
      <c r="F820" s="22"/>
      <c r="G820" s="23"/>
      <c r="H820" s="23"/>
      <c r="I820" s="8" t="str">
        <f t="shared" si="194"/>
        <v/>
      </c>
      <c r="J820" s="2" t="str">
        <f t="shared" si="201"/>
        <v/>
      </c>
      <c r="K820" s="2" t="str">
        <f t="shared" si="195"/>
        <v/>
      </c>
      <c r="L820" s="2" t="str">
        <f t="shared" si="202"/>
        <v/>
      </c>
      <c r="M820" s="2" t="str">
        <f t="shared" si="207"/>
        <v/>
      </c>
      <c r="N820" s="2" t="str">
        <f t="shared" si="203"/>
        <v/>
      </c>
      <c r="O820" s="8" t="str">
        <f t="shared" si="204"/>
        <v/>
      </c>
      <c r="P820" s="8" t="str">
        <f t="shared" si="205"/>
        <v/>
      </c>
      <c r="Q820" s="40" t="str">
        <f t="shared" si="196"/>
        <v/>
      </c>
      <c r="R820" s="48" t="str">
        <f t="shared" si="206"/>
        <v/>
      </c>
      <c r="S820" s="8"/>
      <c r="U820" s="35">
        <f t="shared" si="197"/>
        <v>0</v>
      </c>
      <c r="V820" s="24">
        <f t="shared" si="198"/>
        <v>0</v>
      </c>
      <c r="W820" s="41">
        <f t="shared" si="209"/>
        <v>0</v>
      </c>
      <c r="X820" s="31"/>
      <c r="Y820" s="31"/>
      <c r="Z820" s="31"/>
      <c r="AA820" s="25">
        <f t="shared" si="199"/>
        <v>9.0359999999999996</v>
      </c>
      <c r="AB820" s="25">
        <f t="shared" si="200"/>
        <v>-184.49199999999999</v>
      </c>
      <c r="AD820" s="24">
        <f>IF(D820="M",IF(AG820&lt;78,BMILMS!$D$5*AG820^3+BMILMS!$E$5*AG820^2+BMILMS!$F$5*AG820+BMILMS!$G$5,IF(AG820&lt;150,BMILMS!$D$6*AG820^3+BMILMS!$E$6*AG820^2+BMILMS!$F$6*AG820+BMILMS!$G$6,BMILMS!$D$7*AG820^3+BMILMS!$E$7*AG820^2+BMILMS!$F$7*AG820+BMILMS!$G$7)),IF(AG820&lt;69,BMILMS!$D$9*AG820^3+BMILMS!$E$9*AG820^2+BMILMS!$F$9*AG820+BMILMS!$G$9,IF(AG820&lt;150,BMILMS!$D$10*AG820^3+BMILMS!$E$10*AG820^2+BMILMS!$F$10*AG820+BMILMS!$G$10,BMILMS!$D$11*AG820^3+BMILMS!$E$11*AG820^2+BMILMS!$F$11*AG820+BMILMS!$G$11)))</f>
        <v>0.79584630099999998</v>
      </c>
      <c r="AE820" s="24">
        <f>IF(D820="M",(IF(AG820&lt;2.5,BMILMS!$D$21*AG820^3+BMILMS!$E$21*AG820^2+BMILMS!$F$21*AG820+BMILMS!$G$21,IF(AG820&lt;9.5,BMILMS!$D$22*AG820^3+BMILMS!$E$22*AG820^2+BMILMS!$F$22*AG820+BMILMS!$G$22,IF(AG820&lt;26.75,BMILMS!$D$23*AG820^3+BMILMS!$E$23*AG820^2+BMILMS!$F$23*AG820+BMILMS!$G$23,IF(AG820&lt;90,BMILMS!$D$24*AG820^3+BMILMS!$E$24*AG820^2+BMILMS!$F$24*AG820+BMILMS!$G$24,BMILMS!$D$25*AG820^3+BMILMS!$E$25*AG820^2+BMILMS!$F$25*AG820+BMILMS!$G$25))))),(IF(AG820&lt;2.5,BMILMS!$D$27*AG820^3+BMILMS!$E$27*AG820^2+BMILMS!$F$27*AG820+BMILMS!$G$27,IF(AG820&lt;9.5,BMILMS!$D$28*AG820^3+BMILMS!$E$28*AG820^2+BMILMS!$F$28*AG820+BMILMS!$G$28,IF(AG820&lt;26.75,BMILMS!$D$29*AG820^3+BMILMS!$E$29*AG820^2+BMILMS!$F$29*AG820+BMILMS!$G$29,IF(AG820&lt;90,BMILMS!$D$30*AG820^3+BMILMS!$E$30*AG820^2+BMILMS!$F$30*AG820+BMILMS!$G$30,IF(AG820&lt;150,BMILMS!$D$31*AG820^3+BMILMS!$E$31*AG820^2+BMILMS!$F$31*AG820+BMILMS!$G$31,BMILMS!$D$32*AG820^3+BMILMS!$E$32*AG820^2+BMILMS!$F$32*AG820+BMILMS!$G$32)))))))</f>
        <v>12.568967990000001</v>
      </c>
      <c r="AF820" s="24">
        <f>IF(D820="M",(IF(AG820&lt;90,BMILMS!$D$14*AG820^3+BMILMS!$E$14*AG820^2+BMILMS!$F$14*AG820+BMILMS!$G$14,BMILMS!$D$15*AG820^3+BMILMS!$E$15*AG820^2+BMILMS!$F$15*AG820+BMILMS!$G$15)),(IF(AG820&lt;90,BMILMS!$D$17*AG820^3+BMILMS!$E$17*AG820^2+BMILMS!$F$17*AG820+BMILMS!$G$17,BMILMS!$D$18*AG820^3+BMILMS!$E$18*AG820^2+BMILMS!$F$18*AG820+BMILMS!$G$18)))</f>
        <v>8.8969350000000003E-2</v>
      </c>
      <c r="AG820" s="24">
        <f t="shared" si="208"/>
        <v>0</v>
      </c>
      <c r="AI820" s="38">
        <f>IF(D820="M",WeightSDS!P$5*$AG820^7+WeightSDS!Q$5*$AG820^6+WeightSDS!R$5*$AG820^5+WeightSDS!S$5*$AG820^4+WeightSDS!T$5*$AG820^3+WeightSDS!U$5*$AG820^2+WeightSDS!V$5*$AG820+WeightSDS!W$5,IF($AG820&lt;186,WeightSDS!P$8*$AG820^7+WeightSDS!Q$8*$AG820^6+WeightSDS!R$8*$AG820^5+WeightSDS!S$8*$AG820^4+WeightSDS!T$8*$AG820^3+WeightSDS!U$8*$AG820^2+WeightSDS!V$8*$AG820+WeightSDS!W$8,WeightSDS!$U$9-WeightSDS!$V$9*($AG820-WeightSDS!$W$9)))</f>
        <v>0.75407122999999998</v>
      </c>
      <c r="AJ820" s="24">
        <f>IF(D820="M",IF($AG820&lt;45,WeightSDS!M$23*$AG820^10+WeightSDS!N$23*$AG820^9+WeightSDS!O$23*$AG820^8+WeightSDS!P$23*$AG820^7+WeightSDS!Q$23*$AG820^6+WeightSDS!R$23*$AG820^5+WeightSDS!S$23*$AG820^4+WeightSDS!T$23*$AG820^3+WeightSDS!U$23*$AG820^2+WeightSDS!V$23*$AG820+WeightSDS!W$23,IF($AG820&lt;153,WeightSDS!M$25*$AG820^10+WeightSDS!N$25*$AG820^9+WeightSDS!O$25*$AG820^8+WeightSDS!P$25*$AG820^7+WeightSDS!Q$25*$AG820^6+WeightSDS!R$25*$AG820^5+WeightSDS!S$25*$AG820^4+WeightSDS!T$25*$AG820^3+WeightSDS!U$25*$AG820^2+WeightSDS!V$25*$AG820+WeightSDS!W$25,WeightSDS!M$27+WeightSDS!N$27/(1+EXP(WeightSDS!O$27+WeightSDS!P$27*$AG820)))),IF($AG820&lt;43.8,WeightSDS!M$29*$AG820^10+WeightSDS!N$29*$AG820^9+WeightSDS!O$29*$AG820^8+WeightSDS!P$29*$AG820^7+WeightSDS!Q$29*$AG820^6+WeightSDS!R$29*$AG820^5+WeightSDS!S$29*$AG820^4+WeightSDS!T$29*$AG820^3+WeightSDS!U$29*$AG820^2+WeightSDS!V$29*$AG820+WeightSDS!W$29-0.010431*(1-$AG820/210),IF($AG820&lt;123,WeightSDS!M$30*$AG820^10+WeightSDS!N$30*$AG820^9+WeightSDS!O$30*$AG820^8+WeightSDS!P$30*$AG820^7+WeightSDS!Q$30*$AG820^6+WeightSDS!R$30*$AG820^5+WeightSDS!S$30*$AG820^4+WeightSDS!T$30*$AG820^3+WeightSDS!U$30*$AG820^2+WeightSDS!V$30*$AG820+WeightSDS!W$30-0.010431*(1-1/$AG820),WeightSDS!M$32+WeightSDS!N$32/(1+EXP(WeightSDS!O$32+WeightSDS!P$32*$AG820))-0.010431*(1-$AG820/210))))</f>
        <v>2.9500001032655536</v>
      </c>
      <c r="AK820" s="24">
        <f>IF(D820="M",IF($AG820&lt;162,WeightSDS!P$12*$AG820^7+WeightSDS!Q$12*$AG820^6+WeightSDS!R$12*$AG820^5+WeightSDS!S$12*$AG820^4+WeightSDS!T$12*$AG820^3+WeightSDS!U$12*$AG820^2+WeightSDS!V$12*$AG820+WeightSDS!W$12,WeightSDS!P$14*$AG820^7+WeightSDS!Q$14*$AG820^6+WeightSDS!R$14*$AG820^5+WeightSDS!S$14*$AG820^4+WeightSDS!T$14*$AG820^3+WeightSDS!U$14*$AG820^2+WeightSDS!V$14*$AG820+WeightSDS!W$14),IF($AG820&lt;156,WeightSDS!O$17*$AG820^8+WeightSDS!P$17*$AG820^7+WeightSDS!Q$17*$AG820^6+WeightSDS!R$17*$AG820^5+WeightSDS!S$17*$AG820^4+WeightSDS!T$17*$AG820^3+WeightSDS!U$17*$AG820^2+WeightSDS!V$17*$AG820+WeightSDS!W$17,IF($AG820&lt;186,WeightSDS!$U$18+(WeightSDS!$V$18-WeightSDS!$U$18)/24*($AG820-186)+WeightSDS!$W$18*(-$AG820+186)^2-0.005,WeightSDS!$U$18+(WeightSDS!$V$18-WeightSDS!$U$18)/24*($AG820-186)-0.005)))</f>
        <v>0.14604529399999999</v>
      </c>
    </row>
    <row r="821" spans="1:37">
      <c r="A821" s="4"/>
      <c r="B821" s="21"/>
      <c r="C821" s="21"/>
      <c r="D821" s="21"/>
      <c r="E821" s="22"/>
      <c r="F821" s="22"/>
      <c r="G821" s="23"/>
      <c r="H821" s="23"/>
      <c r="I821" s="8" t="str">
        <f t="shared" si="194"/>
        <v/>
      </c>
      <c r="J821" s="2" t="str">
        <f t="shared" si="201"/>
        <v/>
      </c>
      <c r="K821" s="2" t="str">
        <f t="shared" si="195"/>
        <v/>
      </c>
      <c r="L821" s="2" t="str">
        <f t="shared" si="202"/>
        <v/>
      </c>
      <c r="M821" s="2" t="str">
        <f t="shared" si="207"/>
        <v/>
      </c>
      <c r="N821" s="2" t="str">
        <f t="shared" si="203"/>
        <v/>
      </c>
      <c r="O821" s="8" t="str">
        <f t="shared" si="204"/>
        <v/>
      </c>
      <c r="P821" s="8" t="str">
        <f t="shared" si="205"/>
        <v/>
      </c>
      <c r="Q821" s="40" t="str">
        <f t="shared" si="196"/>
        <v/>
      </c>
      <c r="R821" s="48" t="str">
        <f t="shared" si="206"/>
        <v/>
      </c>
      <c r="S821" s="8"/>
      <c r="U821" s="35">
        <f t="shared" si="197"/>
        <v>0</v>
      </c>
      <c r="V821" s="24">
        <f t="shared" si="198"/>
        <v>0</v>
      </c>
      <c r="W821" s="41">
        <f t="shared" si="209"/>
        <v>0</v>
      </c>
      <c r="X821" s="31"/>
      <c r="Y821" s="31"/>
      <c r="Z821" s="31"/>
      <c r="AA821" s="25">
        <f t="shared" si="199"/>
        <v>9.0359999999999996</v>
      </c>
      <c r="AB821" s="25">
        <f t="shared" si="200"/>
        <v>-184.49199999999999</v>
      </c>
      <c r="AD821" s="24">
        <f>IF(D821="M",IF(AG821&lt;78,BMILMS!$D$5*AG821^3+BMILMS!$E$5*AG821^2+BMILMS!$F$5*AG821+BMILMS!$G$5,IF(AG821&lt;150,BMILMS!$D$6*AG821^3+BMILMS!$E$6*AG821^2+BMILMS!$F$6*AG821+BMILMS!$G$6,BMILMS!$D$7*AG821^3+BMILMS!$E$7*AG821^2+BMILMS!$F$7*AG821+BMILMS!$G$7)),IF(AG821&lt;69,BMILMS!$D$9*AG821^3+BMILMS!$E$9*AG821^2+BMILMS!$F$9*AG821+BMILMS!$G$9,IF(AG821&lt;150,BMILMS!$D$10*AG821^3+BMILMS!$E$10*AG821^2+BMILMS!$F$10*AG821+BMILMS!$G$10,BMILMS!$D$11*AG821^3+BMILMS!$E$11*AG821^2+BMILMS!$F$11*AG821+BMILMS!$G$11)))</f>
        <v>0.79584630099999998</v>
      </c>
      <c r="AE821" s="24">
        <f>IF(D821="M",(IF(AG821&lt;2.5,BMILMS!$D$21*AG821^3+BMILMS!$E$21*AG821^2+BMILMS!$F$21*AG821+BMILMS!$G$21,IF(AG821&lt;9.5,BMILMS!$D$22*AG821^3+BMILMS!$E$22*AG821^2+BMILMS!$F$22*AG821+BMILMS!$G$22,IF(AG821&lt;26.75,BMILMS!$D$23*AG821^3+BMILMS!$E$23*AG821^2+BMILMS!$F$23*AG821+BMILMS!$G$23,IF(AG821&lt;90,BMILMS!$D$24*AG821^3+BMILMS!$E$24*AG821^2+BMILMS!$F$24*AG821+BMILMS!$G$24,BMILMS!$D$25*AG821^3+BMILMS!$E$25*AG821^2+BMILMS!$F$25*AG821+BMILMS!$G$25))))),(IF(AG821&lt;2.5,BMILMS!$D$27*AG821^3+BMILMS!$E$27*AG821^2+BMILMS!$F$27*AG821+BMILMS!$G$27,IF(AG821&lt;9.5,BMILMS!$D$28*AG821^3+BMILMS!$E$28*AG821^2+BMILMS!$F$28*AG821+BMILMS!$G$28,IF(AG821&lt;26.75,BMILMS!$D$29*AG821^3+BMILMS!$E$29*AG821^2+BMILMS!$F$29*AG821+BMILMS!$G$29,IF(AG821&lt;90,BMILMS!$D$30*AG821^3+BMILMS!$E$30*AG821^2+BMILMS!$F$30*AG821+BMILMS!$G$30,IF(AG821&lt;150,BMILMS!$D$31*AG821^3+BMILMS!$E$31*AG821^2+BMILMS!$F$31*AG821+BMILMS!$G$31,BMILMS!$D$32*AG821^3+BMILMS!$E$32*AG821^2+BMILMS!$F$32*AG821+BMILMS!$G$32)))))))</f>
        <v>12.568967990000001</v>
      </c>
      <c r="AF821" s="24">
        <f>IF(D821="M",(IF(AG821&lt;90,BMILMS!$D$14*AG821^3+BMILMS!$E$14*AG821^2+BMILMS!$F$14*AG821+BMILMS!$G$14,BMILMS!$D$15*AG821^3+BMILMS!$E$15*AG821^2+BMILMS!$F$15*AG821+BMILMS!$G$15)),(IF(AG821&lt;90,BMILMS!$D$17*AG821^3+BMILMS!$E$17*AG821^2+BMILMS!$F$17*AG821+BMILMS!$G$17,BMILMS!$D$18*AG821^3+BMILMS!$E$18*AG821^2+BMILMS!$F$18*AG821+BMILMS!$G$18)))</f>
        <v>8.8969350000000003E-2</v>
      </c>
      <c r="AG821" s="24">
        <f t="shared" si="208"/>
        <v>0</v>
      </c>
      <c r="AI821" s="38">
        <f>IF(D821="M",WeightSDS!P$5*$AG821^7+WeightSDS!Q$5*$AG821^6+WeightSDS!R$5*$AG821^5+WeightSDS!S$5*$AG821^4+WeightSDS!T$5*$AG821^3+WeightSDS!U$5*$AG821^2+WeightSDS!V$5*$AG821+WeightSDS!W$5,IF($AG821&lt;186,WeightSDS!P$8*$AG821^7+WeightSDS!Q$8*$AG821^6+WeightSDS!R$8*$AG821^5+WeightSDS!S$8*$AG821^4+WeightSDS!T$8*$AG821^3+WeightSDS!U$8*$AG821^2+WeightSDS!V$8*$AG821+WeightSDS!W$8,WeightSDS!$U$9-WeightSDS!$V$9*($AG821-WeightSDS!$W$9)))</f>
        <v>0.75407122999999998</v>
      </c>
      <c r="AJ821" s="24">
        <f>IF(D821="M",IF($AG821&lt;45,WeightSDS!M$23*$AG821^10+WeightSDS!N$23*$AG821^9+WeightSDS!O$23*$AG821^8+WeightSDS!P$23*$AG821^7+WeightSDS!Q$23*$AG821^6+WeightSDS!R$23*$AG821^5+WeightSDS!S$23*$AG821^4+WeightSDS!T$23*$AG821^3+WeightSDS!U$23*$AG821^2+WeightSDS!V$23*$AG821+WeightSDS!W$23,IF($AG821&lt;153,WeightSDS!M$25*$AG821^10+WeightSDS!N$25*$AG821^9+WeightSDS!O$25*$AG821^8+WeightSDS!P$25*$AG821^7+WeightSDS!Q$25*$AG821^6+WeightSDS!R$25*$AG821^5+WeightSDS!S$25*$AG821^4+WeightSDS!T$25*$AG821^3+WeightSDS!U$25*$AG821^2+WeightSDS!V$25*$AG821+WeightSDS!W$25,WeightSDS!M$27+WeightSDS!N$27/(1+EXP(WeightSDS!O$27+WeightSDS!P$27*$AG821)))),IF($AG821&lt;43.8,WeightSDS!M$29*$AG821^10+WeightSDS!N$29*$AG821^9+WeightSDS!O$29*$AG821^8+WeightSDS!P$29*$AG821^7+WeightSDS!Q$29*$AG821^6+WeightSDS!R$29*$AG821^5+WeightSDS!S$29*$AG821^4+WeightSDS!T$29*$AG821^3+WeightSDS!U$29*$AG821^2+WeightSDS!V$29*$AG821+WeightSDS!W$29-0.010431*(1-$AG821/210),IF($AG821&lt;123,WeightSDS!M$30*$AG821^10+WeightSDS!N$30*$AG821^9+WeightSDS!O$30*$AG821^8+WeightSDS!P$30*$AG821^7+WeightSDS!Q$30*$AG821^6+WeightSDS!R$30*$AG821^5+WeightSDS!S$30*$AG821^4+WeightSDS!T$30*$AG821^3+WeightSDS!U$30*$AG821^2+WeightSDS!V$30*$AG821+WeightSDS!W$30-0.010431*(1-1/$AG821),WeightSDS!M$32+WeightSDS!N$32/(1+EXP(WeightSDS!O$32+WeightSDS!P$32*$AG821))-0.010431*(1-$AG821/210))))</f>
        <v>2.9500001032655536</v>
      </c>
      <c r="AK821" s="24">
        <f>IF(D821="M",IF($AG821&lt;162,WeightSDS!P$12*$AG821^7+WeightSDS!Q$12*$AG821^6+WeightSDS!R$12*$AG821^5+WeightSDS!S$12*$AG821^4+WeightSDS!T$12*$AG821^3+WeightSDS!U$12*$AG821^2+WeightSDS!V$12*$AG821+WeightSDS!W$12,WeightSDS!P$14*$AG821^7+WeightSDS!Q$14*$AG821^6+WeightSDS!R$14*$AG821^5+WeightSDS!S$14*$AG821^4+WeightSDS!T$14*$AG821^3+WeightSDS!U$14*$AG821^2+WeightSDS!V$14*$AG821+WeightSDS!W$14),IF($AG821&lt;156,WeightSDS!O$17*$AG821^8+WeightSDS!P$17*$AG821^7+WeightSDS!Q$17*$AG821^6+WeightSDS!R$17*$AG821^5+WeightSDS!S$17*$AG821^4+WeightSDS!T$17*$AG821^3+WeightSDS!U$17*$AG821^2+WeightSDS!V$17*$AG821+WeightSDS!W$17,IF($AG821&lt;186,WeightSDS!$U$18+(WeightSDS!$V$18-WeightSDS!$U$18)/24*($AG821-186)+WeightSDS!$W$18*(-$AG821+186)^2-0.005,WeightSDS!$U$18+(WeightSDS!$V$18-WeightSDS!$U$18)/24*($AG821-186)-0.005)))</f>
        <v>0.14604529399999999</v>
      </c>
    </row>
    <row r="822" spans="1:37">
      <c r="A822" s="4"/>
      <c r="B822" s="21"/>
      <c r="C822" s="21"/>
      <c r="D822" s="21"/>
      <c r="E822" s="22"/>
      <c r="F822" s="22"/>
      <c r="G822" s="23"/>
      <c r="H822" s="23"/>
      <c r="I822" s="8" t="str">
        <f t="shared" si="194"/>
        <v/>
      </c>
      <c r="J822" s="2" t="str">
        <f t="shared" si="201"/>
        <v/>
      </c>
      <c r="K822" s="2" t="str">
        <f t="shared" si="195"/>
        <v/>
      </c>
      <c r="L822" s="2" t="str">
        <f t="shared" si="202"/>
        <v/>
      </c>
      <c r="M822" s="2" t="str">
        <f t="shared" si="207"/>
        <v/>
      </c>
      <c r="N822" s="2" t="str">
        <f t="shared" si="203"/>
        <v/>
      </c>
      <c r="O822" s="8" t="str">
        <f t="shared" si="204"/>
        <v/>
      </c>
      <c r="P822" s="8" t="str">
        <f t="shared" si="205"/>
        <v/>
      </c>
      <c r="Q822" s="40" t="str">
        <f t="shared" si="196"/>
        <v/>
      </c>
      <c r="R822" s="48" t="str">
        <f t="shared" si="206"/>
        <v/>
      </c>
      <c r="S822" s="8"/>
      <c r="U822" s="35">
        <f t="shared" si="197"/>
        <v>0</v>
      </c>
      <c r="V822" s="24">
        <f t="shared" si="198"/>
        <v>0</v>
      </c>
      <c r="W822" s="41">
        <f t="shared" si="209"/>
        <v>0</v>
      </c>
      <c r="X822" s="31"/>
      <c r="Y822" s="31"/>
      <c r="Z822" s="31"/>
      <c r="AA822" s="25">
        <f t="shared" si="199"/>
        <v>9.0359999999999996</v>
      </c>
      <c r="AB822" s="25">
        <f t="shared" si="200"/>
        <v>-184.49199999999999</v>
      </c>
      <c r="AD822" s="24">
        <f>IF(D822="M",IF(AG822&lt;78,BMILMS!$D$5*AG822^3+BMILMS!$E$5*AG822^2+BMILMS!$F$5*AG822+BMILMS!$G$5,IF(AG822&lt;150,BMILMS!$D$6*AG822^3+BMILMS!$E$6*AG822^2+BMILMS!$F$6*AG822+BMILMS!$G$6,BMILMS!$D$7*AG822^3+BMILMS!$E$7*AG822^2+BMILMS!$F$7*AG822+BMILMS!$G$7)),IF(AG822&lt;69,BMILMS!$D$9*AG822^3+BMILMS!$E$9*AG822^2+BMILMS!$F$9*AG822+BMILMS!$G$9,IF(AG822&lt;150,BMILMS!$D$10*AG822^3+BMILMS!$E$10*AG822^2+BMILMS!$F$10*AG822+BMILMS!$G$10,BMILMS!$D$11*AG822^3+BMILMS!$E$11*AG822^2+BMILMS!$F$11*AG822+BMILMS!$G$11)))</f>
        <v>0.79584630099999998</v>
      </c>
      <c r="AE822" s="24">
        <f>IF(D822="M",(IF(AG822&lt;2.5,BMILMS!$D$21*AG822^3+BMILMS!$E$21*AG822^2+BMILMS!$F$21*AG822+BMILMS!$G$21,IF(AG822&lt;9.5,BMILMS!$D$22*AG822^3+BMILMS!$E$22*AG822^2+BMILMS!$F$22*AG822+BMILMS!$G$22,IF(AG822&lt;26.75,BMILMS!$D$23*AG822^3+BMILMS!$E$23*AG822^2+BMILMS!$F$23*AG822+BMILMS!$G$23,IF(AG822&lt;90,BMILMS!$D$24*AG822^3+BMILMS!$E$24*AG822^2+BMILMS!$F$24*AG822+BMILMS!$G$24,BMILMS!$D$25*AG822^3+BMILMS!$E$25*AG822^2+BMILMS!$F$25*AG822+BMILMS!$G$25))))),(IF(AG822&lt;2.5,BMILMS!$D$27*AG822^3+BMILMS!$E$27*AG822^2+BMILMS!$F$27*AG822+BMILMS!$G$27,IF(AG822&lt;9.5,BMILMS!$D$28*AG822^3+BMILMS!$E$28*AG822^2+BMILMS!$F$28*AG822+BMILMS!$G$28,IF(AG822&lt;26.75,BMILMS!$D$29*AG822^3+BMILMS!$E$29*AG822^2+BMILMS!$F$29*AG822+BMILMS!$G$29,IF(AG822&lt;90,BMILMS!$D$30*AG822^3+BMILMS!$E$30*AG822^2+BMILMS!$F$30*AG822+BMILMS!$G$30,IF(AG822&lt;150,BMILMS!$D$31*AG822^3+BMILMS!$E$31*AG822^2+BMILMS!$F$31*AG822+BMILMS!$G$31,BMILMS!$D$32*AG822^3+BMILMS!$E$32*AG822^2+BMILMS!$F$32*AG822+BMILMS!$G$32)))))))</f>
        <v>12.568967990000001</v>
      </c>
      <c r="AF822" s="24">
        <f>IF(D822="M",(IF(AG822&lt;90,BMILMS!$D$14*AG822^3+BMILMS!$E$14*AG822^2+BMILMS!$F$14*AG822+BMILMS!$G$14,BMILMS!$D$15*AG822^3+BMILMS!$E$15*AG822^2+BMILMS!$F$15*AG822+BMILMS!$G$15)),(IF(AG822&lt;90,BMILMS!$D$17*AG822^3+BMILMS!$E$17*AG822^2+BMILMS!$F$17*AG822+BMILMS!$G$17,BMILMS!$D$18*AG822^3+BMILMS!$E$18*AG822^2+BMILMS!$F$18*AG822+BMILMS!$G$18)))</f>
        <v>8.8969350000000003E-2</v>
      </c>
      <c r="AG822" s="24">
        <f t="shared" si="208"/>
        <v>0</v>
      </c>
      <c r="AI822" s="38">
        <f>IF(D822="M",WeightSDS!P$5*$AG822^7+WeightSDS!Q$5*$AG822^6+WeightSDS!R$5*$AG822^5+WeightSDS!S$5*$AG822^4+WeightSDS!T$5*$AG822^3+WeightSDS!U$5*$AG822^2+WeightSDS!V$5*$AG822+WeightSDS!W$5,IF($AG822&lt;186,WeightSDS!P$8*$AG822^7+WeightSDS!Q$8*$AG822^6+WeightSDS!R$8*$AG822^5+WeightSDS!S$8*$AG822^4+WeightSDS!T$8*$AG822^3+WeightSDS!U$8*$AG822^2+WeightSDS!V$8*$AG822+WeightSDS!W$8,WeightSDS!$U$9-WeightSDS!$V$9*($AG822-WeightSDS!$W$9)))</f>
        <v>0.75407122999999998</v>
      </c>
      <c r="AJ822" s="24">
        <f>IF(D822="M",IF($AG822&lt;45,WeightSDS!M$23*$AG822^10+WeightSDS!N$23*$AG822^9+WeightSDS!O$23*$AG822^8+WeightSDS!P$23*$AG822^7+WeightSDS!Q$23*$AG822^6+WeightSDS!R$23*$AG822^5+WeightSDS!S$23*$AG822^4+WeightSDS!T$23*$AG822^3+WeightSDS!U$23*$AG822^2+WeightSDS!V$23*$AG822+WeightSDS!W$23,IF($AG822&lt;153,WeightSDS!M$25*$AG822^10+WeightSDS!N$25*$AG822^9+WeightSDS!O$25*$AG822^8+WeightSDS!P$25*$AG822^7+WeightSDS!Q$25*$AG822^6+WeightSDS!R$25*$AG822^5+WeightSDS!S$25*$AG822^4+WeightSDS!T$25*$AG822^3+WeightSDS!U$25*$AG822^2+WeightSDS!V$25*$AG822+WeightSDS!W$25,WeightSDS!M$27+WeightSDS!N$27/(1+EXP(WeightSDS!O$27+WeightSDS!P$27*$AG822)))),IF($AG822&lt;43.8,WeightSDS!M$29*$AG822^10+WeightSDS!N$29*$AG822^9+WeightSDS!O$29*$AG822^8+WeightSDS!P$29*$AG822^7+WeightSDS!Q$29*$AG822^6+WeightSDS!R$29*$AG822^5+WeightSDS!S$29*$AG822^4+WeightSDS!T$29*$AG822^3+WeightSDS!U$29*$AG822^2+WeightSDS!V$29*$AG822+WeightSDS!W$29-0.010431*(1-$AG822/210),IF($AG822&lt;123,WeightSDS!M$30*$AG822^10+WeightSDS!N$30*$AG822^9+WeightSDS!O$30*$AG822^8+WeightSDS!P$30*$AG822^7+WeightSDS!Q$30*$AG822^6+WeightSDS!R$30*$AG822^5+WeightSDS!S$30*$AG822^4+WeightSDS!T$30*$AG822^3+WeightSDS!U$30*$AG822^2+WeightSDS!V$30*$AG822+WeightSDS!W$30-0.010431*(1-1/$AG822),WeightSDS!M$32+WeightSDS!N$32/(1+EXP(WeightSDS!O$32+WeightSDS!P$32*$AG822))-0.010431*(1-$AG822/210))))</f>
        <v>2.9500001032655536</v>
      </c>
      <c r="AK822" s="24">
        <f>IF(D822="M",IF($AG822&lt;162,WeightSDS!P$12*$AG822^7+WeightSDS!Q$12*$AG822^6+WeightSDS!R$12*$AG822^5+WeightSDS!S$12*$AG822^4+WeightSDS!T$12*$AG822^3+WeightSDS!U$12*$AG822^2+WeightSDS!V$12*$AG822+WeightSDS!W$12,WeightSDS!P$14*$AG822^7+WeightSDS!Q$14*$AG822^6+WeightSDS!R$14*$AG822^5+WeightSDS!S$14*$AG822^4+WeightSDS!T$14*$AG822^3+WeightSDS!U$14*$AG822^2+WeightSDS!V$14*$AG822+WeightSDS!W$14),IF($AG822&lt;156,WeightSDS!O$17*$AG822^8+WeightSDS!P$17*$AG822^7+WeightSDS!Q$17*$AG822^6+WeightSDS!R$17*$AG822^5+WeightSDS!S$17*$AG822^4+WeightSDS!T$17*$AG822^3+WeightSDS!U$17*$AG822^2+WeightSDS!V$17*$AG822+WeightSDS!W$17,IF($AG822&lt;186,WeightSDS!$U$18+(WeightSDS!$V$18-WeightSDS!$U$18)/24*($AG822-186)+WeightSDS!$W$18*(-$AG822+186)^2-0.005,WeightSDS!$U$18+(WeightSDS!$V$18-WeightSDS!$U$18)/24*($AG822-186)-0.005)))</f>
        <v>0.14604529399999999</v>
      </c>
    </row>
    <row r="823" spans="1:37">
      <c r="A823" s="4"/>
      <c r="B823" s="21"/>
      <c r="C823" s="21"/>
      <c r="D823" s="21"/>
      <c r="E823" s="22"/>
      <c r="F823" s="22"/>
      <c r="G823" s="23"/>
      <c r="H823" s="23"/>
      <c r="I823" s="8" t="str">
        <f t="shared" si="194"/>
        <v/>
      </c>
      <c r="J823" s="2" t="str">
        <f t="shared" si="201"/>
        <v/>
      </c>
      <c r="K823" s="2" t="str">
        <f t="shared" si="195"/>
        <v/>
      </c>
      <c r="L823" s="2" t="str">
        <f t="shared" si="202"/>
        <v/>
      </c>
      <c r="M823" s="2" t="str">
        <f t="shared" si="207"/>
        <v/>
      </c>
      <c r="N823" s="2" t="str">
        <f t="shared" si="203"/>
        <v/>
      </c>
      <c r="O823" s="8" t="str">
        <f t="shared" si="204"/>
        <v/>
      </c>
      <c r="P823" s="8" t="str">
        <f t="shared" si="205"/>
        <v/>
      </c>
      <c r="Q823" s="40" t="str">
        <f t="shared" si="196"/>
        <v/>
      </c>
      <c r="R823" s="48" t="str">
        <f t="shared" si="206"/>
        <v/>
      </c>
      <c r="S823" s="8"/>
      <c r="U823" s="35">
        <f t="shared" si="197"/>
        <v>0</v>
      </c>
      <c r="V823" s="24">
        <f t="shared" si="198"/>
        <v>0</v>
      </c>
      <c r="W823" s="41">
        <f t="shared" si="209"/>
        <v>0</v>
      </c>
      <c r="X823" s="31"/>
      <c r="Y823" s="31"/>
      <c r="Z823" s="31"/>
      <c r="AA823" s="25">
        <f t="shared" si="199"/>
        <v>9.0359999999999996</v>
      </c>
      <c r="AB823" s="25">
        <f t="shared" si="200"/>
        <v>-184.49199999999999</v>
      </c>
      <c r="AD823" s="24">
        <f>IF(D823="M",IF(AG823&lt;78,BMILMS!$D$5*AG823^3+BMILMS!$E$5*AG823^2+BMILMS!$F$5*AG823+BMILMS!$G$5,IF(AG823&lt;150,BMILMS!$D$6*AG823^3+BMILMS!$E$6*AG823^2+BMILMS!$F$6*AG823+BMILMS!$G$6,BMILMS!$D$7*AG823^3+BMILMS!$E$7*AG823^2+BMILMS!$F$7*AG823+BMILMS!$G$7)),IF(AG823&lt;69,BMILMS!$D$9*AG823^3+BMILMS!$E$9*AG823^2+BMILMS!$F$9*AG823+BMILMS!$G$9,IF(AG823&lt;150,BMILMS!$D$10*AG823^3+BMILMS!$E$10*AG823^2+BMILMS!$F$10*AG823+BMILMS!$G$10,BMILMS!$D$11*AG823^3+BMILMS!$E$11*AG823^2+BMILMS!$F$11*AG823+BMILMS!$G$11)))</f>
        <v>0.79584630099999998</v>
      </c>
      <c r="AE823" s="24">
        <f>IF(D823="M",(IF(AG823&lt;2.5,BMILMS!$D$21*AG823^3+BMILMS!$E$21*AG823^2+BMILMS!$F$21*AG823+BMILMS!$G$21,IF(AG823&lt;9.5,BMILMS!$D$22*AG823^3+BMILMS!$E$22*AG823^2+BMILMS!$F$22*AG823+BMILMS!$G$22,IF(AG823&lt;26.75,BMILMS!$D$23*AG823^3+BMILMS!$E$23*AG823^2+BMILMS!$F$23*AG823+BMILMS!$G$23,IF(AG823&lt;90,BMILMS!$D$24*AG823^3+BMILMS!$E$24*AG823^2+BMILMS!$F$24*AG823+BMILMS!$G$24,BMILMS!$D$25*AG823^3+BMILMS!$E$25*AG823^2+BMILMS!$F$25*AG823+BMILMS!$G$25))))),(IF(AG823&lt;2.5,BMILMS!$D$27*AG823^3+BMILMS!$E$27*AG823^2+BMILMS!$F$27*AG823+BMILMS!$G$27,IF(AG823&lt;9.5,BMILMS!$D$28*AG823^3+BMILMS!$E$28*AG823^2+BMILMS!$F$28*AG823+BMILMS!$G$28,IF(AG823&lt;26.75,BMILMS!$D$29*AG823^3+BMILMS!$E$29*AG823^2+BMILMS!$F$29*AG823+BMILMS!$G$29,IF(AG823&lt;90,BMILMS!$D$30*AG823^3+BMILMS!$E$30*AG823^2+BMILMS!$F$30*AG823+BMILMS!$G$30,IF(AG823&lt;150,BMILMS!$D$31*AG823^3+BMILMS!$E$31*AG823^2+BMILMS!$F$31*AG823+BMILMS!$G$31,BMILMS!$D$32*AG823^3+BMILMS!$E$32*AG823^2+BMILMS!$F$32*AG823+BMILMS!$G$32)))))))</f>
        <v>12.568967990000001</v>
      </c>
      <c r="AF823" s="24">
        <f>IF(D823="M",(IF(AG823&lt;90,BMILMS!$D$14*AG823^3+BMILMS!$E$14*AG823^2+BMILMS!$F$14*AG823+BMILMS!$G$14,BMILMS!$D$15*AG823^3+BMILMS!$E$15*AG823^2+BMILMS!$F$15*AG823+BMILMS!$G$15)),(IF(AG823&lt;90,BMILMS!$D$17*AG823^3+BMILMS!$E$17*AG823^2+BMILMS!$F$17*AG823+BMILMS!$G$17,BMILMS!$D$18*AG823^3+BMILMS!$E$18*AG823^2+BMILMS!$F$18*AG823+BMILMS!$G$18)))</f>
        <v>8.8969350000000003E-2</v>
      </c>
      <c r="AG823" s="24">
        <f t="shared" si="208"/>
        <v>0</v>
      </c>
      <c r="AI823" s="38">
        <f>IF(D823="M",WeightSDS!P$5*$AG823^7+WeightSDS!Q$5*$AG823^6+WeightSDS!R$5*$AG823^5+WeightSDS!S$5*$AG823^4+WeightSDS!T$5*$AG823^3+WeightSDS!U$5*$AG823^2+WeightSDS!V$5*$AG823+WeightSDS!W$5,IF($AG823&lt;186,WeightSDS!P$8*$AG823^7+WeightSDS!Q$8*$AG823^6+WeightSDS!R$8*$AG823^5+WeightSDS!S$8*$AG823^4+WeightSDS!T$8*$AG823^3+WeightSDS!U$8*$AG823^2+WeightSDS!V$8*$AG823+WeightSDS!W$8,WeightSDS!$U$9-WeightSDS!$V$9*($AG823-WeightSDS!$W$9)))</f>
        <v>0.75407122999999998</v>
      </c>
      <c r="AJ823" s="24">
        <f>IF(D823="M",IF($AG823&lt;45,WeightSDS!M$23*$AG823^10+WeightSDS!N$23*$AG823^9+WeightSDS!O$23*$AG823^8+WeightSDS!P$23*$AG823^7+WeightSDS!Q$23*$AG823^6+WeightSDS!R$23*$AG823^5+WeightSDS!S$23*$AG823^4+WeightSDS!T$23*$AG823^3+WeightSDS!U$23*$AG823^2+WeightSDS!V$23*$AG823+WeightSDS!W$23,IF($AG823&lt;153,WeightSDS!M$25*$AG823^10+WeightSDS!N$25*$AG823^9+WeightSDS!O$25*$AG823^8+WeightSDS!P$25*$AG823^7+WeightSDS!Q$25*$AG823^6+WeightSDS!R$25*$AG823^5+WeightSDS!S$25*$AG823^4+WeightSDS!T$25*$AG823^3+WeightSDS!U$25*$AG823^2+WeightSDS!V$25*$AG823+WeightSDS!W$25,WeightSDS!M$27+WeightSDS!N$27/(1+EXP(WeightSDS!O$27+WeightSDS!P$27*$AG823)))),IF($AG823&lt;43.8,WeightSDS!M$29*$AG823^10+WeightSDS!N$29*$AG823^9+WeightSDS!O$29*$AG823^8+WeightSDS!P$29*$AG823^7+WeightSDS!Q$29*$AG823^6+WeightSDS!R$29*$AG823^5+WeightSDS!S$29*$AG823^4+WeightSDS!T$29*$AG823^3+WeightSDS!U$29*$AG823^2+WeightSDS!V$29*$AG823+WeightSDS!W$29-0.010431*(1-$AG823/210),IF($AG823&lt;123,WeightSDS!M$30*$AG823^10+WeightSDS!N$30*$AG823^9+WeightSDS!O$30*$AG823^8+WeightSDS!P$30*$AG823^7+WeightSDS!Q$30*$AG823^6+WeightSDS!R$30*$AG823^5+WeightSDS!S$30*$AG823^4+WeightSDS!T$30*$AG823^3+WeightSDS!U$30*$AG823^2+WeightSDS!V$30*$AG823+WeightSDS!W$30-0.010431*(1-1/$AG823),WeightSDS!M$32+WeightSDS!N$32/(1+EXP(WeightSDS!O$32+WeightSDS!P$32*$AG823))-0.010431*(1-$AG823/210))))</f>
        <v>2.9500001032655536</v>
      </c>
      <c r="AK823" s="24">
        <f>IF(D823="M",IF($AG823&lt;162,WeightSDS!P$12*$AG823^7+WeightSDS!Q$12*$AG823^6+WeightSDS!R$12*$AG823^5+WeightSDS!S$12*$AG823^4+WeightSDS!T$12*$AG823^3+WeightSDS!U$12*$AG823^2+WeightSDS!V$12*$AG823+WeightSDS!W$12,WeightSDS!P$14*$AG823^7+WeightSDS!Q$14*$AG823^6+WeightSDS!R$14*$AG823^5+WeightSDS!S$14*$AG823^4+WeightSDS!T$14*$AG823^3+WeightSDS!U$14*$AG823^2+WeightSDS!V$14*$AG823+WeightSDS!W$14),IF($AG823&lt;156,WeightSDS!O$17*$AG823^8+WeightSDS!P$17*$AG823^7+WeightSDS!Q$17*$AG823^6+WeightSDS!R$17*$AG823^5+WeightSDS!S$17*$AG823^4+WeightSDS!T$17*$AG823^3+WeightSDS!U$17*$AG823^2+WeightSDS!V$17*$AG823+WeightSDS!W$17,IF($AG823&lt;186,WeightSDS!$U$18+(WeightSDS!$V$18-WeightSDS!$U$18)/24*($AG823-186)+WeightSDS!$W$18*(-$AG823+186)^2-0.005,WeightSDS!$U$18+(WeightSDS!$V$18-WeightSDS!$U$18)/24*($AG823-186)-0.005)))</f>
        <v>0.14604529399999999</v>
      </c>
    </row>
    <row r="824" spans="1:37">
      <c r="A824" s="4"/>
      <c r="B824" s="21"/>
      <c r="C824" s="21"/>
      <c r="D824" s="21"/>
      <c r="E824" s="22"/>
      <c r="F824" s="22"/>
      <c r="G824" s="23"/>
      <c r="H824" s="23"/>
      <c r="I824" s="8" t="str">
        <f t="shared" si="194"/>
        <v/>
      </c>
      <c r="J824" s="2" t="str">
        <f t="shared" si="201"/>
        <v/>
      </c>
      <c r="K824" s="2" t="str">
        <f t="shared" si="195"/>
        <v/>
      </c>
      <c r="L824" s="2" t="str">
        <f t="shared" si="202"/>
        <v/>
      </c>
      <c r="M824" s="2" t="str">
        <f t="shared" si="207"/>
        <v/>
      </c>
      <c r="N824" s="2" t="str">
        <f t="shared" si="203"/>
        <v/>
      </c>
      <c r="O824" s="8" t="str">
        <f t="shared" si="204"/>
        <v/>
      </c>
      <c r="P824" s="8" t="str">
        <f t="shared" si="205"/>
        <v/>
      </c>
      <c r="Q824" s="40" t="str">
        <f t="shared" si="196"/>
        <v/>
      </c>
      <c r="R824" s="48" t="str">
        <f t="shared" si="206"/>
        <v/>
      </c>
      <c r="S824" s="8"/>
      <c r="U824" s="35">
        <f t="shared" si="197"/>
        <v>0</v>
      </c>
      <c r="V824" s="24">
        <f t="shared" si="198"/>
        <v>0</v>
      </c>
      <c r="W824" s="41">
        <f t="shared" si="209"/>
        <v>0</v>
      </c>
      <c r="X824" s="31"/>
      <c r="Y824" s="31"/>
      <c r="Z824" s="31"/>
      <c r="AA824" s="25">
        <f t="shared" si="199"/>
        <v>9.0359999999999996</v>
      </c>
      <c r="AB824" s="25">
        <f t="shared" si="200"/>
        <v>-184.49199999999999</v>
      </c>
      <c r="AD824" s="24">
        <f>IF(D824="M",IF(AG824&lt;78,BMILMS!$D$5*AG824^3+BMILMS!$E$5*AG824^2+BMILMS!$F$5*AG824+BMILMS!$G$5,IF(AG824&lt;150,BMILMS!$D$6*AG824^3+BMILMS!$E$6*AG824^2+BMILMS!$F$6*AG824+BMILMS!$G$6,BMILMS!$D$7*AG824^3+BMILMS!$E$7*AG824^2+BMILMS!$F$7*AG824+BMILMS!$G$7)),IF(AG824&lt;69,BMILMS!$D$9*AG824^3+BMILMS!$E$9*AG824^2+BMILMS!$F$9*AG824+BMILMS!$G$9,IF(AG824&lt;150,BMILMS!$D$10*AG824^3+BMILMS!$E$10*AG824^2+BMILMS!$F$10*AG824+BMILMS!$G$10,BMILMS!$D$11*AG824^3+BMILMS!$E$11*AG824^2+BMILMS!$F$11*AG824+BMILMS!$G$11)))</f>
        <v>0.79584630099999998</v>
      </c>
      <c r="AE824" s="24">
        <f>IF(D824="M",(IF(AG824&lt;2.5,BMILMS!$D$21*AG824^3+BMILMS!$E$21*AG824^2+BMILMS!$F$21*AG824+BMILMS!$G$21,IF(AG824&lt;9.5,BMILMS!$D$22*AG824^3+BMILMS!$E$22*AG824^2+BMILMS!$F$22*AG824+BMILMS!$G$22,IF(AG824&lt;26.75,BMILMS!$D$23*AG824^3+BMILMS!$E$23*AG824^2+BMILMS!$F$23*AG824+BMILMS!$G$23,IF(AG824&lt;90,BMILMS!$D$24*AG824^3+BMILMS!$E$24*AG824^2+BMILMS!$F$24*AG824+BMILMS!$G$24,BMILMS!$D$25*AG824^3+BMILMS!$E$25*AG824^2+BMILMS!$F$25*AG824+BMILMS!$G$25))))),(IF(AG824&lt;2.5,BMILMS!$D$27*AG824^3+BMILMS!$E$27*AG824^2+BMILMS!$F$27*AG824+BMILMS!$G$27,IF(AG824&lt;9.5,BMILMS!$D$28*AG824^3+BMILMS!$E$28*AG824^2+BMILMS!$F$28*AG824+BMILMS!$G$28,IF(AG824&lt;26.75,BMILMS!$D$29*AG824^3+BMILMS!$E$29*AG824^2+BMILMS!$F$29*AG824+BMILMS!$G$29,IF(AG824&lt;90,BMILMS!$D$30*AG824^3+BMILMS!$E$30*AG824^2+BMILMS!$F$30*AG824+BMILMS!$G$30,IF(AG824&lt;150,BMILMS!$D$31*AG824^3+BMILMS!$E$31*AG824^2+BMILMS!$F$31*AG824+BMILMS!$G$31,BMILMS!$D$32*AG824^3+BMILMS!$E$32*AG824^2+BMILMS!$F$32*AG824+BMILMS!$G$32)))))))</f>
        <v>12.568967990000001</v>
      </c>
      <c r="AF824" s="24">
        <f>IF(D824="M",(IF(AG824&lt;90,BMILMS!$D$14*AG824^3+BMILMS!$E$14*AG824^2+BMILMS!$F$14*AG824+BMILMS!$G$14,BMILMS!$D$15*AG824^3+BMILMS!$E$15*AG824^2+BMILMS!$F$15*AG824+BMILMS!$G$15)),(IF(AG824&lt;90,BMILMS!$D$17*AG824^3+BMILMS!$E$17*AG824^2+BMILMS!$F$17*AG824+BMILMS!$G$17,BMILMS!$D$18*AG824^3+BMILMS!$E$18*AG824^2+BMILMS!$F$18*AG824+BMILMS!$G$18)))</f>
        <v>8.8969350000000003E-2</v>
      </c>
      <c r="AG824" s="24">
        <f t="shared" si="208"/>
        <v>0</v>
      </c>
      <c r="AI824" s="38">
        <f>IF(D824="M",WeightSDS!P$5*$AG824^7+WeightSDS!Q$5*$AG824^6+WeightSDS!R$5*$AG824^5+WeightSDS!S$5*$AG824^4+WeightSDS!T$5*$AG824^3+WeightSDS!U$5*$AG824^2+WeightSDS!V$5*$AG824+WeightSDS!W$5,IF($AG824&lt;186,WeightSDS!P$8*$AG824^7+WeightSDS!Q$8*$AG824^6+WeightSDS!R$8*$AG824^5+WeightSDS!S$8*$AG824^4+WeightSDS!T$8*$AG824^3+WeightSDS!U$8*$AG824^2+WeightSDS!V$8*$AG824+WeightSDS!W$8,WeightSDS!$U$9-WeightSDS!$V$9*($AG824-WeightSDS!$W$9)))</f>
        <v>0.75407122999999998</v>
      </c>
      <c r="AJ824" s="24">
        <f>IF(D824="M",IF($AG824&lt;45,WeightSDS!M$23*$AG824^10+WeightSDS!N$23*$AG824^9+WeightSDS!O$23*$AG824^8+WeightSDS!P$23*$AG824^7+WeightSDS!Q$23*$AG824^6+WeightSDS!R$23*$AG824^5+WeightSDS!S$23*$AG824^4+WeightSDS!T$23*$AG824^3+WeightSDS!U$23*$AG824^2+WeightSDS!V$23*$AG824+WeightSDS!W$23,IF($AG824&lt;153,WeightSDS!M$25*$AG824^10+WeightSDS!N$25*$AG824^9+WeightSDS!O$25*$AG824^8+WeightSDS!P$25*$AG824^7+WeightSDS!Q$25*$AG824^6+WeightSDS!R$25*$AG824^5+WeightSDS!S$25*$AG824^4+WeightSDS!T$25*$AG824^3+WeightSDS!U$25*$AG824^2+WeightSDS!V$25*$AG824+WeightSDS!W$25,WeightSDS!M$27+WeightSDS!N$27/(1+EXP(WeightSDS!O$27+WeightSDS!P$27*$AG824)))),IF($AG824&lt;43.8,WeightSDS!M$29*$AG824^10+WeightSDS!N$29*$AG824^9+WeightSDS!O$29*$AG824^8+WeightSDS!P$29*$AG824^7+WeightSDS!Q$29*$AG824^6+WeightSDS!R$29*$AG824^5+WeightSDS!S$29*$AG824^4+WeightSDS!T$29*$AG824^3+WeightSDS!U$29*$AG824^2+WeightSDS!V$29*$AG824+WeightSDS!W$29-0.010431*(1-$AG824/210),IF($AG824&lt;123,WeightSDS!M$30*$AG824^10+WeightSDS!N$30*$AG824^9+WeightSDS!O$30*$AG824^8+WeightSDS!P$30*$AG824^7+WeightSDS!Q$30*$AG824^6+WeightSDS!R$30*$AG824^5+WeightSDS!S$30*$AG824^4+WeightSDS!T$30*$AG824^3+WeightSDS!U$30*$AG824^2+WeightSDS!V$30*$AG824+WeightSDS!W$30-0.010431*(1-1/$AG824),WeightSDS!M$32+WeightSDS!N$32/(1+EXP(WeightSDS!O$32+WeightSDS!P$32*$AG824))-0.010431*(1-$AG824/210))))</f>
        <v>2.9500001032655536</v>
      </c>
      <c r="AK824" s="24">
        <f>IF(D824="M",IF($AG824&lt;162,WeightSDS!P$12*$AG824^7+WeightSDS!Q$12*$AG824^6+WeightSDS!R$12*$AG824^5+WeightSDS!S$12*$AG824^4+WeightSDS!T$12*$AG824^3+WeightSDS!U$12*$AG824^2+WeightSDS!V$12*$AG824+WeightSDS!W$12,WeightSDS!P$14*$AG824^7+WeightSDS!Q$14*$AG824^6+WeightSDS!R$14*$AG824^5+WeightSDS!S$14*$AG824^4+WeightSDS!T$14*$AG824^3+WeightSDS!U$14*$AG824^2+WeightSDS!V$14*$AG824+WeightSDS!W$14),IF($AG824&lt;156,WeightSDS!O$17*$AG824^8+WeightSDS!P$17*$AG824^7+WeightSDS!Q$17*$AG824^6+WeightSDS!R$17*$AG824^5+WeightSDS!S$17*$AG824^4+WeightSDS!T$17*$AG824^3+WeightSDS!U$17*$AG824^2+WeightSDS!V$17*$AG824+WeightSDS!W$17,IF($AG824&lt;186,WeightSDS!$U$18+(WeightSDS!$V$18-WeightSDS!$U$18)/24*($AG824-186)+WeightSDS!$W$18*(-$AG824+186)^2-0.005,WeightSDS!$U$18+(WeightSDS!$V$18-WeightSDS!$U$18)/24*($AG824-186)-0.005)))</f>
        <v>0.14604529399999999</v>
      </c>
    </row>
    <row r="825" spans="1:37">
      <c r="A825" s="4"/>
      <c r="B825" s="21"/>
      <c r="C825" s="21"/>
      <c r="D825" s="21"/>
      <c r="E825" s="22"/>
      <c r="F825" s="22"/>
      <c r="G825" s="23"/>
      <c r="H825" s="23"/>
      <c r="I825" s="8" t="str">
        <f t="shared" si="194"/>
        <v/>
      </c>
      <c r="J825" s="2" t="str">
        <f t="shared" si="201"/>
        <v/>
      </c>
      <c r="K825" s="2" t="str">
        <f t="shared" si="195"/>
        <v/>
      </c>
      <c r="L825" s="2" t="str">
        <f t="shared" si="202"/>
        <v/>
      </c>
      <c r="M825" s="2" t="str">
        <f t="shared" si="207"/>
        <v/>
      </c>
      <c r="N825" s="2" t="str">
        <f t="shared" si="203"/>
        <v/>
      </c>
      <c r="O825" s="8" t="str">
        <f t="shared" si="204"/>
        <v/>
      </c>
      <c r="P825" s="8" t="str">
        <f t="shared" si="205"/>
        <v/>
      </c>
      <c r="Q825" s="40" t="str">
        <f t="shared" si="196"/>
        <v/>
      </c>
      <c r="R825" s="48" t="str">
        <f t="shared" si="206"/>
        <v/>
      </c>
      <c r="S825" s="8"/>
      <c r="U825" s="35">
        <f t="shared" si="197"/>
        <v>0</v>
      </c>
      <c r="V825" s="24">
        <f t="shared" si="198"/>
        <v>0</v>
      </c>
      <c r="W825" s="41">
        <f t="shared" si="209"/>
        <v>0</v>
      </c>
      <c r="X825" s="31"/>
      <c r="Y825" s="31"/>
      <c r="Z825" s="31"/>
      <c r="AA825" s="25">
        <f t="shared" si="199"/>
        <v>9.0359999999999996</v>
      </c>
      <c r="AB825" s="25">
        <f t="shared" si="200"/>
        <v>-184.49199999999999</v>
      </c>
      <c r="AD825" s="24">
        <f>IF(D825="M",IF(AG825&lt;78,BMILMS!$D$5*AG825^3+BMILMS!$E$5*AG825^2+BMILMS!$F$5*AG825+BMILMS!$G$5,IF(AG825&lt;150,BMILMS!$D$6*AG825^3+BMILMS!$E$6*AG825^2+BMILMS!$F$6*AG825+BMILMS!$G$6,BMILMS!$D$7*AG825^3+BMILMS!$E$7*AG825^2+BMILMS!$F$7*AG825+BMILMS!$G$7)),IF(AG825&lt;69,BMILMS!$D$9*AG825^3+BMILMS!$E$9*AG825^2+BMILMS!$F$9*AG825+BMILMS!$G$9,IF(AG825&lt;150,BMILMS!$D$10*AG825^3+BMILMS!$E$10*AG825^2+BMILMS!$F$10*AG825+BMILMS!$G$10,BMILMS!$D$11*AG825^3+BMILMS!$E$11*AG825^2+BMILMS!$F$11*AG825+BMILMS!$G$11)))</f>
        <v>0.79584630099999998</v>
      </c>
      <c r="AE825" s="24">
        <f>IF(D825="M",(IF(AG825&lt;2.5,BMILMS!$D$21*AG825^3+BMILMS!$E$21*AG825^2+BMILMS!$F$21*AG825+BMILMS!$G$21,IF(AG825&lt;9.5,BMILMS!$D$22*AG825^3+BMILMS!$E$22*AG825^2+BMILMS!$F$22*AG825+BMILMS!$G$22,IF(AG825&lt;26.75,BMILMS!$D$23*AG825^3+BMILMS!$E$23*AG825^2+BMILMS!$F$23*AG825+BMILMS!$G$23,IF(AG825&lt;90,BMILMS!$D$24*AG825^3+BMILMS!$E$24*AG825^2+BMILMS!$F$24*AG825+BMILMS!$G$24,BMILMS!$D$25*AG825^3+BMILMS!$E$25*AG825^2+BMILMS!$F$25*AG825+BMILMS!$G$25))))),(IF(AG825&lt;2.5,BMILMS!$D$27*AG825^3+BMILMS!$E$27*AG825^2+BMILMS!$F$27*AG825+BMILMS!$G$27,IF(AG825&lt;9.5,BMILMS!$D$28*AG825^3+BMILMS!$E$28*AG825^2+BMILMS!$F$28*AG825+BMILMS!$G$28,IF(AG825&lt;26.75,BMILMS!$D$29*AG825^3+BMILMS!$E$29*AG825^2+BMILMS!$F$29*AG825+BMILMS!$G$29,IF(AG825&lt;90,BMILMS!$D$30*AG825^3+BMILMS!$E$30*AG825^2+BMILMS!$F$30*AG825+BMILMS!$G$30,IF(AG825&lt;150,BMILMS!$D$31*AG825^3+BMILMS!$E$31*AG825^2+BMILMS!$F$31*AG825+BMILMS!$G$31,BMILMS!$D$32*AG825^3+BMILMS!$E$32*AG825^2+BMILMS!$F$32*AG825+BMILMS!$G$32)))))))</f>
        <v>12.568967990000001</v>
      </c>
      <c r="AF825" s="24">
        <f>IF(D825="M",(IF(AG825&lt;90,BMILMS!$D$14*AG825^3+BMILMS!$E$14*AG825^2+BMILMS!$F$14*AG825+BMILMS!$G$14,BMILMS!$D$15*AG825^3+BMILMS!$E$15*AG825^2+BMILMS!$F$15*AG825+BMILMS!$G$15)),(IF(AG825&lt;90,BMILMS!$D$17*AG825^3+BMILMS!$E$17*AG825^2+BMILMS!$F$17*AG825+BMILMS!$G$17,BMILMS!$D$18*AG825^3+BMILMS!$E$18*AG825^2+BMILMS!$F$18*AG825+BMILMS!$G$18)))</f>
        <v>8.8969350000000003E-2</v>
      </c>
      <c r="AG825" s="24">
        <f t="shared" si="208"/>
        <v>0</v>
      </c>
      <c r="AI825" s="38">
        <f>IF(D825="M",WeightSDS!P$5*$AG825^7+WeightSDS!Q$5*$AG825^6+WeightSDS!R$5*$AG825^5+WeightSDS!S$5*$AG825^4+WeightSDS!T$5*$AG825^3+WeightSDS!U$5*$AG825^2+WeightSDS!V$5*$AG825+WeightSDS!W$5,IF($AG825&lt;186,WeightSDS!P$8*$AG825^7+WeightSDS!Q$8*$AG825^6+WeightSDS!R$8*$AG825^5+WeightSDS!S$8*$AG825^4+WeightSDS!T$8*$AG825^3+WeightSDS!U$8*$AG825^2+WeightSDS!V$8*$AG825+WeightSDS!W$8,WeightSDS!$U$9-WeightSDS!$V$9*($AG825-WeightSDS!$W$9)))</f>
        <v>0.75407122999999998</v>
      </c>
      <c r="AJ825" s="24">
        <f>IF(D825="M",IF($AG825&lt;45,WeightSDS!M$23*$AG825^10+WeightSDS!N$23*$AG825^9+WeightSDS!O$23*$AG825^8+WeightSDS!P$23*$AG825^7+WeightSDS!Q$23*$AG825^6+WeightSDS!R$23*$AG825^5+WeightSDS!S$23*$AG825^4+WeightSDS!T$23*$AG825^3+WeightSDS!U$23*$AG825^2+WeightSDS!V$23*$AG825+WeightSDS!W$23,IF($AG825&lt;153,WeightSDS!M$25*$AG825^10+WeightSDS!N$25*$AG825^9+WeightSDS!O$25*$AG825^8+WeightSDS!P$25*$AG825^7+WeightSDS!Q$25*$AG825^6+WeightSDS!R$25*$AG825^5+WeightSDS!S$25*$AG825^4+WeightSDS!T$25*$AG825^3+WeightSDS!U$25*$AG825^2+WeightSDS!V$25*$AG825+WeightSDS!W$25,WeightSDS!M$27+WeightSDS!N$27/(1+EXP(WeightSDS!O$27+WeightSDS!P$27*$AG825)))),IF($AG825&lt;43.8,WeightSDS!M$29*$AG825^10+WeightSDS!N$29*$AG825^9+WeightSDS!O$29*$AG825^8+WeightSDS!P$29*$AG825^7+WeightSDS!Q$29*$AG825^6+WeightSDS!R$29*$AG825^5+WeightSDS!S$29*$AG825^4+WeightSDS!T$29*$AG825^3+WeightSDS!U$29*$AG825^2+WeightSDS!V$29*$AG825+WeightSDS!W$29-0.010431*(1-$AG825/210),IF($AG825&lt;123,WeightSDS!M$30*$AG825^10+WeightSDS!N$30*$AG825^9+WeightSDS!O$30*$AG825^8+WeightSDS!P$30*$AG825^7+WeightSDS!Q$30*$AG825^6+WeightSDS!R$30*$AG825^5+WeightSDS!S$30*$AG825^4+WeightSDS!T$30*$AG825^3+WeightSDS!U$30*$AG825^2+WeightSDS!V$30*$AG825+WeightSDS!W$30-0.010431*(1-1/$AG825),WeightSDS!M$32+WeightSDS!N$32/(1+EXP(WeightSDS!O$32+WeightSDS!P$32*$AG825))-0.010431*(1-$AG825/210))))</f>
        <v>2.9500001032655536</v>
      </c>
      <c r="AK825" s="24">
        <f>IF(D825="M",IF($AG825&lt;162,WeightSDS!P$12*$AG825^7+WeightSDS!Q$12*$AG825^6+WeightSDS!R$12*$AG825^5+WeightSDS!S$12*$AG825^4+WeightSDS!T$12*$AG825^3+WeightSDS!U$12*$AG825^2+WeightSDS!V$12*$AG825+WeightSDS!W$12,WeightSDS!P$14*$AG825^7+WeightSDS!Q$14*$AG825^6+WeightSDS!R$14*$AG825^5+WeightSDS!S$14*$AG825^4+WeightSDS!T$14*$AG825^3+WeightSDS!U$14*$AG825^2+WeightSDS!V$14*$AG825+WeightSDS!W$14),IF($AG825&lt;156,WeightSDS!O$17*$AG825^8+WeightSDS!P$17*$AG825^7+WeightSDS!Q$17*$AG825^6+WeightSDS!R$17*$AG825^5+WeightSDS!S$17*$AG825^4+WeightSDS!T$17*$AG825^3+WeightSDS!U$17*$AG825^2+WeightSDS!V$17*$AG825+WeightSDS!W$17,IF($AG825&lt;186,WeightSDS!$U$18+(WeightSDS!$V$18-WeightSDS!$U$18)/24*($AG825-186)+WeightSDS!$W$18*(-$AG825+186)^2-0.005,WeightSDS!$U$18+(WeightSDS!$V$18-WeightSDS!$U$18)/24*($AG825-186)-0.005)))</f>
        <v>0.14604529399999999</v>
      </c>
    </row>
    <row r="826" spans="1:37">
      <c r="A826" s="4"/>
      <c r="B826" s="21"/>
      <c r="C826" s="21"/>
      <c r="D826" s="21"/>
      <c r="E826" s="22"/>
      <c r="F826" s="22"/>
      <c r="G826" s="23"/>
      <c r="H826" s="23"/>
      <c r="I826" s="8" t="str">
        <f t="shared" si="194"/>
        <v/>
      </c>
      <c r="J826" s="2" t="str">
        <f t="shared" si="201"/>
        <v/>
      </c>
      <c r="K826" s="2" t="str">
        <f t="shared" si="195"/>
        <v/>
      </c>
      <c r="L826" s="2" t="str">
        <f t="shared" si="202"/>
        <v/>
      </c>
      <c r="M826" s="2" t="str">
        <f t="shared" si="207"/>
        <v/>
      </c>
      <c r="N826" s="2" t="str">
        <f t="shared" si="203"/>
        <v/>
      </c>
      <c r="O826" s="8" t="str">
        <f t="shared" si="204"/>
        <v/>
      </c>
      <c r="P826" s="8" t="str">
        <f t="shared" si="205"/>
        <v/>
      </c>
      <c r="Q826" s="40" t="str">
        <f t="shared" si="196"/>
        <v/>
      </c>
      <c r="R826" s="48" t="str">
        <f t="shared" si="206"/>
        <v/>
      </c>
      <c r="S826" s="8"/>
      <c r="U826" s="35">
        <f t="shared" si="197"/>
        <v>0</v>
      </c>
      <c r="V826" s="24">
        <f t="shared" si="198"/>
        <v>0</v>
      </c>
      <c r="W826" s="41">
        <f t="shared" si="209"/>
        <v>0</v>
      </c>
      <c r="X826" s="31"/>
      <c r="Y826" s="31"/>
      <c r="Z826" s="31"/>
      <c r="AA826" s="25">
        <f t="shared" si="199"/>
        <v>9.0359999999999996</v>
      </c>
      <c r="AB826" s="25">
        <f t="shared" si="200"/>
        <v>-184.49199999999999</v>
      </c>
      <c r="AD826" s="24">
        <f>IF(D826="M",IF(AG826&lt;78,BMILMS!$D$5*AG826^3+BMILMS!$E$5*AG826^2+BMILMS!$F$5*AG826+BMILMS!$G$5,IF(AG826&lt;150,BMILMS!$D$6*AG826^3+BMILMS!$E$6*AG826^2+BMILMS!$F$6*AG826+BMILMS!$G$6,BMILMS!$D$7*AG826^3+BMILMS!$E$7*AG826^2+BMILMS!$F$7*AG826+BMILMS!$G$7)),IF(AG826&lt;69,BMILMS!$D$9*AG826^3+BMILMS!$E$9*AG826^2+BMILMS!$F$9*AG826+BMILMS!$G$9,IF(AG826&lt;150,BMILMS!$D$10*AG826^3+BMILMS!$E$10*AG826^2+BMILMS!$F$10*AG826+BMILMS!$G$10,BMILMS!$D$11*AG826^3+BMILMS!$E$11*AG826^2+BMILMS!$F$11*AG826+BMILMS!$G$11)))</f>
        <v>0.79584630099999998</v>
      </c>
      <c r="AE826" s="24">
        <f>IF(D826="M",(IF(AG826&lt;2.5,BMILMS!$D$21*AG826^3+BMILMS!$E$21*AG826^2+BMILMS!$F$21*AG826+BMILMS!$G$21,IF(AG826&lt;9.5,BMILMS!$D$22*AG826^3+BMILMS!$E$22*AG826^2+BMILMS!$F$22*AG826+BMILMS!$G$22,IF(AG826&lt;26.75,BMILMS!$D$23*AG826^3+BMILMS!$E$23*AG826^2+BMILMS!$F$23*AG826+BMILMS!$G$23,IF(AG826&lt;90,BMILMS!$D$24*AG826^3+BMILMS!$E$24*AG826^2+BMILMS!$F$24*AG826+BMILMS!$G$24,BMILMS!$D$25*AG826^3+BMILMS!$E$25*AG826^2+BMILMS!$F$25*AG826+BMILMS!$G$25))))),(IF(AG826&lt;2.5,BMILMS!$D$27*AG826^3+BMILMS!$E$27*AG826^2+BMILMS!$F$27*AG826+BMILMS!$G$27,IF(AG826&lt;9.5,BMILMS!$D$28*AG826^3+BMILMS!$E$28*AG826^2+BMILMS!$F$28*AG826+BMILMS!$G$28,IF(AG826&lt;26.75,BMILMS!$D$29*AG826^3+BMILMS!$E$29*AG826^2+BMILMS!$F$29*AG826+BMILMS!$G$29,IF(AG826&lt;90,BMILMS!$D$30*AG826^3+BMILMS!$E$30*AG826^2+BMILMS!$F$30*AG826+BMILMS!$G$30,IF(AG826&lt;150,BMILMS!$D$31*AG826^3+BMILMS!$E$31*AG826^2+BMILMS!$F$31*AG826+BMILMS!$G$31,BMILMS!$D$32*AG826^3+BMILMS!$E$32*AG826^2+BMILMS!$F$32*AG826+BMILMS!$G$32)))))))</f>
        <v>12.568967990000001</v>
      </c>
      <c r="AF826" s="24">
        <f>IF(D826="M",(IF(AG826&lt;90,BMILMS!$D$14*AG826^3+BMILMS!$E$14*AG826^2+BMILMS!$F$14*AG826+BMILMS!$G$14,BMILMS!$D$15*AG826^3+BMILMS!$E$15*AG826^2+BMILMS!$F$15*AG826+BMILMS!$G$15)),(IF(AG826&lt;90,BMILMS!$D$17*AG826^3+BMILMS!$E$17*AG826^2+BMILMS!$F$17*AG826+BMILMS!$G$17,BMILMS!$D$18*AG826^3+BMILMS!$E$18*AG826^2+BMILMS!$F$18*AG826+BMILMS!$G$18)))</f>
        <v>8.8969350000000003E-2</v>
      </c>
      <c r="AG826" s="24">
        <f t="shared" si="208"/>
        <v>0</v>
      </c>
      <c r="AI826" s="38">
        <f>IF(D826="M",WeightSDS!P$5*$AG826^7+WeightSDS!Q$5*$AG826^6+WeightSDS!R$5*$AG826^5+WeightSDS!S$5*$AG826^4+WeightSDS!T$5*$AG826^3+WeightSDS!U$5*$AG826^2+WeightSDS!V$5*$AG826+WeightSDS!W$5,IF($AG826&lt;186,WeightSDS!P$8*$AG826^7+WeightSDS!Q$8*$AG826^6+WeightSDS!R$8*$AG826^5+WeightSDS!S$8*$AG826^4+WeightSDS!T$8*$AG826^3+WeightSDS!U$8*$AG826^2+WeightSDS!V$8*$AG826+WeightSDS!W$8,WeightSDS!$U$9-WeightSDS!$V$9*($AG826-WeightSDS!$W$9)))</f>
        <v>0.75407122999999998</v>
      </c>
      <c r="AJ826" s="24">
        <f>IF(D826="M",IF($AG826&lt;45,WeightSDS!M$23*$AG826^10+WeightSDS!N$23*$AG826^9+WeightSDS!O$23*$AG826^8+WeightSDS!P$23*$AG826^7+WeightSDS!Q$23*$AG826^6+WeightSDS!R$23*$AG826^5+WeightSDS!S$23*$AG826^4+WeightSDS!T$23*$AG826^3+WeightSDS!U$23*$AG826^2+WeightSDS!V$23*$AG826+WeightSDS!W$23,IF($AG826&lt;153,WeightSDS!M$25*$AG826^10+WeightSDS!N$25*$AG826^9+WeightSDS!O$25*$AG826^8+WeightSDS!P$25*$AG826^7+WeightSDS!Q$25*$AG826^6+WeightSDS!R$25*$AG826^5+WeightSDS!S$25*$AG826^4+WeightSDS!T$25*$AG826^3+WeightSDS!U$25*$AG826^2+WeightSDS!V$25*$AG826+WeightSDS!W$25,WeightSDS!M$27+WeightSDS!N$27/(1+EXP(WeightSDS!O$27+WeightSDS!P$27*$AG826)))),IF($AG826&lt;43.8,WeightSDS!M$29*$AG826^10+WeightSDS!N$29*$AG826^9+WeightSDS!O$29*$AG826^8+WeightSDS!P$29*$AG826^7+WeightSDS!Q$29*$AG826^6+WeightSDS!R$29*$AG826^5+WeightSDS!S$29*$AG826^4+WeightSDS!T$29*$AG826^3+WeightSDS!U$29*$AG826^2+WeightSDS!V$29*$AG826+WeightSDS!W$29-0.010431*(1-$AG826/210),IF($AG826&lt;123,WeightSDS!M$30*$AG826^10+WeightSDS!N$30*$AG826^9+WeightSDS!O$30*$AG826^8+WeightSDS!P$30*$AG826^7+WeightSDS!Q$30*$AG826^6+WeightSDS!R$30*$AG826^5+WeightSDS!S$30*$AG826^4+WeightSDS!T$30*$AG826^3+WeightSDS!U$30*$AG826^2+WeightSDS!V$30*$AG826+WeightSDS!W$30-0.010431*(1-1/$AG826),WeightSDS!M$32+WeightSDS!N$32/(1+EXP(WeightSDS!O$32+WeightSDS!P$32*$AG826))-0.010431*(1-$AG826/210))))</f>
        <v>2.9500001032655536</v>
      </c>
      <c r="AK826" s="24">
        <f>IF(D826="M",IF($AG826&lt;162,WeightSDS!P$12*$AG826^7+WeightSDS!Q$12*$AG826^6+WeightSDS!R$12*$AG826^5+WeightSDS!S$12*$AG826^4+WeightSDS!T$12*$AG826^3+WeightSDS!U$12*$AG826^2+WeightSDS!V$12*$AG826+WeightSDS!W$12,WeightSDS!P$14*$AG826^7+WeightSDS!Q$14*$AG826^6+WeightSDS!R$14*$AG826^5+WeightSDS!S$14*$AG826^4+WeightSDS!T$14*$AG826^3+WeightSDS!U$14*$AG826^2+WeightSDS!V$14*$AG826+WeightSDS!W$14),IF($AG826&lt;156,WeightSDS!O$17*$AG826^8+WeightSDS!P$17*$AG826^7+WeightSDS!Q$17*$AG826^6+WeightSDS!R$17*$AG826^5+WeightSDS!S$17*$AG826^4+WeightSDS!T$17*$AG826^3+WeightSDS!U$17*$AG826^2+WeightSDS!V$17*$AG826+WeightSDS!W$17,IF($AG826&lt;186,WeightSDS!$U$18+(WeightSDS!$V$18-WeightSDS!$U$18)/24*($AG826-186)+WeightSDS!$W$18*(-$AG826+186)^2-0.005,WeightSDS!$U$18+(WeightSDS!$V$18-WeightSDS!$U$18)/24*($AG826-186)-0.005)))</f>
        <v>0.14604529399999999</v>
      </c>
    </row>
    <row r="827" spans="1:37">
      <c r="A827" s="4"/>
      <c r="B827" s="21"/>
      <c r="C827" s="21"/>
      <c r="D827" s="21"/>
      <c r="E827" s="22"/>
      <c r="F827" s="22"/>
      <c r="G827" s="23"/>
      <c r="H827" s="23"/>
      <c r="I827" s="8" t="str">
        <f t="shared" si="194"/>
        <v/>
      </c>
      <c r="J827" s="2" t="str">
        <f t="shared" si="201"/>
        <v/>
      </c>
      <c r="K827" s="2" t="str">
        <f t="shared" si="195"/>
        <v/>
      </c>
      <c r="L827" s="2" t="str">
        <f t="shared" si="202"/>
        <v/>
      </c>
      <c r="M827" s="2" t="str">
        <f t="shared" si="207"/>
        <v/>
      </c>
      <c r="N827" s="2" t="str">
        <f t="shared" si="203"/>
        <v/>
      </c>
      <c r="O827" s="8" t="str">
        <f t="shared" si="204"/>
        <v/>
      </c>
      <c r="P827" s="8" t="str">
        <f t="shared" si="205"/>
        <v/>
      </c>
      <c r="Q827" s="40" t="str">
        <f t="shared" si="196"/>
        <v/>
      </c>
      <c r="R827" s="48" t="str">
        <f t="shared" si="206"/>
        <v/>
      </c>
      <c r="S827" s="8"/>
      <c r="U827" s="35">
        <f t="shared" si="197"/>
        <v>0</v>
      </c>
      <c r="V827" s="24">
        <f t="shared" si="198"/>
        <v>0</v>
      </c>
      <c r="W827" s="41">
        <f t="shared" si="209"/>
        <v>0</v>
      </c>
      <c r="X827" s="31"/>
      <c r="Y827" s="31"/>
      <c r="Z827" s="31"/>
      <c r="AA827" s="25">
        <f t="shared" si="199"/>
        <v>9.0359999999999996</v>
      </c>
      <c r="AB827" s="25">
        <f t="shared" si="200"/>
        <v>-184.49199999999999</v>
      </c>
      <c r="AD827" s="24">
        <f>IF(D827="M",IF(AG827&lt;78,BMILMS!$D$5*AG827^3+BMILMS!$E$5*AG827^2+BMILMS!$F$5*AG827+BMILMS!$G$5,IF(AG827&lt;150,BMILMS!$D$6*AG827^3+BMILMS!$E$6*AG827^2+BMILMS!$F$6*AG827+BMILMS!$G$6,BMILMS!$D$7*AG827^3+BMILMS!$E$7*AG827^2+BMILMS!$F$7*AG827+BMILMS!$G$7)),IF(AG827&lt;69,BMILMS!$D$9*AG827^3+BMILMS!$E$9*AG827^2+BMILMS!$F$9*AG827+BMILMS!$G$9,IF(AG827&lt;150,BMILMS!$D$10*AG827^3+BMILMS!$E$10*AG827^2+BMILMS!$F$10*AG827+BMILMS!$G$10,BMILMS!$D$11*AG827^3+BMILMS!$E$11*AG827^2+BMILMS!$F$11*AG827+BMILMS!$G$11)))</f>
        <v>0.79584630099999998</v>
      </c>
      <c r="AE827" s="24">
        <f>IF(D827="M",(IF(AG827&lt;2.5,BMILMS!$D$21*AG827^3+BMILMS!$E$21*AG827^2+BMILMS!$F$21*AG827+BMILMS!$G$21,IF(AG827&lt;9.5,BMILMS!$D$22*AG827^3+BMILMS!$E$22*AG827^2+BMILMS!$F$22*AG827+BMILMS!$G$22,IF(AG827&lt;26.75,BMILMS!$D$23*AG827^3+BMILMS!$E$23*AG827^2+BMILMS!$F$23*AG827+BMILMS!$G$23,IF(AG827&lt;90,BMILMS!$D$24*AG827^3+BMILMS!$E$24*AG827^2+BMILMS!$F$24*AG827+BMILMS!$G$24,BMILMS!$D$25*AG827^3+BMILMS!$E$25*AG827^2+BMILMS!$F$25*AG827+BMILMS!$G$25))))),(IF(AG827&lt;2.5,BMILMS!$D$27*AG827^3+BMILMS!$E$27*AG827^2+BMILMS!$F$27*AG827+BMILMS!$G$27,IF(AG827&lt;9.5,BMILMS!$D$28*AG827^3+BMILMS!$E$28*AG827^2+BMILMS!$F$28*AG827+BMILMS!$G$28,IF(AG827&lt;26.75,BMILMS!$D$29*AG827^3+BMILMS!$E$29*AG827^2+BMILMS!$F$29*AG827+BMILMS!$G$29,IF(AG827&lt;90,BMILMS!$D$30*AG827^3+BMILMS!$E$30*AG827^2+BMILMS!$F$30*AG827+BMILMS!$G$30,IF(AG827&lt;150,BMILMS!$D$31*AG827^3+BMILMS!$E$31*AG827^2+BMILMS!$F$31*AG827+BMILMS!$G$31,BMILMS!$D$32*AG827^3+BMILMS!$E$32*AG827^2+BMILMS!$F$32*AG827+BMILMS!$G$32)))))))</f>
        <v>12.568967990000001</v>
      </c>
      <c r="AF827" s="24">
        <f>IF(D827="M",(IF(AG827&lt;90,BMILMS!$D$14*AG827^3+BMILMS!$E$14*AG827^2+BMILMS!$F$14*AG827+BMILMS!$G$14,BMILMS!$D$15*AG827^3+BMILMS!$E$15*AG827^2+BMILMS!$F$15*AG827+BMILMS!$G$15)),(IF(AG827&lt;90,BMILMS!$D$17*AG827^3+BMILMS!$E$17*AG827^2+BMILMS!$F$17*AG827+BMILMS!$G$17,BMILMS!$D$18*AG827^3+BMILMS!$E$18*AG827^2+BMILMS!$F$18*AG827+BMILMS!$G$18)))</f>
        <v>8.8969350000000003E-2</v>
      </c>
      <c r="AG827" s="24">
        <f t="shared" si="208"/>
        <v>0</v>
      </c>
      <c r="AI827" s="38">
        <f>IF(D827="M",WeightSDS!P$5*$AG827^7+WeightSDS!Q$5*$AG827^6+WeightSDS!R$5*$AG827^5+WeightSDS!S$5*$AG827^4+WeightSDS!T$5*$AG827^3+WeightSDS!U$5*$AG827^2+WeightSDS!V$5*$AG827+WeightSDS!W$5,IF($AG827&lt;186,WeightSDS!P$8*$AG827^7+WeightSDS!Q$8*$AG827^6+WeightSDS!R$8*$AG827^5+WeightSDS!S$8*$AG827^4+WeightSDS!T$8*$AG827^3+WeightSDS!U$8*$AG827^2+WeightSDS!V$8*$AG827+WeightSDS!W$8,WeightSDS!$U$9-WeightSDS!$V$9*($AG827-WeightSDS!$W$9)))</f>
        <v>0.75407122999999998</v>
      </c>
      <c r="AJ827" s="24">
        <f>IF(D827="M",IF($AG827&lt;45,WeightSDS!M$23*$AG827^10+WeightSDS!N$23*$AG827^9+WeightSDS!O$23*$AG827^8+WeightSDS!P$23*$AG827^7+WeightSDS!Q$23*$AG827^6+WeightSDS!R$23*$AG827^5+WeightSDS!S$23*$AG827^4+WeightSDS!T$23*$AG827^3+WeightSDS!U$23*$AG827^2+WeightSDS!V$23*$AG827+WeightSDS!W$23,IF($AG827&lt;153,WeightSDS!M$25*$AG827^10+WeightSDS!N$25*$AG827^9+WeightSDS!O$25*$AG827^8+WeightSDS!P$25*$AG827^7+WeightSDS!Q$25*$AG827^6+WeightSDS!R$25*$AG827^5+WeightSDS!S$25*$AG827^4+WeightSDS!T$25*$AG827^3+WeightSDS!U$25*$AG827^2+WeightSDS!V$25*$AG827+WeightSDS!W$25,WeightSDS!M$27+WeightSDS!N$27/(1+EXP(WeightSDS!O$27+WeightSDS!P$27*$AG827)))),IF($AG827&lt;43.8,WeightSDS!M$29*$AG827^10+WeightSDS!N$29*$AG827^9+WeightSDS!O$29*$AG827^8+WeightSDS!P$29*$AG827^7+WeightSDS!Q$29*$AG827^6+WeightSDS!R$29*$AG827^5+WeightSDS!S$29*$AG827^4+WeightSDS!T$29*$AG827^3+WeightSDS!U$29*$AG827^2+WeightSDS!V$29*$AG827+WeightSDS!W$29-0.010431*(1-$AG827/210),IF($AG827&lt;123,WeightSDS!M$30*$AG827^10+WeightSDS!N$30*$AG827^9+WeightSDS!O$30*$AG827^8+WeightSDS!P$30*$AG827^7+WeightSDS!Q$30*$AG827^6+WeightSDS!R$30*$AG827^5+WeightSDS!S$30*$AG827^4+WeightSDS!T$30*$AG827^3+WeightSDS!U$30*$AG827^2+WeightSDS!V$30*$AG827+WeightSDS!W$30-0.010431*(1-1/$AG827),WeightSDS!M$32+WeightSDS!N$32/(1+EXP(WeightSDS!O$32+WeightSDS!P$32*$AG827))-0.010431*(1-$AG827/210))))</f>
        <v>2.9500001032655536</v>
      </c>
      <c r="AK827" s="24">
        <f>IF(D827="M",IF($AG827&lt;162,WeightSDS!P$12*$AG827^7+WeightSDS!Q$12*$AG827^6+WeightSDS!R$12*$AG827^5+WeightSDS!S$12*$AG827^4+WeightSDS!T$12*$AG827^3+WeightSDS!U$12*$AG827^2+WeightSDS!V$12*$AG827+WeightSDS!W$12,WeightSDS!P$14*$AG827^7+WeightSDS!Q$14*$AG827^6+WeightSDS!R$14*$AG827^5+WeightSDS!S$14*$AG827^4+WeightSDS!T$14*$AG827^3+WeightSDS!U$14*$AG827^2+WeightSDS!V$14*$AG827+WeightSDS!W$14),IF($AG827&lt;156,WeightSDS!O$17*$AG827^8+WeightSDS!P$17*$AG827^7+WeightSDS!Q$17*$AG827^6+WeightSDS!R$17*$AG827^5+WeightSDS!S$17*$AG827^4+WeightSDS!T$17*$AG827^3+WeightSDS!U$17*$AG827^2+WeightSDS!V$17*$AG827+WeightSDS!W$17,IF($AG827&lt;186,WeightSDS!$U$18+(WeightSDS!$V$18-WeightSDS!$U$18)/24*($AG827-186)+WeightSDS!$W$18*(-$AG827+186)^2-0.005,WeightSDS!$U$18+(WeightSDS!$V$18-WeightSDS!$U$18)/24*($AG827-186)-0.005)))</f>
        <v>0.14604529399999999</v>
      </c>
    </row>
    <row r="828" spans="1:37">
      <c r="A828" s="4"/>
      <c r="B828" s="21"/>
      <c r="C828" s="21"/>
      <c r="D828" s="21"/>
      <c r="E828" s="22"/>
      <c r="F828" s="22"/>
      <c r="G828" s="23"/>
      <c r="H828" s="23"/>
      <c r="I828" s="8" t="str">
        <f t="shared" si="194"/>
        <v/>
      </c>
      <c r="J828" s="2" t="str">
        <f t="shared" si="201"/>
        <v/>
      </c>
      <c r="K828" s="2" t="str">
        <f t="shared" si="195"/>
        <v/>
      </c>
      <c r="L828" s="2" t="str">
        <f t="shared" si="202"/>
        <v/>
      </c>
      <c r="M828" s="2" t="str">
        <f t="shared" si="207"/>
        <v/>
      </c>
      <c r="N828" s="2" t="str">
        <f t="shared" si="203"/>
        <v/>
      </c>
      <c r="O828" s="8" t="str">
        <f t="shared" si="204"/>
        <v/>
      </c>
      <c r="P828" s="8" t="str">
        <f t="shared" si="205"/>
        <v/>
      </c>
      <c r="Q828" s="40" t="str">
        <f t="shared" si="196"/>
        <v/>
      </c>
      <c r="R828" s="48" t="str">
        <f t="shared" si="206"/>
        <v/>
      </c>
      <c r="S828" s="8"/>
      <c r="U828" s="35">
        <f t="shared" si="197"/>
        <v>0</v>
      </c>
      <c r="V828" s="24">
        <f t="shared" si="198"/>
        <v>0</v>
      </c>
      <c r="W828" s="41">
        <f t="shared" si="209"/>
        <v>0</v>
      </c>
      <c r="X828" s="31"/>
      <c r="Y828" s="31"/>
      <c r="Z828" s="31"/>
      <c r="AA828" s="25">
        <f t="shared" si="199"/>
        <v>9.0359999999999996</v>
      </c>
      <c r="AB828" s="25">
        <f t="shared" si="200"/>
        <v>-184.49199999999999</v>
      </c>
      <c r="AD828" s="24">
        <f>IF(D828="M",IF(AG828&lt;78,BMILMS!$D$5*AG828^3+BMILMS!$E$5*AG828^2+BMILMS!$F$5*AG828+BMILMS!$G$5,IF(AG828&lt;150,BMILMS!$D$6*AG828^3+BMILMS!$E$6*AG828^2+BMILMS!$F$6*AG828+BMILMS!$G$6,BMILMS!$D$7*AG828^3+BMILMS!$E$7*AG828^2+BMILMS!$F$7*AG828+BMILMS!$G$7)),IF(AG828&lt;69,BMILMS!$D$9*AG828^3+BMILMS!$E$9*AG828^2+BMILMS!$F$9*AG828+BMILMS!$G$9,IF(AG828&lt;150,BMILMS!$D$10*AG828^3+BMILMS!$E$10*AG828^2+BMILMS!$F$10*AG828+BMILMS!$G$10,BMILMS!$D$11*AG828^3+BMILMS!$E$11*AG828^2+BMILMS!$F$11*AG828+BMILMS!$G$11)))</f>
        <v>0.79584630099999998</v>
      </c>
      <c r="AE828" s="24">
        <f>IF(D828="M",(IF(AG828&lt;2.5,BMILMS!$D$21*AG828^3+BMILMS!$E$21*AG828^2+BMILMS!$F$21*AG828+BMILMS!$G$21,IF(AG828&lt;9.5,BMILMS!$D$22*AG828^3+BMILMS!$E$22*AG828^2+BMILMS!$F$22*AG828+BMILMS!$G$22,IF(AG828&lt;26.75,BMILMS!$D$23*AG828^3+BMILMS!$E$23*AG828^2+BMILMS!$F$23*AG828+BMILMS!$G$23,IF(AG828&lt;90,BMILMS!$D$24*AG828^3+BMILMS!$E$24*AG828^2+BMILMS!$F$24*AG828+BMILMS!$G$24,BMILMS!$D$25*AG828^3+BMILMS!$E$25*AG828^2+BMILMS!$F$25*AG828+BMILMS!$G$25))))),(IF(AG828&lt;2.5,BMILMS!$D$27*AG828^3+BMILMS!$E$27*AG828^2+BMILMS!$F$27*AG828+BMILMS!$G$27,IF(AG828&lt;9.5,BMILMS!$D$28*AG828^3+BMILMS!$E$28*AG828^2+BMILMS!$F$28*AG828+BMILMS!$G$28,IF(AG828&lt;26.75,BMILMS!$D$29*AG828^3+BMILMS!$E$29*AG828^2+BMILMS!$F$29*AG828+BMILMS!$G$29,IF(AG828&lt;90,BMILMS!$D$30*AG828^3+BMILMS!$E$30*AG828^2+BMILMS!$F$30*AG828+BMILMS!$G$30,IF(AG828&lt;150,BMILMS!$D$31*AG828^3+BMILMS!$E$31*AG828^2+BMILMS!$F$31*AG828+BMILMS!$G$31,BMILMS!$D$32*AG828^3+BMILMS!$E$32*AG828^2+BMILMS!$F$32*AG828+BMILMS!$G$32)))))))</f>
        <v>12.568967990000001</v>
      </c>
      <c r="AF828" s="24">
        <f>IF(D828="M",(IF(AG828&lt;90,BMILMS!$D$14*AG828^3+BMILMS!$E$14*AG828^2+BMILMS!$F$14*AG828+BMILMS!$G$14,BMILMS!$D$15*AG828^3+BMILMS!$E$15*AG828^2+BMILMS!$F$15*AG828+BMILMS!$G$15)),(IF(AG828&lt;90,BMILMS!$D$17*AG828^3+BMILMS!$E$17*AG828^2+BMILMS!$F$17*AG828+BMILMS!$G$17,BMILMS!$D$18*AG828^3+BMILMS!$E$18*AG828^2+BMILMS!$F$18*AG828+BMILMS!$G$18)))</f>
        <v>8.8969350000000003E-2</v>
      </c>
      <c r="AG828" s="24">
        <f t="shared" si="208"/>
        <v>0</v>
      </c>
      <c r="AI828" s="38">
        <f>IF(D828="M",WeightSDS!P$5*$AG828^7+WeightSDS!Q$5*$AG828^6+WeightSDS!R$5*$AG828^5+WeightSDS!S$5*$AG828^4+WeightSDS!T$5*$AG828^3+WeightSDS!U$5*$AG828^2+WeightSDS!V$5*$AG828+WeightSDS!W$5,IF($AG828&lt;186,WeightSDS!P$8*$AG828^7+WeightSDS!Q$8*$AG828^6+WeightSDS!R$8*$AG828^5+WeightSDS!S$8*$AG828^4+WeightSDS!T$8*$AG828^3+WeightSDS!U$8*$AG828^2+WeightSDS!V$8*$AG828+WeightSDS!W$8,WeightSDS!$U$9-WeightSDS!$V$9*($AG828-WeightSDS!$W$9)))</f>
        <v>0.75407122999999998</v>
      </c>
      <c r="AJ828" s="24">
        <f>IF(D828="M",IF($AG828&lt;45,WeightSDS!M$23*$AG828^10+WeightSDS!N$23*$AG828^9+WeightSDS!O$23*$AG828^8+WeightSDS!P$23*$AG828^7+WeightSDS!Q$23*$AG828^6+WeightSDS!R$23*$AG828^5+WeightSDS!S$23*$AG828^4+WeightSDS!T$23*$AG828^3+WeightSDS!U$23*$AG828^2+WeightSDS!V$23*$AG828+WeightSDS!W$23,IF($AG828&lt;153,WeightSDS!M$25*$AG828^10+WeightSDS!N$25*$AG828^9+WeightSDS!O$25*$AG828^8+WeightSDS!P$25*$AG828^7+WeightSDS!Q$25*$AG828^6+WeightSDS!R$25*$AG828^5+WeightSDS!S$25*$AG828^4+WeightSDS!T$25*$AG828^3+WeightSDS!U$25*$AG828^2+WeightSDS!V$25*$AG828+WeightSDS!W$25,WeightSDS!M$27+WeightSDS!N$27/(1+EXP(WeightSDS!O$27+WeightSDS!P$27*$AG828)))),IF($AG828&lt;43.8,WeightSDS!M$29*$AG828^10+WeightSDS!N$29*$AG828^9+WeightSDS!O$29*$AG828^8+WeightSDS!P$29*$AG828^7+WeightSDS!Q$29*$AG828^6+WeightSDS!R$29*$AG828^5+WeightSDS!S$29*$AG828^4+WeightSDS!T$29*$AG828^3+WeightSDS!U$29*$AG828^2+WeightSDS!V$29*$AG828+WeightSDS!W$29-0.010431*(1-$AG828/210),IF($AG828&lt;123,WeightSDS!M$30*$AG828^10+WeightSDS!N$30*$AG828^9+WeightSDS!O$30*$AG828^8+WeightSDS!P$30*$AG828^7+WeightSDS!Q$30*$AG828^6+WeightSDS!R$30*$AG828^5+WeightSDS!S$30*$AG828^4+WeightSDS!T$30*$AG828^3+WeightSDS!U$30*$AG828^2+WeightSDS!V$30*$AG828+WeightSDS!W$30-0.010431*(1-1/$AG828),WeightSDS!M$32+WeightSDS!N$32/(1+EXP(WeightSDS!O$32+WeightSDS!P$32*$AG828))-0.010431*(1-$AG828/210))))</f>
        <v>2.9500001032655536</v>
      </c>
      <c r="AK828" s="24">
        <f>IF(D828="M",IF($AG828&lt;162,WeightSDS!P$12*$AG828^7+WeightSDS!Q$12*$AG828^6+WeightSDS!R$12*$AG828^5+WeightSDS!S$12*$AG828^4+WeightSDS!T$12*$AG828^3+WeightSDS!U$12*$AG828^2+WeightSDS!V$12*$AG828+WeightSDS!W$12,WeightSDS!P$14*$AG828^7+WeightSDS!Q$14*$AG828^6+WeightSDS!R$14*$AG828^5+WeightSDS!S$14*$AG828^4+WeightSDS!T$14*$AG828^3+WeightSDS!U$14*$AG828^2+WeightSDS!V$14*$AG828+WeightSDS!W$14),IF($AG828&lt;156,WeightSDS!O$17*$AG828^8+WeightSDS!P$17*$AG828^7+WeightSDS!Q$17*$AG828^6+WeightSDS!R$17*$AG828^5+WeightSDS!S$17*$AG828^4+WeightSDS!T$17*$AG828^3+WeightSDS!U$17*$AG828^2+WeightSDS!V$17*$AG828+WeightSDS!W$17,IF($AG828&lt;186,WeightSDS!$U$18+(WeightSDS!$V$18-WeightSDS!$U$18)/24*($AG828-186)+WeightSDS!$W$18*(-$AG828+186)^2-0.005,WeightSDS!$U$18+(WeightSDS!$V$18-WeightSDS!$U$18)/24*($AG828-186)-0.005)))</f>
        <v>0.14604529399999999</v>
      </c>
    </row>
    <row r="829" spans="1:37">
      <c r="A829" s="4"/>
      <c r="B829" s="21"/>
      <c r="C829" s="21"/>
      <c r="D829" s="21"/>
      <c r="E829" s="22"/>
      <c r="F829" s="22"/>
      <c r="G829" s="23"/>
      <c r="H829" s="23"/>
      <c r="I829" s="8" t="str">
        <f t="shared" si="194"/>
        <v/>
      </c>
      <c r="J829" s="2" t="str">
        <f t="shared" si="201"/>
        <v/>
      </c>
      <c r="K829" s="2" t="str">
        <f t="shared" si="195"/>
        <v/>
      </c>
      <c r="L829" s="2" t="str">
        <f t="shared" si="202"/>
        <v/>
      </c>
      <c r="M829" s="2" t="str">
        <f t="shared" si="207"/>
        <v/>
      </c>
      <c r="N829" s="2" t="str">
        <f t="shared" si="203"/>
        <v/>
      </c>
      <c r="O829" s="8" t="str">
        <f t="shared" si="204"/>
        <v/>
      </c>
      <c r="P829" s="8" t="str">
        <f t="shared" si="205"/>
        <v/>
      </c>
      <c r="Q829" s="40" t="str">
        <f t="shared" si="196"/>
        <v/>
      </c>
      <c r="R829" s="48" t="str">
        <f t="shared" si="206"/>
        <v/>
      </c>
      <c r="S829" s="8"/>
      <c r="U829" s="35">
        <f t="shared" si="197"/>
        <v>0</v>
      </c>
      <c r="V829" s="24">
        <f t="shared" si="198"/>
        <v>0</v>
      </c>
      <c r="W829" s="41">
        <f t="shared" si="209"/>
        <v>0</v>
      </c>
      <c r="X829" s="31"/>
      <c r="Y829" s="31"/>
      <c r="Z829" s="31"/>
      <c r="AA829" s="25">
        <f t="shared" si="199"/>
        <v>9.0359999999999996</v>
      </c>
      <c r="AB829" s="25">
        <f t="shared" si="200"/>
        <v>-184.49199999999999</v>
      </c>
      <c r="AD829" s="24">
        <f>IF(D829="M",IF(AG829&lt;78,BMILMS!$D$5*AG829^3+BMILMS!$E$5*AG829^2+BMILMS!$F$5*AG829+BMILMS!$G$5,IF(AG829&lt;150,BMILMS!$D$6*AG829^3+BMILMS!$E$6*AG829^2+BMILMS!$F$6*AG829+BMILMS!$G$6,BMILMS!$D$7*AG829^3+BMILMS!$E$7*AG829^2+BMILMS!$F$7*AG829+BMILMS!$G$7)),IF(AG829&lt;69,BMILMS!$D$9*AG829^3+BMILMS!$E$9*AG829^2+BMILMS!$F$9*AG829+BMILMS!$G$9,IF(AG829&lt;150,BMILMS!$D$10*AG829^3+BMILMS!$E$10*AG829^2+BMILMS!$F$10*AG829+BMILMS!$G$10,BMILMS!$D$11*AG829^3+BMILMS!$E$11*AG829^2+BMILMS!$F$11*AG829+BMILMS!$G$11)))</f>
        <v>0.79584630099999998</v>
      </c>
      <c r="AE829" s="24">
        <f>IF(D829="M",(IF(AG829&lt;2.5,BMILMS!$D$21*AG829^3+BMILMS!$E$21*AG829^2+BMILMS!$F$21*AG829+BMILMS!$G$21,IF(AG829&lt;9.5,BMILMS!$D$22*AG829^3+BMILMS!$E$22*AG829^2+BMILMS!$F$22*AG829+BMILMS!$G$22,IF(AG829&lt;26.75,BMILMS!$D$23*AG829^3+BMILMS!$E$23*AG829^2+BMILMS!$F$23*AG829+BMILMS!$G$23,IF(AG829&lt;90,BMILMS!$D$24*AG829^3+BMILMS!$E$24*AG829^2+BMILMS!$F$24*AG829+BMILMS!$G$24,BMILMS!$D$25*AG829^3+BMILMS!$E$25*AG829^2+BMILMS!$F$25*AG829+BMILMS!$G$25))))),(IF(AG829&lt;2.5,BMILMS!$D$27*AG829^3+BMILMS!$E$27*AG829^2+BMILMS!$F$27*AG829+BMILMS!$G$27,IF(AG829&lt;9.5,BMILMS!$D$28*AG829^3+BMILMS!$E$28*AG829^2+BMILMS!$F$28*AG829+BMILMS!$G$28,IF(AG829&lt;26.75,BMILMS!$D$29*AG829^3+BMILMS!$E$29*AG829^2+BMILMS!$F$29*AG829+BMILMS!$G$29,IF(AG829&lt;90,BMILMS!$D$30*AG829^3+BMILMS!$E$30*AG829^2+BMILMS!$F$30*AG829+BMILMS!$G$30,IF(AG829&lt;150,BMILMS!$D$31*AG829^3+BMILMS!$E$31*AG829^2+BMILMS!$F$31*AG829+BMILMS!$G$31,BMILMS!$D$32*AG829^3+BMILMS!$E$32*AG829^2+BMILMS!$F$32*AG829+BMILMS!$G$32)))))))</f>
        <v>12.568967990000001</v>
      </c>
      <c r="AF829" s="24">
        <f>IF(D829="M",(IF(AG829&lt;90,BMILMS!$D$14*AG829^3+BMILMS!$E$14*AG829^2+BMILMS!$F$14*AG829+BMILMS!$G$14,BMILMS!$D$15*AG829^3+BMILMS!$E$15*AG829^2+BMILMS!$F$15*AG829+BMILMS!$G$15)),(IF(AG829&lt;90,BMILMS!$D$17*AG829^3+BMILMS!$E$17*AG829^2+BMILMS!$F$17*AG829+BMILMS!$G$17,BMILMS!$D$18*AG829^3+BMILMS!$E$18*AG829^2+BMILMS!$F$18*AG829+BMILMS!$G$18)))</f>
        <v>8.8969350000000003E-2</v>
      </c>
      <c r="AG829" s="24">
        <f t="shared" si="208"/>
        <v>0</v>
      </c>
      <c r="AI829" s="38">
        <f>IF(D829="M",WeightSDS!P$5*$AG829^7+WeightSDS!Q$5*$AG829^6+WeightSDS!R$5*$AG829^5+WeightSDS!S$5*$AG829^4+WeightSDS!T$5*$AG829^3+WeightSDS!U$5*$AG829^2+WeightSDS!V$5*$AG829+WeightSDS!W$5,IF($AG829&lt;186,WeightSDS!P$8*$AG829^7+WeightSDS!Q$8*$AG829^6+WeightSDS!R$8*$AG829^5+WeightSDS!S$8*$AG829^4+WeightSDS!T$8*$AG829^3+WeightSDS!U$8*$AG829^2+WeightSDS!V$8*$AG829+WeightSDS!W$8,WeightSDS!$U$9-WeightSDS!$V$9*($AG829-WeightSDS!$W$9)))</f>
        <v>0.75407122999999998</v>
      </c>
      <c r="AJ829" s="24">
        <f>IF(D829="M",IF($AG829&lt;45,WeightSDS!M$23*$AG829^10+WeightSDS!N$23*$AG829^9+WeightSDS!O$23*$AG829^8+WeightSDS!P$23*$AG829^7+WeightSDS!Q$23*$AG829^6+WeightSDS!R$23*$AG829^5+WeightSDS!S$23*$AG829^4+WeightSDS!T$23*$AG829^3+WeightSDS!U$23*$AG829^2+WeightSDS!V$23*$AG829+WeightSDS!W$23,IF($AG829&lt;153,WeightSDS!M$25*$AG829^10+WeightSDS!N$25*$AG829^9+WeightSDS!O$25*$AG829^8+WeightSDS!P$25*$AG829^7+WeightSDS!Q$25*$AG829^6+WeightSDS!R$25*$AG829^5+WeightSDS!S$25*$AG829^4+WeightSDS!T$25*$AG829^3+WeightSDS!U$25*$AG829^2+WeightSDS!V$25*$AG829+WeightSDS!W$25,WeightSDS!M$27+WeightSDS!N$27/(1+EXP(WeightSDS!O$27+WeightSDS!P$27*$AG829)))),IF($AG829&lt;43.8,WeightSDS!M$29*$AG829^10+WeightSDS!N$29*$AG829^9+WeightSDS!O$29*$AG829^8+WeightSDS!P$29*$AG829^7+WeightSDS!Q$29*$AG829^6+WeightSDS!R$29*$AG829^5+WeightSDS!S$29*$AG829^4+WeightSDS!T$29*$AG829^3+WeightSDS!U$29*$AG829^2+WeightSDS!V$29*$AG829+WeightSDS!W$29-0.010431*(1-$AG829/210),IF($AG829&lt;123,WeightSDS!M$30*$AG829^10+WeightSDS!N$30*$AG829^9+WeightSDS!O$30*$AG829^8+WeightSDS!P$30*$AG829^7+WeightSDS!Q$30*$AG829^6+WeightSDS!R$30*$AG829^5+WeightSDS!S$30*$AG829^4+WeightSDS!T$30*$AG829^3+WeightSDS!U$30*$AG829^2+WeightSDS!V$30*$AG829+WeightSDS!W$30-0.010431*(1-1/$AG829),WeightSDS!M$32+WeightSDS!N$32/(1+EXP(WeightSDS!O$32+WeightSDS!P$32*$AG829))-0.010431*(1-$AG829/210))))</f>
        <v>2.9500001032655536</v>
      </c>
      <c r="AK829" s="24">
        <f>IF(D829="M",IF($AG829&lt;162,WeightSDS!P$12*$AG829^7+WeightSDS!Q$12*$AG829^6+WeightSDS!R$12*$AG829^5+WeightSDS!S$12*$AG829^4+WeightSDS!T$12*$AG829^3+WeightSDS!U$12*$AG829^2+WeightSDS!V$12*$AG829+WeightSDS!W$12,WeightSDS!P$14*$AG829^7+WeightSDS!Q$14*$AG829^6+WeightSDS!R$14*$AG829^5+WeightSDS!S$14*$AG829^4+WeightSDS!T$14*$AG829^3+WeightSDS!U$14*$AG829^2+WeightSDS!V$14*$AG829+WeightSDS!W$14),IF($AG829&lt;156,WeightSDS!O$17*$AG829^8+WeightSDS!P$17*$AG829^7+WeightSDS!Q$17*$AG829^6+WeightSDS!R$17*$AG829^5+WeightSDS!S$17*$AG829^4+WeightSDS!T$17*$AG829^3+WeightSDS!U$17*$AG829^2+WeightSDS!V$17*$AG829+WeightSDS!W$17,IF($AG829&lt;186,WeightSDS!$U$18+(WeightSDS!$V$18-WeightSDS!$U$18)/24*($AG829-186)+WeightSDS!$W$18*(-$AG829+186)^2-0.005,WeightSDS!$U$18+(WeightSDS!$V$18-WeightSDS!$U$18)/24*($AG829-186)-0.005)))</f>
        <v>0.14604529399999999</v>
      </c>
    </row>
    <row r="830" spans="1:37">
      <c r="A830" s="4"/>
      <c r="B830" s="21"/>
      <c r="C830" s="21"/>
      <c r="D830" s="21"/>
      <c r="E830" s="22"/>
      <c r="F830" s="22"/>
      <c r="G830" s="23"/>
      <c r="H830" s="23"/>
      <c r="I830" s="8" t="str">
        <f t="shared" si="194"/>
        <v/>
      </c>
      <c r="J830" s="2" t="str">
        <f t="shared" si="201"/>
        <v/>
      </c>
      <c r="K830" s="2" t="str">
        <f t="shared" si="195"/>
        <v/>
      </c>
      <c r="L830" s="2" t="str">
        <f t="shared" si="202"/>
        <v/>
      </c>
      <c r="M830" s="2" t="str">
        <f t="shared" si="207"/>
        <v/>
      </c>
      <c r="N830" s="2" t="str">
        <f t="shared" si="203"/>
        <v/>
      </c>
      <c r="O830" s="8" t="str">
        <f t="shared" si="204"/>
        <v/>
      </c>
      <c r="P830" s="8" t="str">
        <f t="shared" si="205"/>
        <v/>
      </c>
      <c r="Q830" s="40" t="str">
        <f t="shared" si="196"/>
        <v/>
      </c>
      <c r="R830" s="48" t="str">
        <f t="shared" si="206"/>
        <v/>
      </c>
      <c r="S830" s="8"/>
      <c r="U830" s="35">
        <f t="shared" si="197"/>
        <v>0</v>
      </c>
      <c r="V830" s="24">
        <f t="shared" si="198"/>
        <v>0</v>
      </c>
      <c r="W830" s="41">
        <f t="shared" si="209"/>
        <v>0</v>
      </c>
      <c r="X830" s="31"/>
      <c r="Y830" s="31"/>
      <c r="Z830" s="31"/>
      <c r="AA830" s="25">
        <f t="shared" si="199"/>
        <v>9.0359999999999996</v>
      </c>
      <c r="AB830" s="25">
        <f t="shared" si="200"/>
        <v>-184.49199999999999</v>
      </c>
      <c r="AD830" s="24">
        <f>IF(D830="M",IF(AG830&lt;78,BMILMS!$D$5*AG830^3+BMILMS!$E$5*AG830^2+BMILMS!$F$5*AG830+BMILMS!$G$5,IF(AG830&lt;150,BMILMS!$D$6*AG830^3+BMILMS!$E$6*AG830^2+BMILMS!$F$6*AG830+BMILMS!$G$6,BMILMS!$D$7*AG830^3+BMILMS!$E$7*AG830^2+BMILMS!$F$7*AG830+BMILMS!$G$7)),IF(AG830&lt;69,BMILMS!$D$9*AG830^3+BMILMS!$E$9*AG830^2+BMILMS!$F$9*AG830+BMILMS!$G$9,IF(AG830&lt;150,BMILMS!$D$10*AG830^3+BMILMS!$E$10*AG830^2+BMILMS!$F$10*AG830+BMILMS!$G$10,BMILMS!$D$11*AG830^3+BMILMS!$E$11*AG830^2+BMILMS!$F$11*AG830+BMILMS!$G$11)))</f>
        <v>0.79584630099999998</v>
      </c>
      <c r="AE830" s="24">
        <f>IF(D830="M",(IF(AG830&lt;2.5,BMILMS!$D$21*AG830^3+BMILMS!$E$21*AG830^2+BMILMS!$F$21*AG830+BMILMS!$G$21,IF(AG830&lt;9.5,BMILMS!$D$22*AG830^3+BMILMS!$E$22*AG830^2+BMILMS!$F$22*AG830+BMILMS!$G$22,IF(AG830&lt;26.75,BMILMS!$D$23*AG830^3+BMILMS!$E$23*AG830^2+BMILMS!$F$23*AG830+BMILMS!$G$23,IF(AG830&lt;90,BMILMS!$D$24*AG830^3+BMILMS!$E$24*AG830^2+BMILMS!$F$24*AG830+BMILMS!$G$24,BMILMS!$D$25*AG830^3+BMILMS!$E$25*AG830^2+BMILMS!$F$25*AG830+BMILMS!$G$25))))),(IF(AG830&lt;2.5,BMILMS!$D$27*AG830^3+BMILMS!$E$27*AG830^2+BMILMS!$F$27*AG830+BMILMS!$G$27,IF(AG830&lt;9.5,BMILMS!$D$28*AG830^3+BMILMS!$E$28*AG830^2+BMILMS!$F$28*AG830+BMILMS!$G$28,IF(AG830&lt;26.75,BMILMS!$D$29*AG830^3+BMILMS!$E$29*AG830^2+BMILMS!$F$29*AG830+BMILMS!$G$29,IF(AG830&lt;90,BMILMS!$D$30*AG830^3+BMILMS!$E$30*AG830^2+BMILMS!$F$30*AG830+BMILMS!$G$30,IF(AG830&lt;150,BMILMS!$D$31*AG830^3+BMILMS!$E$31*AG830^2+BMILMS!$F$31*AG830+BMILMS!$G$31,BMILMS!$D$32*AG830^3+BMILMS!$E$32*AG830^2+BMILMS!$F$32*AG830+BMILMS!$G$32)))))))</f>
        <v>12.568967990000001</v>
      </c>
      <c r="AF830" s="24">
        <f>IF(D830="M",(IF(AG830&lt;90,BMILMS!$D$14*AG830^3+BMILMS!$E$14*AG830^2+BMILMS!$F$14*AG830+BMILMS!$G$14,BMILMS!$D$15*AG830^3+BMILMS!$E$15*AG830^2+BMILMS!$F$15*AG830+BMILMS!$G$15)),(IF(AG830&lt;90,BMILMS!$D$17*AG830^3+BMILMS!$E$17*AG830^2+BMILMS!$F$17*AG830+BMILMS!$G$17,BMILMS!$D$18*AG830^3+BMILMS!$E$18*AG830^2+BMILMS!$F$18*AG830+BMILMS!$G$18)))</f>
        <v>8.8969350000000003E-2</v>
      </c>
      <c r="AG830" s="24">
        <f t="shared" si="208"/>
        <v>0</v>
      </c>
      <c r="AI830" s="38">
        <f>IF(D830="M",WeightSDS!P$5*$AG830^7+WeightSDS!Q$5*$AG830^6+WeightSDS!R$5*$AG830^5+WeightSDS!S$5*$AG830^4+WeightSDS!T$5*$AG830^3+WeightSDS!U$5*$AG830^2+WeightSDS!V$5*$AG830+WeightSDS!W$5,IF($AG830&lt;186,WeightSDS!P$8*$AG830^7+WeightSDS!Q$8*$AG830^6+WeightSDS!R$8*$AG830^5+WeightSDS!S$8*$AG830^4+WeightSDS!T$8*$AG830^3+WeightSDS!U$8*$AG830^2+WeightSDS!V$8*$AG830+WeightSDS!W$8,WeightSDS!$U$9-WeightSDS!$V$9*($AG830-WeightSDS!$W$9)))</f>
        <v>0.75407122999999998</v>
      </c>
      <c r="AJ830" s="24">
        <f>IF(D830="M",IF($AG830&lt;45,WeightSDS!M$23*$AG830^10+WeightSDS!N$23*$AG830^9+WeightSDS!O$23*$AG830^8+WeightSDS!P$23*$AG830^7+WeightSDS!Q$23*$AG830^6+WeightSDS!R$23*$AG830^5+WeightSDS!S$23*$AG830^4+WeightSDS!T$23*$AG830^3+WeightSDS!U$23*$AG830^2+WeightSDS!V$23*$AG830+WeightSDS!W$23,IF($AG830&lt;153,WeightSDS!M$25*$AG830^10+WeightSDS!N$25*$AG830^9+WeightSDS!O$25*$AG830^8+WeightSDS!P$25*$AG830^7+WeightSDS!Q$25*$AG830^6+WeightSDS!R$25*$AG830^5+WeightSDS!S$25*$AG830^4+WeightSDS!T$25*$AG830^3+WeightSDS!U$25*$AG830^2+WeightSDS!V$25*$AG830+WeightSDS!W$25,WeightSDS!M$27+WeightSDS!N$27/(1+EXP(WeightSDS!O$27+WeightSDS!P$27*$AG830)))),IF($AG830&lt;43.8,WeightSDS!M$29*$AG830^10+WeightSDS!N$29*$AG830^9+WeightSDS!O$29*$AG830^8+WeightSDS!P$29*$AG830^7+WeightSDS!Q$29*$AG830^6+WeightSDS!R$29*$AG830^5+WeightSDS!S$29*$AG830^4+WeightSDS!T$29*$AG830^3+WeightSDS!U$29*$AG830^2+WeightSDS!V$29*$AG830+WeightSDS!W$29-0.010431*(1-$AG830/210),IF($AG830&lt;123,WeightSDS!M$30*$AG830^10+WeightSDS!N$30*$AG830^9+WeightSDS!O$30*$AG830^8+WeightSDS!P$30*$AG830^7+WeightSDS!Q$30*$AG830^6+WeightSDS!R$30*$AG830^5+WeightSDS!S$30*$AG830^4+WeightSDS!T$30*$AG830^3+WeightSDS!U$30*$AG830^2+WeightSDS!V$30*$AG830+WeightSDS!W$30-0.010431*(1-1/$AG830),WeightSDS!M$32+WeightSDS!N$32/(1+EXP(WeightSDS!O$32+WeightSDS!P$32*$AG830))-0.010431*(1-$AG830/210))))</f>
        <v>2.9500001032655536</v>
      </c>
      <c r="AK830" s="24">
        <f>IF(D830="M",IF($AG830&lt;162,WeightSDS!P$12*$AG830^7+WeightSDS!Q$12*$AG830^6+WeightSDS!R$12*$AG830^5+WeightSDS!S$12*$AG830^4+WeightSDS!T$12*$AG830^3+WeightSDS!U$12*$AG830^2+WeightSDS!V$12*$AG830+WeightSDS!W$12,WeightSDS!P$14*$AG830^7+WeightSDS!Q$14*$AG830^6+WeightSDS!R$14*$AG830^5+WeightSDS!S$14*$AG830^4+WeightSDS!T$14*$AG830^3+WeightSDS!U$14*$AG830^2+WeightSDS!V$14*$AG830+WeightSDS!W$14),IF($AG830&lt;156,WeightSDS!O$17*$AG830^8+WeightSDS!P$17*$AG830^7+WeightSDS!Q$17*$AG830^6+WeightSDS!R$17*$AG830^5+WeightSDS!S$17*$AG830^4+WeightSDS!T$17*$AG830^3+WeightSDS!U$17*$AG830^2+WeightSDS!V$17*$AG830+WeightSDS!W$17,IF($AG830&lt;186,WeightSDS!$U$18+(WeightSDS!$V$18-WeightSDS!$U$18)/24*($AG830-186)+WeightSDS!$W$18*(-$AG830+186)^2-0.005,WeightSDS!$U$18+(WeightSDS!$V$18-WeightSDS!$U$18)/24*($AG830-186)-0.005)))</f>
        <v>0.14604529399999999</v>
      </c>
    </row>
    <row r="831" spans="1:37">
      <c r="A831" s="4"/>
      <c r="B831" s="21"/>
      <c r="C831" s="21"/>
      <c r="D831" s="21"/>
      <c r="E831" s="22"/>
      <c r="F831" s="22"/>
      <c r="G831" s="23"/>
      <c r="H831" s="23"/>
      <c r="I831" s="8" t="str">
        <f t="shared" si="194"/>
        <v/>
      </c>
      <c r="J831" s="2" t="str">
        <f t="shared" si="201"/>
        <v/>
      </c>
      <c r="K831" s="2" t="str">
        <f t="shared" si="195"/>
        <v/>
      </c>
      <c r="L831" s="2" t="str">
        <f t="shared" si="202"/>
        <v/>
      </c>
      <c r="M831" s="2" t="str">
        <f t="shared" si="207"/>
        <v/>
      </c>
      <c r="N831" s="2" t="str">
        <f t="shared" si="203"/>
        <v/>
      </c>
      <c r="O831" s="8" t="str">
        <f t="shared" si="204"/>
        <v/>
      </c>
      <c r="P831" s="8" t="str">
        <f t="shared" si="205"/>
        <v/>
      </c>
      <c r="Q831" s="40" t="str">
        <f t="shared" si="196"/>
        <v/>
      </c>
      <c r="R831" s="48" t="str">
        <f t="shared" si="206"/>
        <v/>
      </c>
      <c r="S831" s="8"/>
      <c r="U831" s="35">
        <f t="shared" si="197"/>
        <v>0</v>
      </c>
      <c r="V831" s="24">
        <f t="shared" si="198"/>
        <v>0</v>
      </c>
      <c r="W831" s="41">
        <f t="shared" si="209"/>
        <v>0</v>
      </c>
      <c r="X831" s="31"/>
      <c r="Y831" s="31"/>
      <c r="Z831" s="31"/>
      <c r="AA831" s="25">
        <f t="shared" si="199"/>
        <v>9.0359999999999996</v>
      </c>
      <c r="AB831" s="25">
        <f t="shared" si="200"/>
        <v>-184.49199999999999</v>
      </c>
      <c r="AD831" s="24">
        <f>IF(D831="M",IF(AG831&lt;78,BMILMS!$D$5*AG831^3+BMILMS!$E$5*AG831^2+BMILMS!$F$5*AG831+BMILMS!$G$5,IF(AG831&lt;150,BMILMS!$D$6*AG831^3+BMILMS!$E$6*AG831^2+BMILMS!$F$6*AG831+BMILMS!$G$6,BMILMS!$D$7*AG831^3+BMILMS!$E$7*AG831^2+BMILMS!$F$7*AG831+BMILMS!$G$7)),IF(AG831&lt;69,BMILMS!$D$9*AG831^3+BMILMS!$E$9*AG831^2+BMILMS!$F$9*AG831+BMILMS!$G$9,IF(AG831&lt;150,BMILMS!$D$10*AG831^3+BMILMS!$E$10*AG831^2+BMILMS!$F$10*AG831+BMILMS!$G$10,BMILMS!$D$11*AG831^3+BMILMS!$E$11*AG831^2+BMILMS!$F$11*AG831+BMILMS!$G$11)))</f>
        <v>0.79584630099999998</v>
      </c>
      <c r="AE831" s="24">
        <f>IF(D831="M",(IF(AG831&lt;2.5,BMILMS!$D$21*AG831^3+BMILMS!$E$21*AG831^2+BMILMS!$F$21*AG831+BMILMS!$G$21,IF(AG831&lt;9.5,BMILMS!$D$22*AG831^3+BMILMS!$E$22*AG831^2+BMILMS!$F$22*AG831+BMILMS!$G$22,IF(AG831&lt;26.75,BMILMS!$D$23*AG831^3+BMILMS!$E$23*AG831^2+BMILMS!$F$23*AG831+BMILMS!$G$23,IF(AG831&lt;90,BMILMS!$D$24*AG831^3+BMILMS!$E$24*AG831^2+BMILMS!$F$24*AG831+BMILMS!$G$24,BMILMS!$D$25*AG831^3+BMILMS!$E$25*AG831^2+BMILMS!$F$25*AG831+BMILMS!$G$25))))),(IF(AG831&lt;2.5,BMILMS!$D$27*AG831^3+BMILMS!$E$27*AG831^2+BMILMS!$F$27*AG831+BMILMS!$G$27,IF(AG831&lt;9.5,BMILMS!$D$28*AG831^3+BMILMS!$E$28*AG831^2+BMILMS!$F$28*AG831+BMILMS!$G$28,IF(AG831&lt;26.75,BMILMS!$D$29*AG831^3+BMILMS!$E$29*AG831^2+BMILMS!$F$29*AG831+BMILMS!$G$29,IF(AG831&lt;90,BMILMS!$D$30*AG831^3+BMILMS!$E$30*AG831^2+BMILMS!$F$30*AG831+BMILMS!$G$30,IF(AG831&lt;150,BMILMS!$D$31*AG831^3+BMILMS!$E$31*AG831^2+BMILMS!$F$31*AG831+BMILMS!$G$31,BMILMS!$D$32*AG831^3+BMILMS!$E$32*AG831^2+BMILMS!$F$32*AG831+BMILMS!$G$32)))))))</f>
        <v>12.568967990000001</v>
      </c>
      <c r="AF831" s="24">
        <f>IF(D831="M",(IF(AG831&lt;90,BMILMS!$D$14*AG831^3+BMILMS!$E$14*AG831^2+BMILMS!$F$14*AG831+BMILMS!$G$14,BMILMS!$D$15*AG831^3+BMILMS!$E$15*AG831^2+BMILMS!$F$15*AG831+BMILMS!$G$15)),(IF(AG831&lt;90,BMILMS!$D$17*AG831^3+BMILMS!$E$17*AG831^2+BMILMS!$F$17*AG831+BMILMS!$G$17,BMILMS!$D$18*AG831^3+BMILMS!$E$18*AG831^2+BMILMS!$F$18*AG831+BMILMS!$G$18)))</f>
        <v>8.8969350000000003E-2</v>
      </c>
      <c r="AG831" s="24">
        <f t="shared" si="208"/>
        <v>0</v>
      </c>
      <c r="AI831" s="38">
        <f>IF(D831="M",WeightSDS!P$5*$AG831^7+WeightSDS!Q$5*$AG831^6+WeightSDS!R$5*$AG831^5+WeightSDS!S$5*$AG831^4+WeightSDS!T$5*$AG831^3+WeightSDS!U$5*$AG831^2+WeightSDS!V$5*$AG831+WeightSDS!W$5,IF($AG831&lt;186,WeightSDS!P$8*$AG831^7+WeightSDS!Q$8*$AG831^6+WeightSDS!R$8*$AG831^5+WeightSDS!S$8*$AG831^4+WeightSDS!T$8*$AG831^3+WeightSDS!U$8*$AG831^2+WeightSDS!V$8*$AG831+WeightSDS!W$8,WeightSDS!$U$9-WeightSDS!$V$9*($AG831-WeightSDS!$W$9)))</f>
        <v>0.75407122999999998</v>
      </c>
      <c r="AJ831" s="24">
        <f>IF(D831="M",IF($AG831&lt;45,WeightSDS!M$23*$AG831^10+WeightSDS!N$23*$AG831^9+WeightSDS!O$23*$AG831^8+WeightSDS!P$23*$AG831^7+WeightSDS!Q$23*$AG831^6+WeightSDS!R$23*$AG831^5+WeightSDS!S$23*$AG831^4+WeightSDS!T$23*$AG831^3+WeightSDS!U$23*$AG831^2+WeightSDS!V$23*$AG831+WeightSDS!W$23,IF($AG831&lt;153,WeightSDS!M$25*$AG831^10+WeightSDS!N$25*$AG831^9+WeightSDS!O$25*$AG831^8+WeightSDS!P$25*$AG831^7+WeightSDS!Q$25*$AG831^6+WeightSDS!R$25*$AG831^5+WeightSDS!S$25*$AG831^4+WeightSDS!T$25*$AG831^3+WeightSDS!U$25*$AG831^2+WeightSDS!V$25*$AG831+WeightSDS!W$25,WeightSDS!M$27+WeightSDS!N$27/(1+EXP(WeightSDS!O$27+WeightSDS!P$27*$AG831)))),IF($AG831&lt;43.8,WeightSDS!M$29*$AG831^10+WeightSDS!N$29*$AG831^9+WeightSDS!O$29*$AG831^8+WeightSDS!P$29*$AG831^7+WeightSDS!Q$29*$AG831^6+WeightSDS!R$29*$AG831^5+WeightSDS!S$29*$AG831^4+WeightSDS!T$29*$AG831^3+WeightSDS!U$29*$AG831^2+WeightSDS!V$29*$AG831+WeightSDS!W$29-0.010431*(1-$AG831/210),IF($AG831&lt;123,WeightSDS!M$30*$AG831^10+WeightSDS!N$30*$AG831^9+WeightSDS!O$30*$AG831^8+WeightSDS!P$30*$AG831^7+WeightSDS!Q$30*$AG831^6+WeightSDS!R$30*$AG831^5+WeightSDS!S$30*$AG831^4+WeightSDS!T$30*$AG831^3+WeightSDS!U$30*$AG831^2+WeightSDS!V$30*$AG831+WeightSDS!W$30-0.010431*(1-1/$AG831),WeightSDS!M$32+WeightSDS!N$32/(1+EXP(WeightSDS!O$32+WeightSDS!P$32*$AG831))-0.010431*(1-$AG831/210))))</f>
        <v>2.9500001032655536</v>
      </c>
      <c r="AK831" s="24">
        <f>IF(D831="M",IF($AG831&lt;162,WeightSDS!P$12*$AG831^7+WeightSDS!Q$12*$AG831^6+WeightSDS!R$12*$AG831^5+WeightSDS!S$12*$AG831^4+WeightSDS!T$12*$AG831^3+WeightSDS!U$12*$AG831^2+WeightSDS!V$12*$AG831+WeightSDS!W$12,WeightSDS!P$14*$AG831^7+WeightSDS!Q$14*$AG831^6+WeightSDS!R$14*$AG831^5+WeightSDS!S$14*$AG831^4+WeightSDS!T$14*$AG831^3+WeightSDS!U$14*$AG831^2+WeightSDS!V$14*$AG831+WeightSDS!W$14),IF($AG831&lt;156,WeightSDS!O$17*$AG831^8+WeightSDS!P$17*$AG831^7+WeightSDS!Q$17*$AG831^6+WeightSDS!R$17*$AG831^5+WeightSDS!S$17*$AG831^4+WeightSDS!T$17*$AG831^3+WeightSDS!U$17*$AG831^2+WeightSDS!V$17*$AG831+WeightSDS!W$17,IF($AG831&lt;186,WeightSDS!$U$18+(WeightSDS!$V$18-WeightSDS!$U$18)/24*($AG831-186)+WeightSDS!$W$18*(-$AG831+186)^2-0.005,WeightSDS!$U$18+(WeightSDS!$V$18-WeightSDS!$U$18)/24*($AG831-186)-0.005)))</f>
        <v>0.14604529399999999</v>
      </c>
    </row>
    <row r="832" spans="1:37">
      <c r="A832" s="4"/>
      <c r="B832" s="21"/>
      <c r="C832" s="21"/>
      <c r="D832" s="21"/>
      <c r="E832" s="22"/>
      <c r="F832" s="22"/>
      <c r="G832" s="23"/>
      <c r="H832" s="23"/>
      <c r="I832" s="8" t="str">
        <f t="shared" si="194"/>
        <v/>
      </c>
      <c r="J832" s="2" t="str">
        <f t="shared" si="201"/>
        <v/>
      </c>
      <c r="K832" s="2" t="str">
        <f t="shared" si="195"/>
        <v/>
      </c>
      <c r="L832" s="2" t="str">
        <f t="shared" si="202"/>
        <v/>
      </c>
      <c r="M832" s="2" t="str">
        <f t="shared" si="207"/>
        <v/>
      </c>
      <c r="N832" s="2" t="str">
        <f t="shared" si="203"/>
        <v/>
      </c>
      <c r="O832" s="8" t="str">
        <f t="shared" si="204"/>
        <v/>
      </c>
      <c r="P832" s="8" t="str">
        <f t="shared" si="205"/>
        <v/>
      </c>
      <c r="Q832" s="40" t="str">
        <f t="shared" si="196"/>
        <v/>
      </c>
      <c r="R832" s="48" t="str">
        <f t="shared" si="206"/>
        <v/>
      </c>
      <c r="S832" s="8"/>
      <c r="U832" s="35">
        <f t="shared" si="197"/>
        <v>0</v>
      </c>
      <c r="V832" s="24">
        <f t="shared" si="198"/>
        <v>0</v>
      </c>
      <c r="W832" s="41">
        <f t="shared" si="209"/>
        <v>0</v>
      </c>
      <c r="X832" s="31"/>
      <c r="Y832" s="31"/>
      <c r="Z832" s="31"/>
      <c r="AA832" s="25">
        <f t="shared" si="199"/>
        <v>9.0359999999999996</v>
      </c>
      <c r="AB832" s="25">
        <f t="shared" si="200"/>
        <v>-184.49199999999999</v>
      </c>
      <c r="AD832" s="24">
        <f>IF(D832="M",IF(AG832&lt;78,BMILMS!$D$5*AG832^3+BMILMS!$E$5*AG832^2+BMILMS!$F$5*AG832+BMILMS!$G$5,IF(AG832&lt;150,BMILMS!$D$6*AG832^3+BMILMS!$E$6*AG832^2+BMILMS!$F$6*AG832+BMILMS!$G$6,BMILMS!$D$7*AG832^3+BMILMS!$E$7*AG832^2+BMILMS!$F$7*AG832+BMILMS!$G$7)),IF(AG832&lt;69,BMILMS!$D$9*AG832^3+BMILMS!$E$9*AG832^2+BMILMS!$F$9*AG832+BMILMS!$G$9,IF(AG832&lt;150,BMILMS!$D$10*AG832^3+BMILMS!$E$10*AG832^2+BMILMS!$F$10*AG832+BMILMS!$G$10,BMILMS!$D$11*AG832^3+BMILMS!$E$11*AG832^2+BMILMS!$F$11*AG832+BMILMS!$G$11)))</f>
        <v>0.79584630099999998</v>
      </c>
      <c r="AE832" s="24">
        <f>IF(D832="M",(IF(AG832&lt;2.5,BMILMS!$D$21*AG832^3+BMILMS!$E$21*AG832^2+BMILMS!$F$21*AG832+BMILMS!$G$21,IF(AG832&lt;9.5,BMILMS!$D$22*AG832^3+BMILMS!$E$22*AG832^2+BMILMS!$F$22*AG832+BMILMS!$G$22,IF(AG832&lt;26.75,BMILMS!$D$23*AG832^3+BMILMS!$E$23*AG832^2+BMILMS!$F$23*AG832+BMILMS!$G$23,IF(AG832&lt;90,BMILMS!$D$24*AG832^3+BMILMS!$E$24*AG832^2+BMILMS!$F$24*AG832+BMILMS!$G$24,BMILMS!$D$25*AG832^3+BMILMS!$E$25*AG832^2+BMILMS!$F$25*AG832+BMILMS!$G$25))))),(IF(AG832&lt;2.5,BMILMS!$D$27*AG832^3+BMILMS!$E$27*AG832^2+BMILMS!$F$27*AG832+BMILMS!$G$27,IF(AG832&lt;9.5,BMILMS!$D$28*AG832^3+BMILMS!$E$28*AG832^2+BMILMS!$F$28*AG832+BMILMS!$G$28,IF(AG832&lt;26.75,BMILMS!$D$29*AG832^3+BMILMS!$E$29*AG832^2+BMILMS!$F$29*AG832+BMILMS!$G$29,IF(AG832&lt;90,BMILMS!$D$30*AG832^3+BMILMS!$E$30*AG832^2+BMILMS!$F$30*AG832+BMILMS!$G$30,IF(AG832&lt;150,BMILMS!$D$31*AG832^3+BMILMS!$E$31*AG832^2+BMILMS!$F$31*AG832+BMILMS!$G$31,BMILMS!$D$32*AG832^3+BMILMS!$E$32*AG832^2+BMILMS!$F$32*AG832+BMILMS!$G$32)))))))</f>
        <v>12.568967990000001</v>
      </c>
      <c r="AF832" s="24">
        <f>IF(D832="M",(IF(AG832&lt;90,BMILMS!$D$14*AG832^3+BMILMS!$E$14*AG832^2+BMILMS!$F$14*AG832+BMILMS!$G$14,BMILMS!$D$15*AG832^3+BMILMS!$E$15*AG832^2+BMILMS!$F$15*AG832+BMILMS!$G$15)),(IF(AG832&lt;90,BMILMS!$D$17*AG832^3+BMILMS!$E$17*AG832^2+BMILMS!$F$17*AG832+BMILMS!$G$17,BMILMS!$D$18*AG832^3+BMILMS!$E$18*AG832^2+BMILMS!$F$18*AG832+BMILMS!$G$18)))</f>
        <v>8.8969350000000003E-2</v>
      </c>
      <c r="AG832" s="24">
        <f t="shared" si="208"/>
        <v>0</v>
      </c>
      <c r="AI832" s="38">
        <f>IF(D832="M",WeightSDS!P$5*$AG832^7+WeightSDS!Q$5*$AG832^6+WeightSDS!R$5*$AG832^5+WeightSDS!S$5*$AG832^4+WeightSDS!T$5*$AG832^3+WeightSDS!U$5*$AG832^2+WeightSDS!V$5*$AG832+WeightSDS!W$5,IF($AG832&lt;186,WeightSDS!P$8*$AG832^7+WeightSDS!Q$8*$AG832^6+WeightSDS!R$8*$AG832^5+WeightSDS!S$8*$AG832^4+WeightSDS!T$8*$AG832^3+WeightSDS!U$8*$AG832^2+WeightSDS!V$8*$AG832+WeightSDS!W$8,WeightSDS!$U$9-WeightSDS!$V$9*($AG832-WeightSDS!$W$9)))</f>
        <v>0.75407122999999998</v>
      </c>
      <c r="AJ832" s="24">
        <f>IF(D832="M",IF($AG832&lt;45,WeightSDS!M$23*$AG832^10+WeightSDS!N$23*$AG832^9+WeightSDS!O$23*$AG832^8+WeightSDS!P$23*$AG832^7+WeightSDS!Q$23*$AG832^6+WeightSDS!R$23*$AG832^5+WeightSDS!S$23*$AG832^4+WeightSDS!T$23*$AG832^3+WeightSDS!U$23*$AG832^2+WeightSDS!V$23*$AG832+WeightSDS!W$23,IF($AG832&lt;153,WeightSDS!M$25*$AG832^10+WeightSDS!N$25*$AG832^9+WeightSDS!O$25*$AG832^8+WeightSDS!P$25*$AG832^7+WeightSDS!Q$25*$AG832^6+WeightSDS!R$25*$AG832^5+WeightSDS!S$25*$AG832^4+WeightSDS!T$25*$AG832^3+WeightSDS!U$25*$AG832^2+WeightSDS!V$25*$AG832+WeightSDS!W$25,WeightSDS!M$27+WeightSDS!N$27/(1+EXP(WeightSDS!O$27+WeightSDS!P$27*$AG832)))),IF($AG832&lt;43.8,WeightSDS!M$29*$AG832^10+WeightSDS!N$29*$AG832^9+WeightSDS!O$29*$AG832^8+WeightSDS!P$29*$AG832^7+WeightSDS!Q$29*$AG832^6+WeightSDS!R$29*$AG832^5+WeightSDS!S$29*$AG832^4+WeightSDS!T$29*$AG832^3+WeightSDS!U$29*$AG832^2+WeightSDS!V$29*$AG832+WeightSDS!W$29-0.010431*(1-$AG832/210),IF($AG832&lt;123,WeightSDS!M$30*$AG832^10+WeightSDS!N$30*$AG832^9+WeightSDS!O$30*$AG832^8+WeightSDS!P$30*$AG832^7+WeightSDS!Q$30*$AG832^6+WeightSDS!R$30*$AG832^5+WeightSDS!S$30*$AG832^4+WeightSDS!T$30*$AG832^3+WeightSDS!U$30*$AG832^2+WeightSDS!V$30*$AG832+WeightSDS!W$30-0.010431*(1-1/$AG832),WeightSDS!M$32+WeightSDS!N$32/(1+EXP(WeightSDS!O$32+WeightSDS!P$32*$AG832))-0.010431*(1-$AG832/210))))</f>
        <v>2.9500001032655536</v>
      </c>
      <c r="AK832" s="24">
        <f>IF(D832="M",IF($AG832&lt;162,WeightSDS!P$12*$AG832^7+WeightSDS!Q$12*$AG832^6+WeightSDS!R$12*$AG832^5+WeightSDS!S$12*$AG832^4+WeightSDS!T$12*$AG832^3+WeightSDS!U$12*$AG832^2+WeightSDS!V$12*$AG832+WeightSDS!W$12,WeightSDS!P$14*$AG832^7+WeightSDS!Q$14*$AG832^6+WeightSDS!R$14*$AG832^5+WeightSDS!S$14*$AG832^4+WeightSDS!T$14*$AG832^3+WeightSDS!U$14*$AG832^2+WeightSDS!V$14*$AG832+WeightSDS!W$14),IF($AG832&lt;156,WeightSDS!O$17*$AG832^8+WeightSDS!P$17*$AG832^7+WeightSDS!Q$17*$AG832^6+WeightSDS!R$17*$AG832^5+WeightSDS!S$17*$AG832^4+WeightSDS!T$17*$AG832^3+WeightSDS!U$17*$AG832^2+WeightSDS!V$17*$AG832+WeightSDS!W$17,IF($AG832&lt;186,WeightSDS!$U$18+(WeightSDS!$V$18-WeightSDS!$U$18)/24*($AG832-186)+WeightSDS!$W$18*(-$AG832+186)^2-0.005,WeightSDS!$U$18+(WeightSDS!$V$18-WeightSDS!$U$18)/24*($AG832-186)-0.005)))</f>
        <v>0.14604529399999999</v>
      </c>
    </row>
    <row r="833" spans="1:37">
      <c r="A833" s="4"/>
      <c r="B833" s="21"/>
      <c r="C833" s="21"/>
      <c r="D833" s="21"/>
      <c r="E833" s="22"/>
      <c r="F833" s="22"/>
      <c r="G833" s="23"/>
      <c r="H833" s="23"/>
      <c r="I833" s="8" t="str">
        <f t="shared" si="194"/>
        <v/>
      </c>
      <c r="J833" s="2" t="str">
        <f t="shared" si="201"/>
        <v/>
      </c>
      <c r="K833" s="2" t="str">
        <f t="shared" si="195"/>
        <v/>
      </c>
      <c r="L833" s="2" t="str">
        <f t="shared" si="202"/>
        <v/>
      </c>
      <c r="M833" s="2" t="str">
        <f t="shared" si="207"/>
        <v/>
      </c>
      <c r="N833" s="2" t="str">
        <f t="shared" si="203"/>
        <v/>
      </c>
      <c r="O833" s="8" t="str">
        <f t="shared" si="204"/>
        <v/>
      </c>
      <c r="P833" s="8" t="str">
        <f t="shared" si="205"/>
        <v/>
      </c>
      <c r="Q833" s="40" t="str">
        <f t="shared" si="196"/>
        <v/>
      </c>
      <c r="R833" s="48" t="str">
        <f t="shared" si="206"/>
        <v/>
      </c>
      <c r="S833" s="8"/>
      <c r="U833" s="35">
        <f t="shared" si="197"/>
        <v>0</v>
      </c>
      <c r="V833" s="24">
        <f t="shared" si="198"/>
        <v>0</v>
      </c>
      <c r="W833" s="41">
        <f t="shared" si="209"/>
        <v>0</v>
      </c>
      <c r="X833" s="31"/>
      <c r="Y833" s="31"/>
      <c r="Z833" s="31"/>
      <c r="AA833" s="25">
        <f t="shared" si="199"/>
        <v>9.0359999999999996</v>
      </c>
      <c r="AB833" s="25">
        <f t="shared" si="200"/>
        <v>-184.49199999999999</v>
      </c>
      <c r="AD833" s="24">
        <f>IF(D833="M",IF(AG833&lt;78,BMILMS!$D$5*AG833^3+BMILMS!$E$5*AG833^2+BMILMS!$F$5*AG833+BMILMS!$G$5,IF(AG833&lt;150,BMILMS!$D$6*AG833^3+BMILMS!$E$6*AG833^2+BMILMS!$F$6*AG833+BMILMS!$G$6,BMILMS!$D$7*AG833^3+BMILMS!$E$7*AG833^2+BMILMS!$F$7*AG833+BMILMS!$G$7)),IF(AG833&lt;69,BMILMS!$D$9*AG833^3+BMILMS!$E$9*AG833^2+BMILMS!$F$9*AG833+BMILMS!$G$9,IF(AG833&lt;150,BMILMS!$D$10*AG833^3+BMILMS!$E$10*AG833^2+BMILMS!$F$10*AG833+BMILMS!$G$10,BMILMS!$D$11*AG833^3+BMILMS!$E$11*AG833^2+BMILMS!$F$11*AG833+BMILMS!$G$11)))</f>
        <v>0.79584630099999998</v>
      </c>
      <c r="AE833" s="24">
        <f>IF(D833="M",(IF(AG833&lt;2.5,BMILMS!$D$21*AG833^3+BMILMS!$E$21*AG833^2+BMILMS!$F$21*AG833+BMILMS!$G$21,IF(AG833&lt;9.5,BMILMS!$D$22*AG833^3+BMILMS!$E$22*AG833^2+BMILMS!$F$22*AG833+BMILMS!$G$22,IF(AG833&lt;26.75,BMILMS!$D$23*AG833^3+BMILMS!$E$23*AG833^2+BMILMS!$F$23*AG833+BMILMS!$G$23,IF(AG833&lt;90,BMILMS!$D$24*AG833^3+BMILMS!$E$24*AG833^2+BMILMS!$F$24*AG833+BMILMS!$G$24,BMILMS!$D$25*AG833^3+BMILMS!$E$25*AG833^2+BMILMS!$F$25*AG833+BMILMS!$G$25))))),(IF(AG833&lt;2.5,BMILMS!$D$27*AG833^3+BMILMS!$E$27*AG833^2+BMILMS!$F$27*AG833+BMILMS!$G$27,IF(AG833&lt;9.5,BMILMS!$D$28*AG833^3+BMILMS!$E$28*AG833^2+BMILMS!$F$28*AG833+BMILMS!$G$28,IF(AG833&lt;26.75,BMILMS!$D$29*AG833^3+BMILMS!$E$29*AG833^2+BMILMS!$F$29*AG833+BMILMS!$G$29,IF(AG833&lt;90,BMILMS!$D$30*AG833^3+BMILMS!$E$30*AG833^2+BMILMS!$F$30*AG833+BMILMS!$G$30,IF(AG833&lt;150,BMILMS!$D$31*AG833^3+BMILMS!$E$31*AG833^2+BMILMS!$F$31*AG833+BMILMS!$G$31,BMILMS!$D$32*AG833^3+BMILMS!$E$32*AG833^2+BMILMS!$F$32*AG833+BMILMS!$G$32)))))))</f>
        <v>12.568967990000001</v>
      </c>
      <c r="AF833" s="24">
        <f>IF(D833="M",(IF(AG833&lt;90,BMILMS!$D$14*AG833^3+BMILMS!$E$14*AG833^2+BMILMS!$F$14*AG833+BMILMS!$G$14,BMILMS!$D$15*AG833^3+BMILMS!$E$15*AG833^2+BMILMS!$F$15*AG833+BMILMS!$G$15)),(IF(AG833&lt;90,BMILMS!$D$17*AG833^3+BMILMS!$E$17*AG833^2+BMILMS!$F$17*AG833+BMILMS!$G$17,BMILMS!$D$18*AG833^3+BMILMS!$E$18*AG833^2+BMILMS!$F$18*AG833+BMILMS!$G$18)))</f>
        <v>8.8969350000000003E-2</v>
      </c>
      <c r="AG833" s="24">
        <f t="shared" si="208"/>
        <v>0</v>
      </c>
      <c r="AI833" s="38">
        <f>IF(D833="M",WeightSDS!P$5*$AG833^7+WeightSDS!Q$5*$AG833^6+WeightSDS!R$5*$AG833^5+WeightSDS!S$5*$AG833^4+WeightSDS!T$5*$AG833^3+WeightSDS!U$5*$AG833^2+WeightSDS!V$5*$AG833+WeightSDS!W$5,IF($AG833&lt;186,WeightSDS!P$8*$AG833^7+WeightSDS!Q$8*$AG833^6+WeightSDS!R$8*$AG833^5+WeightSDS!S$8*$AG833^4+WeightSDS!T$8*$AG833^3+WeightSDS!U$8*$AG833^2+WeightSDS!V$8*$AG833+WeightSDS!W$8,WeightSDS!$U$9-WeightSDS!$V$9*($AG833-WeightSDS!$W$9)))</f>
        <v>0.75407122999999998</v>
      </c>
      <c r="AJ833" s="24">
        <f>IF(D833="M",IF($AG833&lt;45,WeightSDS!M$23*$AG833^10+WeightSDS!N$23*$AG833^9+WeightSDS!O$23*$AG833^8+WeightSDS!P$23*$AG833^7+WeightSDS!Q$23*$AG833^6+WeightSDS!R$23*$AG833^5+WeightSDS!S$23*$AG833^4+WeightSDS!T$23*$AG833^3+WeightSDS!U$23*$AG833^2+WeightSDS!V$23*$AG833+WeightSDS!W$23,IF($AG833&lt;153,WeightSDS!M$25*$AG833^10+WeightSDS!N$25*$AG833^9+WeightSDS!O$25*$AG833^8+WeightSDS!P$25*$AG833^7+WeightSDS!Q$25*$AG833^6+WeightSDS!R$25*$AG833^5+WeightSDS!S$25*$AG833^4+WeightSDS!T$25*$AG833^3+WeightSDS!U$25*$AG833^2+WeightSDS!V$25*$AG833+WeightSDS!W$25,WeightSDS!M$27+WeightSDS!N$27/(1+EXP(WeightSDS!O$27+WeightSDS!P$27*$AG833)))),IF($AG833&lt;43.8,WeightSDS!M$29*$AG833^10+WeightSDS!N$29*$AG833^9+WeightSDS!O$29*$AG833^8+WeightSDS!P$29*$AG833^7+WeightSDS!Q$29*$AG833^6+WeightSDS!R$29*$AG833^5+WeightSDS!S$29*$AG833^4+WeightSDS!T$29*$AG833^3+WeightSDS!U$29*$AG833^2+WeightSDS!V$29*$AG833+WeightSDS!W$29-0.010431*(1-$AG833/210),IF($AG833&lt;123,WeightSDS!M$30*$AG833^10+WeightSDS!N$30*$AG833^9+WeightSDS!O$30*$AG833^8+WeightSDS!P$30*$AG833^7+WeightSDS!Q$30*$AG833^6+WeightSDS!R$30*$AG833^5+WeightSDS!S$30*$AG833^4+WeightSDS!T$30*$AG833^3+WeightSDS!U$30*$AG833^2+WeightSDS!V$30*$AG833+WeightSDS!W$30-0.010431*(1-1/$AG833),WeightSDS!M$32+WeightSDS!N$32/(1+EXP(WeightSDS!O$32+WeightSDS!P$32*$AG833))-0.010431*(1-$AG833/210))))</f>
        <v>2.9500001032655536</v>
      </c>
      <c r="AK833" s="24">
        <f>IF(D833="M",IF($AG833&lt;162,WeightSDS!P$12*$AG833^7+WeightSDS!Q$12*$AG833^6+WeightSDS!R$12*$AG833^5+WeightSDS!S$12*$AG833^4+WeightSDS!T$12*$AG833^3+WeightSDS!U$12*$AG833^2+WeightSDS!V$12*$AG833+WeightSDS!W$12,WeightSDS!P$14*$AG833^7+WeightSDS!Q$14*$AG833^6+WeightSDS!R$14*$AG833^5+WeightSDS!S$14*$AG833^4+WeightSDS!T$14*$AG833^3+WeightSDS!U$14*$AG833^2+WeightSDS!V$14*$AG833+WeightSDS!W$14),IF($AG833&lt;156,WeightSDS!O$17*$AG833^8+WeightSDS!P$17*$AG833^7+WeightSDS!Q$17*$AG833^6+WeightSDS!R$17*$AG833^5+WeightSDS!S$17*$AG833^4+WeightSDS!T$17*$AG833^3+WeightSDS!U$17*$AG833^2+WeightSDS!V$17*$AG833+WeightSDS!W$17,IF($AG833&lt;186,WeightSDS!$U$18+(WeightSDS!$V$18-WeightSDS!$U$18)/24*($AG833-186)+WeightSDS!$W$18*(-$AG833+186)^2-0.005,WeightSDS!$U$18+(WeightSDS!$V$18-WeightSDS!$U$18)/24*($AG833-186)-0.005)))</f>
        <v>0.14604529399999999</v>
      </c>
    </row>
    <row r="834" spans="1:37">
      <c r="A834" s="4"/>
      <c r="B834" s="21"/>
      <c r="C834" s="21"/>
      <c r="D834" s="21"/>
      <c r="E834" s="22"/>
      <c r="F834" s="22"/>
      <c r="G834" s="23"/>
      <c r="H834" s="23"/>
      <c r="I834" s="8" t="str">
        <f t="shared" si="194"/>
        <v/>
      </c>
      <c r="J834" s="2" t="str">
        <f t="shared" si="201"/>
        <v/>
      </c>
      <c r="K834" s="2" t="str">
        <f t="shared" si="195"/>
        <v/>
      </c>
      <c r="L834" s="2" t="str">
        <f t="shared" si="202"/>
        <v/>
      </c>
      <c r="M834" s="2" t="str">
        <f t="shared" si="207"/>
        <v/>
      </c>
      <c r="N834" s="2" t="str">
        <f t="shared" si="203"/>
        <v/>
      </c>
      <c r="O834" s="8" t="str">
        <f t="shared" si="204"/>
        <v/>
      </c>
      <c r="P834" s="8" t="str">
        <f t="shared" si="205"/>
        <v/>
      </c>
      <c r="Q834" s="40" t="str">
        <f t="shared" si="196"/>
        <v/>
      </c>
      <c r="R834" s="48" t="str">
        <f t="shared" si="206"/>
        <v/>
      </c>
      <c r="S834" s="8"/>
      <c r="U834" s="35">
        <f t="shared" si="197"/>
        <v>0</v>
      </c>
      <c r="V834" s="24">
        <f t="shared" si="198"/>
        <v>0</v>
      </c>
      <c r="W834" s="41">
        <f t="shared" si="209"/>
        <v>0</v>
      </c>
      <c r="X834" s="31"/>
      <c r="Y834" s="31"/>
      <c r="Z834" s="31"/>
      <c r="AA834" s="25">
        <f t="shared" si="199"/>
        <v>9.0359999999999996</v>
      </c>
      <c r="AB834" s="25">
        <f t="shared" si="200"/>
        <v>-184.49199999999999</v>
      </c>
      <c r="AD834" s="24">
        <f>IF(D834="M",IF(AG834&lt;78,BMILMS!$D$5*AG834^3+BMILMS!$E$5*AG834^2+BMILMS!$F$5*AG834+BMILMS!$G$5,IF(AG834&lt;150,BMILMS!$D$6*AG834^3+BMILMS!$E$6*AG834^2+BMILMS!$F$6*AG834+BMILMS!$G$6,BMILMS!$D$7*AG834^3+BMILMS!$E$7*AG834^2+BMILMS!$F$7*AG834+BMILMS!$G$7)),IF(AG834&lt;69,BMILMS!$D$9*AG834^3+BMILMS!$E$9*AG834^2+BMILMS!$F$9*AG834+BMILMS!$G$9,IF(AG834&lt;150,BMILMS!$D$10*AG834^3+BMILMS!$E$10*AG834^2+BMILMS!$F$10*AG834+BMILMS!$G$10,BMILMS!$D$11*AG834^3+BMILMS!$E$11*AG834^2+BMILMS!$F$11*AG834+BMILMS!$G$11)))</f>
        <v>0.79584630099999998</v>
      </c>
      <c r="AE834" s="24">
        <f>IF(D834="M",(IF(AG834&lt;2.5,BMILMS!$D$21*AG834^3+BMILMS!$E$21*AG834^2+BMILMS!$F$21*AG834+BMILMS!$G$21,IF(AG834&lt;9.5,BMILMS!$D$22*AG834^3+BMILMS!$E$22*AG834^2+BMILMS!$F$22*AG834+BMILMS!$G$22,IF(AG834&lt;26.75,BMILMS!$D$23*AG834^3+BMILMS!$E$23*AG834^2+BMILMS!$F$23*AG834+BMILMS!$G$23,IF(AG834&lt;90,BMILMS!$D$24*AG834^3+BMILMS!$E$24*AG834^2+BMILMS!$F$24*AG834+BMILMS!$G$24,BMILMS!$D$25*AG834^3+BMILMS!$E$25*AG834^2+BMILMS!$F$25*AG834+BMILMS!$G$25))))),(IF(AG834&lt;2.5,BMILMS!$D$27*AG834^3+BMILMS!$E$27*AG834^2+BMILMS!$F$27*AG834+BMILMS!$G$27,IF(AG834&lt;9.5,BMILMS!$D$28*AG834^3+BMILMS!$E$28*AG834^2+BMILMS!$F$28*AG834+BMILMS!$G$28,IF(AG834&lt;26.75,BMILMS!$D$29*AG834^3+BMILMS!$E$29*AG834^2+BMILMS!$F$29*AG834+BMILMS!$G$29,IF(AG834&lt;90,BMILMS!$D$30*AG834^3+BMILMS!$E$30*AG834^2+BMILMS!$F$30*AG834+BMILMS!$G$30,IF(AG834&lt;150,BMILMS!$D$31*AG834^3+BMILMS!$E$31*AG834^2+BMILMS!$F$31*AG834+BMILMS!$G$31,BMILMS!$D$32*AG834^3+BMILMS!$E$32*AG834^2+BMILMS!$F$32*AG834+BMILMS!$G$32)))))))</f>
        <v>12.568967990000001</v>
      </c>
      <c r="AF834" s="24">
        <f>IF(D834="M",(IF(AG834&lt;90,BMILMS!$D$14*AG834^3+BMILMS!$E$14*AG834^2+BMILMS!$F$14*AG834+BMILMS!$G$14,BMILMS!$D$15*AG834^3+BMILMS!$E$15*AG834^2+BMILMS!$F$15*AG834+BMILMS!$G$15)),(IF(AG834&lt;90,BMILMS!$D$17*AG834^3+BMILMS!$E$17*AG834^2+BMILMS!$F$17*AG834+BMILMS!$G$17,BMILMS!$D$18*AG834^3+BMILMS!$E$18*AG834^2+BMILMS!$F$18*AG834+BMILMS!$G$18)))</f>
        <v>8.8969350000000003E-2</v>
      </c>
      <c r="AG834" s="24">
        <f t="shared" si="208"/>
        <v>0</v>
      </c>
      <c r="AI834" s="38">
        <f>IF(D834="M",WeightSDS!P$5*$AG834^7+WeightSDS!Q$5*$AG834^6+WeightSDS!R$5*$AG834^5+WeightSDS!S$5*$AG834^4+WeightSDS!T$5*$AG834^3+WeightSDS!U$5*$AG834^2+WeightSDS!V$5*$AG834+WeightSDS!W$5,IF($AG834&lt;186,WeightSDS!P$8*$AG834^7+WeightSDS!Q$8*$AG834^6+WeightSDS!R$8*$AG834^5+WeightSDS!S$8*$AG834^4+WeightSDS!T$8*$AG834^3+WeightSDS!U$8*$AG834^2+WeightSDS!V$8*$AG834+WeightSDS!W$8,WeightSDS!$U$9-WeightSDS!$V$9*($AG834-WeightSDS!$W$9)))</f>
        <v>0.75407122999999998</v>
      </c>
      <c r="AJ834" s="24">
        <f>IF(D834="M",IF($AG834&lt;45,WeightSDS!M$23*$AG834^10+WeightSDS!N$23*$AG834^9+WeightSDS!O$23*$AG834^8+WeightSDS!P$23*$AG834^7+WeightSDS!Q$23*$AG834^6+WeightSDS!R$23*$AG834^5+WeightSDS!S$23*$AG834^4+WeightSDS!T$23*$AG834^3+WeightSDS!U$23*$AG834^2+WeightSDS!V$23*$AG834+WeightSDS!W$23,IF($AG834&lt;153,WeightSDS!M$25*$AG834^10+WeightSDS!N$25*$AG834^9+WeightSDS!O$25*$AG834^8+WeightSDS!P$25*$AG834^7+WeightSDS!Q$25*$AG834^6+WeightSDS!R$25*$AG834^5+WeightSDS!S$25*$AG834^4+WeightSDS!T$25*$AG834^3+WeightSDS!U$25*$AG834^2+WeightSDS!V$25*$AG834+WeightSDS!W$25,WeightSDS!M$27+WeightSDS!N$27/(1+EXP(WeightSDS!O$27+WeightSDS!P$27*$AG834)))),IF($AG834&lt;43.8,WeightSDS!M$29*$AG834^10+WeightSDS!N$29*$AG834^9+WeightSDS!O$29*$AG834^8+WeightSDS!P$29*$AG834^7+WeightSDS!Q$29*$AG834^6+WeightSDS!R$29*$AG834^5+WeightSDS!S$29*$AG834^4+WeightSDS!T$29*$AG834^3+WeightSDS!U$29*$AG834^2+WeightSDS!V$29*$AG834+WeightSDS!W$29-0.010431*(1-$AG834/210),IF($AG834&lt;123,WeightSDS!M$30*$AG834^10+WeightSDS!N$30*$AG834^9+WeightSDS!O$30*$AG834^8+WeightSDS!P$30*$AG834^7+WeightSDS!Q$30*$AG834^6+WeightSDS!R$30*$AG834^5+WeightSDS!S$30*$AG834^4+WeightSDS!T$30*$AG834^3+WeightSDS!U$30*$AG834^2+WeightSDS!V$30*$AG834+WeightSDS!W$30-0.010431*(1-1/$AG834),WeightSDS!M$32+WeightSDS!N$32/(1+EXP(WeightSDS!O$32+WeightSDS!P$32*$AG834))-0.010431*(1-$AG834/210))))</f>
        <v>2.9500001032655536</v>
      </c>
      <c r="AK834" s="24">
        <f>IF(D834="M",IF($AG834&lt;162,WeightSDS!P$12*$AG834^7+WeightSDS!Q$12*$AG834^6+WeightSDS!R$12*$AG834^5+WeightSDS!S$12*$AG834^4+WeightSDS!T$12*$AG834^3+WeightSDS!U$12*$AG834^2+WeightSDS!V$12*$AG834+WeightSDS!W$12,WeightSDS!P$14*$AG834^7+WeightSDS!Q$14*$AG834^6+WeightSDS!R$14*$AG834^5+WeightSDS!S$14*$AG834^4+WeightSDS!T$14*$AG834^3+WeightSDS!U$14*$AG834^2+WeightSDS!V$14*$AG834+WeightSDS!W$14),IF($AG834&lt;156,WeightSDS!O$17*$AG834^8+WeightSDS!P$17*$AG834^7+WeightSDS!Q$17*$AG834^6+WeightSDS!R$17*$AG834^5+WeightSDS!S$17*$AG834^4+WeightSDS!T$17*$AG834^3+WeightSDS!U$17*$AG834^2+WeightSDS!V$17*$AG834+WeightSDS!W$17,IF($AG834&lt;186,WeightSDS!$U$18+(WeightSDS!$V$18-WeightSDS!$U$18)/24*($AG834-186)+WeightSDS!$W$18*(-$AG834+186)^2-0.005,WeightSDS!$U$18+(WeightSDS!$V$18-WeightSDS!$U$18)/24*($AG834-186)-0.005)))</f>
        <v>0.14604529399999999</v>
      </c>
    </row>
    <row r="835" spans="1:37">
      <c r="A835" s="4"/>
      <c r="B835" s="21"/>
      <c r="C835" s="21"/>
      <c r="D835" s="21"/>
      <c r="E835" s="22"/>
      <c r="F835" s="22"/>
      <c r="G835" s="23"/>
      <c r="H835" s="23"/>
      <c r="I835" s="8" t="str">
        <f t="shared" ref="I835:I898" si="210">IF(COUNTA(D835,E835,F835,G835,H835)=5,IF(Q835&gt;17.583,"       *",(G835-(INDEX(IF(D835="F",Hfemalemean,Hmalemean),V835+1,U835+1)))/(INDEX(IF(D835="F",Hfemalesd,Hmalesd),V835+1,U835+1))),"")</f>
        <v/>
      </c>
      <c r="J835" s="2" t="str">
        <f t="shared" si="201"/>
        <v/>
      </c>
      <c r="K835" s="2" t="str">
        <f t="shared" ref="K835:K898" si="211">IF(COUNTA(D835,E835,F835,G835,H835)&lt;5,"",IF(Q835&lt;6,"       *",IF(Q835&gt;=17.583,"       *",(H835-G835*INDEX(IF(D835="F",muratafemale,muratamale),U835-4,1)-INDEX(IF(D835="F",muratafemale,muratamale),U835-4,2))/(G835*INDEX(IF(D835="F",muratafemale,muratamale),U835-4,1)+INDEX(IF(D835="F",muratafemale,muratamale),U835-4,2))*100)))</f>
        <v/>
      </c>
      <c r="L835" s="2" t="str">
        <f t="shared" si="202"/>
        <v/>
      </c>
      <c r="M835" s="2" t="str">
        <f t="shared" si="207"/>
        <v/>
      </c>
      <c r="N835" s="2" t="str">
        <f t="shared" si="203"/>
        <v/>
      </c>
      <c r="O835" s="8" t="str">
        <f t="shared" si="204"/>
        <v/>
      </c>
      <c r="P835" s="8" t="str">
        <f t="shared" si="205"/>
        <v/>
      </c>
      <c r="Q835" s="40" t="str">
        <f t="shared" ref="Q835:Q898" si="212">IF(COUNTA(D835,E835,F835,G835,H835)=5,W835,"")</f>
        <v/>
      </c>
      <c r="R835" s="48" t="str">
        <f t="shared" si="206"/>
        <v/>
      </c>
      <c r="S835" s="8"/>
      <c r="U835" s="35">
        <f t="shared" ref="U835:U898" si="213">DATEDIF(E835,F835,"Y")</f>
        <v>0</v>
      </c>
      <c r="V835" s="24">
        <f t="shared" ref="V835:V898" si="214">DATEDIF(E835,F835,"YM")</f>
        <v>0</v>
      </c>
      <c r="W835" s="41">
        <f t="shared" si="209"/>
        <v>0</v>
      </c>
      <c r="X835" s="31"/>
      <c r="Y835" s="31"/>
      <c r="Z835" s="31"/>
      <c r="AA835" s="25">
        <f t="shared" ref="AA835:AA898" si="215">IF(D835="M",2.06*10^-3*G835^2-0.1166*G835+6.5273,2.49*10^-3*G835^2-0.1858*G835+9.036)</f>
        <v>9.0359999999999996</v>
      </c>
      <c r="AB835" s="25">
        <f t="shared" ref="AB835:AB898" si="216">((G835/100)^3*INDEX(itoOI,IF(D835="M",0,3)+IF(G835&lt;140,1,IF(G835&lt;=149,2,3)),1)+(G835/100)^2*INDEX(itoOI,IF(D835="M",0,3)+IF(G835&lt;140,1,IF(G835&lt;=149,2,3)),2)+(G835/100)*INDEX(itoOI,IF(D835="M",0,3)+IF(G835&lt;140,1,IF(G835&lt;=149,2,3)),3)+INDEX(itoOI,IF(D835="M",0,3)+IF(G835&lt;140,1,IF(G835&lt;=149,2,3)),4))</f>
        <v>-184.49199999999999</v>
      </c>
      <c r="AD835" s="24">
        <f>IF(D835="M",IF(AG835&lt;78,BMILMS!$D$5*AG835^3+BMILMS!$E$5*AG835^2+BMILMS!$F$5*AG835+BMILMS!$G$5,IF(AG835&lt;150,BMILMS!$D$6*AG835^3+BMILMS!$E$6*AG835^2+BMILMS!$F$6*AG835+BMILMS!$G$6,BMILMS!$D$7*AG835^3+BMILMS!$E$7*AG835^2+BMILMS!$F$7*AG835+BMILMS!$G$7)),IF(AG835&lt;69,BMILMS!$D$9*AG835^3+BMILMS!$E$9*AG835^2+BMILMS!$F$9*AG835+BMILMS!$G$9,IF(AG835&lt;150,BMILMS!$D$10*AG835^3+BMILMS!$E$10*AG835^2+BMILMS!$F$10*AG835+BMILMS!$G$10,BMILMS!$D$11*AG835^3+BMILMS!$E$11*AG835^2+BMILMS!$F$11*AG835+BMILMS!$G$11)))</f>
        <v>0.79584630099999998</v>
      </c>
      <c r="AE835" s="24">
        <f>IF(D835="M",(IF(AG835&lt;2.5,BMILMS!$D$21*AG835^3+BMILMS!$E$21*AG835^2+BMILMS!$F$21*AG835+BMILMS!$G$21,IF(AG835&lt;9.5,BMILMS!$D$22*AG835^3+BMILMS!$E$22*AG835^2+BMILMS!$F$22*AG835+BMILMS!$G$22,IF(AG835&lt;26.75,BMILMS!$D$23*AG835^3+BMILMS!$E$23*AG835^2+BMILMS!$F$23*AG835+BMILMS!$G$23,IF(AG835&lt;90,BMILMS!$D$24*AG835^3+BMILMS!$E$24*AG835^2+BMILMS!$F$24*AG835+BMILMS!$G$24,BMILMS!$D$25*AG835^3+BMILMS!$E$25*AG835^2+BMILMS!$F$25*AG835+BMILMS!$G$25))))),(IF(AG835&lt;2.5,BMILMS!$D$27*AG835^3+BMILMS!$E$27*AG835^2+BMILMS!$F$27*AG835+BMILMS!$G$27,IF(AG835&lt;9.5,BMILMS!$D$28*AG835^3+BMILMS!$E$28*AG835^2+BMILMS!$F$28*AG835+BMILMS!$G$28,IF(AG835&lt;26.75,BMILMS!$D$29*AG835^3+BMILMS!$E$29*AG835^2+BMILMS!$F$29*AG835+BMILMS!$G$29,IF(AG835&lt;90,BMILMS!$D$30*AG835^3+BMILMS!$E$30*AG835^2+BMILMS!$F$30*AG835+BMILMS!$G$30,IF(AG835&lt;150,BMILMS!$D$31*AG835^3+BMILMS!$E$31*AG835^2+BMILMS!$F$31*AG835+BMILMS!$G$31,BMILMS!$D$32*AG835^3+BMILMS!$E$32*AG835^2+BMILMS!$F$32*AG835+BMILMS!$G$32)))))))</f>
        <v>12.568967990000001</v>
      </c>
      <c r="AF835" s="24">
        <f>IF(D835="M",(IF(AG835&lt;90,BMILMS!$D$14*AG835^3+BMILMS!$E$14*AG835^2+BMILMS!$F$14*AG835+BMILMS!$G$14,BMILMS!$D$15*AG835^3+BMILMS!$E$15*AG835^2+BMILMS!$F$15*AG835+BMILMS!$G$15)),(IF(AG835&lt;90,BMILMS!$D$17*AG835^3+BMILMS!$E$17*AG835^2+BMILMS!$F$17*AG835+BMILMS!$G$17,BMILMS!$D$18*AG835^3+BMILMS!$E$18*AG835^2+BMILMS!$F$18*AG835+BMILMS!$G$18)))</f>
        <v>8.8969350000000003E-2</v>
      </c>
      <c r="AG835" s="24">
        <f t="shared" si="208"/>
        <v>0</v>
      </c>
      <c r="AI835" s="38">
        <f>IF(D835="M",WeightSDS!P$5*$AG835^7+WeightSDS!Q$5*$AG835^6+WeightSDS!R$5*$AG835^5+WeightSDS!S$5*$AG835^4+WeightSDS!T$5*$AG835^3+WeightSDS!U$5*$AG835^2+WeightSDS!V$5*$AG835+WeightSDS!W$5,IF($AG835&lt;186,WeightSDS!P$8*$AG835^7+WeightSDS!Q$8*$AG835^6+WeightSDS!R$8*$AG835^5+WeightSDS!S$8*$AG835^4+WeightSDS!T$8*$AG835^3+WeightSDS!U$8*$AG835^2+WeightSDS!V$8*$AG835+WeightSDS!W$8,WeightSDS!$U$9-WeightSDS!$V$9*($AG835-WeightSDS!$W$9)))</f>
        <v>0.75407122999999998</v>
      </c>
      <c r="AJ835" s="24">
        <f>IF(D835="M",IF($AG835&lt;45,WeightSDS!M$23*$AG835^10+WeightSDS!N$23*$AG835^9+WeightSDS!O$23*$AG835^8+WeightSDS!P$23*$AG835^7+WeightSDS!Q$23*$AG835^6+WeightSDS!R$23*$AG835^5+WeightSDS!S$23*$AG835^4+WeightSDS!T$23*$AG835^3+WeightSDS!U$23*$AG835^2+WeightSDS!V$23*$AG835+WeightSDS!W$23,IF($AG835&lt;153,WeightSDS!M$25*$AG835^10+WeightSDS!N$25*$AG835^9+WeightSDS!O$25*$AG835^8+WeightSDS!P$25*$AG835^7+WeightSDS!Q$25*$AG835^6+WeightSDS!R$25*$AG835^5+WeightSDS!S$25*$AG835^4+WeightSDS!T$25*$AG835^3+WeightSDS!U$25*$AG835^2+WeightSDS!V$25*$AG835+WeightSDS!W$25,WeightSDS!M$27+WeightSDS!N$27/(1+EXP(WeightSDS!O$27+WeightSDS!P$27*$AG835)))),IF($AG835&lt;43.8,WeightSDS!M$29*$AG835^10+WeightSDS!N$29*$AG835^9+WeightSDS!O$29*$AG835^8+WeightSDS!P$29*$AG835^7+WeightSDS!Q$29*$AG835^6+WeightSDS!R$29*$AG835^5+WeightSDS!S$29*$AG835^4+WeightSDS!T$29*$AG835^3+WeightSDS!U$29*$AG835^2+WeightSDS!V$29*$AG835+WeightSDS!W$29-0.010431*(1-$AG835/210),IF($AG835&lt;123,WeightSDS!M$30*$AG835^10+WeightSDS!N$30*$AG835^9+WeightSDS!O$30*$AG835^8+WeightSDS!P$30*$AG835^7+WeightSDS!Q$30*$AG835^6+WeightSDS!R$30*$AG835^5+WeightSDS!S$30*$AG835^4+WeightSDS!T$30*$AG835^3+WeightSDS!U$30*$AG835^2+WeightSDS!V$30*$AG835+WeightSDS!W$30-0.010431*(1-1/$AG835),WeightSDS!M$32+WeightSDS!N$32/(1+EXP(WeightSDS!O$32+WeightSDS!P$32*$AG835))-0.010431*(1-$AG835/210))))</f>
        <v>2.9500001032655536</v>
      </c>
      <c r="AK835" s="24">
        <f>IF(D835="M",IF($AG835&lt;162,WeightSDS!P$12*$AG835^7+WeightSDS!Q$12*$AG835^6+WeightSDS!R$12*$AG835^5+WeightSDS!S$12*$AG835^4+WeightSDS!T$12*$AG835^3+WeightSDS!U$12*$AG835^2+WeightSDS!V$12*$AG835+WeightSDS!W$12,WeightSDS!P$14*$AG835^7+WeightSDS!Q$14*$AG835^6+WeightSDS!R$14*$AG835^5+WeightSDS!S$14*$AG835^4+WeightSDS!T$14*$AG835^3+WeightSDS!U$14*$AG835^2+WeightSDS!V$14*$AG835+WeightSDS!W$14),IF($AG835&lt;156,WeightSDS!O$17*$AG835^8+WeightSDS!P$17*$AG835^7+WeightSDS!Q$17*$AG835^6+WeightSDS!R$17*$AG835^5+WeightSDS!S$17*$AG835^4+WeightSDS!T$17*$AG835^3+WeightSDS!U$17*$AG835^2+WeightSDS!V$17*$AG835+WeightSDS!W$17,IF($AG835&lt;186,WeightSDS!$U$18+(WeightSDS!$V$18-WeightSDS!$U$18)/24*($AG835-186)+WeightSDS!$W$18*(-$AG835+186)^2-0.005,WeightSDS!$U$18+(WeightSDS!$V$18-WeightSDS!$U$18)/24*($AG835-186)-0.005)))</f>
        <v>0.14604529399999999</v>
      </c>
    </row>
    <row r="836" spans="1:37">
      <c r="A836" s="4"/>
      <c r="B836" s="21"/>
      <c r="C836" s="21"/>
      <c r="D836" s="21"/>
      <c r="E836" s="22"/>
      <c r="F836" s="22"/>
      <c r="G836" s="23"/>
      <c r="H836" s="23"/>
      <c r="I836" s="8" t="str">
        <f t="shared" si="210"/>
        <v/>
      </c>
      <c r="J836" s="2" t="str">
        <f t="shared" ref="J836:J899" si="217">IF(COUNTA(D836,E836,F836,G836,H836)=5,IF(Q836&lt;1,"       *",IF(Q836&gt;=6,"       *",IF(G836&gt;=120,"       *",IF(G836&lt;70,"       *",(H836-AA836)/AA836*100)))),"")</f>
        <v/>
      </c>
      <c r="K836" s="2" t="str">
        <f t="shared" si="211"/>
        <v/>
      </c>
      <c r="L836" s="2" t="str">
        <f t="shared" ref="L836:L899" si="218">IF(COUNTA(D836,E836,F836,G836,H836)=5,IF(G836&gt;=IF(D836="M",181,174),"*",IF(G836&lt;101,"       *",IF(Q836&lt;6,"       *",IF(Q836&gt;=17.583,"*",(H836-AB836)/AB836*100)))),"")</f>
        <v/>
      </c>
      <c r="M836" s="2" t="str">
        <f t="shared" si="207"/>
        <v/>
      </c>
      <c r="N836" s="2" t="str">
        <f t="shared" ref="N836:N899" si="219">IF(COUNTA(D836,E836,F836,G836,H836)=5,IF(Q836&gt;17.583,"   *",NORMSDIST(((M836/AE836)^(AD836)-1)/AD836/AF836)*100),"")</f>
        <v/>
      </c>
      <c r="O836" s="8" t="str">
        <f t="shared" ref="O836:O899" si="220">IF(COUNTA(D836,E836,F836,G836,H836)=5,IF(Q836&gt;17.583,"   *",((M836/AE836)^(AD836)-1)/AD836/AF836),"")</f>
        <v/>
      </c>
      <c r="P836" s="8" t="str">
        <f t="shared" ref="P836:P899" si="221">IF(COUNTA(D836,E836,F836,G836,H836)=5,IF(Q836&gt;17.583,"   *",((H836/AJ836)^(AI836)-1)/AI836/AK836),"")</f>
        <v/>
      </c>
      <c r="Q836" s="40" t="str">
        <f t="shared" si="212"/>
        <v/>
      </c>
      <c r="R836" s="48" t="str">
        <f t="shared" ref="R836:R899" si="222">IF(COUNTA(D836,E836,F836,G836,H836)=5,U836&amp;"歳"&amp;V836&amp;"か月","")</f>
        <v/>
      </c>
      <c r="S836" s="8"/>
      <c r="U836" s="35">
        <f t="shared" si="213"/>
        <v>0</v>
      </c>
      <c r="V836" s="24">
        <f t="shared" si="214"/>
        <v>0</v>
      </c>
      <c r="W836" s="41">
        <f t="shared" si="209"/>
        <v>0</v>
      </c>
      <c r="X836" s="31"/>
      <c r="Y836" s="31"/>
      <c r="Z836" s="31"/>
      <c r="AA836" s="25">
        <f t="shared" si="215"/>
        <v>9.0359999999999996</v>
      </c>
      <c r="AB836" s="25">
        <f t="shared" si="216"/>
        <v>-184.49199999999999</v>
      </c>
      <c r="AD836" s="24">
        <f>IF(D836="M",IF(AG836&lt;78,BMILMS!$D$5*AG836^3+BMILMS!$E$5*AG836^2+BMILMS!$F$5*AG836+BMILMS!$G$5,IF(AG836&lt;150,BMILMS!$D$6*AG836^3+BMILMS!$E$6*AG836^2+BMILMS!$F$6*AG836+BMILMS!$G$6,BMILMS!$D$7*AG836^3+BMILMS!$E$7*AG836^2+BMILMS!$F$7*AG836+BMILMS!$G$7)),IF(AG836&lt;69,BMILMS!$D$9*AG836^3+BMILMS!$E$9*AG836^2+BMILMS!$F$9*AG836+BMILMS!$G$9,IF(AG836&lt;150,BMILMS!$D$10*AG836^3+BMILMS!$E$10*AG836^2+BMILMS!$F$10*AG836+BMILMS!$G$10,BMILMS!$D$11*AG836^3+BMILMS!$E$11*AG836^2+BMILMS!$F$11*AG836+BMILMS!$G$11)))</f>
        <v>0.79584630099999998</v>
      </c>
      <c r="AE836" s="24">
        <f>IF(D836="M",(IF(AG836&lt;2.5,BMILMS!$D$21*AG836^3+BMILMS!$E$21*AG836^2+BMILMS!$F$21*AG836+BMILMS!$G$21,IF(AG836&lt;9.5,BMILMS!$D$22*AG836^3+BMILMS!$E$22*AG836^2+BMILMS!$F$22*AG836+BMILMS!$G$22,IF(AG836&lt;26.75,BMILMS!$D$23*AG836^3+BMILMS!$E$23*AG836^2+BMILMS!$F$23*AG836+BMILMS!$G$23,IF(AG836&lt;90,BMILMS!$D$24*AG836^3+BMILMS!$E$24*AG836^2+BMILMS!$F$24*AG836+BMILMS!$G$24,BMILMS!$D$25*AG836^3+BMILMS!$E$25*AG836^2+BMILMS!$F$25*AG836+BMILMS!$G$25))))),(IF(AG836&lt;2.5,BMILMS!$D$27*AG836^3+BMILMS!$E$27*AG836^2+BMILMS!$F$27*AG836+BMILMS!$G$27,IF(AG836&lt;9.5,BMILMS!$D$28*AG836^3+BMILMS!$E$28*AG836^2+BMILMS!$F$28*AG836+BMILMS!$G$28,IF(AG836&lt;26.75,BMILMS!$D$29*AG836^3+BMILMS!$E$29*AG836^2+BMILMS!$F$29*AG836+BMILMS!$G$29,IF(AG836&lt;90,BMILMS!$D$30*AG836^3+BMILMS!$E$30*AG836^2+BMILMS!$F$30*AG836+BMILMS!$G$30,IF(AG836&lt;150,BMILMS!$D$31*AG836^3+BMILMS!$E$31*AG836^2+BMILMS!$F$31*AG836+BMILMS!$G$31,BMILMS!$D$32*AG836^3+BMILMS!$E$32*AG836^2+BMILMS!$F$32*AG836+BMILMS!$G$32)))))))</f>
        <v>12.568967990000001</v>
      </c>
      <c r="AF836" s="24">
        <f>IF(D836="M",(IF(AG836&lt;90,BMILMS!$D$14*AG836^3+BMILMS!$E$14*AG836^2+BMILMS!$F$14*AG836+BMILMS!$G$14,BMILMS!$D$15*AG836^3+BMILMS!$E$15*AG836^2+BMILMS!$F$15*AG836+BMILMS!$G$15)),(IF(AG836&lt;90,BMILMS!$D$17*AG836^3+BMILMS!$E$17*AG836^2+BMILMS!$F$17*AG836+BMILMS!$G$17,BMILMS!$D$18*AG836^3+BMILMS!$E$18*AG836^2+BMILMS!$F$18*AG836+BMILMS!$G$18)))</f>
        <v>8.8969350000000003E-2</v>
      </c>
      <c r="AG836" s="24">
        <f t="shared" si="208"/>
        <v>0</v>
      </c>
      <c r="AI836" s="38">
        <f>IF(D836="M",WeightSDS!P$5*$AG836^7+WeightSDS!Q$5*$AG836^6+WeightSDS!R$5*$AG836^5+WeightSDS!S$5*$AG836^4+WeightSDS!T$5*$AG836^3+WeightSDS!U$5*$AG836^2+WeightSDS!V$5*$AG836+WeightSDS!W$5,IF($AG836&lt;186,WeightSDS!P$8*$AG836^7+WeightSDS!Q$8*$AG836^6+WeightSDS!R$8*$AG836^5+WeightSDS!S$8*$AG836^4+WeightSDS!T$8*$AG836^3+WeightSDS!U$8*$AG836^2+WeightSDS!V$8*$AG836+WeightSDS!W$8,WeightSDS!$U$9-WeightSDS!$V$9*($AG836-WeightSDS!$W$9)))</f>
        <v>0.75407122999999998</v>
      </c>
      <c r="AJ836" s="24">
        <f>IF(D836="M",IF($AG836&lt;45,WeightSDS!M$23*$AG836^10+WeightSDS!N$23*$AG836^9+WeightSDS!O$23*$AG836^8+WeightSDS!P$23*$AG836^7+WeightSDS!Q$23*$AG836^6+WeightSDS!R$23*$AG836^5+WeightSDS!S$23*$AG836^4+WeightSDS!T$23*$AG836^3+WeightSDS!U$23*$AG836^2+WeightSDS!V$23*$AG836+WeightSDS!W$23,IF($AG836&lt;153,WeightSDS!M$25*$AG836^10+WeightSDS!N$25*$AG836^9+WeightSDS!O$25*$AG836^8+WeightSDS!P$25*$AG836^7+WeightSDS!Q$25*$AG836^6+WeightSDS!R$25*$AG836^5+WeightSDS!S$25*$AG836^4+WeightSDS!T$25*$AG836^3+WeightSDS!U$25*$AG836^2+WeightSDS!V$25*$AG836+WeightSDS!W$25,WeightSDS!M$27+WeightSDS!N$27/(1+EXP(WeightSDS!O$27+WeightSDS!P$27*$AG836)))),IF($AG836&lt;43.8,WeightSDS!M$29*$AG836^10+WeightSDS!N$29*$AG836^9+WeightSDS!O$29*$AG836^8+WeightSDS!P$29*$AG836^7+WeightSDS!Q$29*$AG836^6+WeightSDS!R$29*$AG836^5+WeightSDS!S$29*$AG836^4+WeightSDS!T$29*$AG836^3+WeightSDS!U$29*$AG836^2+WeightSDS!V$29*$AG836+WeightSDS!W$29-0.010431*(1-$AG836/210),IF($AG836&lt;123,WeightSDS!M$30*$AG836^10+WeightSDS!N$30*$AG836^9+WeightSDS!O$30*$AG836^8+WeightSDS!P$30*$AG836^7+WeightSDS!Q$30*$AG836^6+WeightSDS!R$30*$AG836^5+WeightSDS!S$30*$AG836^4+WeightSDS!T$30*$AG836^3+WeightSDS!U$30*$AG836^2+WeightSDS!V$30*$AG836+WeightSDS!W$30-0.010431*(1-1/$AG836),WeightSDS!M$32+WeightSDS!N$32/(1+EXP(WeightSDS!O$32+WeightSDS!P$32*$AG836))-0.010431*(1-$AG836/210))))</f>
        <v>2.9500001032655536</v>
      </c>
      <c r="AK836" s="24">
        <f>IF(D836="M",IF($AG836&lt;162,WeightSDS!P$12*$AG836^7+WeightSDS!Q$12*$AG836^6+WeightSDS!R$12*$AG836^5+WeightSDS!S$12*$AG836^4+WeightSDS!T$12*$AG836^3+WeightSDS!U$12*$AG836^2+WeightSDS!V$12*$AG836+WeightSDS!W$12,WeightSDS!P$14*$AG836^7+WeightSDS!Q$14*$AG836^6+WeightSDS!R$14*$AG836^5+WeightSDS!S$14*$AG836^4+WeightSDS!T$14*$AG836^3+WeightSDS!U$14*$AG836^2+WeightSDS!V$14*$AG836+WeightSDS!W$14),IF($AG836&lt;156,WeightSDS!O$17*$AG836^8+WeightSDS!P$17*$AG836^7+WeightSDS!Q$17*$AG836^6+WeightSDS!R$17*$AG836^5+WeightSDS!S$17*$AG836^4+WeightSDS!T$17*$AG836^3+WeightSDS!U$17*$AG836^2+WeightSDS!V$17*$AG836+WeightSDS!W$17,IF($AG836&lt;186,WeightSDS!$U$18+(WeightSDS!$V$18-WeightSDS!$U$18)/24*($AG836-186)+WeightSDS!$W$18*(-$AG836+186)^2-0.005,WeightSDS!$U$18+(WeightSDS!$V$18-WeightSDS!$U$18)/24*($AG836-186)-0.005)))</f>
        <v>0.14604529399999999</v>
      </c>
    </row>
    <row r="837" spans="1:37">
      <c r="A837" s="4"/>
      <c r="B837" s="21"/>
      <c r="C837" s="21"/>
      <c r="D837" s="21"/>
      <c r="E837" s="22"/>
      <c r="F837" s="22"/>
      <c r="G837" s="23"/>
      <c r="H837" s="23"/>
      <c r="I837" s="8" t="str">
        <f t="shared" si="210"/>
        <v/>
      </c>
      <c r="J837" s="2" t="str">
        <f t="shared" si="217"/>
        <v/>
      </c>
      <c r="K837" s="2" t="str">
        <f t="shared" si="211"/>
        <v/>
      </c>
      <c r="L837" s="2" t="str">
        <f t="shared" si="218"/>
        <v/>
      </c>
      <c r="M837" s="2" t="str">
        <f t="shared" si="207"/>
        <v/>
      </c>
      <c r="N837" s="2" t="str">
        <f t="shared" si="219"/>
        <v/>
      </c>
      <c r="O837" s="8" t="str">
        <f t="shared" si="220"/>
        <v/>
      </c>
      <c r="P837" s="8" t="str">
        <f t="shared" si="221"/>
        <v/>
      </c>
      <c r="Q837" s="40" t="str">
        <f t="shared" si="212"/>
        <v/>
      </c>
      <c r="R837" s="48" t="str">
        <f t="shared" si="222"/>
        <v/>
      </c>
      <c r="S837" s="8"/>
      <c r="U837" s="35">
        <f t="shared" si="213"/>
        <v>0</v>
      </c>
      <c r="V837" s="24">
        <f t="shared" si="214"/>
        <v>0</v>
      </c>
      <c r="W837" s="41">
        <f t="shared" si="209"/>
        <v>0</v>
      </c>
      <c r="X837" s="31"/>
      <c r="Y837" s="31"/>
      <c r="Z837" s="31"/>
      <c r="AA837" s="25">
        <f t="shared" si="215"/>
        <v>9.0359999999999996</v>
      </c>
      <c r="AB837" s="25">
        <f t="shared" si="216"/>
        <v>-184.49199999999999</v>
      </c>
      <c r="AD837" s="24">
        <f>IF(D837="M",IF(AG837&lt;78,BMILMS!$D$5*AG837^3+BMILMS!$E$5*AG837^2+BMILMS!$F$5*AG837+BMILMS!$G$5,IF(AG837&lt;150,BMILMS!$D$6*AG837^3+BMILMS!$E$6*AG837^2+BMILMS!$F$6*AG837+BMILMS!$G$6,BMILMS!$D$7*AG837^3+BMILMS!$E$7*AG837^2+BMILMS!$F$7*AG837+BMILMS!$G$7)),IF(AG837&lt;69,BMILMS!$D$9*AG837^3+BMILMS!$E$9*AG837^2+BMILMS!$F$9*AG837+BMILMS!$G$9,IF(AG837&lt;150,BMILMS!$D$10*AG837^3+BMILMS!$E$10*AG837^2+BMILMS!$F$10*AG837+BMILMS!$G$10,BMILMS!$D$11*AG837^3+BMILMS!$E$11*AG837^2+BMILMS!$F$11*AG837+BMILMS!$G$11)))</f>
        <v>0.79584630099999998</v>
      </c>
      <c r="AE837" s="24">
        <f>IF(D837="M",(IF(AG837&lt;2.5,BMILMS!$D$21*AG837^3+BMILMS!$E$21*AG837^2+BMILMS!$F$21*AG837+BMILMS!$G$21,IF(AG837&lt;9.5,BMILMS!$D$22*AG837^3+BMILMS!$E$22*AG837^2+BMILMS!$F$22*AG837+BMILMS!$G$22,IF(AG837&lt;26.75,BMILMS!$D$23*AG837^3+BMILMS!$E$23*AG837^2+BMILMS!$F$23*AG837+BMILMS!$G$23,IF(AG837&lt;90,BMILMS!$D$24*AG837^3+BMILMS!$E$24*AG837^2+BMILMS!$F$24*AG837+BMILMS!$G$24,BMILMS!$D$25*AG837^3+BMILMS!$E$25*AG837^2+BMILMS!$F$25*AG837+BMILMS!$G$25))))),(IF(AG837&lt;2.5,BMILMS!$D$27*AG837^3+BMILMS!$E$27*AG837^2+BMILMS!$F$27*AG837+BMILMS!$G$27,IF(AG837&lt;9.5,BMILMS!$D$28*AG837^3+BMILMS!$E$28*AG837^2+BMILMS!$F$28*AG837+BMILMS!$G$28,IF(AG837&lt;26.75,BMILMS!$D$29*AG837^3+BMILMS!$E$29*AG837^2+BMILMS!$F$29*AG837+BMILMS!$G$29,IF(AG837&lt;90,BMILMS!$D$30*AG837^3+BMILMS!$E$30*AG837^2+BMILMS!$F$30*AG837+BMILMS!$G$30,IF(AG837&lt;150,BMILMS!$D$31*AG837^3+BMILMS!$E$31*AG837^2+BMILMS!$F$31*AG837+BMILMS!$G$31,BMILMS!$D$32*AG837^3+BMILMS!$E$32*AG837^2+BMILMS!$F$32*AG837+BMILMS!$G$32)))))))</f>
        <v>12.568967990000001</v>
      </c>
      <c r="AF837" s="24">
        <f>IF(D837="M",(IF(AG837&lt;90,BMILMS!$D$14*AG837^3+BMILMS!$E$14*AG837^2+BMILMS!$F$14*AG837+BMILMS!$G$14,BMILMS!$D$15*AG837^3+BMILMS!$E$15*AG837^2+BMILMS!$F$15*AG837+BMILMS!$G$15)),(IF(AG837&lt;90,BMILMS!$D$17*AG837^3+BMILMS!$E$17*AG837^2+BMILMS!$F$17*AG837+BMILMS!$G$17,BMILMS!$D$18*AG837^3+BMILMS!$E$18*AG837^2+BMILMS!$F$18*AG837+BMILMS!$G$18)))</f>
        <v>8.8969350000000003E-2</v>
      </c>
      <c r="AG837" s="24">
        <f t="shared" si="208"/>
        <v>0</v>
      </c>
      <c r="AI837" s="38">
        <f>IF(D837="M",WeightSDS!P$5*$AG837^7+WeightSDS!Q$5*$AG837^6+WeightSDS!R$5*$AG837^5+WeightSDS!S$5*$AG837^4+WeightSDS!T$5*$AG837^3+WeightSDS!U$5*$AG837^2+WeightSDS!V$5*$AG837+WeightSDS!W$5,IF($AG837&lt;186,WeightSDS!P$8*$AG837^7+WeightSDS!Q$8*$AG837^6+WeightSDS!R$8*$AG837^5+WeightSDS!S$8*$AG837^4+WeightSDS!T$8*$AG837^3+WeightSDS!U$8*$AG837^2+WeightSDS!V$8*$AG837+WeightSDS!W$8,WeightSDS!$U$9-WeightSDS!$V$9*($AG837-WeightSDS!$W$9)))</f>
        <v>0.75407122999999998</v>
      </c>
      <c r="AJ837" s="24">
        <f>IF(D837="M",IF($AG837&lt;45,WeightSDS!M$23*$AG837^10+WeightSDS!N$23*$AG837^9+WeightSDS!O$23*$AG837^8+WeightSDS!P$23*$AG837^7+WeightSDS!Q$23*$AG837^6+WeightSDS!R$23*$AG837^5+WeightSDS!S$23*$AG837^4+WeightSDS!T$23*$AG837^3+WeightSDS!U$23*$AG837^2+WeightSDS!V$23*$AG837+WeightSDS!W$23,IF($AG837&lt;153,WeightSDS!M$25*$AG837^10+WeightSDS!N$25*$AG837^9+WeightSDS!O$25*$AG837^8+WeightSDS!P$25*$AG837^7+WeightSDS!Q$25*$AG837^6+WeightSDS!R$25*$AG837^5+WeightSDS!S$25*$AG837^4+WeightSDS!T$25*$AG837^3+WeightSDS!U$25*$AG837^2+WeightSDS!V$25*$AG837+WeightSDS!W$25,WeightSDS!M$27+WeightSDS!N$27/(1+EXP(WeightSDS!O$27+WeightSDS!P$27*$AG837)))),IF($AG837&lt;43.8,WeightSDS!M$29*$AG837^10+WeightSDS!N$29*$AG837^9+WeightSDS!O$29*$AG837^8+WeightSDS!P$29*$AG837^7+WeightSDS!Q$29*$AG837^6+WeightSDS!R$29*$AG837^5+WeightSDS!S$29*$AG837^4+WeightSDS!T$29*$AG837^3+WeightSDS!U$29*$AG837^2+WeightSDS!V$29*$AG837+WeightSDS!W$29-0.010431*(1-$AG837/210),IF($AG837&lt;123,WeightSDS!M$30*$AG837^10+WeightSDS!N$30*$AG837^9+WeightSDS!O$30*$AG837^8+WeightSDS!P$30*$AG837^7+WeightSDS!Q$30*$AG837^6+WeightSDS!R$30*$AG837^5+WeightSDS!S$30*$AG837^4+WeightSDS!T$30*$AG837^3+WeightSDS!U$30*$AG837^2+WeightSDS!V$30*$AG837+WeightSDS!W$30-0.010431*(1-1/$AG837),WeightSDS!M$32+WeightSDS!N$32/(1+EXP(WeightSDS!O$32+WeightSDS!P$32*$AG837))-0.010431*(1-$AG837/210))))</f>
        <v>2.9500001032655536</v>
      </c>
      <c r="AK837" s="24">
        <f>IF(D837="M",IF($AG837&lt;162,WeightSDS!P$12*$AG837^7+WeightSDS!Q$12*$AG837^6+WeightSDS!R$12*$AG837^5+WeightSDS!S$12*$AG837^4+WeightSDS!T$12*$AG837^3+WeightSDS!U$12*$AG837^2+WeightSDS!V$12*$AG837+WeightSDS!W$12,WeightSDS!P$14*$AG837^7+WeightSDS!Q$14*$AG837^6+WeightSDS!R$14*$AG837^5+WeightSDS!S$14*$AG837^4+WeightSDS!T$14*$AG837^3+WeightSDS!U$14*$AG837^2+WeightSDS!V$14*$AG837+WeightSDS!W$14),IF($AG837&lt;156,WeightSDS!O$17*$AG837^8+WeightSDS!P$17*$AG837^7+WeightSDS!Q$17*$AG837^6+WeightSDS!R$17*$AG837^5+WeightSDS!S$17*$AG837^4+WeightSDS!T$17*$AG837^3+WeightSDS!U$17*$AG837^2+WeightSDS!V$17*$AG837+WeightSDS!W$17,IF($AG837&lt;186,WeightSDS!$U$18+(WeightSDS!$V$18-WeightSDS!$U$18)/24*($AG837-186)+WeightSDS!$W$18*(-$AG837+186)^2-0.005,WeightSDS!$U$18+(WeightSDS!$V$18-WeightSDS!$U$18)/24*($AG837-186)-0.005)))</f>
        <v>0.14604529399999999</v>
      </c>
    </row>
    <row r="838" spans="1:37">
      <c r="A838" s="4"/>
      <c r="B838" s="21"/>
      <c r="C838" s="21"/>
      <c r="D838" s="21"/>
      <c r="E838" s="22"/>
      <c r="F838" s="22"/>
      <c r="G838" s="23"/>
      <c r="H838" s="23"/>
      <c r="I838" s="8" t="str">
        <f t="shared" si="210"/>
        <v/>
      </c>
      <c r="J838" s="2" t="str">
        <f t="shared" si="217"/>
        <v/>
      </c>
      <c r="K838" s="2" t="str">
        <f t="shared" si="211"/>
        <v/>
      </c>
      <c r="L838" s="2" t="str">
        <f t="shared" si="218"/>
        <v/>
      </c>
      <c r="M838" s="2" t="str">
        <f t="shared" si="207"/>
        <v/>
      </c>
      <c r="N838" s="2" t="str">
        <f t="shared" si="219"/>
        <v/>
      </c>
      <c r="O838" s="8" t="str">
        <f t="shared" si="220"/>
        <v/>
      </c>
      <c r="P838" s="8" t="str">
        <f t="shared" si="221"/>
        <v/>
      </c>
      <c r="Q838" s="40" t="str">
        <f t="shared" si="212"/>
        <v/>
      </c>
      <c r="R838" s="48" t="str">
        <f t="shared" si="222"/>
        <v/>
      </c>
      <c r="S838" s="8"/>
      <c r="U838" s="35">
        <f t="shared" si="213"/>
        <v>0</v>
      </c>
      <c r="V838" s="24">
        <f t="shared" si="214"/>
        <v>0</v>
      </c>
      <c r="W838" s="41">
        <f t="shared" si="209"/>
        <v>0</v>
      </c>
      <c r="X838" s="31"/>
      <c r="Y838" s="31"/>
      <c r="Z838" s="31"/>
      <c r="AA838" s="25">
        <f t="shared" si="215"/>
        <v>9.0359999999999996</v>
      </c>
      <c r="AB838" s="25">
        <f t="shared" si="216"/>
        <v>-184.49199999999999</v>
      </c>
      <c r="AD838" s="24">
        <f>IF(D838="M",IF(AG838&lt;78,BMILMS!$D$5*AG838^3+BMILMS!$E$5*AG838^2+BMILMS!$F$5*AG838+BMILMS!$G$5,IF(AG838&lt;150,BMILMS!$D$6*AG838^3+BMILMS!$E$6*AG838^2+BMILMS!$F$6*AG838+BMILMS!$G$6,BMILMS!$D$7*AG838^3+BMILMS!$E$7*AG838^2+BMILMS!$F$7*AG838+BMILMS!$G$7)),IF(AG838&lt;69,BMILMS!$D$9*AG838^3+BMILMS!$E$9*AG838^2+BMILMS!$F$9*AG838+BMILMS!$G$9,IF(AG838&lt;150,BMILMS!$D$10*AG838^3+BMILMS!$E$10*AG838^2+BMILMS!$F$10*AG838+BMILMS!$G$10,BMILMS!$D$11*AG838^3+BMILMS!$E$11*AG838^2+BMILMS!$F$11*AG838+BMILMS!$G$11)))</f>
        <v>0.79584630099999998</v>
      </c>
      <c r="AE838" s="24">
        <f>IF(D838="M",(IF(AG838&lt;2.5,BMILMS!$D$21*AG838^3+BMILMS!$E$21*AG838^2+BMILMS!$F$21*AG838+BMILMS!$G$21,IF(AG838&lt;9.5,BMILMS!$D$22*AG838^3+BMILMS!$E$22*AG838^2+BMILMS!$F$22*AG838+BMILMS!$G$22,IF(AG838&lt;26.75,BMILMS!$D$23*AG838^3+BMILMS!$E$23*AG838^2+BMILMS!$F$23*AG838+BMILMS!$G$23,IF(AG838&lt;90,BMILMS!$D$24*AG838^3+BMILMS!$E$24*AG838^2+BMILMS!$F$24*AG838+BMILMS!$G$24,BMILMS!$D$25*AG838^3+BMILMS!$E$25*AG838^2+BMILMS!$F$25*AG838+BMILMS!$G$25))))),(IF(AG838&lt;2.5,BMILMS!$D$27*AG838^3+BMILMS!$E$27*AG838^2+BMILMS!$F$27*AG838+BMILMS!$G$27,IF(AG838&lt;9.5,BMILMS!$D$28*AG838^3+BMILMS!$E$28*AG838^2+BMILMS!$F$28*AG838+BMILMS!$G$28,IF(AG838&lt;26.75,BMILMS!$D$29*AG838^3+BMILMS!$E$29*AG838^2+BMILMS!$F$29*AG838+BMILMS!$G$29,IF(AG838&lt;90,BMILMS!$D$30*AG838^3+BMILMS!$E$30*AG838^2+BMILMS!$F$30*AG838+BMILMS!$G$30,IF(AG838&lt;150,BMILMS!$D$31*AG838^3+BMILMS!$E$31*AG838^2+BMILMS!$F$31*AG838+BMILMS!$G$31,BMILMS!$D$32*AG838^3+BMILMS!$E$32*AG838^2+BMILMS!$F$32*AG838+BMILMS!$G$32)))))))</f>
        <v>12.568967990000001</v>
      </c>
      <c r="AF838" s="24">
        <f>IF(D838="M",(IF(AG838&lt;90,BMILMS!$D$14*AG838^3+BMILMS!$E$14*AG838^2+BMILMS!$F$14*AG838+BMILMS!$G$14,BMILMS!$D$15*AG838^3+BMILMS!$E$15*AG838^2+BMILMS!$F$15*AG838+BMILMS!$G$15)),(IF(AG838&lt;90,BMILMS!$D$17*AG838^3+BMILMS!$E$17*AG838^2+BMILMS!$F$17*AG838+BMILMS!$G$17,BMILMS!$D$18*AG838^3+BMILMS!$E$18*AG838^2+BMILMS!$F$18*AG838+BMILMS!$G$18)))</f>
        <v>8.8969350000000003E-2</v>
      </c>
      <c r="AG838" s="24">
        <f t="shared" si="208"/>
        <v>0</v>
      </c>
      <c r="AI838" s="38">
        <f>IF(D838="M",WeightSDS!P$5*$AG838^7+WeightSDS!Q$5*$AG838^6+WeightSDS!R$5*$AG838^5+WeightSDS!S$5*$AG838^4+WeightSDS!T$5*$AG838^3+WeightSDS!U$5*$AG838^2+WeightSDS!V$5*$AG838+WeightSDS!W$5,IF($AG838&lt;186,WeightSDS!P$8*$AG838^7+WeightSDS!Q$8*$AG838^6+WeightSDS!R$8*$AG838^5+WeightSDS!S$8*$AG838^4+WeightSDS!T$8*$AG838^3+WeightSDS!U$8*$AG838^2+WeightSDS!V$8*$AG838+WeightSDS!W$8,WeightSDS!$U$9-WeightSDS!$V$9*($AG838-WeightSDS!$W$9)))</f>
        <v>0.75407122999999998</v>
      </c>
      <c r="AJ838" s="24">
        <f>IF(D838="M",IF($AG838&lt;45,WeightSDS!M$23*$AG838^10+WeightSDS!N$23*$AG838^9+WeightSDS!O$23*$AG838^8+WeightSDS!P$23*$AG838^7+WeightSDS!Q$23*$AG838^6+WeightSDS!R$23*$AG838^5+WeightSDS!S$23*$AG838^4+WeightSDS!T$23*$AG838^3+WeightSDS!U$23*$AG838^2+WeightSDS!V$23*$AG838+WeightSDS!W$23,IF($AG838&lt;153,WeightSDS!M$25*$AG838^10+WeightSDS!N$25*$AG838^9+WeightSDS!O$25*$AG838^8+WeightSDS!P$25*$AG838^7+WeightSDS!Q$25*$AG838^6+WeightSDS!R$25*$AG838^5+WeightSDS!S$25*$AG838^4+WeightSDS!T$25*$AG838^3+WeightSDS!U$25*$AG838^2+WeightSDS!V$25*$AG838+WeightSDS!W$25,WeightSDS!M$27+WeightSDS!N$27/(1+EXP(WeightSDS!O$27+WeightSDS!P$27*$AG838)))),IF($AG838&lt;43.8,WeightSDS!M$29*$AG838^10+WeightSDS!N$29*$AG838^9+WeightSDS!O$29*$AG838^8+WeightSDS!P$29*$AG838^7+WeightSDS!Q$29*$AG838^6+WeightSDS!R$29*$AG838^5+WeightSDS!S$29*$AG838^4+WeightSDS!T$29*$AG838^3+WeightSDS!U$29*$AG838^2+WeightSDS!V$29*$AG838+WeightSDS!W$29-0.010431*(1-$AG838/210),IF($AG838&lt;123,WeightSDS!M$30*$AG838^10+WeightSDS!N$30*$AG838^9+WeightSDS!O$30*$AG838^8+WeightSDS!P$30*$AG838^7+WeightSDS!Q$30*$AG838^6+WeightSDS!R$30*$AG838^5+WeightSDS!S$30*$AG838^4+WeightSDS!T$30*$AG838^3+WeightSDS!U$30*$AG838^2+WeightSDS!V$30*$AG838+WeightSDS!W$30-0.010431*(1-1/$AG838),WeightSDS!M$32+WeightSDS!N$32/(1+EXP(WeightSDS!O$32+WeightSDS!P$32*$AG838))-0.010431*(1-$AG838/210))))</f>
        <v>2.9500001032655536</v>
      </c>
      <c r="AK838" s="24">
        <f>IF(D838="M",IF($AG838&lt;162,WeightSDS!P$12*$AG838^7+WeightSDS!Q$12*$AG838^6+WeightSDS!R$12*$AG838^5+WeightSDS!S$12*$AG838^4+WeightSDS!T$12*$AG838^3+WeightSDS!U$12*$AG838^2+WeightSDS!V$12*$AG838+WeightSDS!W$12,WeightSDS!P$14*$AG838^7+WeightSDS!Q$14*$AG838^6+WeightSDS!R$14*$AG838^5+WeightSDS!S$14*$AG838^4+WeightSDS!T$14*$AG838^3+WeightSDS!U$14*$AG838^2+WeightSDS!V$14*$AG838+WeightSDS!W$14),IF($AG838&lt;156,WeightSDS!O$17*$AG838^8+WeightSDS!P$17*$AG838^7+WeightSDS!Q$17*$AG838^6+WeightSDS!R$17*$AG838^5+WeightSDS!S$17*$AG838^4+WeightSDS!T$17*$AG838^3+WeightSDS!U$17*$AG838^2+WeightSDS!V$17*$AG838+WeightSDS!W$17,IF($AG838&lt;186,WeightSDS!$U$18+(WeightSDS!$V$18-WeightSDS!$U$18)/24*($AG838-186)+WeightSDS!$W$18*(-$AG838+186)^2-0.005,WeightSDS!$U$18+(WeightSDS!$V$18-WeightSDS!$U$18)/24*($AG838-186)-0.005)))</f>
        <v>0.14604529399999999</v>
      </c>
    </row>
    <row r="839" spans="1:37">
      <c r="A839" s="4"/>
      <c r="B839" s="21"/>
      <c r="C839" s="21"/>
      <c r="D839" s="21"/>
      <c r="E839" s="22"/>
      <c r="F839" s="22"/>
      <c r="G839" s="23"/>
      <c r="H839" s="23"/>
      <c r="I839" s="8" t="str">
        <f t="shared" si="210"/>
        <v/>
      </c>
      <c r="J839" s="2" t="str">
        <f t="shared" si="217"/>
        <v/>
      </c>
      <c r="K839" s="2" t="str">
        <f t="shared" si="211"/>
        <v/>
      </c>
      <c r="L839" s="2" t="str">
        <f t="shared" si="218"/>
        <v/>
      </c>
      <c r="M839" s="2" t="str">
        <f t="shared" si="207"/>
        <v/>
      </c>
      <c r="N839" s="2" t="str">
        <f t="shared" si="219"/>
        <v/>
      </c>
      <c r="O839" s="8" t="str">
        <f t="shared" si="220"/>
        <v/>
      </c>
      <c r="P839" s="8" t="str">
        <f t="shared" si="221"/>
        <v/>
      </c>
      <c r="Q839" s="40" t="str">
        <f t="shared" si="212"/>
        <v/>
      </c>
      <c r="R839" s="48" t="str">
        <f t="shared" si="222"/>
        <v/>
      </c>
      <c r="S839" s="8"/>
      <c r="U839" s="35">
        <f t="shared" si="213"/>
        <v>0</v>
      </c>
      <c r="V839" s="24">
        <f t="shared" si="214"/>
        <v>0</v>
      </c>
      <c r="W839" s="41">
        <f t="shared" si="209"/>
        <v>0</v>
      </c>
      <c r="X839" s="31"/>
      <c r="Y839" s="31"/>
      <c r="Z839" s="31"/>
      <c r="AA839" s="25">
        <f t="shared" si="215"/>
        <v>9.0359999999999996</v>
      </c>
      <c r="AB839" s="25">
        <f t="shared" si="216"/>
        <v>-184.49199999999999</v>
      </c>
      <c r="AD839" s="24">
        <f>IF(D839="M",IF(AG839&lt;78,BMILMS!$D$5*AG839^3+BMILMS!$E$5*AG839^2+BMILMS!$F$5*AG839+BMILMS!$G$5,IF(AG839&lt;150,BMILMS!$D$6*AG839^3+BMILMS!$E$6*AG839^2+BMILMS!$F$6*AG839+BMILMS!$G$6,BMILMS!$D$7*AG839^3+BMILMS!$E$7*AG839^2+BMILMS!$F$7*AG839+BMILMS!$G$7)),IF(AG839&lt;69,BMILMS!$D$9*AG839^3+BMILMS!$E$9*AG839^2+BMILMS!$F$9*AG839+BMILMS!$G$9,IF(AG839&lt;150,BMILMS!$D$10*AG839^3+BMILMS!$E$10*AG839^2+BMILMS!$F$10*AG839+BMILMS!$G$10,BMILMS!$D$11*AG839^3+BMILMS!$E$11*AG839^2+BMILMS!$F$11*AG839+BMILMS!$G$11)))</f>
        <v>0.79584630099999998</v>
      </c>
      <c r="AE839" s="24">
        <f>IF(D839="M",(IF(AG839&lt;2.5,BMILMS!$D$21*AG839^3+BMILMS!$E$21*AG839^2+BMILMS!$F$21*AG839+BMILMS!$G$21,IF(AG839&lt;9.5,BMILMS!$D$22*AG839^3+BMILMS!$E$22*AG839^2+BMILMS!$F$22*AG839+BMILMS!$G$22,IF(AG839&lt;26.75,BMILMS!$D$23*AG839^3+BMILMS!$E$23*AG839^2+BMILMS!$F$23*AG839+BMILMS!$G$23,IF(AG839&lt;90,BMILMS!$D$24*AG839^3+BMILMS!$E$24*AG839^2+BMILMS!$F$24*AG839+BMILMS!$G$24,BMILMS!$D$25*AG839^3+BMILMS!$E$25*AG839^2+BMILMS!$F$25*AG839+BMILMS!$G$25))))),(IF(AG839&lt;2.5,BMILMS!$D$27*AG839^3+BMILMS!$E$27*AG839^2+BMILMS!$F$27*AG839+BMILMS!$G$27,IF(AG839&lt;9.5,BMILMS!$D$28*AG839^3+BMILMS!$E$28*AG839^2+BMILMS!$F$28*AG839+BMILMS!$G$28,IF(AG839&lt;26.75,BMILMS!$D$29*AG839^3+BMILMS!$E$29*AG839^2+BMILMS!$F$29*AG839+BMILMS!$G$29,IF(AG839&lt;90,BMILMS!$D$30*AG839^3+BMILMS!$E$30*AG839^2+BMILMS!$F$30*AG839+BMILMS!$G$30,IF(AG839&lt;150,BMILMS!$D$31*AG839^3+BMILMS!$E$31*AG839^2+BMILMS!$F$31*AG839+BMILMS!$G$31,BMILMS!$D$32*AG839^3+BMILMS!$E$32*AG839^2+BMILMS!$F$32*AG839+BMILMS!$G$32)))))))</f>
        <v>12.568967990000001</v>
      </c>
      <c r="AF839" s="24">
        <f>IF(D839="M",(IF(AG839&lt;90,BMILMS!$D$14*AG839^3+BMILMS!$E$14*AG839^2+BMILMS!$F$14*AG839+BMILMS!$G$14,BMILMS!$D$15*AG839^3+BMILMS!$E$15*AG839^2+BMILMS!$F$15*AG839+BMILMS!$G$15)),(IF(AG839&lt;90,BMILMS!$D$17*AG839^3+BMILMS!$E$17*AG839^2+BMILMS!$F$17*AG839+BMILMS!$G$17,BMILMS!$D$18*AG839^3+BMILMS!$E$18*AG839^2+BMILMS!$F$18*AG839+BMILMS!$G$18)))</f>
        <v>8.8969350000000003E-2</v>
      </c>
      <c r="AG839" s="24">
        <f t="shared" si="208"/>
        <v>0</v>
      </c>
      <c r="AI839" s="38">
        <f>IF(D839="M",WeightSDS!P$5*$AG839^7+WeightSDS!Q$5*$AG839^6+WeightSDS!R$5*$AG839^5+WeightSDS!S$5*$AG839^4+WeightSDS!T$5*$AG839^3+WeightSDS!U$5*$AG839^2+WeightSDS!V$5*$AG839+WeightSDS!W$5,IF($AG839&lt;186,WeightSDS!P$8*$AG839^7+WeightSDS!Q$8*$AG839^6+WeightSDS!R$8*$AG839^5+WeightSDS!S$8*$AG839^4+WeightSDS!T$8*$AG839^3+WeightSDS!U$8*$AG839^2+WeightSDS!V$8*$AG839+WeightSDS!W$8,WeightSDS!$U$9-WeightSDS!$V$9*($AG839-WeightSDS!$W$9)))</f>
        <v>0.75407122999999998</v>
      </c>
      <c r="AJ839" s="24">
        <f>IF(D839="M",IF($AG839&lt;45,WeightSDS!M$23*$AG839^10+WeightSDS!N$23*$AG839^9+WeightSDS!O$23*$AG839^8+WeightSDS!P$23*$AG839^7+WeightSDS!Q$23*$AG839^6+WeightSDS!R$23*$AG839^5+WeightSDS!S$23*$AG839^4+WeightSDS!T$23*$AG839^3+WeightSDS!U$23*$AG839^2+WeightSDS!V$23*$AG839+WeightSDS!W$23,IF($AG839&lt;153,WeightSDS!M$25*$AG839^10+WeightSDS!N$25*$AG839^9+WeightSDS!O$25*$AG839^8+WeightSDS!P$25*$AG839^7+WeightSDS!Q$25*$AG839^6+WeightSDS!R$25*$AG839^5+WeightSDS!S$25*$AG839^4+WeightSDS!T$25*$AG839^3+WeightSDS!U$25*$AG839^2+WeightSDS!V$25*$AG839+WeightSDS!W$25,WeightSDS!M$27+WeightSDS!N$27/(1+EXP(WeightSDS!O$27+WeightSDS!P$27*$AG839)))),IF($AG839&lt;43.8,WeightSDS!M$29*$AG839^10+WeightSDS!N$29*$AG839^9+WeightSDS!O$29*$AG839^8+WeightSDS!P$29*$AG839^7+WeightSDS!Q$29*$AG839^6+WeightSDS!R$29*$AG839^5+WeightSDS!S$29*$AG839^4+WeightSDS!T$29*$AG839^3+WeightSDS!U$29*$AG839^2+WeightSDS!V$29*$AG839+WeightSDS!W$29-0.010431*(1-$AG839/210),IF($AG839&lt;123,WeightSDS!M$30*$AG839^10+WeightSDS!N$30*$AG839^9+WeightSDS!O$30*$AG839^8+WeightSDS!P$30*$AG839^7+WeightSDS!Q$30*$AG839^6+WeightSDS!R$30*$AG839^5+WeightSDS!S$30*$AG839^4+WeightSDS!T$30*$AG839^3+WeightSDS!U$30*$AG839^2+WeightSDS!V$30*$AG839+WeightSDS!W$30-0.010431*(1-1/$AG839),WeightSDS!M$32+WeightSDS!N$32/(1+EXP(WeightSDS!O$32+WeightSDS!P$32*$AG839))-0.010431*(1-$AG839/210))))</f>
        <v>2.9500001032655536</v>
      </c>
      <c r="AK839" s="24">
        <f>IF(D839="M",IF($AG839&lt;162,WeightSDS!P$12*$AG839^7+WeightSDS!Q$12*$AG839^6+WeightSDS!R$12*$AG839^5+WeightSDS!S$12*$AG839^4+WeightSDS!T$12*$AG839^3+WeightSDS!U$12*$AG839^2+WeightSDS!V$12*$AG839+WeightSDS!W$12,WeightSDS!P$14*$AG839^7+WeightSDS!Q$14*$AG839^6+WeightSDS!R$14*$AG839^5+WeightSDS!S$14*$AG839^4+WeightSDS!T$14*$AG839^3+WeightSDS!U$14*$AG839^2+WeightSDS!V$14*$AG839+WeightSDS!W$14),IF($AG839&lt;156,WeightSDS!O$17*$AG839^8+WeightSDS!P$17*$AG839^7+WeightSDS!Q$17*$AG839^6+WeightSDS!R$17*$AG839^5+WeightSDS!S$17*$AG839^4+WeightSDS!T$17*$AG839^3+WeightSDS!U$17*$AG839^2+WeightSDS!V$17*$AG839+WeightSDS!W$17,IF($AG839&lt;186,WeightSDS!$U$18+(WeightSDS!$V$18-WeightSDS!$U$18)/24*($AG839-186)+WeightSDS!$W$18*(-$AG839+186)^2-0.005,WeightSDS!$U$18+(WeightSDS!$V$18-WeightSDS!$U$18)/24*($AG839-186)-0.005)))</f>
        <v>0.14604529399999999</v>
      </c>
    </row>
    <row r="840" spans="1:37">
      <c r="A840" s="4"/>
      <c r="B840" s="21"/>
      <c r="C840" s="21"/>
      <c r="D840" s="21"/>
      <c r="E840" s="22"/>
      <c r="F840" s="22"/>
      <c r="G840" s="23"/>
      <c r="H840" s="23"/>
      <c r="I840" s="8" t="str">
        <f t="shared" si="210"/>
        <v/>
      </c>
      <c r="J840" s="2" t="str">
        <f t="shared" si="217"/>
        <v/>
      </c>
      <c r="K840" s="2" t="str">
        <f t="shared" si="211"/>
        <v/>
      </c>
      <c r="L840" s="2" t="str">
        <f t="shared" si="218"/>
        <v/>
      </c>
      <c r="M840" s="2" t="str">
        <f t="shared" ref="M840:M903" si="223">IF(COUNTA(D840,E840,F840,G840,H840)=5,H840/G840^2*10000,"")</f>
        <v/>
      </c>
      <c r="N840" s="2" t="str">
        <f t="shared" si="219"/>
        <v/>
      </c>
      <c r="O840" s="8" t="str">
        <f t="shared" si="220"/>
        <v/>
      </c>
      <c r="P840" s="8" t="str">
        <f t="shared" si="221"/>
        <v/>
      </c>
      <c r="Q840" s="40" t="str">
        <f t="shared" si="212"/>
        <v/>
      </c>
      <c r="R840" s="48" t="str">
        <f t="shared" si="222"/>
        <v/>
      </c>
      <c r="S840" s="8"/>
      <c r="U840" s="35">
        <f t="shared" si="213"/>
        <v>0</v>
      </c>
      <c r="V840" s="24">
        <f t="shared" si="214"/>
        <v>0</v>
      </c>
      <c r="W840" s="41">
        <f t="shared" si="209"/>
        <v>0</v>
      </c>
      <c r="X840" s="31"/>
      <c r="Y840" s="31"/>
      <c r="Z840" s="31"/>
      <c r="AA840" s="25">
        <f t="shared" si="215"/>
        <v>9.0359999999999996</v>
      </c>
      <c r="AB840" s="25">
        <f t="shared" si="216"/>
        <v>-184.49199999999999</v>
      </c>
      <c r="AD840" s="24">
        <f>IF(D840="M",IF(AG840&lt;78,BMILMS!$D$5*AG840^3+BMILMS!$E$5*AG840^2+BMILMS!$F$5*AG840+BMILMS!$G$5,IF(AG840&lt;150,BMILMS!$D$6*AG840^3+BMILMS!$E$6*AG840^2+BMILMS!$F$6*AG840+BMILMS!$G$6,BMILMS!$D$7*AG840^3+BMILMS!$E$7*AG840^2+BMILMS!$F$7*AG840+BMILMS!$G$7)),IF(AG840&lt;69,BMILMS!$D$9*AG840^3+BMILMS!$E$9*AG840^2+BMILMS!$F$9*AG840+BMILMS!$G$9,IF(AG840&lt;150,BMILMS!$D$10*AG840^3+BMILMS!$E$10*AG840^2+BMILMS!$F$10*AG840+BMILMS!$G$10,BMILMS!$D$11*AG840^3+BMILMS!$E$11*AG840^2+BMILMS!$F$11*AG840+BMILMS!$G$11)))</f>
        <v>0.79584630099999998</v>
      </c>
      <c r="AE840" s="24">
        <f>IF(D840="M",(IF(AG840&lt;2.5,BMILMS!$D$21*AG840^3+BMILMS!$E$21*AG840^2+BMILMS!$F$21*AG840+BMILMS!$G$21,IF(AG840&lt;9.5,BMILMS!$D$22*AG840^3+BMILMS!$E$22*AG840^2+BMILMS!$F$22*AG840+BMILMS!$G$22,IF(AG840&lt;26.75,BMILMS!$D$23*AG840^3+BMILMS!$E$23*AG840^2+BMILMS!$F$23*AG840+BMILMS!$G$23,IF(AG840&lt;90,BMILMS!$D$24*AG840^3+BMILMS!$E$24*AG840^2+BMILMS!$F$24*AG840+BMILMS!$G$24,BMILMS!$D$25*AG840^3+BMILMS!$E$25*AG840^2+BMILMS!$F$25*AG840+BMILMS!$G$25))))),(IF(AG840&lt;2.5,BMILMS!$D$27*AG840^3+BMILMS!$E$27*AG840^2+BMILMS!$F$27*AG840+BMILMS!$G$27,IF(AG840&lt;9.5,BMILMS!$D$28*AG840^3+BMILMS!$E$28*AG840^2+BMILMS!$F$28*AG840+BMILMS!$G$28,IF(AG840&lt;26.75,BMILMS!$D$29*AG840^3+BMILMS!$E$29*AG840^2+BMILMS!$F$29*AG840+BMILMS!$G$29,IF(AG840&lt;90,BMILMS!$D$30*AG840^3+BMILMS!$E$30*AG840^2+BMILMS!$F$30*AG840+BMILMS!$G$30,IF(AG840&lt;150,BMILMS!$D$31*AG840^3+BMILMS!$E$31*AG840^2+BMILMS!$F$31*AG840+BMILMS!$G$31,BMILMS!$D$32*AG840^3+BMILMS!$E$32*AG840^2+BMILMS!$F$32*AG840+BMILMS!$G$32)))))))</f>
        <v>12.568967990000001</v>
      </c>
      <c r="AF840" s="24">
        <f>IF(D840="M",(IF(AG840&lt;90,BMILMS!$D$14*AG840^3+BMILMS!$E$14*AG840^2+BMILMS!$F$14*AG840+BMILMS!$G$14,BMILMS!$D$15*AG840^3+BMILMS!$E$15*AG840^2+BMILMS!$F$15*AG840+BMILMS!$G$15)),(IF(AG840&lt;90,BMILMS!$D$17*AG840^3+BMILMS!$E$17*AG840^2+BMILMS!$F$17*AG840+BMILMS!$G$17,BMILMS!$D$18*AG840^3+BMILMS!$E$18*AG840^2+BMILMS!$F$18*AG840+BMILMS!$G$18)))</f>
        <v>8.8969350000000003E-2</v>
      </c>
      <c r="AG840" s="24">
        <f t="shared" ref="AG840:AG903" si="224">U840*12+V840</f>
        <v>0</v>
      </c>
      <c r="AI840" s="38">
        <f>IF(D840="M",WeightSDS!P$5*$AG840^7+WeightSDS!Q$5*$AG840^6+WeightSDS!R$5*$AG840^5+WeightSDS!S$5*$AG840^4+WeightSDS!T$5*$AG840^3+WeightSDS!U$5*$AG840^2+WeightSDS!V$5*$AG840+WeightSDS!W$5,IF($AG840&lt;186,WeightSDS!P$8*$AG840^7+WeightSDS!Q$8*$AG840^6+WeightSDS!R$8*$AG840^5+WeightSDS!S$8*$AG840^4+WeightSDS!T$8*$AG840^3+WeightSDS!U$8*$AG840^2+WeightSDS!V$8*$AG840+WeightSDS!W$8,WeightSDS!$U$9-WeightSDS!$V$9*($AG840-WeightSDS!$W$9)))</f>
        <v>0.75407122999999998</v>
      </c>
      <c r="AJ840" s="24">
        <f>IF(D840="M",IF($AG840&lt;45,WeightSDS!M$23*$AG840^10+WeightSDS!N$23*$AG840^9+WeightSDS!O$23*$AG840^8+WeightSDS!P$23*$AG840^7+WeightSDS!Q$23*$AG840^6+WeightSDS!R$23*$AG840^5+WeightSDS!S$23*$AG840^4+WeightSDS!T$23*$AG840^3+WeightSDS!U$23*$AG840^2+WeightSDS!V$23*$AG840+WeightSDS!W$23,IF($AG840&lt;153,WeightSDS!M$25*$AG840^10+WeightSDS!N$25*$AG840^9+WeightSDS!O$25*$AG840^8+WeightSDS!P$25*$AG840^7+WeightSDS!Q$25*$AG840^6+WeightSDS!R$25*$AG840^5+WeightSDS!S$25*$AG840^4+WeightSDS!T$25*$AG840^3+WeightSDS!U$25*$AG840^2+WeightSDS!V$25*$AG840+WeightSDS!W$25,WeightSDS!M$27+WeightSDS!N$27/(1+EXP(WeightSDS!O$27+WeightSDS!P$27*$AG840)))),IF($AG840&lt;43.8,WeightSDS!M$29*$AG840^10+WeightSDS!N$29*$AG840^9+WeightSDS!O$29*$AG840^8+WeightSDS!P$29*$AG840^7+WeightSDS!Q$29*$AG840^6+WeightSDS!R$29*$AG840^5+WeightSDS!S$29*$AG840^4+WeightSDS!T$29*$AG840^3+WeightSDS!U$29*$AG840^2+WeightSDS!V$29*$AG840+WeightSDS!W$29-0.010431*(1-$AG840/210),IF($AG840&lt;123,WeightSDS!M$30*$AG840^10+WeightSDS!N$30*$AG840^9+WeightSDS!O$30*$AG840^8+WeightSDS!P$30*$AG840^7+WeightSDS!Q$30*$AG840^6+WeightSDS!R$30*$AG840^5+WeightSDS!S$30*$AG840^4+WeightSDS!T$30*$AG840^3+WeightSDS!U$30*$AG840^2+WeightSDS!V$30*$AG840+WeightSDS!W$30-0.010431*(1-1/$AG840),WeightSDS!M$32+WeightSDS!N$32/(1+EXP(WeightSDS!O$32+WeightSDS!P$32*$AG840))-0.010431*(1-$AG840/210))))</f>
        <v>2.9500001032655536</v>
      </c>
      <c r="AK840" s="24">
        <f>IF(D840="M",IF($AG840&lt;162,WeightSDS!P$12*$AG840^7+WeightSDS!Q$12*$AG840^6+WeightSDS!R$12*$AG840^5+WeightSDS!S$12*$AG840^4+WeightSDS!T$12*$AG840^3+WeightSDS!U$12*$AG840^2+WeightSDS!V$12*$AG840+WeightSDS!W$12,WeightSDS!P$14*$AG840^7+WeightSDS!Q$14*$AG840^6+WeightSDS!R$14*$AG840^5+WeightSDS!S$14*$AG840^4+WeightSDS!T$14*$AG840^3+WeightSDS!U$14*$AG840^2+WeightSDS!V$14*$AG840+WeightSDS!W$14),IF($AG840&lt;156,WeightSDS!O$17*$AG840^8+WeightSDS!P$17*$AG840^7+WeightSDS!Q$17*$AG840^6+WeightSDS!R$17*$AG840^5+WeightSDS!S$17*$AG840^4+WeightSDS!T$17*$AG840^3+WeightSDS!U$17*$AG840^2+WeightSDS!V$17*$AG840+WeightSDS!W$17,IF($AG840&lt;186,WeightSDS!$U$18+(WeightSDS!$V$18-WeightSDS!$U$18)/24*($AG840-186)+WeightSDS!$W$18*(-$AG840+186)^2-0.005,WeightSDS!$U$18+(WeightSDS!$V$18-WeightSDS!$U$18)/24*($AG840-186)-0.005)))</f>
        <v>0.14604529399999999</v>
      </c>
    </row>
    <row r="841" spans="1:37">
      <c r="A841" s="4"/>
      <c r="B841" s="21"/>
      <c r="C841" s="21"/>
      <c r="D841" s="21"/>
      <c r="E841" s="22"/>
      <c r="F841" s="22"/>
      <c r="G841" s="23"/>
      <c r="H841" s="23"/>
      <c r="I841" s="8" t="str">
        <f t="shared" si="210"/>
        <v/>
      </c>
      <c r="J841" s="2" t="str">
        <f t="shared" si="217"/>
        <v/>
      </c>
      <c r="K841" s="2" t="str">
        <f t="shared" si="211"/>
        <v/>
      </c>
      <c r="L841" s="2" t="str">
        <f t="shared" si="218"/>
        <v/>
      </c>
      <c r="M841" s="2" t="str">
        <f t="shared" si="223"/>
        <v/>
      </c>
      <c r="N841" s="2" t="str">
        <f t="shared" si="219"/>
        <v/>
      </c>
      <c r="O841" s="8" t="str">
        <f t="shared" si="220"/>
        <v/>
      </c>
      <c r="P841" s="8" t="str">
        <f t="shared" si="221"/>
        <v/>
      </c>
      <c r="Q841" s="40" t="str">
        <f t="shared" si="212"/>
        <v/>
      </c>
      <c r="R841" s="48" t="str">
        <f t="shared" si="222"/>
        <v/>
      </c>
      <c r="S841" s="8"/>
      <c r="U841" s="35">
        <f t="shared" si="213"/>
        <v>0</v>
      </c>
      <c r="V841" s="24">
        <f t="shared" si="214"/>
        <v>0</v>
      </c>
      <c r="W841" s="41">
        <f t="shared" si="209"/>
        <v>0</v>
      </c>
      <c r="X841" s="31"/>
      <c r="Y841" s="31"/>
      <c r="Z841" s="31"/>
      <c r="AA841" s="25">
        <f t="shared" si="215"/>
        <v>9.0359999999999996</v>
      </c>
      <c r="AB841" s="25">
        <f t="shared" si="216"/>
        <v>-184.49199999999999</v>
      </c>
      <c r="AD841" s="24">
        <f>IF(D841="M",IF(AG841&lt;78,BMILMS!$D$5*AG841^3+BMILMS!$E$5*AG841^2+BMILMS!$F$5*AG841+BMILMS!$G$5,IF(AG841&lt;150,BMILMS!$D$6*AG841^3+BMILMS!$E$6*AG841^2+BMILMS!$F$6*AG841+BMILMS!$G$6,BMILMS!$D$7*AG841^3+BMILMS!$E$7*AG841^2+BMILMS!$F$7*AG841+BMILMS!$G$7)),IF(AG841&lt;69,BMILMS!$D$9*AG841^3+BMILMS!$E$9*AG841^2+BMILMS!$F$9*AG841+BMILMS!$G$9,IF(AG841&lt;150,BMILMS!$D$10*AG841^3+BMILMS!$E$10*AG841^2+BMILMS!$F$10*AG841+BMILMS!$G$10,BMILMS!$D$11*AG841^3+BMILMS!$E$11*AG841^2+BMILMS!$F$11*AG841+BMILMS!$G$11)))</f>
        <v>0.79584630099999998</v>
      </c>
      <c r="AE841" s="24">
        <f>IF(D841="M",(IF(AG841&lt;2.5,BMILMS!$D$21*AG841^3+BMILMS!$E$21*AG841^2+BMILMS!$F$21*AG841+BMILMS!$G$21,IF(AG841&lt;9.5,BMILMS!$D$22*AG841^3+BMILMS!$E$22*AG841^2+BMILMS!$F$22*AG841+BMILMS!$G$22,IF(AG841&lt;26.75,BMILMS!$D$23*AG841^3+BMILMS!$E$23*AG841^2+BMILMS!$F$23*AG841+BMILMS!$G$23,IF(AG841&lt;90,BMILMS!$D$24*AG841^3+BMILMS!$E$24*AG841^2+BMILMS!$F$24*AG841+BMILMS!$G$24,BMILMS!$D$25*AG841^3+BMILMS!$E$25*AG841^2+BMILMS!$F$25*AG841+BMILMS!$G$25))))),(IF(AG841&lt;2.5,BMILMS!$D$27*AG841^3+BMILMS!$E$27*AG841^2+BMILMS!$F$27*AG841+BMILMS!$G$27,IF(AG841&lt;9.5,BMILMS!$D$28*AG841^3+BMILMS!$E$28*AG841^2+BMILMS!$F$28*AG841+BMILMS!$G$28,IF(AG841&lt;26.75,BMILMS!$D$29*AG841^3+BMILMS!$E$29*AG841^2+BMILMS!$F$29*AG841+BMILMS!$G$29,IF(AG841&lt;90,BMILMS!$D$30*AG841^3+BMILMS!$E$30*AG841^2+BMILMS!$F$30*AG841+BMILMS!$G$30,IF(AG841&lt;150,BMILMS!$D$31*AG841^3+BMILMS!$E$31*AG841^2+BMILMS!$F$31*AG841+BMILMS!$G$31,BMILMS!$D$32*AG841^3+BMILMS!$E$32*AG841^2+BMILMS!$F$32*AG841+BMILMS!$G$32)))))))</f>
        <v>12.568967990000001</v>
      </c>
      <c r="AF841" s="24">
        <f>IF(D841="M",(IF(AG841&lt;90,BMILMS!$D$14*AG841^3+BMILMS!$E$14*AG841^2+BMILMS!$F$14*AG841+BMILMS!$G$14,BMILMS!$D$15*AG841^3+BMILMS!$E$15*AG841^2+BMILMS!$F$15*AG841+BMILMS!$G$15)),(IF(AG841&lt;90,BMILMS!$D$17*AG841^3+BMILMS!$E$17*AG841^2+BMILMS!$F$17*AG841+BMILMS!$G$17,BMILMS!$D$18*AG841^3+BMILMS!$E$18*AG841^2+BMILMS!$F$18*AG841+BMILMS!$G$18)))</f>
        <v>8.8969350000000003E-2</v>
      </c>
      <c r="AG841" s="24">
        <f t="shared" si="224"/>
        <v>0</v>
      </c>
      <c r="AI841" s="38">
        <f>IF(D841="M",WeightSDS!P$5*$AG841^7+WeightSDS!Q$5*$AG841^6+WeightSDS!R$5*$AG841^5+WeightSDS!S$5*$AG841^4+WeightSDS!T$5*$AG841^3+WeightSDS!U$5*$AG841^2+WeightSDS!V$5*$AG841+WeightSDS!W$5,IF($AG841&lt;186,WeightSDS!P$8*$AG841^7+WeightSDS!Q$8*$AG841^6+WeightSDS!R$8*$AG841^5+WeightSDS!S$8*$AG841^4+WeightSDS!T$8*$AG841^3+WeightSDS!U$8*$AG841^2+WeightSDS!V$8*$AG841+WeightSDS!W$8,WeightSDS!$U$9-WeightSDS!$V$9*($AG841-WeightSDS!$W$9)))</f>
        <v>0.75407122999999998</v>
      </c>
      <c r="AJ841" s="24">
        <f>IF(D841="M",IF($AG841&lt;45,WeightSDS!M$23*$AG841^10+WeightSDS!N$23*$AG841^9+WeightSDS!O$23*$AG841^8+WeightSDS!P$23*$AG841^7+WeightSDS!Q$23*$AG841^6+WeightSDS!R$23*$AG841^5+WeightSDS!S$23*$AG841^4+WeightSDS!T$23*$AG841^3+WeightSDS!U$23*$AG841^2+WeightSDS!V$23*$AG841+WeightSDS!W$23,IF($AG841&lt;153,WeightSDS!M$25*$AG841^10+WeightSDS!N$25*$AG841^9+WeightSDS!O$25*$AG841^8+WeightSDS!P$25*$AG841^7+WeightSDS!Q$25*$AG841^6+WeightSDS!R$25*$AG841^5+WeightSDS!S$25*$AG841^4+WeightSDS!T$25*$AG841^3+WeightSDS!U$25*$AG841^2+WeightSDS!V$25*$AG841+WeightSDS!W$25,WeightSDS!M$27+WeightSDS!N$27/(1+EXP(WeightSDS!O$27+WeightSDS!P$27*$AG841)))),IF($AG841&lt;43.8,WeightSDS!M$29*$AG841^10+WeightSDS!N$29*$AG841^9+WeightSDS!O$29*$AG841^8+WeightSDS!P$29*$AG841^7+WeightSDS!Q$29*$AG841^6+WeightSDS!R$29*$AG841^5+WeightSDS!S$29*$AG841^4+WeightSDS!T$29*$AG841^3+WeightSDS!U$29*$AG841^2+WeightSDS!V$29*$AG841+WeightSDS!W$29-0.010431*(1-$AG841/210),IF($AG841&lt;123,WeightSDS!M$30*$AG841^10+WeightSDS!N$30*$AG841^9+WeightSDS!O$30*$AG841^8+WeightSDS!P$30*$AG841^7+WeightSDS!Q$30*$AG841^6+WeightSDS!R$30*$AG841^5+WeightSDS!S$30*$AG841^4+WeightSDS!T$30*$AG841^3+WeightSDS!U$30*$AG841^2+WeightSDS!V$30*$AG841+WeightSDS!W$30-0.010431*(1-1/$AG841),WeightSDS!M$32+WeightSDS!N$32/(1+EXP(WeightSDS!O$32+WeightSDS!P$32*$AG841))-0.010431*(1-$AG841/210))))</f>
        <v>2.9500001032655536</v>
      </c>
      <c r="AK841" s="24">
        <f>IF(D841="M",IF($AG841&lt;162,WeightSDS!P$12*$AG841^7+WeightSDS!Q$12*$AG841^6+WeightSDS!R$12*$AG841^5+WeightSDS!S$12*$AG841^4+WeightSDS!T$12*$AG841^3+WeightSDS!U$12*$AG841^2+WeightSDS!V$12*$AG841+WeightSDS!W$12,WeightSDS!P$14*$AG841^7+WeightSDS!Q$14*$AG841^6+WeightSDS!R$14*$AG841^5+WeightSDS!S$14*$AG841^4+WeightSDS!T$14*$AG841^3+WeightSDS!U$14*$AG841^2+WeightSDS!V$14*$AG841+WeightSDS!W$14),IF($AG841&lt;156,WeightSDS!O$17*$AG841^8+WeightSDS!P$17*$AG841^7+WeightSDS!Q$17*$AG841^6+WeightSDS!R$17*$AG841^5+WeightSDS!S$17*$AG841^4+WeightSDS!T$17*$AG841^3+WeightSDS!U$17*$AG841^2+WeightSDS!V$17*$AG841+WeightSDS!W$17,IF($AG841&lt;186,WeightSDS!$U$18+(WeightSDS!$V$18-WeightSDS!$U$18)/24*($AG841-186)+WeightSDS!$W$18*(-$AG841+186)^2-0.005,WeightSDS!$U$18+(WeightSDS!$V$18-WeightSDS!$U$18)/24*($AG841-186)-0.005)))</f>
        <v>0.14604529399999999</v>
      </c>
    </row>
    <row r="842" spans="1:37">
      <c r="A842" s="4"/>
      <c r="B842" s="21"/>
      <c r="C842" s="21"/>
      <c r="D842" s="21"/>
      <c r="E842" s="22"/>
      <c r="F842" s="22"/>
      <c r="G842" s="23"/>
      <c r="H842" s="23"/>
      <c r="I842" s="8" t="str">
        <f t="shared" si="210"/>
        <v/>
      </c>
      <c r="J842" s="2" t="str">
        <f t="shared" si="217"/>
        <v/>
      </c>
      <c r="K842" s="2" t="str">
        <f t="shared" si="211"/>
        <v/>
      </c>
      <c r="L842" s="2" t="str">
        <f t="shared" si="218"/>
        <v/>
      </c>
      <c r="M842" s="2" t="str">
        <f t="shared" si="223"/>
        <v/>
      </c>
      <c r="N842" s="2" t="str">
        <f t="shared" si="219"/>
        <v/>
      </c>
      <c r="O842" s="8" t="str">
        <f t="shared" si="220"/>
        <v/>
      </c>
      <c r="P842" s="8" t="str">
        <f t="shared" si="221"/>
        <v/>
      </c>
      <c r="Q842" s="40" t="str">
        <f t="shared" si="212"/>
        <v/>
      </c>
      <c r="R842" s="48" t="str">
        <f t="shared" si="222"/>
        <v/>
      </c>
      <c r="S842" s="8"/>
      <c r="U842" s="35">
        <f t="shared" si="213"/>
        <v>0</v>
      </c>
      <c r="V842" s="24">
        <f t="shared" si="214"/>
        <v>0</v>
      </c>
      <c r="W842" s="41">
        <f t="shared" si="209"/>
        <v>0</v>
      </c>
      <c r="X842" s="31"/>
      <c r="Y842" s="31"/>
      <c r="Z842" s="31"/>
      <c r="AA842" s="25">
        <f t="shared" si="215"/>
        <v>9.0359999999999996</v>
      </c>
      <c r="AB842" s="25">
        <f t="shared" si="216"/>
        <v>-184.49199999999999</v>
      </c>
      <c r="AD842" s="24">
        <f>IF(D842="M",IF(AG842&lt;78,BMILMS!$D$5*AG842^3+BMILMS!$E$5*AG842^2+BMILMS!$F$5*AG842+BMILMS!$G$5,IF(AG842&lt;150,BMILMS!$D$6*AG842^3+BMILMS!$E$6*AG842^2+BMILMS!$F$6*AG842+BMILMS!$G$6,BMILMS!$D$7*AG842^3+BMILMS!$E$7*AG842^2+BMILMS!$F$7*AG842+BMILMS!$G$7)),IF(AG842&lt;69,BMILMS!$D$9*AG842^3+BMILMS!$E$9*AG842^2+BMILMS!$F$9*AG842+BMILMS!$G$9,IF(AG842&lt;150,BMILMS!$D$10*AG842^3+BMILMS!$E$10*AG842^2+BMILMS!$F$10*AG842+BMILMS!$G$10,BMILMS!$D$11*AG842^3+BMILMS!$E$11*AG842^2+BMILMS!$F$11*AG842+BMILMS!$G$11)))</f>
        <v>0.79584630099999998</v>
      </c>
      <c r="AE842" s="24">
        <f>IF(D842="M",(IF(AG842&lt;2.5,BMILMS!$D$21*AG842^3+BMILMS!$E$21*AG842^2+BMILMS!$F$21*AG842+BMILMS!$G$21,IF(AG842&lt;9.5,BMILMS!$D$22*AG842^3+BMILMS!$E$22*AG842^2+BMILMS!$F$22*AG842+BMILMS!$G$22,IF(AG842&lt;26.75,BMILMS!$D$23*AG842^3+BMILMS!$E$23*AG842^2+BMILMS!$F$23*AG842+BMILMS!$G$23,IF(AG842&lt;90,BMILMS!$D$24*AG842^3+BMILMS!$E$24*AG842^2+BMILMS!$F$24*AG842+BMILMS!$G$24,BMILMS!$D$25*AG842^3+BMILMS!$E$25*AG842^2+BMILMS!$F$25*AG842+BMILMS!$G$25))))),(IF(AG842&lt;2.5,BMILMS!$D$27*AG842^3+BMILMS!$E$27*AG842^2+BMILMS!$F$27*AG842+BMILMS!$G$27,IF(AG842&lt;9.5,BMILMS!$D$28*AG842^3+BMILMS!$E$28*AG842^2+BMILMS!$F$28*AG842+BMILMS!$G$28,IF(AG842&lt;26.75,BMILMS!$D$29*AG842^3+BMILMS!$E$29*AG842^2+BMILMS!$F$29*AG842+BMILMS!$G$29,IF(AG842&lt;90,BMILMS!$D$30*AG842^3+BMILMS!$E$30*AG842^2+BMILMS!$F$30*AG842+BMILMS!$G$30,IF(AG842&lt;150,BMILMS!$D$31*AG842^3+BMILMS!$E$31*AG842^2+BMILMS!$F$31*AG842+BMILMS!$G$31,BMILMS!$D$32*AG842^3+BMILMS!$E$32*AG842^2+BMILMS!$F$32*AG842+BMILMS!$G$32)))))))</f>
        <v>12.568967990000001</v>
      </c>
      <c r="AF842" s="24">
        <f>IF(D842="M",(IF(AG842&lt;90,BMILMS!$D$14*AG842^3+BMILMS!$E$14*AG842^2+BMILMS!$F$14*AG842+BMILMS!$G$14,BMILMS!$D$15*AG842^3+BMILMS!$E$15*AG842^2+BMILMS!$F$15*AG842+BMILMS!$G$15)),(IF(AG842&lt;90,BMILMS!$D$17*AG842^3+BMILMS!$E$17*AG842^2+BMILMS!$F$17*AG842+BMILMS!$G$17,BMILMS!$D$18*AG842^3+BMILMS!$E$18*AG842^2+BMILMS!$F$18*AG842+BMILMS!$G$18)))</f>
        <v>8.8969350000000003E-2</v>
      </c>
      <c r="AG842" s="24">
        <f t="shared" si="224"/>
        <v>0</v>
      </c>
      <c r="AI842" s="38">
        <f>IF(D842="M",WeightSDS!P$5*$AG842^7+WeightSDS!Q$5*$AG842^6+WeightSDS!R$5*$AG842^5+WeightSDS!S$5*$AG842^4+WeightSDS!T$5*$AG842^3+WeightSDS!U$5*$AG842^2+WeightSDS!V$5*$AG842+WeightSDS!W$5,IF($AG842&lt;186,WeightSDS!P$8*$AG842^7+WeightSDS!Q$8*$AG842^6+WeightSDS!R$8*$AG842^5+WeightSDS!S$8*$AG842^4+WeightSDS!T$8*$AG842^3+WeightSDS!U$8*$AG842^2+WeightSDS!V$8*$AG842+WeightSDS!W$8,WeightSDS!$U$9-WeightSDS!$V$9*($AG842-WeightSDS!$W$9)))</f>
        <v>0.75407122999999998</v>
      </c>
      <c r="AJ842" s="24">
        <f>IF(D842="M",IF($AG842&lt;45,WeightSDS!M$23*$AG842^10+WeightSDS!N$23*$AG842^9+WeightSDS!O$23*$AG842^8+WeightSDS!P$23*$AG842^7+WeightSDS!Q$23*$AG842^6+WeightSDS!R$23*$AG842^5+WeightSDS!S$23*$AG842^4+WeightSDS!T$23*$AG842^3+WeightSDS!U$23*$AG842^2+WeightSDS!V$23*$AG842+WeightSDS!W$23,IF($AG842&lt;153,WeightSDS!M$25*$AG842^10+WeightSDS!N$25*$AG842^9+WeightSDS!O$25*$AG842^8+WeightSDS!P$25*$AG842^7+WeightSDS!Q$25*$AG842^6+WeightSDS!R$25*$AG842^5+WeightSDS!S$25*$AG842^4+WeightSDS!T$25*$AG842^3+WeightSDS!U$25*$AG842^2+WeightSDS!V$25*$AG842+WeightSDS!W$25,WeightSDS!M$27+WeightSDS!N$27/(1+EXP(WeightSDS!O$27+WeightSDS!P$27*$AG842)))),IF($AG842&lt;43.8,WeightSDS!M$29*$AG842^10+WeightSDS!N$29*$AG842^9+WeightSDS!O$29*$AG842^8+WeightSDS!P$29*$AG842^7+WeightSDS!Q$29*$AG842^6+WeightSDS!R$29*$AG842^5+WeightSDS!S$29*$AG842^4+WeightSDS!T$29*$AG842^3+WeightSDS!U$29*$AG842^2+WeightSDS!V$29*$AG842+WeightSDS!W$29-0.010431*(1-$AG842/210),IF($AG842&lt;123,WeightSDS!M$30*$AG842^10+WeightSDS!N$30*$AG842^9+WeightSDS!O$30*$AG842^8+WeightSDS!P$30*$AG842^7+WeightSDS!Q$30*$AG842^6+WeightSDS!R$30*$AG842^5+WeightSDS!S$30*$AG842^4+WeightSDS!T$30*$AG842^3+WeightSDS!U$30*$AG842^2+WeightSDS!V$30*$AG842+WeightSDS!W$30-0.010431*(1-1/$AG842),WeightSDS!M$32+WeightSDS!N$32/(1+EXP(WeightSDS!O$32+WeightSDS!P$32*$AG842))-0.010431*(1-$AG842/210))))</f>
        <v>2.9500001032655536</v>
      </c>
      <c r="AK842" s="24">
        <f>IF(D842="M",IF($AG842&lt;162,WeightSDS!P$12*$AG842^7+WeightSDS!Q$12*$AG842^6+WeightSDS!R$12*$AG842^5+WeightSDS!S$12*$AG842^4+WeightSDS!T$12*$AG842^3+WeightSDS!U$12*$AG842^2+WeightSDS!V$12*$AG842+WeightSDS!W$12,WeightSDS!P$14*$AG842^7+WeightSDS!Q$14*$AG842^6+WeightSDS!R$14*$AG842^5+WeightSDS!S$14*$AG842^4+WeightSDS!T$14*$AG842^3+WeightSDS!U$14*$AG842^2+WeightSDS!V$14*$AG842+WeightSDS!W$14),IF($AG842&lt;156,WeightSDS!O$17*$AG842^8+WeightSDS!P$17*$AG842^7+WeightSDS!Q$17*$AG842^6+WeightSDS!R$17*$AG842^5+WeightSDS!S$17*$AG842^4+WeightSDS!T$17*$AG842^3+WeightSDS!U$17*$AG842^2+WeightSDS!V$17*$AG842+WeightSDS!W$17,IF($AG842&lt;186,WeightSDS!$U$18+(WeightSDS!$V$18-WeightSDS!$U$18)/24*($AG842-186)+WeightSDS!$W$18*(-$AG842+186)^2-0.005,WeightSDS!$U$18+(WeightSDS!$V$18-WeightSDS!$U$18)/24*($AG842-186)-0.005)))</f>
        <v>0.14604529399999999</v>
      </c>
    </row>
    <row r="843" spans="1:37">
      <c r="A843" s="4"/>
      <c r="B843" s="21"/>
      <c r="C843" s="21"/>
      <c r="D843" s="21"/>
      <c r="E843" s="22"/>
      <c r="F843" s="22"/>
      <c r="G843" s="23"/>
      <c r="H843" s="23"/>
      <c r="I843" s="8" t="str">
        <f t="shared" si="210"/>
        <v/>
      </c>
      <c r="J843" s="2" t="str">
        <f t="shared" si="217"/>
        <v/>
      </c>
      <c r="K843" s="2" t="str">
        <f t="shared" si="211"/>
        <v/>
      </c>
      <c r="L843" s="2" t="str">
        <f t="shared" si="218"/>
        <v/>
      </c>
      <c r="M843" s="2" t="str">
        <f t="shared" si="223"/>
        <v/>
      </c>
      <c r="N843" s="2" t="str">
        <f t="shared" si="219"/>
        <v/>
      </c>
      <c r="O843" s="8" t="str">
        <f t="shared" si="220"/>
        <v/>
      </c>
      <c r="P843" s="8" t="str">
        <f t="shared" si="221"/>
        <v/>
      </c>
      <c r="Q843" s="40" t="str">
        <f t="shared" si="212"/>
        <v/>
      </c>
      <c r="R843" s="48" t="str">
        <f t="shared" si="222"/>
        <v/>
      </c>
      <c r="S843" s="8"/>
      <c r="U843" s="35">
        <f t="shared" si="213"/>
        <v>0</v>
      </c>
      <c r="V843" s="24">
        <f t="shared" si="214"/>
        <v>0</v>
      </c>
      <c r="W843" s="41">
        <f t="shared" si="209"/>
        <v>0</v>
      </c>
      <c r="X843" s="31"/>
      <c r="Y843" s="31"/>
      <c r="Z843" s="31"/>
      <c r="AA843" s="25">
        <f t="shared" si="215"/>
        <v>9.0359999999999996</v>
      </c>
      <c r="AB843" s="25">
        <f t="shared" si="216"/>
        <v>-184.49199999999999</v>
      </c>
      <c r="AD843" s="24">
        <f>IF(D843="M",IF(AG843&lt;78,BMILMS!$D$5*AG843^3+BMILMS!$E$5*AG843^2+BMILMS!$F$5*AG843+BMILMS!$G$5,IF(AG843&lt;150,BMILMS!$D$6*AG843^3+BMILMS!$E$6*AG843^2+BMILMS!$F$6*AG843+BMILMS!$G$6,BMILMS!$D$7*AG843^3+BMILMS!$E$7*AG843^2+BMILMS!$F$7*AG843+BMILMS!$G$7)),IF(AG843&lt;69,BMILMS!$D$9*AG843^3+BMILMS!$E$9*AG843^2+BMILMS!$F$9*AG843+BMILMS!$G$9,IF(AG843&lt;150,BMILMS!$D$10*AG843^3+BMILMS!$E$10*AG843^2+BMILMS!$F$10*AG843+BMILMS!$G$10,BMILMS!$D$11*AG843^3+BMILMS!$E$11*AG843^2+BMILMS!$F$11*AG843+BMILMS!$G$11)))</f>
        <v>0.79584630099999998</v>
      </c>
      <c r="AE843" s="24">
        <f>IF(D843="M",(IF(AG843&lt;2.5,BMILMS!$D$21*AG843^3+BMILMS!$E$21*AG843^2+BMILMS!$F$21*AG843+BMILMS!$G$21,IF(AG843&lt;9.5,BMILMS!$D$22*AG843^3+BMILMS!$E$22*AG843^2+BMILMS!$F$22*AG843+BMILMS!$G$22,IF(AG843&lt;26.75,BMILMS!$D$23*AG843^3+BMILMS!$E$23*AG843^2+BMILMS!$F$23*AG843+BMILMS!$G$23,IF(AG843&lt;90,BMILMS!$D$24*AG843^3+BMILMS!$E$24*AG843^2+BMILMS!$F$24*AG843+BMILMS!$G$24,BMILMS!$D$25*AG843^3+BMILMS!$E$25*AG843^2+BMILMS!$F$25*AG843+BMILMS!$G$25))))),(IF(AG843&lt;2.5,BMILMS!$D$27*AG843^3+BMILMS!$E$27*AG843^2+BMILMS!$F$27*AG843+BMILMS!$G$27,IF(AG843&lt;9.5,BMILMS!$D$28*AG843^3+BMILMS!$E$28*AG843^2+BMILMS!$F$28*AG843+BMILMS!$G$28,IF(AG843&lt;26.75,BMILMS!$D$29*AG843^3+BMILMS!$E$29*AG843^2+BMILMS!$F$29*AG843+BMILMS!$G$29,IF(AG843&lt;90,BMILMS!$D$30*AG843^3+BMILMS!$E$30*AG843^2+BMILMS!$F$30*AG843+BMILMS!$G$30,IF(AG843&lt;150,BMILMS!$D$31*AG843^3+BMILMS!$E$31*AG843^2+BMILMS!$F$31*AG843+BMILMS!$G$31,BMILMS!$D$32*AG843^3+BMILMS!$E$32*AG843^2+BMILMS!$F$32*AG843+BMILMS!$G$32)))))))</f>
        <v>12.568967990000001</v>
      </c>
      <c r="AF843" s="24">
        <f>IF(D843="M",(IF(AG843&lt;90,BMILMS!$D$14*AG843^3+BMILMS!$E$14*AG843^2+BMILMS!$F$14*AG843+BMILMS!$G$14,BMILMS!$D$15*AG843^3+BMILMS!$E$15*AG843^2+BMILMS!$F$15*AG843+BMILMS!$G$15)),(IF(AG843&lt;90,BMILMS!$D$17*AG843^3+BMILMS!$E$17*AG843^2+BMILMS!$F$17*AG843+BMILMS!$G$17,BMILMS!$D$18*AG843^3+BMILMS!$E$18*AG843^2+BMILMS!$F$18*AG843+BMILMS!$G$18)))</f>
        <v>8.8969350000000003E-2</v>
      </c>
      <c r="AG843" s="24">
        <f t="shared" si="224"/>
        <v>0</v>
      </c>
      <c r="AI843" s="38">
        <f>IF(D843="M",WeightSDS!P$5*$AG843^7+WeightSDS!Q$5*$AG843^6+WeightSDS!R$5*$AG843^5+WeightSDS!S$5*$AG843^4+WeightSDS!T$5*$AG843^3+WeightSDS!U$5*$AG843^2+WeightSDS!V$5*$AG843+WeightSDS!W$5,IF($AG843&lt;186,WeightSDS!P$8*$AG843^7+WeightSDS!Q$8*$AG843^6+WeightSDS!R$8*$AG843^5+WeightSDS!S$8*$AG843^4+WeightSDS!T$8*$AG843^3+WeightSDS!U$8*$AG843^2+WeightSDS!V$8*$AG843+WeightSDS!W$8,WeightSDS!$U$9-WeightSDS!$V$9*($AG843-WeightSDS!$W$9)))</f>
        <v>0.75407122999999998</v>
      </c>
      <c r="AJ843" s="24">
        <f>IF(D843="M",IF($AG843&lt;45,WeightSDS!M$23*$AG843^10+WeightSDS!N$23*$AG843^9+WeightSDS!O$23*$AG843^8+WeightSDS!P$23*$AG843^7+WeightSDS!Q$23*$AG843^6+WeightSDS!R$23*$AG843^5+WeightSDS!S$23*$AG843^4+WeightSDS!T$23*$AG843^3+WeightSDS!U$23*$AG843^2+WeightSDS!V$23*$AG843+WeightSDS!W$23,IF($AG843&lt;153,WeightSDS!M$25*$AG843^10+WeightSDS!N$25*$AG843^9+WeightSDS!O$25*$AG843^8+WeightSDS!P$25*$AG843^7+WeightSDS!Q$25*$AG843^6+WeightSDS!R$25*$AG843^5+WeightSDS!S$25*$AG843^4+WeightSDS!T$25*$AG843^3+WeightSDS!U$25*$AG843^2+WeightSDS!V$25*$AG843+WeightSDS!W$25,WeightSDS!M$27+WeightSDS!N$27/(1+EXP(WeightSDS!O$27+WeightSDS!P$27*$AG843)))),IF($AG843&lt;43.8,WeightSDS!M$29*$AG843^10+WeightSDS!N$29*$AG843^9+WeightSDS!O$29*$AG843^8+WeightSDS!P$29*$AG843^7+WeightSDS!Q$29*$AG843^6+WeightSDS!R$29*$AG843^5+WeightSDS!S$29*$AG843^4+WeightSDS!T$29*$AG843^3+WeightSDS!U$29*$AG843^2+WeightSDS!V$29*$AG843+WeightSDS!W$29-0.010431*(1-$AG843/210),IF($AG843&lt;123,WeightSDS!M$30*$AG843^10+WeightSDS!N$30*$AG843^9+WeightSDS!O$30*$AG843^8+WeightSDS!P$30*$AG843^7+WeightSDS!Q$30*$AG843^6+WeightSDS!R$30*$AG843^5+WeightSDS!S$30*$AG843^4+WeightSDS!T$30*$AG843^3+WeightSDS!U$30*$AG843^2+WeightSDS!V$30*$AG843+WeightSDS!W$30-0.010431*(1-1/$AG843),WeightSDS!M$32+WeightSDS!N$32/(1+EXP(WeightSDS!O$32+WeightSDS!P$32*$AG843))-0.010431*(1-$AG843/210))))</f>
        <v>2.9500001032655536</v>
      </c>
      <c r="AK843" s="24">
        <f>IF(D843="M",IF($AG843&lt;162,WeightSDS!P$12*$AG843^7+WeightSDS!Q$12*$AG843^6+WeightSDS!R$12*$AG843^5+WeightSDS!S$12*$AG843^4+WeightSDS!T$12*$AG843^3+WeightSDS!U$12*$AG843^2+WeightSDS!V$12*$AG843+WeightSDS!W$12,WeightSDS!P$14*$AG843^7+WeightSDS!Q$14*$AG843^6+WeightSDS!R$14*$AG843^5+WeightSDS!S$14*$AG843^4+WeightSDS!T$14*$AG843^3+WeightSDS!U$14*$AG843^2+WeightSDS!V$14*$AG843+WeightSDS!W$14),IF($AG843&lt;156,WeightSDS!O$17*$AG843^8+WeightSDS!P$17*$AG843^7+WeightSDS!Q$17*$AG843^6+WeightSDS!R$17*$AG843^5+WeightSDS!S$17*$AG843^4+WeightSDS!T$17*$AG843^3+WeightSDS!U$17*$AG843^2+WeightSDS!V$17*$AG843+WeightSDS!W$17,IF($AG843&lt;186,WeightSDS!$U$18+(WeightSDS!$V$18-WeightSDS!$U$18)/24*($AG843-186)+WeightSDS!$W$18*(-$AG843+186)^2-0.005,WeightSDS!$U$18+(WeightSDS!$V$18-WeightSDS!$U$18)/24*($AG843-186)-0.005)))</f>
        <v>0.14604529399999999</v>
      </c>
    </row>
    <row r="844" spans="1:37">
      <c r="A844" s="4"/>
      <c r="B844" s="21"/>
      <c r="C844" s="21"/>
      <c r="D844" s="21"/>
      <c r="E844" s="22"/>
      <c r="F844" s="22"/>
      <c r="G844" s="23"/>
      <c r="H844" s="23"/>
      <c r="I844" s="8" t="str">
        <f t="shared" si="210"/>
        <v/>
      </c>
      <c r="J844" s="2" t="str">
        <f t="shared" si="217"/>
        <v/>
      </c>
      <c r="K844" s="2" t="str">
        <f t="shared" si="211"/>
        <v/>
      </c>
      <c r="L844" s="2" t="str">
        <f t="shared" si="218"/>
        <v/>
      </c>
      <c r="M844" s="2" t="str">
        <f t="shared" si="223"/>
        <v/>
      </c>
      <c r="N844" s="2" t="str">
        <f t="shared" si="219"/>
        <v/>
      </c>
      <c r="O844" s="8" t="str">
        <f t="shared" si="220"/>
        <v/>
      </c>
      <c r="P844" s="8" t="str">
        <f t="shared" si="221"/>
        <v/>
      </c>
      <c r="Q844" s="40" t="str">
        <f t="shared" si="212"/>
        <v/>
      </c>
      <c r="R844" s="48" t="str">
        <f t="shared" si="222"/>
        <v/>
      </c>
      <c r="S844" s="8"/>
      <c r="U844" s="35">
        <f t="shared" si="213"/>
        <v>0</v>
      </c>
      <c r="V844" s="24">
        <f t="shared" si="214"/>
        <v>0</v>
      </c>
      <c r="W844" s="41">
        <f t="shared" si="209"/>
        <v>0</v>
      </c>
      <c r="X844" s="31"/>
      <c r="Y844" s="31"/>
      <c r="Z844" s="31"/>
      <c r="AA844" s="25">
        <f t="shared" si="215"/>
        <v>9.0359999999999996</v>
      </c>
      <c r="AB844" s="25">
        <f t="shared" si="216"/>
        <v>-184.49199999999999</v>
      </c>
      <c r="AD844" s="24">
        <f>IF(D844="M",IF(AG844&lt;78,BMILMS!$D$5*AG844^3+BMILMS!$E$5*AG844^2+BMILMS!$F$5*AG844+BMILMS!$G$5,IF(AG844&lt;150,BMILMS!$D$6*AG844^3+BMILMS!$E$6*AG844^2+BMILMS!$F$6*AG844+BMILMS!$G$6,BMILMS!$D$7*AG844^3+BMILMS!$E$7*AG844^2+BMILMS!$F$7*AG844+BMILMS!$G$7)),IF(AG844&lt;69,BMILMS!$D$9*AG844^3+BMILMS!$E$9*AG844^2+BMILMS!$F$9*AG844+BMILMS!$G$9,IF(AG844&lt;150,BMILMS!$D$10*AG844^3+BMILMS!$E$10*AG844^2+BMILMS!$F$10*AG844+BMILMS!$G$10,BMILMS!$D$11*AG844^3+BMILMS!$E$11*AG844^2+BMILMS!$F$11*AG844+BMILMS!$G$11)))</f>
        <v>0.79584630099999998</v>
      </c>
      <c r="AE844" s="24">
        <f>IF(D844="M",(IF(AG844&lt;2.5,BMILMS!$D$21*AG844^3+BMILMS!$E$21*AG844^2+BMILMS!$F$21*AG844+BMILMS!$G$21,IF(AG844&lt;9.5,BMILMS!$D$22*AG844^3+BMILMS!$E$22*AG844^2+BMILMS!$F$22*AG844+BMILMS!$G$22,IF(AG844&lt;26.75,BMILMS!$D$23*AG844^3+BMILMS!$E$23*AG844^2+BMILMS!$F$23*AG844+BMILMS!$G$23,IF(AG844&lt;90,BMILMS!$D$24*AG844^3+BMILMS!$E$24*AG844^2+BMILMS!$F$24*AG844+BMILMS!$G$24,BMILMS!$D$25*AG844^3+BMILMS!$E$25*AG844^2+BMILMS!$F$25*AG844+BMILMS!$G$25))))),(IF(AG844&lt;2.5,BMILMS!$D$27*AG844^3+BMILMS!$E$27*AG844^2+BMILMS!$F$27*AG844+BMILMS!$G$27,IF(AG844&lt;9.5,BMILMS!$D$28*AG844^3+BMILMS!$E$28*AG844^2+BMILMS!$F$28*AG844+BMILMS!$G$28,IF(AG844&lt;26.75,BMILMS!$D$29*AG844^3+BMILMS!$E$29*AG844^2+BMILMS!$F$29*AG844+BMILMS!$G$29,IF(AG844&lt;90,BMILMS!$D$30*AG844^3+BMILMS!$E$30*AG844^2+BMILMS!$F$30*AG844+BMILMS!$G$30,IF(AG844&lt;150,BMILMS!$D$31*AG844^3+BMILMS!$E$31*AG844^2+BMILMS!$F$31*AG844+BMILMS!$G$31,BMILMS!$D$32*AG844^3+BMILMS!$E$32*AG844^2+BMILMS!$F$32*AG844+BMILMS!$G$32)))))))</f>
        <v>12.568967990000001</v>
      </c>
      <c r="AF844" s="24">
        <f>IF(D844="M",(IF(AG844&lt;90,BMILMS!$D$14*AG844^3+BMILMS!$E$14*AG844^2+BMILMS!$F$14*AG844+BMILMS!$G$14,BMILMS!$D$15*AG844^3+BMILMS!$E$15*AG844^2+BMILMS!$F$15*AG844+BMILMS!$G$15)),(IF(AG844&lt;90,BMILMS!$D$17*AG844^3+BMILMS!$E$17*AG844^2+BMILMS!$F$17*AG844+BMILMS!$G$17,BMILMS!$D$18*AG844^3+BMILMS!$E$18*AG844^2+BMILMS!$F$18*AG844+BMILMS!$G$18)))</f>
        <v>8.8969350000000003E-2</v>
      </c>
      <c r="AG844" s="24">
        <f t="shared" si="224"/>
        <v>0</v>
      </c>
      <c r="AI844" s="38">
        <f>IF(D844="M",WeightSDS!P$5*$AG844^7+WeightSDS!Q$5*$AG844^6+WeightSDS!R$5*$AG844^5+WeightSDS!S$5*$AG844^4+WeightSDS!T$5*$AG844^3+WeightSDS!U$5*$AG844^2+WeightSDS!V$5*$AG844+WeightSDS!W$5,IF($AG844&lt;186,WeightSDS!P$8*$AG844^7+WeightSDS!Q$8*$AG844^6+WeightSDS!R$8*$AG844^5+WeightSDS!S$8*$AG844^4+WeightSDS!T$8*$AG844^3+WeightSDS!U$8*$AG844^2+WeightSDS!V$8*$AG844+WeightSDS!W$8,WeightSDS!$U$9-WeightSDS!$V$9*($AG844-WeightSDS!$W$9)))</f>
        <v>0.75407122999999998</v>
      </c>
      <c r="AJ844" s="24">
        <f>IF(D844="M",IF($AG844&lt;45,WeightSDS!M$23*$AG844^10+WeightSDS!N$23*$AG844^9+WeightSDS!O$23*$AG844^8+WeightSDS!P$23*$AG844^7+WeightSDS!Q$23*$AG844^6+WeightSDS!R$23*$AG844^5+WeightSDS!S$23*$AG844^4+WeightSDS!T$23*$AG844^3+WeightSDS!U$23*$AG844^2+WeightSDS!V$23*$AG844+WeightSDS!W$23,IF($AG844&lt;153,WeightSDS!M$25*$AG844^10+WeightSDS!N$25*$AG844^9+WeightSDS!O$25*$AG844^8+WeightSDS!P$25*$AG844^7+WeightSDS!Q$25*$AG844^6+WeightSDS!R$25*$AG844^5+WeightSDS!S$25*$AG844^4+WeightSDS!T$25*$AG844^3+WeightSDS!U$25*$AG844^2+WeightSDS!V$25*$AG844+WeightSDS!W$25,WeightSDS!M$27+WeightSDS!N$27/(1+EXP(WeightSDS!O$27+WeightSDS!P$27*$AG844)))),IF($AG844&lt;43.8,WeightSDS!M$29*$AG844^10+WeightSDS!N$29*$AG844^9+WeightSDS!O$29*$AG844^8+WeightSDS!P$29*$AG844^7+WeightSDS!Q$29*$AG844^6+WeightSDS!R$29*$AG844^5+WeightSDS!S$29*$AG844^4+WeightSDS!T$29*$AG844^3+WeightSDS!U$29*$AG844^2+WeightSDS!V$29*$AG844+WeightSDS!W$29-0.010431*(1-$AG844/210),IF($AG844&lt;123,WeightSDS!M$30*$AG844^10+WeightSDS!N$30*$AG844^9+WeightSDS!O$30*$AG844^8+WeightSDS!P$30*$AG844^7+WeightSDS!Q$30*$AG844^6+WeightSDS!R$30*$AG844^5+WeightSDS!S$30*$AG844^4+WeightSDS!T$30*$AG844^3+WeightSDS!U$30*$AG844^2+WeightSDS!V$30*$AG844+WeightSDS!W$30-0.010431*(1-1/$AG844),WeightSDS!M$32+WeightSDS!N$32/(1+EXP(WeightSDS!O$32+WeightSDS!P$32*$AG844))-0.010431*(1-$AG844/210))))</f>
        <v>2.9500001032655536</v>
      </c>
      <c r="AK844" s="24">
        <f>IF(D844="M",IF($AG844&lt;162,WeightSDS!P$12*$AG844^7+WeightSDS!Q$12*$AG844^6+WeightSDS!R$12*$AG844^5+WeightSDS!S$12*$AG844^4+WeightSDS!T$12*$AG844^3+WeightSDS!U$12*$AG844^2+WeightSDS!V$12*$AG844+WeightSDS!W$12,WeightSDS!P$14*$AG844^7+WeightSDS!Q$14*$AG844^6+WeightSDS!R$14*$AG844^5+WeightSDS!S$14*$AG844^4+WeightSDS!T$14*$AG844^3+WeightSDS!U$14*$AG844^2+WeightSDS!V$14*$AG844+WeightSDS!W$14),IF($AG844&lt;156,WeightSDS!O$17*$AG844^8+WeightSDS!P$17*$AG844^7+WeightSDS!Q$17*$AG844^6+WeightSDS!R$17*$AG844^5+WeightSDS!S$17*$AG844^4+WeightSDS!T$17*$AG844^3+WeightSDS!U$17*$AG844^2+WeightSDS!V$17*$AG844+WeightSDS!W$17,IF($AG844&lt;186,WeightSDS!$U$18+(WeightSDS!$V$18-WeightSDS!$U$18)/24*($AG844-186)+WeightSDS!$W$18*(-$AG844+186)^2-0.005,WeightSDS!$U$18+(WeightSDS!$V$18-WeightSDS!$U$18)/24*($AG844-186)-0.005)))</f>
        <v>0.14604529399999999</v>
      </c>
    </row>
    <row r="845" spans="1:37">
      <c r="A845" s="4"/>
      <c r="B845" s="21"/>
      <c r="C845" s="21"/>
      <c r="D845" s="21"/>
      <c r="E845" s="22"/>
      <c r="F845" s="22"/>
      <c r="G845" s="23"/>
      <c r="H845" s="23"/>
      <c r="I845" s="8" t="str">
        <f t="shared" si="210"/>
        <v/>
      </c>
      <c r="J845" s="2" t="str">
        <f t="shared" si="217"/>
        <v/>
      </c>
      <c r="K845" s="2" t="str">
        <f t="shared" si="211"/>
        <v/>
      </c>
      <c r="L845" s="2" t="str">
        <f t="shared" si="218"/>
        <v/>
      </c>
      <c r="M845" s="2" t="str">
        <f t="shared" si="223"/>
        <v/>
      </c>
      <c r="N845" s="2" t="str">
        <f t="shared" si="219"/>
        <v/>
      </c>
      <c r="O845" s="8" t="str">
        <f t="shared" si="220"/>
        <v/>
      </c>
      <c r="P845" s="8" t="str">
        <f t="shared" si="221"/>
        <v/>
      </c>
      <c r="Q845" s="40" t="str">
        <f t="shared" si="212"/>
        <v/>
      </c>
      <c r="R845" s="48" t="str">
        <f t="shared" si="222"/>
        <v/>
      </c>
      <c r="S845" s="8"/>
      <c r="U845" s="35">
        <f t="shared" si="213"/>
        <v>0</v>
      </c>
      <c r="V845" s="24">
        <f t="shared" si="214"/>
        <v>0</v>
      </c>
      <c r="W845" s="41">
        <f t="shared" si="209"/>
        <v>0</v>
      </c>
      <c r="X845" s="31"/>
      <c r="Y845" s="31"/>
      <c r="Z845" s="31"/>
      <c r="AA845" s="25">
        <f t="shared" si="215"/>
        <v>9.0359999999999996</v>
      </c>
      <c r="AB845" s="25">
        <f t="shared" si="216"/>
        <v>-184.49199999999999</v>
      </c>
      <c r="AD845" s="24">
        <f>IF(D845="M",IF(AG845&lt;78,BMILMS!$D$5*AG845^3+BMILMS!$E$5*AG845^2+BMILMS!$F$5*AG845+BMILMS!$G$5,IF(AG845&lt;150,BMILMS!$D$6*AG845^3+BMILMS!$E$6*AG845^2+BMILMS!$F$6*AG845+BMILMS!$G$6,BMILMS!$D$7*AG845^3+BMILMS!$E$7*AG845^2+BMILMS!$F$7*AG845+BMILMS!$G$7)),IF(AG845&lt;69,BMILMS!$D$9*AG845^3+BMILMS!$E$9*AG845^2+BMILMS!$F$9*AG845+BMILMS!$G$9,IF(AG845&lt;150,BMILMS!$D$10*AG845^3+BMILMS!$E$10*AG845^2+BMILMS!$F$10*AG845+BMILMS!$G$10,BMILMS!$D$11*AG845^3+BMILMS!$E$11*AG845^2+BMILMS!$F$11*AG845+BMILMS!$G$11)))</f>
        <v>0.79584630099999998</v>
      </c>
      <c r="AE845" s="24">
        <f>IF(D845="M",(IF(AG845&lt;2.5,BMILMS!$D$21*AG845^3+BMILMS!$E$21*AG845^2+BMILMS!$F$21*AG845+BMILMS!$G$21,IF(AG845&lt;9.5,BMILMS!$D$22*AG845^3+BMILMS!$E$22*AG845^2+BMILMS!$F$22*AG845+BMILMS!$G$22,IF(AG845&lt;26.75,BMILMS!$D$23*AG845^3+BMILMS!$E$23*AG845^2+BMILMS!$F$23*AG845+BMILMS!$G$23,IF(AG845&lt;90,BMILMS!$D$24*AG845^3+BMILMS!$E$24*AG845^2+BMILMS!$F$24*AG845+BMILMS!$G$24,BMILMS!$D$25*AG845^3+BMILMS!$E$25*AG845^2+BMILMS!$F$25*AG845+BMILMS!$G$25))))),(IF(AG845&lt;2.5,BMILMS!$D$27*AG845^3+BMILMS!$E$27*AG845^2+BMILMS!$F$27*AG845+BMILMS!$G$27,IF(AG845&lt;9.5,BMILMS!$D$28*AG845^3+BMILMS!$E$28*AG845^2+BMILMS!$F$28*AG845+BMILMS!$G$28,IF(AG845&lt;26.75,BMILMS!$D$29*AG845^3+BMILMS!$E$29*AG845^2+BMILMS!$F$29*AG845+BMILMS!$G$29,IF(AG845&lt;90,BMILMS!$D$30*AG845^3+BMILMS!$E$30*AG845^2+BMILMS!$F$30*AG845+BMILMS!$G$30,IF(AG845&lt;150,BMILMS!$D$31*AG845^3+BMILMS!$E$31*AG845^2+BMILMS!$F$31*AG845+BMILMS!$G$31,BMILMS!$D$32*AG845^3+BMILMS!$E$32*AG845^2+BMILMS!$F$32*AG845+BMILMS!$G$32)))))))</f>
        <v>12.568967990000001</v>
      </c>
      <c r="AF845" s="24">
        <f>IF(D845="M",(IF(AG845&lt;90,BMILMS!$D$14*AG845^3+BMILMS!$E$14*AG845^2+BMILMS!$F$14*AG845+BMILMS!$G$14,BMILMS!$D$15*AG845^3+BMILMS!$E$15*AG845^2+BMILMS!$F$15*AG845+BMILMS!$G$15)),(IF(AG845&lt;90,BMILMS!$D$17*AG845^3+BMILMS!$E$17*AG845^2+BMILMS!$F$17*AG845+BMILMS!$G$17,BMILMS!$D$18*AG845^3+BMILMS!$E$18*AG845^2+BMILMS!$F$18*AG845+BMILMS!$G$18)))</f>
        <v>8.8969350000000003E-2</v>
      </c>
      <c r="AG845" s="24">
        <f t="shared" si="224"/>
        <v>0</v>
      </c>
      <c r="AI845" s="38">
        <f>IF(D845="M",WeightSDS!P$5*$AG845^7+WeightSDS!Q$5*$AG845^6+WeightSDS!R$5*$AG845^5+WeightSDS!S$5*$AG845^4+WeightSDS!T$5*$AG845^3+WeightSDS!U$5*$AG845^2+WeightSDS!V$5*$AG845+WeightSDS!W$5,IF($AG845&lt;186,WeightSDS!P$8*$AG845^7+WeightSDS!Q$8*$AG845^6+WeightSDS!R$8*$AG845^5+WeightSDS!S$8*$AG845^4+WeightSDS!T$8*$AG845^3+WeightSDS!U$8*$AG845^2+WeightSDS!V$8*$AG845+WeightSDS!W$8,WeightSDS!$U$9-WeightSDS!$V$9*($AG845-WeightSDS!$W$9)))</f>
        <v>0.75407122999999998</v>
      </c>
      <c r="AJ845" s="24">
        <f>IF(D845="M",IF($AG845&lt;45,WeightSDS!M$23*$AG845^10+WeightSDS!N$23*$AG845^9+WeightSDS!O$23*$AG845^8+WeightSDS!P$23*$AG845^7+WeightSDS!Q$23*$AG845^6+WeightSDS!R$23*$AG845^5+WeightSDS!S$23*$AG845^4+WeightSDS!T$23*$AG845^3+WeightSDS!U$23*$AG845^2+WeightSDS!V$23*$AG845+WeightSDS!W$23,IF($AG845&lt;153,WeightSDS!M$25*$AG845^10+WeightSDS!N$25*$AG845^9+WeightSDS!O$25*$AG845^8+WeightSDS!P$25*$AG845^7+WeightSDS!Q$25*$AG845^6+WeightSDS!R$25*$AG845^5+WeightSDS!S$25*$AG845^4+WeightSDS!T$25*$AG845^3+WeightSDS!U$25*$AG845^2+WeightSDS!V$25*$AG845+WeightSDS!W$25,WeightSDS!M$27+WeightSDS!N$27/(1+EXP(WeightSDS!O$27+WeightSDS!P$27*$AG845)))),IF($AG845&lt;43.8,WeightSDS!M$29*$AG845^10+WeightSDS!N$29*$AG845^9+WeightSDS!O$29*$AG845^8+WeightSDS!P$29*$AG845^7+WeightSDS!Q$29*$AG845^6+WeightSDS!R$29*$AG845^5+WeightSDS!S$29*$AG845^4+WeightSDS!T$29*$AG845^3+WeightSDS!U$29*$AG845^2+WeightSDS!V$29*$AG845+WeightSDS!W$29-0.010431*(1-$AG845/210),IF($AG845&lt;123,WeightSDS!M$30*$AG845^10+WeightSDS!N$30*$AG845^9+WeightSDS!O$30*$AG845^8+WeightSDS!P$30*$AG845^7+WeightSDS!Q$30*$AG845^6+WeightSDS!R$30*$AG845^5+WeightSDS!S$30*$AG845^4+WeightSDS!T$30*$AG845^3+WeightSDS!U$30*$AG845^2+WeightSDS!V$30*$AG845+WeightSDS!W$30-0.010431*(1-1/$AG845),WeightSDS!M$32+WeightSDS!N$32/(1+EXP(WeightSDS!O$32+WeightSDS!P$32*$AG845))-0.010431*(1-$AG845/210))))</f>
        <v>2.9500001032655536</v>
      </c>
      <c r="AK845" s="24">
        <f>IF(D845="M",IF($AG845&lt;162,WeightSDS!P$12*$AG845^7+WeightSDS!Q$12*$AG845^6+WeightSDS!R$12*$AG845^5+WeightSDS!S$12*$AG845^4+WeightSDS!T$12*$AG845^3+WeightSDS!U$12*$AG845^2+WeightSDS!V$12*$AG845+WeightSDS!W$12,WeightSDS!P$14*$AG845^7+WeightSDS!Q$14*$AG845^6+WeightSDS!R$14*$AG845^5+WeightSDS!S$14*$AG845^4+WeightSDS!T$14*$AG845^3+WeightSDS!U$14*$AG845^2+WeightSDS!V$14*$AG845+WeightSDS!W$14),IF($AG845&lt;156,WeightSDS!O$17*$AG845^8+WeightSDS!P$17*$AG845^7+WeightSDS!Q$17*$AG845^6+WeightSDS!R$17*$AG845^5+WeightSDS!S$17*$AG845^4+WeightSDS!T$17*$AG845^3+WeightSDS!U$17*$AG845^2+WeightSDS!V$17*$AG845+WeightSDS!W$17,IF($AG845&lt;186,WeightSDS!$U$18+(WeightSDS!$V$18-WeightSDS!$U$18)/24*($AG845-186)+WeightSDS!$W$18*(-$AG845+186)^2-0.005,WeightSDS!$U$18+(WeightSDS!$V$18-WeightSDS!$U$18)/24*($AG845-186)-0.005)))</f>
        <v>0.14604529399999999</v>
      </c>
    </row>
    <row r="846" spans="1:37">
      <c r="A846" s="4"/>
      <c r="B846" s="21"/>
      <c r="C846" s="21"/>
      <c r="D846" s="21"/>
      <c r="E846" s="22"/>
      <c r="F846" s="22"/>
      <c r="G846" s="23"/>
      <c r="H846" s="23"/>
      <c r="I846" s="8" t="str">
        <f t="shared" si="210"/>
        <v/>
      </c>
      <c r="J846" s="2" t="str">
        <f t="shared" si="217"/>
        <v/>
      </c>
      <c r="K846" s="2" t="str">
        <f t="shared" si="211"/>
        <v/>
      </c>
      <c r="L846" s="2" t="str">
        <f t="shared" si="218"/>
        <v/>
      </c>
      <c r="M846" s="2" t="str">
        <f t="shared" si="223"/>
        <v/>
      </c>
      <c r="N846" s="2" t="str">
        <f t="shared" si="219"/>
        <v/>
      </c>
      <c r="O846" s="8" t="str">
        <f t="shared" si="220"/>
        <v/>
      </c>
      <c r="P846" s="8" t="str">
        <f t="shared" si="221"/>
        <v/>
      </c>
      <c r="Q846" s="40" t="str">
        <f t="shared" si="212"/>
        <v/>
      </c>
      <c r="R846" s="48" t="str">
        <f t="shared" si="222"/>
        <v/>
      </c>
      <c r="S846" s="8"/>
      <c r="U846" s="35">
        <f t="shared" si="213"/>
        <v>0</v>
      </c>
      <c r="V846" s="24">
        <f t="shared" si="214"/>
        <v>0</v>
      </c>
      <c r="W846" s="41">
        <f t="shared" si="209"/>
        <v>0</v>
      </c>
      <c r="X846" s="31"/>
      <c r="Y846" s="31"/>
      <c r="Z846" s="31"/>
      <c r="AA846" s="25">
        <f t="shared" si="215"/>
        <v>9.0359999999999996</v>
      </c>
      <c r="AB846" s="25">
        <f t="shared" si="216"/>
        <v>-184.49199999999999</v>
      </c>
      <c r="AD846" s="24">
        <f>IF(D846="M",IF(AG846&lt;78,BMILMS!$D$5*AG846^3+BMILMS!$E$5*AG846^2+BMILMS!$F$5*AG846+BMILMS!$G$5,IF(AG846&lt;150,BMILMS!$D$6*AG846^3+BMILMS!$E$6*AG846^2+BMILMS!$F$6*AG846+BMILMS!$G$6,BMILMS!$D$7*AG846^3+BMILMS!$E$7*AG846^2+BMILMS!$F$7*AG846+BMILMS!$G$7)),IF(AG846&lt;69,BMILMS!$D$9*AG846^3+BMILMS!$E$9*AG846^2+BMILMS!$F$9*AG846+BMILMS!$G$9,IF(AG846&lt;150,BMILMS!$D$10*AG846^3+BMILMS!$E$10*AG846^2+BMILMS!$F$10*AG846+BMILMS!$G$10,BMILMS!$D$11*AG846^3+BMILMS!$E$11*AG846^2+BMILMS!$F$11*AG846+BMILMS!$G$11)))</f>
        <v>0.79584630099999998</v>
      </c>
      <c r="AE846" s="24">
        <f>IF(D846="M",(IF(AG846&lt;2.5,BMILMS!$D$21*AG846^3+BMILMS!$E$21*AG846^2+BMILMS!$F$21*AG846+BMILMS!$G$21,IF(AG846&lt;9.5,BMILMS!$D$22*AG846^3+BMILMS!$E$22*AG846^2+BMILMS!$F$22*AG846+BMILMS!$G$22,IF(AG846&lt;26.75,BMILMS!$D$23*AG846^3+BMILMS!$E$23*AG846^2+BMILMS!$F$23*AG846+BMILMS!$G$23,IF(AG846&lt;90,BMILMS!$D$24*AG846^3+BMILMS!$E$24*AG846^2+BMILMS!$F$24*AG846+BMILMS!$G$24,BMILMS!$D$25*AG846^3+BMILMS!$E$25*AG846^2+BMILMS!$F$25*AG846+BMILMS!$G$25))))),(IF(AG846&lt;2.5,BMILMS!$D$27*AG846^3+BMILMS!$E$27*AG846^2+BMILMS!$F$27*AG846+BMILMS!$G$27,IF(AG846&lt;9.5,BMILMS!$D$28*AG846^3+BMILMS!$E$28*AG846^2+BMILMS!$F$28*AG846+BMILMS!$G$28,IF(AG846&lt;26.75,BMILMS!$D$29*AG846^3+BMILMS!$E$29*AG846^2+BMILMS!$F$29*AG846+BMILMS!$G$29,IF(AG846&lt;90,BMILMS!$D$30*AG846^3+BMILMS!$E$30*AG846^2+BMILMS!$F$30*AG846+BMILMS!$G$30,IF(AG846&lt;150,BMILMS!$D$31*AG846^3+BMILMS!$E$31*AG846^2+BMILMS!$F$31*AG846+BMILMS!$G$31,BMILMS!$D$32*AG846^3+BMILMS!$E$32*AG846^2+BMILMS!$F$32*AG846+BMILMS!$G$32)))))))</f>
        <v>12.568967990000001</v>
      </c>
      <c r="AF846" s="24">
        <f>IF(D846="M",(IF(AG846&lt;90,BMILMS!$D$14*AG846^3+BMILMS!$E$14*AG846^2+BMILMS!$F$14*AG846+BMILMS!$G$14,BMILMS!$D$15*AG846^3+BMILMS!$E$15*AG846^2+BMILMS!$F$15*AG846+BMILMS!$G$15)),(IF(AG846&lt;90,BMILMS!$D$17*AG846^3+BMILMS!$E$17*AG846^2+BMILMS!$F$17*AG846+BMILMS!$G$17,BMILMS!$D$18*AG846^3+BMILMS!$E$18*AG846^2+BMILMS!$F$18*AG846+BMILMS!$G$18)))</f>
        <v>8.8969350000000003E-2</v>
      </c>
      <c r="AG846" s="24">
        <f t="shared" si="224"/>
        <v>0</v>
      </c>
      <c r="AI846" s="38">
        <f>IF(D846="M",WeightSDS!P$5*$AG846^7+WeightSDS!Q$5*$AG846^6+WeightSDS!R$5*$AG846^5+WeightSDS!S$5*$AG846^4+WeightSDS!T$5*$AG846^3+WeightSDS!U$5*$AG846^2+WeightSDS!V$5*$AG846+WeightSDS!W$5,IF($AG846&lt;186,WeightSDS!P$8*$AG846^7+WeightSDS!Q$8*$AG846^6+WeightSDS!R$8*$AG846^5+WeightSDS!S$8*$AG846^4+WeightSDS!T$8*$AG846^3+WeightSDS!U$8*$AG846^2+WeightSDS!V$8*$AG846+WeightSDS!W$8,WeightSDS!$U$9-WeightSDS!$V$9*($AG846-WeightSDS!$W$9)))</f>
        <v>0.75407122999999998</v>
      </c>
      <c r="AJ846" s="24">
        <f>IF(D846="M",IF($AG846&lt;45,WeightSDS!M$23*$AG846^10+WeightSDS!N$23*$AG846^9+WeightSDS!O$23*$AG846^8+WeightSDS!P$23*$AG846^7+WeightSDS!Q$23*$AG846^6+WeightSDS!R$23*$AG846^5+WeightSDS!S$23*$AG846^4+WeightSDS!T$23*$AG846^3+WeightSDS!U$23*$AG846^2+WeightSDS!V$23*$AG846+WeightSDS!W$23,IF($AG846&lt;153,WeightSDS!M$25*$AG846^10+WeightSDS!N$25*$AG846^9+WeightSDS!O$25*$AG846^8+WeightSDS!P$25*$AG846^7+WeightSDS!Q$25*$AG846^6+WeightSDS!R$25*$AG846^5+WeightSDS!S$25*$AG846^4+WeightSDS!T$25*$AG846^3+WeightSDS!U$25*$AG846^2+WeightSDS!V$25*$AG846+WeightSDS!W$25,WeightSDS!M$27+WeightSDS!N$27/(1+EXP(WeightSDS!O$27+WeightSDS!P$27*$AG846)))),IF($AG846&lt;43.8,WeightSDS!M$29*$AG846^10+WeightSDS!N$29*$AG846^9+WeightSDS!O$29*$AG846^8+WeightSDS!P$29*$AG846^7+WeightSDS!Q$29*$AG846^6+WeightSDS!R$29*$AG846^5+WeightSDS!S$29*$AG846^4+WeightSDS!T$29*$AG846^3+WeightSDS!U$29*$AG846^2+WeightSDS!V$29*$AG846+WeightSDS!W$29-0.010431*(1-$AG846/210),IF($AG846&lt;123,WeightSDS!M$30*$AG846^10+WeightSDS!N$30*$AG846^9+WeightSDS!O$30*$AG846^8+WeightSDS!P$30*$AG846^7+WeightSDS!Q$30*$AG846^6+WeightSDS!R$30*$AG846^5+WeightSDS!S$30*$AG846^4+WeightSDS!T$30*$AG846^3+WeightSDS!U$30*$AG846^2+WeightSDS!V$30*$AG846+WeightSDS!W$30-0.010431*(1-1/$AG846),WeightSDS!M$32+WeightSDS!N$32/(1+EXP(WeightSDS!O$32+WeightSDS!P$32*$AG846))-0.010431*(1-$AG846/210))))</f>
        <v>2.9500001032655536</v>
      </c>
      <c r="AK846" s="24">
        <f>IF(D846="M",IF($AG846&lt;162,WeightSDS!P$12*$AG846^7+WeightSDS!Q$12*$AG846^6+WeightSDS!R$12*$AG846^5+WeightSDS!S$12*$AG846^4+WeightSDS!T$12*$AG846^3+WeightSDS!U$12*$AG846^2+WeightSDS!V$12*$AG846+WeightSDS!W$12,WeightSDS!P$14*$AG846^7+WeightSDS!Q$14*$AG846^6+WeightSDS!R$14*$AG846^5+WeightSDS!S$14*$AG846^4+WeightSDS!T$14*$AG846^3+WeightSDS!U$14*$AG846^2+WeightSDS!V$14*$AG846+WeightSDS!W$14),IF($AG846&lt;156,WeightSDS!O$17*$AG846^8+WeightSDS!P$17*$AG846^7+WeightSDS!Q$17*$AG846^6+WeightSDS!R$17*$AG846^5+WeightSDS!S$17*$AG846^4+WeightSDS!T$17*$AG846^3+WeightSDS!U$17*$AG846^2+WeightSDS!V$17*$AG846+WeightSDS!W$17,IF($AG846&lt;186,WeightSDS!$U$18+(WeightSDS!$V$18-WeightSDS!$U$18)/24*($AG846-186)+WeightSDS!$W$18*(-$AG846+186)^2-0.005,WeightSDS!$U$18+(WeightSDS!$V$18-WeightSDS!$U$18)/24*($AG846-186)-0.005)))</f>
        <v>0.14604529399999999</v>
      </c>
    </row>
    <row r="847" spans="1:37">
      <c r="A847" s="4"/>
      <c r="B847" s="21"/>
      <c r="C847" s="21"/>
      <c r="D847" s="21"/>
      <c r="E847" s="22"/>
      <c r="F847" s="22"/>
      <c r="G847" s="23"/>
      <c r="H847" s="23"/>
      <c r="I847" s="8" t="str">
        <f t="shared" si="210"/>
        <v/>
      </c>
      <c r="J847" s="2" t="str">
        <f t="shared" si="217"/>
        <v/>
      </c>
      <c r="K847" s="2" t="str">
        <f t="shared" si="211"/>
        <v/>
      </c>
      <c r="L847" s="2" t="str">
        <f t="shared" si="218"/>
        <v/>
      </c>
      <c r="M847" s="2" t="str">
        <f t="shared" si="223"/>
        <v/>
      </c>
      <c r="N847" s="2" t="str">
        <f t="shared" si="219"/>
        <v/>
      </c>
      <c r="O847" s="8" t="str">
        <f t="shared" si="220"/>
        <v/>
      </c>
      <c r="P847" s="8" t="str">
        <f t="shared" si="221"/>
        <v/>
      </c>
      <c r="Q847" s="40" t="str">
        <f t="shared" si="212"/>
        <v/>
      </c>
      <c r="R847" s="48" t="str">
        <f t="shared" si="222"/>
        <v/>
      </c>
      <c r="S847" s="8"/>
      <c r="U847" s="35">
        <f t="shared" si="213"/>
        <v>0</v>
      </c>
      <c r="V847" s="24">
        <f t="shared" si="214"/>
        <v>0</v>
      </c>
      <c r="W847" s="41">
        <f t="shared" si="209"/>
        <v>0</v>
      </c>
      <c r="X847" s="31"/>
      <c r="Y847" s="31"/>
      <c r="Z847" s="31"/>
      <c r="AA847" s="25">
        <f t="shared" si="215"/>
        <v>9.0359999999999996</v>
      </c>
      <c r="AB847" s="25">
        <f t="shared" si="216"/>
        <v>-184.49199999999999</v>
      </c>
      <c r="AD847" s="24">
        <f>IF(D847="M",IF(AG847&lt;78,BMILMS!$D$5*AG847^3+BMILMS!$E$5*AG847^2+BMILMS!$F$5*AG847+BMILMS!$G$5,IF(AG847&lt;150,BMILMS!$D$6*AG847^3+BMILMS!$E$6*AG847^2+BMILMS!$F$6*AG847+BMILMS!$G$6,BMILMS!$D$7*AG847^3+BMILMS!$E$7*AG847^2+BMILMS!$F$7*AG847+BMILMS!$G$7)),IF(AG847&lt;69,BMILMS!$D$9*AG847^3+BMILMS!$E$9*AG847^2+BMILMS!$F$9*AG847+BMILMS!$G$9,IF(AG847&lt;150,BMILMS!$D$10*AG847^3+BMILMS!$E$10*AG847^2+BMILMS!$F$10*AG847+BMILMS!$G$10,BMILMS!$D$11*AG847^3+BMILMS!$E$11*AG847^2+BMILMS!$F$11*AG847+BMILMS!$G$11)))</f>
        <v>0.79584630099999998</v>
      </c>
      <c r="AE847" s="24">
        <f>IF(D847="M",(IF(AG847&lt;2.5,BMILMS!$D$21*AG847^3+BMILMS!$E$21*AG847^2+BMILMS!$F$21*AG847+BMILMS!$G$21,IF(AG847&lt;9.5,BMILMS!$D$22*AG847^3+BMILMS!$E$22*AG847^2+BMILMS!$F$22*AG847+BMILMS!$G$22,IF(AG847&lt;26.75,BMILMS!$D$23*AG847^3+BMILMS!$E$23*AG847^2+BMILMS!$F$23*AG847+BMILMS!$G$23,IF(AG847&lt;90,BMILMS!$D$24*AG847^3+BMILMS!$E$24*AG847^2+BMILMS!$F$24*AG847+BMILMS!$G$24,BMILMS!$D$25*AG847^3+BMILMS!$E$25*AG847^2+BMILMS!$F$25*AG847+BMILMS!$G$25))))),(IF(AG847&lt;2.5,BMILMS!$D$27*AG847^3+BMILMS!$E$27*AG847^2+BMILMS!$F$27*AG847+BMILMS!$G$27,IF(AG847&lt;9.5,BMILMS!$D$28*AG847^3+BMILMS!$E$28*AG847^2+BMILMS!$F$28*AG847+BMILMS!$G$28,IF(AG847&lt;26.75,BMILMS!$D$29*AG847^3+BMILMS!$E$29*AG847^2+BMILMS!$F$29*AG847+BMILMS!$G$29,IF(AG847&lt;90,BMILMS!$D$30*AG847^3+BMILMS!$E$30*AG847^2+BMILMS!$F$30*AG847+BMILMS!$G$30,IF(AG847&lt;150,BMILMS!$D$31*AG847^3+BMILMS!$E$31*AG847^2+BMILMS!$F$31*AG847+BMILMS!$G$31,BMILMS!$D$32*AG847^3+BMILMS!$E$32*AG847^2+BMILMS!$F$32*AG847+BMILMS!$G$32)))))))</f>
        <v>12.568967990000001</v>
      </c>
      <c r="AF847" s="24">
        <f>IF(D847="M",(IF(AG847&lt;90,BMILMS!$D$14*AG847^3+BMILMS!$E$14*AG847^2+BMILMS!$F$14*AG847+BMILMS!$G$14,BMILMS!$D$15*AG847^3+BMILMS!$E$15*AG847^2+BMILMS!$F$15*AG847+BMILMS!$G$15)),(IF(AG847&lt;90,BMILMS!$D$17*AG847^3+BMILMS!$E$17*AG847^2+BMILMS!$F$17*AG847+BMILMS!$G$17,BMILMS!$D$18*AG847^3+BMILMS!$E$18*AG847^2+BMILMS!$F$18*AG847+BMILMS!$G$18)))</f>
        <v>8.8969350000000003E-2</v>
      </c>
      <c r="AG847" s="24">
        <f t="shared" si="224"/>
        <v>0</v>
      </c>
      <c r="AI847" s="38">
        <f>IF(D847="M",WeightSDS!P$5*$AG847^7+WeightSDS!Q$5*$AG847^6+WeightSDS!R$5*$AG847^5+WeightSDS!S$5*$AG847^4+WeightSDS!T$5*$AG847^3+WeightSDS!U$5*$AG847^2+WeightSDS!V$5*$AG847+WeightSDS!W$5,IF($AG847&lt;186,WeightSDS!P$8*$AG847^7+WeightSDS!Q$8*$AG847^6+WeightSDS!R$8*$AG847^5+WeightSDS!S$8*$AG847^4+WeightSDS!T$8*$AG847^3+WeightSDS!U$8*$AG847^2+WeightSDS!V$8*$AG847+WeightSDS!W$8,WeightSDS!$U$9-WeightSDS!$V$9*($AG847-WeightSDS!$W$9)))</f>
        <v>0.75407122999999998</v>
      </c>
      <c r="AJ847" s="24">
        <f>IF(D847="M",IF($AG847&lt;45,WeightSDS!M$23*$AG847^10+WeightSDS!N$23*$AG847^9+WeightSDS!O$23*$AG847^8+WeightSDS!P$23*$AG847^7+WeightSDS!Q$23*$AG847^6+WeightSDS!R$23*$AG847^5+WeightSDS!S$23*$AG847^4+WeightSDS!T$23*$AG847^3+WeightSDS!U$23*$AG847^2+WeightSDS!V$23*$AG847+WeightSDS!W$23,IF($AG847&lt;153,WeightSDS!M$25*$AG847^10+WeightSDS!N$25*$AG847^9+WeightSDS!O$25*$AG847^8+WeightSDS!P$25*$AG847^7+WeightSDS!Q$25*$AG847^6+WeightSDS!R$25*$AG847^5+WeightSDS!S$25*$AG847^4+WeightSDS!T$25*$AG847^3+WeightSDS!U$25*$AG847^2+WeightSDS!V$25*$AG847+WeightSDS!W$25,WeightSDS!M$27+WeightSDS!N$27/(1+EXP(WeightSDS!O$27+WeightSDS!P$27*$AG847)))),IF($AG847&lt;43.8,WeightSDS!M$29*$AG847^10+WeightSDS!N$29*$AG847^9+WeightSDS!O$29*$AG847^8+WeightSDS!P$29*$AG847^7+WeightSDS!Q$29*$AG847^6+WeightSDS!R$29*$AG847^5+WeightSDS!S$29*$AG847^4+WeightSDS!T$29*$AG847^3+WeightSDS!U$29*$AG847^2+WeightSDS!V$29*$AG847+WeightSDS!W$29-0.010431*(1-$AG847/210),IF($AG847&lt;123,WeightSDS!M$30*$AG847^10+WeightSDS!N$30*$AG847^9+WeightSDS!O$30*$AG847^8+WeightSDS!P$30*$AG847^7+WeightSDS!Q$30*$AG847^6+WeightSDS!R$30*$AG847^5+WeightSDS!S$30*$AG847^4+WeightSDS!T$30*$AG847^3+WeightSDS!U$30*$AG847^2+WeightSDS!V$30*$AG847+WeightSDS!W$30-0.010431*(1-1/$AG847),WeightSDS!M$32+WeightSDS!N$32/(1+EXP(WeightSDS!O$32+WeightSDS!P$32*$AG847))-0.010431*(1-$AG847/210))))</f>
        <v>2.9500001032655536</v>
      </c>
      <c r="AK847" s="24">
        <f>IF(D847="M",IF($AG847&lt;162,WeightSDS!P$12*$AG847^7+WeightSDS!Q$12*$AG847^6+WeightSDS!R$12*$AG847^5+WeightSDS!S$12*$AG847^4+WeightSDS!T$12*$AG847^3+WeightSDS!U$12*$AG847^2+WeightSDS!V$12*$AG847+WeightSDS!W$12,WeightSDS!P$14*$AG847^7+WeightSDS!Q$14*$AG847^6+WeightSDS!R$14*$AG847^5+WeightSDS!S$14*$AG847^4+WeightSDS!T$14*$AG847^3+WeightSDS!U$14*$AG847^2+WeightSDS!V$14*$AG847+WeightSDS!W$14),IF($AG847&lt;156,WeightSDS!O$17*$AG847^8+WeightSDS!P$17*$AG847^7+WeightSDS!Q$17*$AG847^6+WeightSDS!R$17*$AG847^5+WeightSDS!S$17*$AG847^4+WeightSDS!T$17*$AG847^3+WeightSDS!U$17*$AG847^2+WeightSDS!V$17*$AG847+WeightSDS!W$17,IF($AG847&lt;186,WeightSDS!$U$18+(WeightSDS!$V$18-WeightSDS!$U$18)/24*($AG847-186)+WeightSDS!$W$18*(-$AG847+186)^2-0.005,WeightSDS!$U$18+(WeightSDS!$V$18-WeightSDS!$U$18)/24*($AG847-186)-0.005)))</f>
        <v>0.14604529399999999</v>
      </c>
    </row>
    <row r="848" spans="1:37">
      <c r="A848" s="4"/>
      <c r="B848" s="21"/>
      <c r="C848" s="21"/>
      <c r="D848" s="21"/>
      <c r="E848" s="22"/>
      <c r="F848" s="22"/>
      <c r="G848" s="23"/>
      <c r="H848" s="23"/>
      <c r="I848" s="8" t="str">
        <f t="shared" si="210"/>
        <v/>
      </c>
      <c r="J848" s="2" t="str">
        <f t="shared" si="217"/>
        <v/>
      </c>
      <c r="K848" s="2" t="str">
        <f t="shared" si="211"/>
        <v/>
      </c>
      <c r="L848" s="2" t="str">
        <f t="shared" si="218"/>
        <v/>
      </c>
      <c r="M848" s="2" t="str">
        <f t="shared" si="223"/>
        <v/>
      </c>
      <c r="N848" s="2" t="str">
        <f t="shared" si="219"/>
        <v/>
      </c>
      <c r="O848" s="8" t="str">
        <f t="shared" si="220"/>
        <v/>
      </c>
      <c r="P848" s="8" t="str">
        <f t="shared" si="221"/>
        <v/>
      </c>
      <c r="Q848" s="40" t="str">
        <f t="shared" si="212"/>
        <v/>
      </c>
      <c r="R848" s="48" t="str">
        <f t="shared" si="222"/>
        <v/>
      </c>
      <c r="S848" s="8"/>
      <c r="U848" s="35">
        <f t="shared" si="213"/>
        <v>0</v>
      </c>
      <c r="V848" s="24">
        <f t="shared" si="214"/>
        <v>0</v>
      </c>
      <c r="W848" s="41">
        <f t="shared" si="209"/>
        <v>0</v>
      </c>
      <c r="X848" s="31"/>
      <c r="Y848" s="31"/>
      <c r="Z848" s="31"/>
      <c r="AA848" s="25">
        <f t="shared" si="215"/>
        <v>9.0359999999999996</v>
      </c>
      <c r="AB848" s="25">
        <f t="shared" si="216"/>
        <v>-184.49199999999999</v>
      </c>
      <c r="AD848" s="24">
        <f>IF(D848="M",IF(AG848&lt;78,BMILMS!$D$5*AG848^3+BMILMS!$E$5*AG848^2+BMILMS!$F$5*AG848+BMILMS!$G$5,IF(AG848&lt;150,BMILMS!$D$6*AG848^3+BMILMS!$E$6*AG848^2+BMILMS!$F$6*AG848+BMILMS!$G$6,BMILMS!$D$7*AG848^3+BMILMS!$E$7*AG848^2+BMILMS!$F$7*AG848+BMILMS!$G$7)),IF(AG848&lt;69,BMILMS!$D$9*AG848^3+BMILMS!$E$9*AG848^2+BMILMS!$F$9*AG848+BMILMS!$G$9,IF(AG848&lt;150,BMILMS!$D$10*AG848^3+BMILMS!$E$10*AG848^2+BMILMS!$F$10*AG848+BMILMS!$G$10,BMILMS!$D$11*AG848^3+BMILMS!$E$11*AG848^2+BMILMS!$F$11*AG848+BMILMS!$G$11)))</f>
        <v>0.79584630099999998</v>
      </c>
      <c r="AE848" s="24">
        <f>IF(D848="M",(IF(AG848&lt;2.5,BMILMS!$D$21*AG848^3+BMILMS!$E$21*AG848^2+BMILMS!$F$21*AG848+BMILMS!$G$21,IF(AG848&lt;9.5,BMILMS!$D$22*AG848^3+BMILMS!$E$22*AG848^2+BMILMS!$F$22*AG848+BMILMS!$G$22,IF(AG848&lt;26.75,BMILMS!$D$23*AG848^3+BMILMS!$E$23*AG848^2+BMILMS!$F$23*AG848+BMILMS!$G$23,IF(AG848&lt;90,BMILMS!$D$24*AG848^3+BMILMS!$E$24*AG848^2+BMILMS!$F$24*AG848+BMILMS!$G$24,BMILMS!$D$25*AG848^3+BMILMS!$E$25*AG848^2+BMILMS!$F$25*AG848+BMILMS!$G$25))))),(IF(AG848&lt;2.5,BMILMS!$D$27*AG848^3+BMILMS!$E$27*AG848^2+BMILMS!$F$27*AG848+BMILMS!$G$27,IF(AG848&lt;9.5,BMILMS!$D$28*AG848^3+BMILMS!$E$28*AG848^2+BMILMS!$F$28*AG848+BMILMS!$G$28,IF(AG848&lt;26.75,BMILMS!$D$29*AG848^3+BMILMS!$E$29*AG848^2+BMILMS!$F$29*AG848+BMILMS!$G$29,IF(AG848&lt;90,BMILMS!$D$30*AG848^3+BMILMS!$E$30*AG848^2+BMILMS!$F$30*AG848+BMILMS!$G$30,IF(AG848&lt;150,BMILMS!$D$31*AG848^3+BMILMS!$E$31*AG848^2+BMILMS!$F$31*AG848+BMILMS!$G$31,BMILMS!$D$32*AG848^3+BMILMS!$E$32*AG848^2+BMILMS!$F$32*AG848+BMILMS!$G$32)))))))</f>
        <v>12.568967990000001</v>
      </c>
      <c r="AF848" s="24">
        <f>IF(D848="M",(IF(AG848&lt;90,BMILMS!$D$14*AG848^3+BMILMS!$E$14*AG848^2+BMILMS!$F$14*AG848+BMILMS!$G$14,BMILMS!$D$15*AG848^3+BMILMS!$E$15*AG848^2+BMILMS!$F$15*AG848+BMILMS!$G$15)),(IF(AG848&lt;90,BMILMS!$D$17*AG848^3+BMILMS!$E$17*AG848^2+BMILMS!$F$17*AG848+BMILMS!$G$17,BMILMS!$D$18*AG848^3+BMILMS!$E$18*AG848^2+BMILMS!$F$18*AG848+BMILMS!$G$18)))</f>
        <v>8.8969350000000003E-2</v>
      </c>
      <c r="AG848" s="24">
        <f t="shared" si="224"/>
        <v>0</v>
      </c>
      <c r="AI848" s="38">
        <f>IF(D848="M",WeightSDS!P$5*$AG848^7+WeightSDS!Q$5*$AG848^6+WeightSDS!R$5*$AG848^5+WeightSDS!S$5*$AG848^4+WeightSDS!T$5*$AG848^3+WeightSDS!U$5*$AG848^2+WeightSDS!V$5*$AG848+WeightSDS!W$5,IF($AG848&lt;186,WeightSDS!P$8*$AG848^7+WeightSDS!Q$8*$AG848^6+WeightSDS!R$8*$AG848^5+WeightSDS!S$8*$AG848^4+WeightSDS!T$8*$AG848^3+WeightSDS!U$8*$AG848^2+WeightSDS!V$8*$AG848+WeightSDS!W$8,WeightSDS!$U$9-WeightSDS!$V$9*($AG848-WeightSDS!$W$9)))</f>
        <v>0.75407122999999998</v>
      </c>
      <c r="AJ848" s="24">
        <f>IF(D848="M",IF($AG848&lt;45,WeightSDS!M$23*$AG848^10+WeightSDS!N$23*$AG848^9+WeightSDS!O$23*$AG848^8+WeightSDS!P$23*$AG848^7+WeightSDS!Q$23*$AG848^6+WeightSDS!R$23*$AG848^5+WeightSDS!S$23*$AG848^4+WeightSDS!T$23*$AG848^3+WeightSDS!U$23*$AG848^2+WeightSDS!V$23*$AG848+WeightSDS!W$23,IF($AG848&lt;153,WeightSDS!M$25*$AG848^10+WeightSDS!N$25*$AG848^9+WeightSDS!O$25*$AG848^8+WeightSDS!P$25*$AG848^7+WeightSDS!Q$25*$AG848^6+WeightSDS!R$25*$AG848^5+WeightSDS!S$25*$AG848^4+WeightSDS!T$25*$AG848^3+WeightSDS!U$25*$AG848^2+WeightSDS!V$25*$AG848+WeightSDS!W$25,WeightSDS!M$27+WeightSDS!N$27/(1+EXP(WeightSDS!O$27+WeightSDS!P$27*$AG848)))),IF($AG848&lt;43.8,WeightSDS!M$29*$AG848^10+WeightSDS!N$29*$AG848^9+WeightSDS!O$29*$AG848^8+WeightSDS!P$29*$AG848^7+WeightSDS!Q$29*$AG848^6+WeightSDS!R$29*$AG848^5+WeightSDS!S$29*$AG848^4+WeightSDS!T$29*$AG848^3+WeightSDS!U$29*$AG848^2+WeightSDS!V$29*$AG848+WeightSDS!W$29-0.010431*(1-$AG848/210),IF($AG848&lt;123,WeightSDS!M$30*$AG848^10+WeightSDS!N$30*$AG848^9+WeightSDS!O$30*$AG848^8+WeightSDS!P$30*$AG848^7+WeightSDS!Q$30*$AG848^6+WeightSDS!R$30*$AG848^5+WeightSDS!S$30*$AG848^4+WeightSDS!T$30*$AG848^3+WeightSDS!U$30*$AG848^2+WeightSDS!V$30*$AG848+WeightSDS!W$30-0.010431*(1-1/$AG848),WeightSDS!M$32+WeightSDS!N$32/(1+EXP(WeightSDS!O$32+WeightSDS!P$32*$AG848))-0.010431*(1-$AG848/210))))</f>
        <v>2.9500001032655536</v>
      </c>
      <c r="AK848" s="24">
        <f>IF(D848="M",IF($AG848&lt;162,WeightSDS!P$12*$AG848^7+WeightSDS!Q$12*$AG848^6+WeightSDS!R$12*$AG848^5+WeightSDS!S$12*$AG848^4+WeightSDS!T$12*$AG848^3+WeightSDS!U$12*$AG848^2+WeightSDS!V$12*$AG848+WeightSDS!W$12,WeightSDS!P$14*$AG848^7+WeightSDS!Q$14*$AG848^6+WeightSDS!R$14*$AG848^5+WeightSDS!S$14*$AG848^4+WeightSDS!T$14*$AG848^3+WeightSDS!U$14*$AG848^2+WeightSDS!V$14*$AG848+WeightSDS!W$14),IF($AG848&lt;156,WeightSDS!O$17*$AG848^8+WeightSDS!P$17*$AG848^7+WeightSDS!Q$17*$AG848^6+WeightSDS!R$17*$AG848^5+WeightSDS!S$17*$AG848^4+WeightSDS!T$17*$AG848^3+WeightSDS!U$17*$AG848^2+WeightSDS!V$17*$AG848+WeightSDS!W$17,IF($AG848&lt;186,WeightSDS!$U$18+(WeightSDS!$V$18-WeightSDS!$U$18)/24*($AG848-186)+WeightSDS!$W$18*(-$AG848+186)^2-0.005,WeightSDS!$U$18+(WeightSDS!$V$18-WeightSDS!$U$18)/24*($AG848-186)-0.005)))</f>
        <v>0.14604529399999999</v>
      </c>
    </row>
    <row r="849" spans="1:37">
      <c r="A849" s="4"/>
      <c r="B849" s="21"/>
      <c r="C849" s="21"/>
      <c r="D849" s="21"/>
      <c r="E849" s="22"/>
      <c r="F849" s="22"/>
      <c r="G849" s="23"/>
      <c r="H849" s="23"/>
      <c r="I849" s="8" t="str">
        <f t="shared" si="210"/>
        <v/>
      </c>
      <c r="J849" s="2" t="str">
        <f t="shared" si="217"/>
        <v/>
      </c>
      <c r="K849" s="2" t="str">
        <f t="shared" si="211"/>
        <v/>
      </c>
      <c r="L849" s="2" t="str">
        <f t="shared" si="218"/>
        <v/>
      </c>
      <c r="M849" s="2" t="str">
        <f t="shared" si="223"/>
        <v/>
      </c>
      <c r="N849" s="2" t="str">
        <f t="shared" si="219"/>
        <v/>
      </c>
      <c r="O849" s="8" t="str">
        <f t="shared" si="220"/>
        <v/>
      </c>
      <c r="P849" s="8" t="str">
        <f t="shared" si="221"/>
        <v/>
      </c>
      <c r="Q849" s="40" t="str">
        <f t="shared" si="212"/>
        <v/>
      </c>
      <c r="R849" s="48" t="str">
        <f t="shared" si="222"/>
        <v/>
      </c>
      <c r="S849" s="8"/>
      <c r="U849" s="35">
        <f t="shared" si="213"/>
        <v>0</v>
      </c>
      <c r="V849" s="24">
        <f t="shared" si="214"/>
        <v>0</v>
      </c>
      <c r="W849" s="41">
        <f t="shared" si="209"/>
        <v>0</v>
      </c>
      <c r="X849" s="31"/>
      <c r="Y849" s="31"/>
      <c r="Z849" s="31"/>
      <c r="AA849" s="25">
        <f t="shared" si="215"/>
        <v>9.0359999999999996</v>
      </c>
      <c r="AB849" s="25">
        <f t="shared" si="216"/>
        <v>-184.49199999999999</v>
      </c>
      <c r="AD849" s="24">
        <f>IF(D849="M",IF(AG849&lt;78,BMILMS!$D$5*AG849^3+BMILMS!$E$5*AG849^2+BMILMS!$F$5*AG849+BMILMS!$G$5,IF(AG849&lt;150,BMILMS!$D$6*AG849^3+BMILMS!$E$6*AG849^2+BMILMS!$F$6*AG849+BMILMS!$G$6,BMILMS!$D$7*AG849^3+BMILMS!$E$7*AG849^2+BMILMS!$F$7*AG849+BMILMS!$G$7)),IF(AG849&lt;69,BMILMS!$D$9*AG849^3+BMILMS!$E$9*AG849^2+BMILMS!$F$9*AG849+BMILMS!$G$9,IF(AG849&lt;150,BMILMS!$D$10*AG849^3+BMILMS!$E$10*AG849^2+BMILMS!$F$10*AG849+BMILMS!$G$10,BMILMS!$D$11*AG849^3+BMILMS!$E$11*AG849^2+BMILMS!$F$11*AG849+BMILMS!$G$11)))</f>
        <v>0.79584630099999998</v>
      </c>
      <c r="AE849" s="24">
        <f>IF(D849="M",(IF(AG849&lt;2.5,BMILMS!$D$21*AG849^3+BMILMS!$E$21*AG849^2+BMILMS!$F$21*AG849+BMILMS!$G$21,IF(AG849&lt;9.5,BMILMS!$D$22*AG849^3+BMILMS!$E$22*AG849^2+BMILMS!$F$22*AG849+BMILMS!$G$22,IF(AG849&lt;26.75,BMILMS!$D$23*AG849^3+BMILMS!$E$23*AG849^2+BMILMS!$F$23*AG849+BMILMS!$G$23,IF(AG849&lt;90,BMILMS!$D$24*AG849^3+BMILMS!$E$24*AG849^2+BMILMS!$F$24*AG849+BMILMS!$G$24,BMILMS!$D$25*AG849^3+BMILMS!$E$25*AG849^2+BMILMS!$F$25*AG849+BMILMS!$G$25))))),(IF(AG849&lt;2.5,BMILMS!$D$27*AG849^3+BMILMS!$E$27*AG849^2+BMILMS!$F$27*AG849+BMILMS!$G$27,IF(AG849&lt;9.5,BMILMS!$D$28*AG849^3+BMILMS!$E$28*AG849^2+BMILMS!$F$28*AG849+BMILMS!$G$28,IF(AG849&lt;26.75,BMILMS!$D$29*AG849^3+BMILMS!$E$29*AG849^2+BMILMS!$F$29*AG849+BMILMS!$G$29,IF(AG849&lt;90,BMILMS!$D$30*AG849^3+BMILMS!$E$30*AG849^2+BMILMS!$F$30*AG849+BMILMS!$G$30,IF(AG849&lt;150,BMILMS!$D$31*AG849^3+BMILMS!$E$31*AG849^2+BMILMS!$F$31*AG849+BMILMS!$G$31,BMILMS!$D$32*AG849^3+BMILMS!$E$32*AG849^2+BMILMS!$F$32*AG849+BMILMS!$G$32)))))))</f>
        <v>12.568967990000001</v>
      </c>
      <c r="AF849" s="24">
        <f>IF(D849="M",(IF(AG849&lt;90,BMILMS!$D$14*AG849^3+BMILMS!$E$14*AG849^2+BMILMS!$F$14*AG849+BMILMS!$G$14,BMILMS!$D$15*AG849^3+BMILMS!$E$15*AG849^2+BMILMS!$F$15*AG849+BMILMS!$G$15)),(IF(AG849&lt;90,BMILMS!$D$17*AG849^3+BMILMS!$E$17*AG849^2+BMILMS!$F$17*AG849+BMILMS!$G$17,BMILMS!$D$18*AG849^3+BMILMS!$E$18*AG849^2+BMILMS!$F$18*AG849+BMILMS!$G$18)))</f>
        <v>8.8969350000000003E-2</v>
      </c>
      <c r="AG849" s="24">
        <f t="shared" si="224"/>
        <v>0</v>
      </c>
      <c r="AI849" s="38">
        <f>IF(D849="M",WeightSDS!P$5*$AG849^7+WeightSDS!Q$5*$AG849^6+WeightSDS!R$5*$AG849^5+WeightSDS!S$5*$AG849^4+WeightSDS!T$5*$AG849^3+WeightSDS!U$5*$AG849^2+WeightSDS!V$5*$AG849+WeightSDS!W$5,IF($AG849&lt;186,WeightSDS!P$8*$AG849^7+WeightSDS!Q$8*$AG849^6+WeightSDS!R$8*$AG849^5+WeightSDS!S$8*$AG849^4+WeightSDS!T$8*$AG849^3+WeightSDS!U$8*$AG849^2+WeightSDS!V$8*$AG849+WeightSDS!W$8,WeightSDS!$U$9-WeightSDS!$V$9*($AG849-WeightSDS!$W$9)))</f>
        <v>0.75407122999999998</v>
      </c>
      <c r="AJ849" s="24">
        <f>IF(D849="M",IF($AG849&lt;45,WeightSDS!M$23*$AG849^10+WeightSDS!N$23*$AG849^9+WeightSDS!O$23*$AG849^8+WeightSDS!P$23*$AG849^7+WeightSDS!Q$23*$AG849^6+WeightSDS!R$23*$AG849^5+WeightSDS!S$23*$AG849^4+WeightSDS!T$23*$AG849^3+WeightSDS!U$23*$AG849^2+WeightSDS!V$23*$AG849+WeightSDS!W$23,IF($AG849&lt;153,WeightSDS!M$25*$AG849^10+WeightSDS!N$25*$AG849^9+WeightSDS!O$25*$AG849^8+WeightSDS!P$25*$AG849^7+WeightSDS!Q$25*$AG849^6+WeightSDS!R$25*$AG849^5+WeightSDS!S$25*$AG849^4+WeightSDS!T$25*$AG849^3+WeightSDS!U$25*$AG849^2+WeightSDS!V$25*$AG849+WeightSDS!W$25,WeightSDS!M$27+WeightSDS!N$27/(1+EXP(WeightSDS!O$27+WeightSDS!P$27*$AG849)))),IF($AG849&lt;43.8,WeightSDS!M$29*$AG849^10+WeightSDS!N$29*$AG849^9+WeightSDS!O$29*$AG849^8+WeightSDS!P$29*$AG849^7+WeightSDS!Q$29*$AG849^6+WeightSDS!R$29*$AG849^5+WeightSDS!S$29*$AG849^4+WeightSDS!T$29*$AG849^3+WeightSDS!U$29*$AG849^2+WeightSDS!V$29*$AG849+WeightSDS!W$29-0.010431*(1-$AG849/210),IF($AG849&lt;123,WeightSDS!M$30*$AG849^10+WeightSDS!N$30*$AG849^9+WeightSDS!O$30*$AG849^8+WeightSDS!P$30*$AG849^7+WeightSDS!Q$30*$AG849^6+WeightSDS!R$30*$AG849^5+WeightSDS!S$30*$AG849^4+WeightSDS!T$30*$AG849^3+WeightSDS!U$30*$AG849^2+WeightSDS!V$30*$AG849+WeightSDS!W$30-0.010431*(1-1/$AG849),WeightSDS!M$32+WeightSDS!N$32/(1+EXP(WeightSDS!O$32+WeightSDS!P$32*$AG849))-0.010431*(1-$AG849/210))))</f>
        <v>2.9500001032655536</v>
      </c>
      <c r="AK849" s="24">
        <f>IF(D849="M",IF($AG849&lt;162,WeightSDS!P$12*$AG849^7+WeightSDS!Q$12*$AG849^6+WeightSDS!R$12*$AG849^5+WeightSDS!S$12*$AG849^4+WeightSDS!T$12*$AG849^3+WeightSDS!U$12*$AG849^2+WeightSDS!V$12*$AG849+WeightSDS!W$12,WeightSDS!P$14*$AG849^7+WeightSDS!Q$14*$AG849^6+WeightSDS!R$14*$AG849^5+WeightSDS!S$14*$AG849^4+WeightSDS!T$14*$AG849^3+WeightSDS!U$14*$AG849^2+WeightSDS!V$14*$AG849+WeightSDS!W$14),IF($AG849&lt;156,WeightSDS!O$17*$AG849^8+WeightSDS!P$17*$AG849^7+WeightSDS!Q$17*$AG849^6+WeightSDS!R$17*$AG849^5+WeightSDS!S$17*$AG849^4+WeightSDS!T$17*$AG849^3+WeightSDS!U$17*$AG849^2+WeightSDS!V$17*$AG849+WeightSDS!W$17,IF($AG849&lt;186,WeightSDS!$U$18+(WeightSDS!$V$18-WeightSDS!$U$18)/24*($AG849-186)+WeightSDS!$W$18*(-$AG849+186)^2-0.005,WeightSDS!$U$18+(WeightSDS!$V$18-WeightSDS!$U$18)/24*($AG849-186)-0.005)))</f>
        <v>0.14604529399999999</v>
      </c>
    </row>
    <row r="850" spans="1:37">
      <c r="A850" s="4"/>
      <c r="B850" s="21"/>
      <c r="C850" s="21"/>
      <c r="D850" s="21"/>
      <c r="E850" s="22"/>
      <c r="F850" s="22"/>
      <c r="G850" s="23"/>
      <c r="H850" s="23"/>
      <c r="I850" s="8" t="str">
        <f t="shared" si="210"/>
        <v/>
      </c>
      <c r="J850" s="2" t="str">
        <f t="shared" si="217"/>
        <v/>
      </c>
      <c r="K850" s="2" t="str">
        <f t="shared" si="211"/>
        <v/>
      </c>
      <c r="L850" s="2" t="str">
        <f t="shared" si="218"/>
        <v/>
      </c>
      <c r="M850" s="2" t="str">
        <f t="shared" si="223"/>
        <v/>
      </c>
      <c r="N850" s="2" t="str">
        <f t="shared" si="219"/>
        <v/>
      </c>
      <c r="O850" s="8" t="str">
        <f t="shared" si="220"/>
        <v/>
      </c>
      <c r="P850" s="8" t="str">
        <f t="shared" si="221"/>
        <v/>
      </c>
      <c r="Q850" s="40" t="str">
        <f t="shared" si="212"/>
        <v/>
      </c>
      <c r="R850" s="48" t="str">
        <f t="shared" si="222"/>
        <v/>
      </c>
      <c r="S850" s="8"/>
      <c r="U850" s="35">
        <f t="shared" si="213"/>
        <v>0</v>
      </c>
      <c r="V850" s="24">
        <f t="shared" si="214"/>
        <v>0</v>
      </c>
      <c r="W850" s="41">
        <f t="shared" si="209"/>
        <v>0</v>
      </c>
      <c r="X850" s="31"/>
      <c r="Y850" s="31"/>
      <c r="Z850" s="31"/>
      <c r="AA850" s="25">
        <f t="shared" si="215"/>
        <v>9.0359999999999996</v>
      </c>
      <c r="AB850" s="25">
        <f t="shared" si="216"/>
        <v>-184.49199999999999</v>
      </c>
      <c r="AD850" s="24">
        <f>IF(D850="M",IF(AG850&lt;78,BMILMS!$D$5*AG850^3+BMILMS!$E$5*AG850^2+BMILMS!$F$5*AG850+BMILMS!$G$5,IF(AG850&lt;150,BMILMS!$D$6*AG850^3+BMILMS!$E$6*AG850^2+BMILMS!$F$6*AG850+BMILMS!$G$6,BMILMS!$D$7*AG850^3+BMILMS!$E$7*AG850^2+BMILMS!$F$7*AG850+BMILMS!$G$7)),IF(AG850&lt;69,BMILMS!$D$9*AG850^3+BMILMS!$E$9*AG850^2+BMILMS!$F$9*AG850+BMILMS!$G$9,IF(AG850&lt;150,BMILMS!$D$10*AG850^3+BMILMS!$E$10*AG850^2+BMILMS!$F$10*AG850+BMILMS!$G$10,BMILMS!$D$11*AG850^3+BMILMS!$E$11*AG850^2+BMILMS!$F$11*AG850+BMILMS!$G$11)))</f>
        <v>0.79584630099999998</v>
      </c>
      <c r="AE850" s="24">
        <f>IF(D850="M",(IF(AG850&lt;2.5,BMILMS!$D$21*AG850^3+BMILMS!$E$21*AG850^2+BMILMS!$F$21*AG850+BMILMS!$G$21,IF(AG850&lt;9.5,BMILMS!$D$22*AG850^3+BMILMS!$E$22*AG850^2+BMILMS!$F$22*AG850+BMILMS!$G$22,IF(AG850&lt;26.75,BMILMS!$D$23*AG850^3+BMILMS!$E$23*AG850^2+BMILMS!$F$23*AG850+BMILMS!$G$23,IF(AG850&lt;90,BMILMS!$D$24*AG850^3+BMILMS!$E$24*AG850^2+BMILMS!$F$24*AG850+BMILMS!$G$24,BMILMS!$D$25*AG850^3+BMILMS!$E$25*AG850^2+BMILMS!$F$25*AG850+BMILMS!$G$25))))),(IF(AG850&lt;2.5,BMILMS!$D$27*AG850^3+BMILMS!$E$27*AG850^2+BMILMS!$F$27*AG850+BMILMS!$G$27,IF(AG850&lt;9.5,BMILMS!$D$28*AG850^3+BMILMS!$E$28*AG850^2+BMILMS!$F$28*AG850+BMILMS!$G$28,IF(AG850&lt;26.75,BMILMS!$D$29*AG850^3+BMILMS!$E$29*AG850^2+BMILMS!$F$29*AG850+BMILMS!$G$29,IF(AG850&lt;90,BMILMS!$D$30*AG850^3+BMILMS!$E$30*AG850^2+BMILMS!$F$30*AG850+BMILMS!$G$30,IF(AG850&lt;150,BMILMS!$D$31*AG850^3+BMILMS!$E$31*AG850^2+BMILMS!$F$31*AG850+BMILMS!$G$31,BMILMS!$D$32*AG850^3+BMILMS!$E$32*AG850^2+BMILMS!$F$32*AG850+BMILMS!$G$32)))))))</f>
        <v>12.568967990000001</v>
      </c>
      <c r="AF850" s="24">
        <f>IF(D850="M",(IF(AG850&lt;90,BMILMS!$D$14*AG850^3+BMILMS!$E$14*AG850^2+BMILMS!$F$14*AG850+BMILMS!$G$14,BMILMS!$D$15*AG850^3+BMILMS!$E$15*AG850^2+BMILMS!$F$15*AG850+BMILMS!$G$15)),(IF(AG850&lt;90,BMILMS!$D$17*AG850^3+BMILMS!$E$17*AG850^2+BMILMS!$F$17*AG850+BMILMS!$G$17,BMILMS!$D$18*AG850^3+BMILMS!$E$18*AG850^2+BMILMS!$F$18*AG850+BMILMS!$G$18)))</f>
        <v>8.8969350000000003E-2</v>
      </c>
      <c r="AG850" s="24">
        <f t="shared" si="224"/>
        <v>0</v>
      </c>
      <c r="AI850" s="38">
        <f>IF(D850="M",WeightSDS!P$5*$AG850^7+WeightSDS!Q$5*$AG850^6+WeightSDS!R$5*$AG850^5+WeightSDS!S$5*$AG850^4+WeightSDS!T$5*$AG850^3+WeightSDS!U$5*$AG850^2+WeightSDS!V$5*$AG850+WeightSDS!W$5,IF($AG850&lt;186,WeightSDS!P$8*$AG850^7+WeightSDS!Q$8*$AG850^6+WeightSDS!R$8*$AG850^5+WeightSDS!S$8*$AG850^4+WeightSDS!T$8*$AG850^3+WeightSDS!U$8*$AG850^2+WeightSDS!V$8*$AG850+WeightSDS!W$8,WeightSDS!$U$9-WeightSDS!$V$9*($AG850-WeightSDS!$W$9)))</f>
        <v>0.75407122999999998</v>
      </c>
      <c r="AJ850" s="24">
        <f>IF(D850="M",IF($AG850&lt;45,WeightSDS!M$23*$AG850^10+WeightSDS!N$23*$AG850^9+WeightSDS!O$23*$AG850^8+WeightSDS!P$23*$AG850^7+WeightSDS!Q$23*$AG850^6+WeightSDS!R$23*$AG850^5+WeightSDS!S$23*$AG850^4+WeightSDS!T$23*$AG850^3+WeightSDS!U$23*$AG850^2+WeightSDS!V$23*$AG850+WeightSDS!W$23,IF($AG850&lt;153,WeightSDS!M$25*$AG850^10+WeightSDS!N$25*$AG850^9+WeightSDS!O$25*$AG850^8+WeightSDS!P$25*$AG850^7+WeightSDS!Q$25*$AG850^6+WeightSDS!R$25*$AG850^5+WeightSDS!S$25*$AG850^4+WeightSDS!T$25*$AG850^3+WeightSDS!U$25*$AG850^2+WeightSDS!V$25*$AG850+WeightSDS!W$25,WeightSDS!M$27+WeightSDS!N$27/(1+EXP(WeightSDS!O$27+WeightSDS!P$27*$AG850)))),IF($AG850&lt;43.8,WeightSDS!M$29*$AG850^10+WeightSDS!N$29*$AG850^9+WeightSDS!O$29*$AG850^8+WeightSDS!P$29*$AG850^7+WeightSDS!Q$29*$AG850^6+WeightSDS!R$29*$AG850^5+WeightSDS!S$29*$AG850^4+WeightSDS!T$29*$AG850^3+WeightSDS!U$29*$AG850^2+WeightSDS!V$29*$AG850+WeightSDS!W$29-0.010431*(1-$AG850/210),IF($AG850&lt;123,WeightSDS!M$30*$AG850^10+WeightSDS!N$30*$AG850^9+WeightSDS!O$30*$AG850^8+WeightSDS!P$30*$AG850^7+WeightSDS!Q$30*$AG850^6+WeightSDS!R$30*$AG850^5+WeightSDS!S$30*$AG850^4+WeightSDS!T$30*$AG850^3+WeightSDS!U$30*$AG850^2+WeightSDS!V$30*$AG850+WeightSDS!W$30-0.010431*(1-1/$AG850),WeightSDS!M$32+WeightSDS!N$32/(1+EXP(WeightSDS!O$32+WeightSDS!P$32*$AG850))-0.010431*(1-$AG850/210))))</f>
        <v>2.9500001032655536</v>
      </c>
      <c r="AK850" s="24">
        <f>IF(D850="M",IF($AG850&lt;162,WeightSDS!P$12*$AG850^7+WeightSDS!Q$12*$AG850^6+WeightSDS!R$12*$AG850^5+WeightSDS!S$12*$AG850^4+WeightSDS!T$12*$AG850^3+WeightSDS!U$12*$AG850^2+WeightSDS!V$12*$AG850+WeightSDS!W$12,WeightSDS!P$14*$AG850^7+WeightSDS!Q$14*$AG850^6+WeightSDS!R$14*$AG850^5+WeightSDS!S$14*$AG850^4+WeightSDS!T$14*$AG850^3+WeightSDS!U$14*$AG850^2+WeightSDS!V$14*$AG850+WeightSDS!W$14),IF($AG850&lt;156,WeightSDS!O$17*$AG850^8+WeightSDS!P$17*$AG850^7+WeightSDS!Q$17*$AG850^6+WeightSDS!R$17*$AG850^5+WeightSDS!S$17*$AG850^4+WeightSDS!T$17*$AG850^3+WeightSDS!U$17*$AG850^2+WeightSDS!V$17*$AG850+WeightSDS!W$17,IF($AG850&lt;186,WeightSDS!$U$18+(WeightSDS!$V$18-WeightSDS!$U$18)/24*($AG850-186)+WeightSDS!$W$18*(-$AG850+186)^2-0.005,WeightSDS!$U$18+(WeightSDS!$V$18-WeightSDS!$U$18)/24*($AG850-186)-0.005)))</f>
        <v>0.14604529399999999</v>
      </c>
    </row>
    <row r="851" spans="1:37">
      <c r="A851" s="4"/>
      <c r="B851" s="21"/>
      <c r="C851" s="21"/>
      <c r="D851" s="21"/>
      <c r="E851" s="22"/>
      <c r="F851" s="22"/>
      <c r="G851" s="23"/>
      <c r="H851" s="23"/>
      <c r="I851" s="8" t="str">
        <f t="shared" si="210"/>
        <v/>
      </c>
      <c r="J851" s="2" t="str">
        <f t="shared" si="217"/>
        <v/>
      </c>
      <c r="K851" s="2" t="str">
        <f t="shared" si="211"/>
        <v/>
      </c>
      <c r="L851" s="2" t="str">
        <f t="shared" si="218"/>
        <v/>
      </c>
      <c r="M851" s="2" t="str">
        <f t="shared" si="223"/>
        <v/>
      </c>
      <c r="N851" s="2" t="str">
        <f t="shared" si="219"/>
        <v/>
      </c>
      <c r="O851" s="8" t="str">
        <f t="shared" si="220"/>
        <v/>
      </c>
      <c r="P851" s="8" t="str">
        <f t="shared" si="221"/>
        <v/>
      </c>
      <c r="Q851" s="40" t="str">
        <f t="shared" si="212"/>
        <v/>
      </c>
      <c r="R851" s="48" t="str">
        <f t="shared" si="222"/>
        <v/>
      </c>
      <c r="S851" s="8"/>
      <c r="U851" s="35">
        <f t="shared" si="213"/>
        <v>0</v>
      </c>
      <c r="V851" s="24">
        <f t="shared" si="214"/>
        <v>0</v>
      </c>
      <c r="W851" s="41">
        <f t="shared" si="209"/>
        <v>0</v>
      </c>
      <c r="X851" s="31"/>
      <c r="Y851" s="31"/>
      <c r="Z851" s="31"/>
      <c r="AA851" s="25">
        <f t="shared" si="215"/>
        <v>9.0359999999999996</v>
      </c>
      <c r="AB851" s="25">
        <f t="shared" si="216"/>
        <v>-184.49199999999999</v>
      </c>
      <c r="AD851" s="24">
        <f>IF(D851="M",IF(AG851&lt;78,BMILMS!$D$5*AG851^3+BMILMS!$E$5*AG851^2+BMILMS!$F$5*AG851+BMILMS!$G$5,IF(AG851&lt;150,BMILMS!$D$6*AG851^3+BMILMS!$E$6*AG851^2+BMILMS!$F$6*AG851+BMILMS!$G$6,BMILMS!$D$7*AG851^3+BMILMS!$E$7*AG851^2+BMILMS!$F$7*AG851+BMILMS!$G$7)),IF(AG851&lt;69,BMILMS!$D$9*AG851^3+BMILMS!$E$9*AG851^2+BMILMS!$F$9*AG851+BMILMS!$G$9,IF(AG851&lt;150,BMILMS!$D$10*AG851^3+BMILMS!$E$10*AG851^2+BMILMS!$F$10*AG851+BMILMS!$G$10,BMILMS!$D$11*AG851^3+BMILMS!$E$11*AG851^2+BMILMS!$F$11*AG851+BMILMS!$G$11)))</f>
        <v>0.79584630099999998</v>
      </c>
      <c r="AE851" s="24">
        <f>IF(D851="M",(IF(AG851&lt;2.5,BMILMS!$D$21*AG851^3+BMILMS!$E$21*AG851^2+BMILMS!$F$21*AG851+BMILMS!$G$21,IF(AG851&lt;9.5,BMILMS!$D$22*AG851^3+BMILMS!$E$22*AG851^2+BMILMS!$F$22*AG851+BMILMS!$G$22,IF(AG851&lt;26.75,BMILMS!$D$23*AG851^3+BMILMS!$E$23*AG851^2+BMILMS!$F$23*AG851+BMILMS!$G$23,IF(AG851&lt;90,BMILMS!$D$24*AG851^3+BMILMS!$E$24*AG851^2+BMILMS!$F$24*AG851+BMILMS!$G$24,BMILMS!$D$25*AG851^3+BMILMS!$E$25*AG851^2+BMILMS!$F$25*AG851+BMILMS!$G$25))))),(IF(AG851&lt;2.5,BMILMS!$D$27*AG851^3+BMILMS!$E$27*AG851^2+BMILMS!$F$27*AG851+BMILMS!$G$27,IF(AG851&lt;9.5,BMILMS!$D$28*AG851^3+BMILMS!$E$28*AG851^2+BMILMS!$F$28*AG851+BMILMS!$G$28,IF(AG851&lt;26.75,BMILMS!$D$29*AG851^3+BMILMS!$E$29*AG851^2+BMILMS!$F$29*AG851+BMILMS!$G$29,IF(AG851&lt;90,BMILMS!$D$30*AG851^3+BMILMS!$E$30*AG851^2+BMILMS!$F$30*AG851+BMILMS!$G$30,IF(AG851&lt;150,BMILMS!$D$31*AG851^3+BMILMS!$E$31*AG851^2+BMILMS!$F$31*AG851+BMILMS!$G$31,BMILMS!$D$32*AG851^3+BMILMS!$E$32*AG851^2+BMILMS!$F$32*AG851+BMILMS!$G$32)))))))</f>
        <v>12.568967990000001</v>
      </c>
      <c r="AF851" s="24">
        <f>IF(D851="M",(IF(AG851&lt;90,BMILMS!$D$14*AG851^3+BMILMS!$E$14*AG851^2+BMILMS!$F$14*AG851+BMILMS!$G$14,BMILMS!$D$15*AG851^3+BMILMS!$E$15*AG851^2+BMILMS!$F$15*AG851+BMILMS!$G$15)),(IF(AG851&lt;90,BMILMS!$D$17*AG851^3+BMILMS!$E$17*AG851^2+BMILMS!$F$17*AG851+BMILMS!$G$17,BMILMS!$D$18*AG851^3+BMILMS!$E$18*AG851^2+BMILMS!$F$18*AG851+BMILMS!$G$18)))</f>
        <v>8.8969350000000003E-2</v>
      </c>
      <c r="AG851" s="24">
        <f t="shared" si="224"/>
        <v>0</v>
      </c>
      <c r="AI851" s="38">
        <f>IF(D851="M",WeightSDS!P$5*$AG851^7+WeightSDS!Q$5*$AG851^6+WeightSDS!R$5*$AG851^5+WeightSDS!S$5*$AG851^4+WeightSDS!T$5*$AG851^3+WeightSDS!U$5*$AG851^2+WeightSDS!V$5*$AG851+WeightSDS!W$5,IF($AG851&lt;186,WeightSDS!P$8*$AG851^7+WeightSDS!Q$8*$AG851^6+WeightSDS!R$8*$AG851^5+WeightSDS!S$8*$AG851^4+WeightSDS!T$8*$AG851^3+WeightSDS!U$8*$AG851^2+WeightSDS!V$8*$AG851+WeightSDS!W$8,WeightSDS!$U$9-WeightSDS!$V$9*($AG851-WeightSDS!$W$9)))</f>
        <v>0.75407122999999998</v>
      </c>
      <c r="AJ851" s="24">
        <f>IF(D851="M",IF($AG851&lt;45,WeightSDS!M$23*$AG851^10+WeightSDS!N$23*$AG851^9+WeightSDS!O$23*$AG851^8+WeightSDS!P$23*$AG851^7+WeightSDS!Q$23*$AG851^6+WeightSDS!R$23*$AG851^5+WeightSDS!S$23*$AG851^4+WeightSDS!T$23*$AG851^3+WeightSDS!U$23*$AG851^2+WeightSDS!V$23*$AG851+WeightSDS!W$23,IF($AG851&lt;153,WeightSDS!M$25*$AG851^10+WeightSDS!N$25*$AG851^9+WeightSDS!O$25*$AG851^8+WeightSDS!P$25*$AG851^7+WeightSDS!Q$25*$AG851^6+WeightSDS!R$25*$AG851^5+WeightSDS!S$25*$AG851^4+WeightSDS!T$25*$AG851^3+WeightSDS!U$25*$AG851^2+WeightSDS!V$25*$AG851+WeightSDS!W$25,WeightSDS!M$27+WeightSDS!N$27/(1+EXP(WeightSDS!O$27+WeightSDS!P$27*$AG851)))),IF($AG851&lt;43.8,WeightSDS!M$29*$AG851^10+WeightSDS!N$29*$AG851^9+WeightSDS!O$29*$AG851^8+WeightSDS!P$29*$AG851^7+WeightSDS!Q$29*$AG851^6+WeightSDS!R$29*$AG851^5+WeightSDS!S$29*$AG851^4+WeightSDS!T$29*$AG851^3+WeightSDS!U$29*$AG851^2+WeightSDS!V$29*$AG851+WeightSDS!W$29-0.010431*(1-$AG851/210),IF($AG851&lt;123,WeightSDS!M$30*$AG851^10+WeightSDS!N$30*$AG851^9+WeightSDS!O$30*$AG851^8+WeightSDS!P$30*$AG851^7+WeightSDS!Q$30*$AG851^6+WeightSDS!R$30*$AG851^5+WeightSDS!S$30*$AG851^4+WeightSDS!T$30*$AG851^3+WeightSDS!U$30*$AG851^2+WeightSDS!V$30*$AG851+WeightSDS!W$30-0.010431*(1-1/$AG851),WeightSDS!M$32+WeightSDS!N$32/(1+EXP(WeightSDS!O$32+WeightSDS!P$32*$AG851))-0.010431*(1-$AG851/210))))</f>
        <v>2.9500001032655536</v>
      </c>
      <c r="AK851" s="24">
        <f>IF(D851="M",IF($AG851&lt;162,WeightSDS!P$12*$AG851^7+WeightSDS!Q$12*$AG851^6+WeightSDS!R$12*$AG851^5+WeightSDS!S$12*$AG851^4+WeightSDS!T$12*$AG851^3+WeightSDS!U$12*$AG851^2+WeightSDS!V$12*$AG851+WeightSDS!W$12,WeightSDS!P$14*$AG851^7+WeightSDS!Q$14*$AG851^6+WeightSDS!R$14*$AG851^5+WeightSDS!S$14*$AG851^4+WeightSDS!T$14*$AG851^3+WeightSDS!U$14*$AG851^2+WeightSDS!V$14*$AG851+WeightSDS!W$14),IF($AG851&lt;156,WeightSDS!O$17*$AG851^8+WeightSDS!P$17*$AG851^7+WeightSDS!Q$17*$AG851^6+WeightSDS!R$17*$AG851^5+WeightSDS!S$17*$AG851^4+WeightSDS!T$17*$AG851^3+WeightSDS!U$17*$AG851^2+WeightSDS!V$17*$AG851+WeightSDS!W$17,IF($AG851&lt;186,WeightSDS!$U$18+(WeightSDS!$V$18-WeightSDS!$U$18)/24*($AG851-186)+WeightSDS!$W$18*(-$AG851+186)^2-0.005,WeightSDS!$U$18+(WeightSDS!$V$18-WeightSDS!$U$18)/24*($AG851-186)-0.005)))</f>
        <v>0.14604529399999999</v>
      </c>
    </row>
    <row r="852" spans="1:37">
      <c r="A852" s="4"/>
      <c r="B852" s="21"/>
      <c r="C852" s="21"/>
      <c r="D852" s="21"/>
      <c r="E852" s="22"/>
      <c r="F852" s="22"/>
      <c r="G852" s="23"/>
      <c r="H852" s="23"/>
      <c r="I852" s="8" t="str">
        <f t="shared" si="210"/>
        <v/>
      </c>
      <c r="J852" s="2" t="str">
        <f t="shared" si="217"/>
        <v/>
      </c>
      <c r="K852" s="2" t="str">
        <f t="shared" si="211"/>
        <v/>
      </c>
      <c r="L852" s="2" t="str">
        <f t="shared" si="218"/>
        <v/>
      </c>
      <c r="M852" s="2" t="str">
        <f t="shared" si="223"/>
        <v/>
      </c>
      <c r="N852" s="2" t="str">
        <f t="shared" si="219"/>
        <v/>
      </c>
      <c r="O852" s="8" t="str">
        <f t="shared" si="220"/>
        <v/>
      </c>
      <c r="P852" s="8" t="str">
        <f t="shared" si="221"/>
        <v/>
      </c>
      <c r="Q852" s="40" t="str">
        <f t="shared" si="212"/>
        <v/>
      </c>
      <c r="R852" s="48" t="str">
        <f t="shared" si="222"/>
        <v/>
      </c>
      <c r="S852" s="8"/>
      <c r="U852" s="35">
        <f t="shared" si="213"/>
        <v>0</v>
      </c>
      <c r="V852" s="24">
        <f t="shared" si="214"/>
        <v>0</v>
      </c>
      <c r="W852" s="41">
        <f t="shared" si="209"/>
        <v>0</v>
      </c>
      <c r="X852" s="31"/>
      <c r="Y852" s="31"/>
      <c r="Z852" s="31"/>
      <c r="AA852" s="25">
        <f t="shared" si="215"/>
        <v>9.0359999999999996</v>
      </c>
      <c r="AB852" s="25">
        <f t="shared" si="216"/>
        <v>-184.49199999999999</v>
      </c>
      <c r="AD852" s="24">
        <f>IF(D852="M",IF(AG852&lt;78,BMILMS!$D$5*AG852^3+BMILMS!$E$5*AG852^2+BMILMS!$F$5*AG852+BMILMS!$G$5,IF(AG852&lt;150,BMILMS!$D$6*AG852^3+BMILMS!$E$6*AG852^2+BMILMS!$F$6*AG852+BMILMS!$G$6,BMILMS!$D$7*AG852^3+BMILMS!$E$7*AG852^2+BMILMS!$F$7*AG852+BMILMS!$G$7)),IF(AG852&lt;69,BMILMS!$D$9*AG852^3+BMILMS!$E$9*AG852^2+BMILMS!$F$9*AG852+BMILMS!$G$9,IF(AG852&lt;150,BMILMS!$D$10*AG852^3+BMILMS!$E$10*AG852^2+BMILMS!$F$10*AG852+BMILMS!$G$10,BMILMS!$D$11*AG852^3+BMILMS!$E$11*AG852^2+BMILMS!$F$11*AG852+BMILMS!$G$11)))</f>
        <v>0.79584630099999998</v>
      </c>
      <c r="AE852" s="24">
        <f>IF(D852="M",(IF(AG852&lt;2.5,BMILMS!$D$21*AG852^3+BMILMS!$E$21*AG852^2+BMILMS!$F$21*AG852+BMILMS!$G$21,IF(AG852&lt;9.5,BMILMS!$D$22*AG852^3+BMILMS!$E$22*AG852^2+BMILMS!$F$22*AG852+BMILMS!$G$22,IF(AG852&lt;26.75,BMILMS!$D$23*AG852^3+BMILMS!$E$23*AG852^2+BMILMS!$F$23*AG852+BMILMS!$G$23,IF(AG852&lt;90,BMILMS!$D$24*AG852^3+BMILMS!$E$24*AG852^2+BMILMS!$F$24*AG852+BMILMS!$G$24,BMILMS!$D$25*AG852^3+BMILMS!$E$25*AG852^2+BMILMS!$F$25*AG852+BMILMS!$G$25))))),(IF(AG852&lt;2.5,BMILMS!$D$27*AG852^3+BMILMS!$E$27*AG852^2+BMILMS!$F$27*AG852+BMILMS!$G$27,IF(AG852&lt;9.5,BMILMS!$D$28*AG852^3+BMILMS!$E$28*AG852^2+BMILMS!$F$28*AG852+BMILMS!$G$28,IF(AG852&lt;26.75,BMILMS!$D$29*AG852^3+BMILMS!$E$29*AG852^2+BMILMS!$F$29*AG852+BMILMS!$G$29,IF(AG852&lt;90,BMILMS!$D$30*AG852^3+BMILMS!$E$30*AG852^2+BMILMS!$F$30*AG852+BMILMS!$G$30,IF(AG852&lt;150,BMILMS!$D$31*AG852^3+BMILMS!$E$31*AG852^2+BMILMS!$F$31*AG852+BMILMS!$G$31,BMILMS!$D$32*AG852^3+BMILMS!$E$32*AG852^2+BMILMS!$F$32*AG852+BMILMS!$G$32)))))))</f>
        <v>12.568967990000001</v>
      </c>
      <c r="AF852" s="24">
        <f>IF(D852="M",(IF(AG852&lt;90,BMILMS!$D$14*AG852^3+BMILMS!$E$14*AG852^2+BMILMS!$F$14*AG852+BMILMS!$G$14,BMILMS!$D$15*AG852^3+BMILMS!$E$15*AG852^2+BMILMS!$F$15*AG852+BMILMS!$G$15)),(IF(AG852&lt;90,BMILMS!$D$17*AG852^3+BMILMS!$E$17*AG852^2+BMILMS!$F$17*AG852+BMILMS!$G$17,BMILMS!$D$18*AG852^3+BMILMS!$E$18*AG852^2+BMILMS!$F$18*AG852+BMILMS!$G$18)))</f>
        <v>8.8969350000000003E-2</v>
      </c>
      <c r="AG852" s="24">
        <f t="shared" si="224"/>
        <v>0</v>
      </c>
      <c r="AI852" s="38">
        <f>IF(D852="M",WeightSDS!P$5*$AG852^7+WeightSDS!Q$5*$AG852^6+WeightSDS!R$5*$AG852^5+WeightSDS!S$5*$AG852^4+WeightSDS!T$5*$AG852^3+WeightSDS!U$5*$AG852^2+WeightSDS!V$5*$AG852+WeightSDS!W$5,IF($AG852&lt;186,WeightSDS!P$8*$AG852^7+WeightSDS!Q$8*$AG852^6+WeightSDS!R$8*$AG852^5+WeightSDS!S$8*$AG852^4+WeightSDS!T$8*$AG852^3+WeightSDS!U$8*$AG852^2+WeightSDS!V$8*$AG852+WeightSDS!W$8,WeightSDS!$U$9-WeightSDS!$V$9*($AG852-WeightSDS!$W$9)))</f>
        <v>0.75407122999999998</v>
      </c>
      <c r="AJ852" s="24">
        <f>IF(D852="M",IF($AG852&lt;45,WeightSDS!M$23*$AG852^10+WeightSDS!N$23*$AG852^9+WeightSDS!O$23*$AG852^8+WeightSDS!P$23*$AG852^7+WeightSDS!Q$23*$AG852^6+WeightSDS!R$23*$AG852^5+WeightSDS!S$23*$AG852^4+WeightSDS!T$23*$AG852^3+WeightSDS!U$23*$AG852^2+WeightSDS!V$23*$AG852+WeightSDS!W$23,IF($AG852&lt;153,WeightSDS!M$25*$AG852^10+WeightSDS!N$25*$AG852^9+WeightSDS!O$25*$AG852^8+WeightSDS!P$25*$AG852^7+WeightSDS!Q$25*$AG852^6+WeightSDS!R$25*$AG852^5+WeightSDS!S$25*$AG852^4+WeightSDS!T$25*$AG852^3+WeightSDS!U$25*$AG852^2+WeightSDS!V$25*$AG852+WeightSDS!W$25,WeightSDS!M$27+WeightSDS!N$27/(1+EXP(WeightSDS!O$27+WeightSDS!P$27*$AG852)))),IF($AG852&lt;43.8,WeightSDS!M$29*$AG852^10+WeightSDS!N$29*$AG852^9+WeightSDS!O$29*$AG852^8+WeightSDS!P$29*$AG852^7+WeightSDS!Q$29*$AG852^6+WeightSDS!R$29*$AG852^5+WeightSDS!S$29*$AG852^4+WeightSDS!T$29*$AG852^3+WeightSDS!U$29*$AG852^2+WeightSDS!V$29*$AG852+WeightSDS!W$29-0.010431*(1-$AG852/210),IF($AG852&lt;123,WeightSDS!M$30*$AG852^10+WeightSDS!N$30*$AG852^9+WeightSDS!O$30*$AG852^8+WeightSDS!P$30*$AG852^7+WeightSDS!Q$30*$AG852^6+WeightSDS!R$30*$AG852^5+WeightSDS!S$30*$AG852^4+WeightSDS!T$30*$AG852^3+WeightSDS!U$30*$AG852^2+WeightSDS!V$30*$AG852+WeightSDS!W$30-0.010431*(1-1/$AG852),WeightSDS!M$32+WeightSDS!N$32/(1+EXP(WeightSDS!O$32+WeightSDS!P$32*$AG852))-0.010431*(1-$AG852/210))))</f>
        <v>2.9500001032655536</v>
      </c>
      <c r="AK852" s="24">
        <f>IF(D852="M",IF($AG852&lt;162,WeightSDS!P$12*$AG852^7+WeightSDS!Q$12*$AG852^6+WeightSDS!R$12*$AG852^5+WeightSDS!S$12*$AG852^4+WeightSDS!T$12*$AG852^3+WeightSDS!U$12*$AG852^2+WeightSDS!V$12*$AG852+WeightSDS!W$12,WeightSDS!P$14*$AG852^7+WeightSDS!Q$14*$AG852^6+WeightSDS!R$14*$AG852^5+WeightSDS!S$14*$AG852^4+WeightSDS!T$14*$AG852^3+WeightSDS!U$14*$AG852^2+WeightSDS!V$14*$AG852+WeightSDS!W$14),IF($AG852&lt;156,WeightSDS!O$17*$AG852^8+WeightSDS!P$17*$AG852^7+WeightSDS!Q$17*$AG852^6+WeightSDS!R$17*$AG852^5+WeightSDS!S$17*$AG852^4+WeightSDS!T$17*$AG852^3+WeightSDS!U$17*$AG852^2+WeightSDS!V$17*$AG852+WeightSDS!W$17,IF($AG852&lt;186,WeightSDS!$U$18+(WeightSDS!$V$18-WeightSDS!$U$18)/24*($AG852-186)+WeightSDS!$W$18*(-$AG852+186)^2-0.005,WeightSDS!$U$18+(WeightSDS!$V$18-WeightSDS!$U$18)/24*($AG852-186)-0.005)))</f>
        <v>0.14604529399999999</v>
      </c>
    </row>
    <row r="853" spans="1:37">
      <c r="A853" s="4"/>
      <c r="B853" s="21"/>
      <c r="C853" s="21"/>
      <c r="D853" s="21"/>
      <c r="E853" s="22"/>
      <c r="F853" s="22"/>
      <c r="G853" s="23"/>
      <c r="H853" s="23"/>
      <c r="I853" s="8" t="str">
        <f t="shared" si="210"/>
        <v/>
      </c>
      <c r="J853" s="2" t="str">
        <f t="shared" si="217"/>
        <v/>
      </c>
      <c r="K853" s="2" t="str">
        <f t="shared" si="211"/>
        <v/>
      </c>
      <c r="L853" s="2" t="str">
        <f t="shared" si="218"/>
        <v/>
      </c>
      <c r="M853" s="2" t="str">
        <f t="shared" si="223"/>
        <v/>
      </c>
      <c r="N853" s="2" t="str">
        <f t="shared" si="219"/>
        <v/>
      </c>
      <c r="O853" s="8" t="str">
        <f t="shared" si="220"/>
        <v/>
      </c>
      <c r="P853" s="8" t="str">
        <f t="shared" si="221"/>
        <v/>
      </c>
      <c r="Q853" s="40" t="str">
        <f t="shared" si="212"/>
        <v/>
      </c>
      <c r="R853" s="48" t="str">
        <f t="shared" si="222"/>
        <v/>
      </c>
      <c r="S853" s="8"/>
      <c r="U853" s="35">
        <f t="shared" si="213"/>
        <v>0</v>
      </c>
      <c r="V853" s="24">
        <f t="shared" si="214"/>
        <v>0</v>
      </c>
      <c r="W853" s="41">
        <f t="shared" si="209"/>
        <v>0</v>
      </c>
      <c r="X853" s="31"/>
      <c r="Y853" s="31"/>
      <c r="Z853" s="31"/>
      <c r="AA853" s="25">
        <f t="shared" si="215"/>
        <v>9.0359999999999996</v>
      </c>
      <c r="AB853" s="25">
        <f t="shared" si="216"/>
        <v>-184.49199999999999</v>
      </c>
      <c r="AD853" s="24">
        <f>IF(D853="M",IF(AG853&lt;78,BMILMS!$D$5*AG853^3+BMILMS!$E$5*AG853^2+BMILMS!$F$5*AG853+BMILMS!$G$5,IF(AG853&lt;150,BMILMS!$D$6*AG853^3+BMILMS!$E$6*AG853^2+BMILMS!$F$6*AG853+BMILMS!$G$6,BMILMS!$D$7*AG853^3+BMILMS!$E$7*AG853^2+BMILMS!$F$7*AG853+BMILMS!$G$7)),IF(AG853&lt;69,BMILMS!$D$9*AG853^3+BMILMS!$E$9*AG853^2+BMILMS!$F$9*AG853+BMILMS!$G$9,IF(AG853&lt;150,BMILMS!$D$10*AG853^3+BMILMS!$E$10*AG853^2+BMILMS!$F$10*AG853+BMILMS!$G$10,BMILMS!$D$11*AG853^3+BMILMS!$E$11*AG853^2+BMILMS!$F$11*AG853+BMILMS!$G$11)))</f>
        <v>0.79584630099999998</v>
      </c>
      <c r="AE853" s="24">
        <f>IF(D853="M",(IF(AG853&lt;2.5,BMILMS!$D$21*AG853^3+BMILMS!$E$21*AG853^2+BMILMS!$F$21*AG853+BMILMS!$G$21,IF(AG853&lt;9.5,BMILMS!$D$22*AG853^3+BMILMS!$E$22*AG853^2+BMILMS!$F$22*AG853+BMILMS!$G$22,IF(AG853&lt;26.75,BMILMS!$D$23*AG853^3+BMILMS!$E$23*AG853^2+BMILMS!$F$23*AG853+BMILMS!$G$23,IF(AG853&lt;90,BMILMS!$D$24*AG853^3+BMILMS!$E$24*AG853^2+BMILMS!$F$24*AG853+BMILMS!$G$24,BMILMS!$D$25*AG853^3+BMILMS!$E$25*AG853^2+BMILMS!$F$25*AG853+BMILMS!$G$25))))),(IF(AG853&lt;2.5,BMILMS!$D$27*AG853^3+BMILMS!$E$27*AG853^2+BMILMS!$F$27*AG853+BMILMS!$G$27,IF(AG853&lt;9.5,BMILMS!$D$28*AG853^3+BMILMS!$E$28*AG853^2+BMILMS!$F$28*AG853+BMILMS!$G$28,IF(AG853&lt;26.75,BMILMS!$D$29*AG853^3+BMILMS!$E$29*AG853^2+BMILMS!$F$29*AG853+BMILMS!$G$29,IF(AG853&lt;90,BMILMS!$D$30*AG853^3+BMILMS!$E$30*AG853^2+BMILMS!$F$30*AG853+BMILMS!$G$30,IF(AG853&lt;150,BMILMS!$D$31*AG853^3+BMILMS!$E$31*AG853^2+BMILMS!$F$31*AG853+BMILMS!$G$31,BMILMS!$D$32*AG853^3+BMILMS!$E$32*AG853^2+BMILMS!$F$32*AG853+BMILMS!$G$32)))))))</f>
        <v>12.568967990000001</v>
      </c>
      <c r="AF853" s="24">
        <f>IF(D853="M",(IF(AG853&lt;90,BMILMS!$D$14*AG853^3+BMILMS!$E$14*AG853^2+BMILMS!$F$14*AG853+BMILMS!$G$14,BMILMS!$D$15*AG853^3+BMILMS!$E$15*AG853^2+BMILMS!$F$15*AG853+BMILMS!$G$15)),(IF(AG853&lt;90,BMILMS!$D$17*AG853^3+BMILMS!$E$17*AG853^2+BMILMS!$F$17*AG853+BMILMS!$G$17,BMILMS!$D$18*AG853^3+BMILMS!$E$18*AG853^2+BMILMS!$F$18*AG853+BMILMS!$G$18)))</f>
        <v>8.8969350000000003E-2</v>
      </c>
      <c r="AG853" s="24">
        <f t="shared" si="224"/>
        <v>0</v>
      </c>
      <c r="AI853" s="38">
        <f>IF(D853="M",WeightSDS!P$5*$AG853^7+WeightSDS!Q$5*$AG853^6+WeightSDS!R$5*$AG853^5+WeightSDS!S$5*$AG853^4+WeightSDS!T$5*$AG853^3+WeightSDS!U$5*$AG853^2+WeightSDS!V$5*$AG853+WeightSDS!W$5,IF($AG853&lt;186,WeightSDS!P$8*$AG853^7+WeightSDS!Q$8*$AG853^6+WeightSDS!R$8*$AG853^5+WeightSDS!S$8*$AG853^4+WeightSDS!T$8*$AG853^3+WeightSDS!U$8*$AG853^2+WeightSDS!V$8*$AG853+WeightSDS!W$8,WeightSDS!$U$9-WeightSDS!$V$9*($AG853-WeightSDS!$W$9)))</f>
        <v>0.75407122999999998</v>
      </c>
      <c r="AJ853" s="24">
        <f>IF(D853="M",IF($AG853&lt;45,WeightSDS!M$23*$AG853^10+WeightSDS!N$23*$AG853^9+WeightSDS!O$23*$AG853^8+WeightSDS!P$23*$AG853^7+WeightSDS!Q$23*$AG853^6+WeightSDS!R$23*$AG853^5+WeightSDS!S$23*$AG853^4+WeightSDS!T$23*$AG853^3+WeightSDS!U$23*$AG853^2+WeightSDS!V$23*$AG853+WeightSDS!W$23,IF($AG853&lt;153,WeightSDS!M$25*$AG853^10+WeightSDS!N$25*$AG853^9+WeightSDS!O$25*$AG853^8+WeightSDS!P$25*$AG853^7+WeightSDS!Q$25*$AG853^6+WeightSDS!R$25*$AG853^5+WeightSDS!S$25*$AG853^4+WeightSDS!T$25*$AG853^3+WeightSDS!U$25*$AG853^2+WeightSDS!V$25*$AG853+WeightSDS!W$25,WeightSDS!M$27+WeightSDS!N$27/(1+EXP(WeightSDS!O$27+WeightSDS!P$27*$AG853)))),IF($AG853&lt;43.8,WeightSDS!M$29*$AG853^10+WeightSDS!N$29*$AG853^9+WeightSDS!O$29*$AG853^8+WeightSDS!P$29*$AG853^7+WeightSDS!Q$29*$AG853^6+WeightSDS!R$29*$AG853^5+WeightSDS!S$29*$AG853^4+WeightSDS!T$29*$AG853^3+WeightSDS!U$29*$AG853^2+WeightSDS!V$29*$AG853+WeightSDS!W$29-0.010431*(1-$AG853/210),IF($AG853&lt;123,WeightSDS!M$30*$AG853^10+WeightSDS!N$30*$AG853^9+WeightSDS!O$30*$AG853^8+WeightSDS!P$30*$AG853^7+WeightSDS!Q$30*$AG853^6+WeightSDS!R$30*$AG853^5+WeightSDS!S$30*$AG853^4+WeightSDS!T$30*$AG853^3+WeightSDS!U$30*$AG853^2+WeightSDS!V$30*$AG853+WeightSDS!W$30-0.010431*(1-1/$AG853),WeightSDS!M$32+WeightSDS!N$32/(1+EXP(WeightSDS!O$32+WeightSDS!P$32*$AG853))-0.010431*(1-$AG853/210))))</f>
        <v>2.9500001032655536</v>
      </c>
      <c r="AK853" s="24">
        <f>IF(D853="M",IF($AG853&lt;162,WeightSDS!P$12*$AG853^7+WeightSDS!Q$12*$AG853^6+WeightSDS!R$12*$AG853^5+WeightSDS!S$12*$AG853^4+WeightSDS!T$12*$AG853^3+WeightSDS!U$12*$AG853^2+WeightSDS!V$12*$AG853+WeightSDS!W$12,WeightSDS!P$14*$AG853^7+WeightSDS!Q$14*$AG853^6+WeightSDS!R$14*$AG853^5+WeightSDS!S$14*$AG853^4+WeightSDS!T$14*$AG853^3+WeightSDS!U$14*$AG853^2+WeightSDS!V$14*$AG853+WeightSDS!W$14),IF($AG853&lt;156,WeightSDS!O$17*$AG853^8+WeightSDS!P$17*$AG853^7+WeightSDS!Q$17*$AG853^6+WeightSDS!R$17*$AG853^5+WeightSDS!S$17*$AG853^4+WeightSDS!T$17*$AG853^3+WeightSDS!U$17*$AG853^2+WeightSDS!V$17*$AG853+WeightSDS!W$17,IF($AG853&lt;186,WeightSDS!$U$18+(WeightSDS!$V$18-WeightSDS!$U$18)/24*($AG853-186)+WeightSDS!$W$18*(-$AG853+186)^2-0.005,WeightSDS!$U$18+(WeightSDS!$V$18-WeightSDS!$U$18)/24*($AG853-186)-0.005)))</f>
        <v>0.14604529399999999</v>
      </c>
    </row>
    <row r="854" spans="1:37">
      <c r="A854" s="4"/>
      <c r="B854" s="21"/>
      <c r="C854" s="21"/>
      <c r="D854" s="21"/>
      <c r="E854" s="22"/>
      <c r="F854" s="22"/>
      <c r="G854" s="23"/>
      <c r="H854" s="23"/>
      <c r="I854" s="8" t="str">
        <f t="shared" si="210"/>
        <v/>
      </c>
      <c r="J854" s="2" t="str">
        <f t="shared" si="217"/>
        <v/>
      </c>
      <c r="K854" s="2" t="str">
        <f t="shared" si="211"/>
        <v/>
      </c>
      <c r="L854" s="2" t="str">
        <f t="shared" si="218"/>
        <v/>
      </c>
      <c r="M854" s="2" t="str">
        <f t="shared" si="223"/>
        <v/>
      </c>
      <c r="N854" s="2" t="str">
        <f t="shared" si="219"/>
        <v/>
      </c>
      <c r="O854" s="8" t="str">
        <f t="shared" si="220"/>
        <v/>
      </c>
      <c r="P854" s="8" t="str">
        <f t="shared" si="221"/>
        <v/>
      </c>
      <c r="Q854" s="40" t="str">
        <f t="shared" si="212"/>
        <v/>
      </c>
      <c r="R854" s="48" t="str">
        <f t="shared" si="222"/>
        <v/>
      </c>
      <c r="S854" s="8"/>
      <c r="U854" s="35">
        <f t="shared" si="213"/>
        <v>0</v>
      </c>
      <c r="V854" s="24">
        <f t="shared" si="214"/>
        <v>0</v>
      </c>
      <c r="W854" s="41">
        <f t="shared" si="209"/>
        <v>0</v>
      </c>
      <c r="X854" s="31"/>
      <c r="Y854" s="31"/>
      <c r="Z854" s="31"/>
      <c r="AA854" s="25">
        <f t="shared" si="215"/>
        <v>9.0359999999999996</v>
      </c>
      <c r="AB854" s="25">
        <f t="shared" si="216"/>
        <v>-184.49199999999999</v>
      </c>
      <c r="AD854" s="24">
        <f>IF(D854="M",IF(AG854&lt;78,BMILMS!$D$5*AG854^3+BMILMS!$E$5*AG854^2+BMILMS!$F$5*AG854+BMILMS!$G$5,IF(AG854&lt;150,BMILMS!$D$6*AG854^3+BMILMS!$E$6*AG854^2+BMILMS!$F$6*AG854+BMILMS!$G$6,BMILMS!$D$7*AG854^3+BMILMS!$E$7*AG854^2+BMILMS!$F$7*AG854+BMILMS!$G$7)),IF(AG854&lt;69,BMILMS!$D$9*AG854^3+BMILMS!$E$9*AG854^2+BMILMS!$F$9*AG854+BMILMS!$G$9,IF(AG854&lt;150,BMILMS!$D$10*AG854^3+BMILMS!$E$10*AG854^2+BMILMS!$F$10*AG854+BMILMS!$G$10,BMILMS!$D$11*AG854^3+BMILMS!$E$11*AG854^2+BMILMS!$F$11*AG854+BMILMS!$G$11)))</f>
        <v>0.79584630099999998</v>
      </c>
      <c r="AE854" s="24">
        <f>IF(D854="M",(IF(AG854&lt;2.5,BMILMS!$D$21*AG854^3+BMILMS!$E$21*AG854^2+BMILMS!$F$21*AG854+BMILMS!$G$21,IF(AG854&lt;9.5,BMILMS!$D$22*AG854^3+BMILMS!$E$22*AG854^2+BMILMS!$F$22*AG854+BMILMS!$G$22,IF(AG854&lt;26.75,BMILMS!$D$23*AG854^3+BMILMS!$E$23*AG854^2+BMILMS!$F$23*AG854+BMILMS!$G$23,IF(AG854&lt;90,BMILMS!$D$24*AG854^3+BMILMS!$E$24*AG854^2+BMILMS!$F$24*AG854+BMILMS!$G$24,BMILMS!$D$25*AG854^3+BMILMS!$E$25*AG854^2+BMILMS!$F$25*AG854+BMILMS!$G$25))))),(IF(AG854&lt;2.5,BMILMS!$D$27*AG854^3+BMILMS!$E$27*AG854^2+BMILMS!$F$27*AG854+BMILMS!$G$27,IF(AG854&lt;9.5,BMILMS!$D$28*AG854^3+BMILMS!$E$28*AG854^2+BMILMS!$F$28*AG854+BMILMS!$G$28,IF(AG854&lt;26.75,BMILMS!$D$29*AG854^3+BMILMS!$E$29*AG854^2+BMILMS!$F$29*AG854+BMILMS!$G$29,IF(AG854&lt;90,BMILMS!$D$30*AG854^3+BMILMS!$E$30*AG854^2+BMILMS!$F$30*AG854+BMILMS!$G$30,IF(AG854&lt;150,BMILMS!$D$31*AG854^3+BMILMS!$E$31*AG854^2+BMILMS!$F$31*AG854+BMILMS!$G$31,BMILMS!$D$32*AG854^3+BMILMS!$E$32*AG854^2+BMILMS!$F$32*AG854+BMILMS!$G$32)))))))</f>
        <v>12.568967990000001</v>
      </c>
      <c r="AF854" s="24">
        <f>IF(D854="M",(IF(AG854&lt;90,BMILMS!$D$14*AG854^3+BMILMS!$E$14*AG854^2+BMILMS!$F$14*AG854+BMILMS!$G$14,BMILMS!$D$15*AG854^3+BMILMS!$E$15*AG854^2+BMILMS!$F$15*AG854+BMILMS!$G$15)),(IF(AG854&lt;90,BMILMS!$D$17*AG854^3+BMILMS!$E$17*AG854^2+BMILMS!$F$17*AG854+BMILMS!$G$17,BMILMS!$D$18*AG854^3+BMILMS!$E$18*AG854^2+BMILMS!$F$18*AG854+BMILMS!$G$18)))</f>
        <v>8.8969350000000003E-2</v>
      </c>
      <c r="AG854" s="24">
        <f t="shared" si="224"/>
        <v>0</v>
      </c>
      <c r="AI854" s="38">
        <f>IF(D854="M",WeightSDS!P$5*$AG854^7+WeightSDS!Q$5*$AG854^6+WeightSDS!R$5*$AG854^5+WeightSDS!S$5*$AG854^4+WeightSDS!T$5*$AG854^3+WeightSDS!U$5*$AG854^2+WeightSDS!V$5*$AG854+WeightSDS!W$5,IF($AG854&lt;186,WeightSDS!P$8*$AG854^7+WeightSDS!Q$8*$AG854^6+WeightSDS!R$8*$AG854^5+WeightSDS!S$8*$AG854^4+WeightSDS!T$8*$AG854^3+WeightSDS!U$8*$AG854^2+WeightSDS!V$8*$AG854+WeightSDS!W$8,WeightSDS!$U$9-WeightSDS!$V$9*($AG854-WeightSDS!$W$9)))</f>
        <v>0.75407122999999998</v>
      </c>
      <c r="AJ854" s="24">
        <f>IF(D854="M",IF($AG854&lt;45,WeightSDS!M$23*$AG854^10+WeightSDS!N$23*$AG854^9+WeightSDS!O$23*$AG854^8+WeightSDS!P$23*$AG854^7+WeightSDS!Q$23*$AG854^6+WeightSDS!R$23*$AG854^5+WeightSDS!S$23*$AG854^4+WeightSDS!T$23*$AG854^3+WeightSDS!U$23*$AG854^2+WeightSDS!V$23*$AG854+WeightSDS!W$23,IF($AG854&lt;153,WeightSDS!M$25*$AG854^10+WeightSDS!N$25*$AG854^9+WeightSDS!O$25*$AG854^8+WeightSDS!P$25*$AG854^7+WeightSDS!Q$25*$AG854^6+WeightSDS!R$25*$AG854^5+WeightSDS!S$25*$AG854^4+WeightSDS!T$25*$AG854^3+WeightSDS!U$25*$AG854^2+WeightSDS!V$25*$AG854+WeightSDS!W$25,WeightSDS!M$27+WeightSDS!N$27/(1+EXP(WeightSDS!O$27+WeightSDS!P$27*$AG854)))),IF($AG854&lt;43.8,WeightSDS!M$29*$AG854^10+WeightSDS!N$29*$AG854^9+WeightSDS!O$29*$AG854^8+WeightSDS!P$29*$AG854^7+WeightSDS!Q$29*$AG854^6+WeightSDS!R$29*$AG854^5+WeightSDS!S$29*$AG854^4+WeightSDS!T$29*$AG854^3+WeightSDS!U$29*$AG854^2+WeightSDS!V$29*$AG854+WeightSDS!W$29-0.010431*(1-$AG854/210),IF($AG854&lt;123,WeightSDS!M$30*$AG854^10+WeightSDS!N$30*$AG854^9+WeightSDS!O$30*$AG854^8+WeightSDS!P$30*$AG854^7+WeightSDS!Q$30*$AG854^6+WeightSDS!R$30*$AG854^5+WeightSDS!S$30*$AG854^4+WeightSDS!T$30*$AG854^3+WeightSDS!U$30*$AG854^2+WeightSDS!V$30*$AG854+WeightSDS!W$30-0.010431*(1-1/$AG854),WeightSDS!M$32+WeightSDS!N$32/(1+EXP(WeightSDS!O$32+WeightSDS!P$32*$AG854))-0.010431*(1-$AG854/210))))</f>
        <v>2.9500001032655536</v>
      </c>
      <c r="AK854" s="24">
        <f>IF(D854="M",IF($AG854&lt;162,WeightSDS!P$12*$AG854^7+WeightSDS!Q$12*$AG854^6+WeightSDS!R$12*$AG854^5+WeightSDS!S$12*$AG854^4+WeightSDS!T$12*$AG854^3+WeightSDS!U$12*$AG854^2+WeightSDS!V$12*$AG854+WeightSDS!W$12,WeightSDS!P$14*$AG854^7+WeightSDS!Q$14*$AG854^6+WeightSDS!R$14*$AG854^5+WeightSDS!S$14*$AG854^4+WeightSDS!T$14*$AG854^3+WeightSDS!U$14*$AG854^2+WeightSDS!V$14*$AG854+WeightSDS!W$14),IF($AG854&lt;156,WeightSDS!O$17*$AG854^8+WeightSDS!P$17*$AG854^7+WeightSDS!Q$17*$AG854^6+WeightSDS!R$17*$AG854^5+WeightSDS!S$17*$AG854^4+WeightSDS!T$17*$AG854^3+WeightSDS!U$17*$AG854^2+WeightSDS!V$17*$AG854+WeightSDS!W$17,IF($AG854&lt;186,WeightSDS!$U$18+(WeightSDS!$V$18-WeightSDS!$U$18)/24*($AG854-186)+WeightSDS!$W$18*(-$AG854+186)^2-0.005,WeightSDS!$U$18+(WeightSDS!$V$18-WeightSDS!$U$18)/24*($AG854-186)-0.005)))</f>
        <v>0.14604529399999999</v>
      </c>
    </row>
    <row r="855" spans="1:37">
      <c r="A855" s="4"/>
      <c r="B855" s="21"/>
      <c r="C855" s="21"/>
      <c r="D855" s="21"/>
      <c r="E855" s="22"/>
      <c r="F855" s="22"/>
      <c r="G855" s="23"/>
      <c r="H855" s="23"/>
      <c r="I855" s="8" t="str">
        <f t="shared" si="210"/>
        <v/>
      </c>
      <c r="J855" s="2" t="str">
        <f t="shared" si="217"/>
        <v/>
      </c>
      <c r="K855" s="2" t="str">
        <f t="shared" si="211"/>
        <v/>
      </c>
      <c r="L855" s="2" t="str">
        <f t="shared" si="218"/>
        <v/>
      </c>
      <c r="M855" s="2" t="str">
        <f t="shared" si="223"/>
        <v/>
      </c>
      <c r="N855" s="2" t="str">
        <f t="shared" si="219"/>
        <v/>
      </c>
      <c r="O855" s="8" t="str">
        <f t="shared" si="220"/>
        <v/>
      </c>
      <c r="P855" s="8" t="str">
        <f t="shared" si="221"/>
        <v/>
      </c>
      <c r="Q855" s="40" t="str">
        <f t="shared" si="212"/>
        <v/>
      </c>
      <c r="R855" s="48" t="str">
        <f t="shared" si="222"/>
        <v/>
      </c>
      <c r="S855" s="8"/>
      <c r="U855" s="35">
        <f t="shared" si="213"/>
        <v>0</v>
      </c>
      <c r="V855" s="24">
        <f t="shared" si="214"/>
        <v>0</v>
      </c>
      <c r="W855" s="41">
        <f t="shared" si="209"/>
        <v>0</v>
      </c>
      <c r="X855" s="31"/>
      <c r="Y855" s="31"/>
      <c r="Z855" s="31"/>
      <c r="AA855" s="25">
        <f t="shared" si="215"/>
        <v>9.0359999999999996</v>
      </c>
      <c r="AB855" s="25">
        <f t="shared" si="216"/>
        <v>-184.49199999999999</v>
      </c>
      <c r="AD855" s="24">
        <f>IF(D855="M",IF(AG855&lt;78,BMILMS!$D$5*AG855^3+BMILMS!$E$5*AG855^2+BMILMS!$F$5*AG855+BMILMS!$G$5,IF(AG855&lt;150,BMILMS!$D$6*AG855^3+BMILMS!$E$6*AG855^2+BMILMS!$F$6*AG855+BMILMS!$G$6,BMILMS!$D$7*AG855^3+BMILMS!$E$7*AG855^2+BMILMS!$F$7*AG855+BMILMS!$G$7)),IF(AG855&lt;69,BMILMS!$D$9*AG855^3+BMILMS!$E$9*AG855^2+BMILMS!$F$9*AG855+BMILMS!$G$9,IF(AG855&lt;150,BMILMS!$D$10*AG855^3+BMILMS!$E$10*AG855^2+BMILMS!$F$10*AG855+BMILMS!$G$10,BMILMS!$D$11*AG855^3+BMILMS!$E$11*AG855^2+BMILMS!$F$11*AG855+BMILMS!$G$11)))</f>
        <v>0.79584630099999998</v>
      </c>
      <c r="AE855" s="24">
        <f>IF(D855="M",(IF(AG855&lt;2.5,BMILMS!$D$21*AG855^3+BMILMS!$E$21*AG855^2+BMILMS!$F$21*AG855+BMILMS!$G$21,IF(AG855&lt;9.5,BMILMS!$D$22*AG855^3+BMILMS!$E$22*AG855^2+BMILMS!$F$22*AG855+BMILMS!$G$22,IF(AG855&lt;26.75,BMILMS!$D$23*AG855^3+BMILMS!$E$23*AG855^2+BMILMS!$F$23*AG855+BMILMS!$G$23,IF(AG855&lt;90,BMILMS!$D$24*AG855^3+BMILMS!$E$24*AG855^2+BMILMS!$F$24*AG855+BMILMS!$G$24,BMILMS!$D$25*AG855^3+BMILMS!$E$25*AG855^2+BMILMS!$F$25*AG855+BMILMS!$G$25))))),(IF(AG855&lt;2.5,BMILMS!$D$27*AG855^3+BMILMS!$E$27*AG855^2+BMILMS!$F$27*AG855+BMILMS!$G$27,IF(AG855&lt;9.5,BMILMS!$D$28*AG855^3+BMILMS!$E$28*AG855^2+BMILMS!$F$28*AG855+BMILMS!$G$28,IF(AG855&lt;26.75,BMILMS!$D$29*AG855^3+BMILMS!$E$29*AG855^2+BMILMS!$F$29*AG855+BMILMS!$G$29,IF(AG855&lt;90,BMILMS!$D$30*AG855^3+BMILMS!$E$30*AG855^2+BMILMS!$F$30*AG855+BMILMS!$G$30,IF(AG855&lt;150,BMILMS!$D$31*AG855^3+BMILMS!$E$31*AG855^2+BMILMS!$F$31*AG855+BMILMS!$G$31,BMILMS!$D$32*AG855^3+BMILMS!$E$32*AG855^2+BMILMS!$F$32*AG855+BMILMS!$G$32)))))))</f>
        <v>12.568967990000001</v>
      </c>
      <c r="AF855" s="24">
        <f>IF(D855="M",(IF(AG855&lt;90,BMILMS!$D$14*AG855^3+BMILMS!$E$14*AG855^2+BMILMS!$F$14*AG855+BMILMS!$G$14,BMILMS!$D$15*AG855^3+BMILMS!$E$15*AG855^2+BMILMS!$F$15*AG855+BMILMS!$G$15)),(IF(AG855&lt;90,BMILMS!$D$17*AG855^3+BMILMS!$E$17*AG855^2+BMILMS!$F$17*AG855+BMILMS!$G$17,BMILMS!$D$18*AG855^3+BMILMS!$E$18*AG855^2+BMILMS!$F$18*AG855+BMILMS!$G$18)))</f>
        <v>8.8969350000000003E-2</v>
      </c>
      <c r="AG855" s="24">
        <f t="shared" si="224"/>
        <v>0</v>
      </c>
      <c r="AI855" s="38">
        <f>IF(D855="M",WeightSDS!P$5*$AG855^7+WeightSDS!Q$5*$AG855^6+WeightSDS!R$5*$AG855^5+WeightSDS!S$5*$AG855^4+WeightSDS!T$5*$AG855^3+WeightSDS!U$5*$AG855^2+WeightSDS!V$5*$AG855+WeightSDS!W$5,IF($AG855&lt;186,WeightSDS!P$8*$AG855^7+WeightSDS!Q$8*$AG855^6+WeightSDS!R$8*$AG855^5+WeightSDS!S$8*$AG855^4+WeightSDS!T$8*$AG855^3+WeightSDS!U$8*$AG855^2+WeightSDS!V$8*$AG855+WeightSDS!W$8,WeightSDS!$U$9-WeightSDS!$V$9*($AG855-WeightSDS!$W$9)))</f>
        <v>0.75407122999999998</v>
      </c>
      <c r="AJ855" s="24">
        <f>IF(D855="M",IF($AG855&lt;45,WeightSDS!M$23*$AG855^10+WeightSDS!N$23*$AG855^9+WeightSDS!O$23*$AG855^8+WeightSDS!P$23*$AG855^7+WeightSDS!Q$23*$AG855^6+WeightSDS!R$23*$AG855^5+WeightSDS!S$23*$AG855^4+WeightSDS!T$23*$AG855^3+WeightSDS!U$23*$AG855^2+WeightSDS!V$23*$AG855+WeightSDS!W$23,IF($AG855&lt;153,WeightSDS!M$25*$AG855^10+WeightSDS!N$25*$AG855^9+WeightSDS!O$25*$AG855^8+WeightSDS!P$25*$AG855^7+WeightSDS!Q$25*$AG855^6+WeightSDS!R$25*$AG855^5+WeightSDS!S$25*$AG855^4+WeightSDS!T$25*$AG855^3+WeightSDS!U$25*$AG855^2+WeightSDS!V$25*$AG855+WeightSDS!W$25,WeightSDS!M$27+WeightSDS!N$27/(1+EXP(WeightSDS!O$27+WeightSDS!P$27*$AG855)))),IF($AG855&lt;43.8,WeightSDS!M$29*$AG855^10+WeightSDS!N$29*$AG855^9+WeightSDS!O$29*$AG855^8+WeightSDS!P$29*$AG855^7+WeightSDS!Q$29*$AG855^6+WeightSDS!R$29*$AG855^5+WeightSDS!S$29*$AG855^4+WeightSDS!T$29*$AG855^3+WeightSDS!U$29*$AG855^2+WeightSDS!V$29*$AG855+WeightSDS!W$29-0.010431*(1-$AG855/210),IF($AG855&lt;123,WeightSDS!M$30*$AG855^10+WeightSDS!N$30*$AG855^9+WeightSDS!O$30*$AG855^8+WeightSDS!P$30*$AG855^7+WeightSDS!Q$30*$AG855^6+WeightSDS!R$30*$AG855^5+WeightSDS!S$30*$AG855^4+WeightSDS!T$30*$AG855^3+WeightSDS!U$30*$AG855^2+WeightSDS!V$30*$AG855+WeightSDS!W$30-0.010431*(1-1/$AG855),WeightSDS!M$32+WeightSDS!N$32/(1+EXP(WeightSDS!O$32+WeightSDS!P$32*$AG855))-0.010431*(1-$AG855/210))))</f>
        <v>2.9500001032655536</v>
      </c>
      <c r="AK855" s="24">
        <f>IF(D855="M",IF($AG855&lt;162,WeightSDS!P$12*$AG855^7+WeightSDS!Q$12*$AG855^6+WeightSDS!R$12*$AG855^5+WeightSDS!S$12*$AG855^4+WeightSDS!T$12*$AG855^3+WeightSDS!U$12*$AG855^2+WeightSDS!V$12*$AG855+WeightSDS!W$12,WeightSDS!P$14*$AG855^7+WeightSDS!Q$14*$AG855^6+WeightSDS!R$14*$AG855^5+WeightSDS!S$14*$AG855^4+WeightSDS!T$14*$AG855^3+WeightSDS!U$14*$AG855^2+WeightSDS!V$14*$AG855+WeightSDS!W$14),IF($AG855&lt;156,WeightSDS!O$17*$AG855^8+WeightSDS!P$17*$AG855^7+WeightSDS!Q$17*$AG855^6+WeightSDS!R$17*$AG855^5+WeightSDS!S$17*$AG855^4+WeightSDS!T$17*$AG855^3+WeightSDS!U$17*$AG855^2+WeightSDS!V$17*$AG855+WeightSDS!W$17,IF($AG855&lt;186,WeightSDS!$U$18+(WeightSDS!$V$18-WeightSDS!$U$18)/24*($AG855-186)+WeightSDS!$W$18*(-$AG855+186)^2-0.005,WeightSDS!$U$18+(WeightSDS!$V$18-WeightSDS!$U$18)/24*($AG855-186)-0.005)))</f>
        <v>0.14604529399999999</v>
      </c>
    </row>
    <row r="856" spans="1:37">
      <c r="A856" s="4"/>
      <c r="B856" s="21"/>
      <c r="C856" s="21"/>
      <c r="D856" s="21"/>
      <c r="E856" s="22"/>
      <c r="F856" s="22"/>
      <c r="G856" s="23"/>
      <c r="H856" s="23"/>
      <c r="I856" s="8" t="str">
        <f t="shared" si="210"/>
        <v/>
      </c>
      <c r="J856" s="2" t="str">
        <f t="shared" si="217"/>
        <v/>
      </c>
      <c r="K856" s="2" t="str">
        <f t="shared" si="211"/>
        <v/>
      </c>
      <c r="L856" s="2" t="str">
        <f t="shared" si="218"/>
        <v/>
      </c>
      <c r="M856" s="2" t="str">
        <f t="shared" si="223"/>
        <v/>
      </c>
      <c r="N856" s="2" t="str">
        <f t="shared" si="219"/>
        <v/>
      </c>
      <c r="O856" s="8" t="str">
        <f t="shared" si="220"/>
        <v/>
      </c>
      <c r="P856" s="8" t="str">
        <f t="shared" si="221"/>
        <v/>
      </c>
      <c r="Q856" s="40" t="str">
        <f t="shared" si="212"/>
        <v/>
      </c>
      <c r="R856" s="48" t="str">
        <f t="shared" si="222"/>
        <v/>
      </c>
      <c r="S856" s="8"/>
      <c r="U856" s="35">
        <f t="shared" si="213"/>
        <v>0</v>
      </c>
      <c r="V856" s="24">
        <f t="shared" si="214"/>
        <v>0</v>
      </c>
      <c r="W856" s="41">
        <f t="shared" si="209"/>
        <v>0</v>
      </c>
      <c r="X856" s="31"/>
      <c r="Y856" s="31"/>
      <c r="Z856" s="31"/>
      <c r="AA856" s="25">
        <f t="shared" si="215"/>
        <v>9.0359999999999996</v>
      </c>
      <c r="AB856" s="25">
        <f t="shared" si="216"/>
        <v>-184.49199999999999</v>
      </c>
      <c r="AD856" s="24">
        <f>IF(D856="M",IF(AG856&lt;78,BMILMS!$D$5*AG856^3+BMILMS!$E$5*AG856^2+BMILMS!$F$5*AG856+BMILMS!$G$5,IF(AG856&lt;150,BMILMS!$D$6*AG856^3+BMILMS!$E$6*AG856^2+BMILMS!$F$6*AG856+BMILMS!$G$6,BMILMS!$D$7*AG856^3+BMILMS!$E$7*AG856^2+BMILMS!$F$7*AG856+BMILMS!$G$7)),IF(AG856&lt;69,BMILMS!$D$9*AG856^3+BMILMS!$E$9*AG856^2+BMILMS!$F$9*AG856+BMILMS!$G$9,IF(AG856&lt;150,BMILMS!$D$10*AG856^3+BMILMS!$E$10*AG856^2+BMILMS!$F$10*AG856+BMILMS!$G$10,BMILMS!$D$11*AG856^3+BMILMS!$E$11*AG856^2+BMILMS!$F$11*AG856+BMILMS!$G$11)))</f>
        <v>0.79584630099999998</v>
      </c>
      <c r="AE856" s="24">
        <f>IF(D856="M",(IF(AG856&lt;2.5,BMILMS!$D$21*AG856^3+BMILMS!$E$21*AG856^2+BMILMS!$F$21*AG856+BMILMS!$G$21,IF(AG856&lt;9.5,BMILMS!$D$22*AG856^3+BMILMS!$E$22*AG856^2+BMILMS!$F$22*AG856+BMILMS!$G$22,IF(AG856&lt;26.75,BMILMS!$D$23*AG856^3+BMILMS!$E$23*AG856^2+BMILMS!$F$23*AG856+BMILMS!$G$23,IF(AG856&lt;90,BMILMS!$D$24*AG856^3+BMILMS!$E$24*AG856^2+BMILMS!$F$24*AG856+BMILMS!$G$24,BMILMS!$D$25*AG856^3+BMILMS!$E$25*AG856^2+BMILMS!$F$25*AG856+BMILMS!$G$25))))),(IF(AG856&lt;2.5,BMILMS!$D$27*AG856^3+BMILMS!$E$27*AG856^2+BMILMS!$F$27*AG856+BMILMS!$G$27,IF(AG856&lt;9.5,BMILMS!$D$28*AG856^3+BMILMS!$E$28*AG856^2+BMILMS!$F$28*AG856+BMILMS!$G$28,IF(AG856&lt;26.75,BMILMS!$D$29*AG856^3+BMILMS!$E$29*AG856^2+BMILMS!$F$29*AG856+BMILMS!$G$29,IF(AG856&lt;90,BMILMS!$D$30*AG856^3+BMILMS!$E$30*AG856^2+BMILMS!$F$30*AG856+BMILMS!$G$30,IF(AG856&lt;150,BMILMS!$D$31*AG856^3+BMILMS!$E$31*AG856^2+BMILMS!$F$31*AG856+BMILMS!$G$31,BMILMS!$D$32*AG856^3+BMILMS!$E$32*AG856^2+BMILMS!$F$32*AG856+BMILMS!$G$32)))))))</f>
        <v>12.568967990000001</v>
      </c>
      <c r="AF856" s="24">
        <f>IF(D856="M",(IF(AG856&lt;90,BMILMS!$D$14*AG856^3+BMILMS!$E$14*AG856^2+BMILMS!$F$14*AG856+BMILMS!$G$14,BMILMS!$D$15*AG856^3+BMILMS!$E$15*AG856^2+BMILMS!$F$15*AG856+BMILMS!$G$15)),(IF(AG856&lt;90,BMILMS!$D$17*AG856^3+BMILMS!$E$17*AG856^2+BMILMS!$F$17*AG856+BMILMS!$G$17,BMILMS!$D$18*AG856^3+BMILMS!$E$18*AG856^2+BMILMS!$F$18*AG856+BMILMS!$G$18)))</f>
        <v>8.8969350000000003E-2</v>
      </c>
      <c r="AG856" s="24">
        <f t="shared" si="224"/>
        <v>0</v>
      </c>
      <c r="AI856" s="38">
        <f>IF(D856="M",WeightSDS!P$5*$AG856^7+WeightSDS!Q$5*$AG856^6+WeightSDS!R$5*$AG856^5+WeightSDS!S$5*$AG856^4+WeightSDS!T$5*$AG856^3+WeightSDS!U$5*$AG856^2+WeightSDS!V$5*$AG856+WeightSDS!W$5,IF($AG856&lt;186,WeightSDS!P$8*$AG856^7+WeightSDS!Q$8*$AG856^6+WeightSDS!R$8*$AG856^5+WeightSDS!S$8*$AG856^4+WeightSDS!T$8*$AG856^3+WeightSDS!U$8*$AG856^2+WeightSDS!V$8*$AG856+WeightSDS!W$8,WeightSDS!$U$9-WeightSDS!$V$9*($AG856-WeightSDS!$W$9)))</f>
        <v>0.75407122999999998</v>
      </c>
      <c r="AJ856" s="24">
        <f>IF(D856="M",IF($AG856&lt;45,WeightSDS!M$23*$AG856^10+WeightSDS!N$23*$AG856^9+WeightSDS!O$23*$AG856^8+WeightSDS!P$23*$AG856^7+WeightSDS!Q$23*$AG856^6+WeightSDS!R$23*$AG856^5+WeightSDS!S$23*$AG856^4+WeightSDS!T$23*$AG856^3+WeightSDS!U$23*$AG856^2+WeightSDS!V$23*$AG856+WeightSDS!W$23,IF($AG856&lt;153,WeightSDS!M$25*$AG856^10+WeightSDS!N$25*$AG856^9+WeightSDS!O$25*$AG856^8+WeightSDS!P$25*$AG856^7+WeightSDS!Q$25*$AG856^6+WeightSDS!R$25*$AG856^5+WeightSDS!S$25*$AG856^4+WeightSDS!T$25*$AG856^3+WeightSDS!U$25*$AG856^2+WeightSDS!V$25*$AG856+WeightSDS!W$25,WeightSDS!M$27+WeightSDS!N$27/(1+EXP(WeightSDS!O$27+WeightSDS!P$27*$AG856)))),IF($AG856&lt;43.8,WeightSDS!M$29*$AG856^10+WeightSDS!N$29*$AG856^9+WeightSDS!O$29*$AG856^8+WeightSDS!P$29*$AG856^7+WeightSDS!Q$29*$AG856^6+WeightSDS!R$29*$AG856^5+WeightSDS!S$29*$AG856^4+WeightSDS!T$29*$AG856^3+WeightSDS!U$29*$AG856^2+WeightSDS!V$29*$AG856+WeightSDS!W$29-0.010431*(1-$AG856/210),IF($AG856&lt;123,WeightSDS!M$30*$AG856^10+WeightSDS!N$30*$AG856^9+WeightSDS!O$30*$AG856^8+WeightSDS!P$30*$AG856^7+WeightSDS!Q$30*$AG856^6+WeightSDS!R$30*$AG856^5+WeightSDS!S$30*$AG856^4+WeightSDS!T$30*$AG856^3+WeightSDS!U$30*$AG856^2+WeightSDS!V$30*$AG856+WeightSDS!W$30-0.010431*(1-1/$AG856),WeightSDS!M$32+WeightSDS!N$32/(1+EXP(WeightSDS!O$32+WeightSDS!P$32*$AG856))-0.010431*(1-$AG856/210))))</f>
        <v>2.9500001032655536</v>
      </c>
      <c r="AK856" s="24">
        <f>IF(D856="M",IF($AG856&lt;162,WeightSDS!P$12*$AG856^7+WeightSDS!Q$12*$AG856^6+WeightSDS!R$12*$AG856^5+WeightSDS!S$12*$AG856^4+WeightSDS!T$12*$AG856^3+WeightSDS!U$12*$AG856^2+WeightSDS!V$12*$AG856+WeightSDS!W$12,WeightSDS!P$14*$AG856^7+WeightSDS!Q$14*$AG856^6+WeightSDS!R$14*$AG856^5+WeightSDS!S$14*$AG856^4+WeightSDS!T$14*$AG856^3+WeightSDS!U$14*$AG856^2+WeightSDS!V$14*$AG856+WeightSDS!W$14),IF($AG856&lt;156,WeightSDS!O$17*$AG856^8+WeightSDS!P$17*$AG856^7+WeightSDS!Q$17*$AG856^6+WeightSDS!R$17*$AG856^5+WeightSDS!S$17*$AG856^4+WeightSDS!T$17*$AG856^3+WeightSDS!U$17*$AG856^2+WeightSDS!V$17*$AG856+WeightSDS!W$17,IF($AG856&lt;186,WeightSDS!$U$18+(WeightSDS!$V$18-WeightSDS!$U$18)/24*($AG856-186)+WeightSDS!$W$18*(-$AG856+186)^2-0.005,WeightSDS!$U$18+(WeightSDS!$V$18-WeightSDS!$U$18)/24*($AG856-186)-0.005)))</f>
        <v>0.14604529399999999</v>
      </c>
    </row>
    <row r="857" spans="1:37">
      <c r="A857" s="4"/>
      <c r="B857" s="21"/>
      <c r="C857" s="21"/>
      <c r="D857" s="21"/>
      <c r="E857" s="22"/>
      <c r="F857" s="22"/>
      <c r="G857" s="23"/>
      <c r="H857" s="23"/>
      <c r="I857" s="8" t="str">
        <f t="shared" si="210"/>
        <v/>
      </c>
      <c r="J857" s="2" t="str">
        <f t="shared" si="217"/>
        <v/>
      </c>
      <c r="K857" s="2" t="str">
        <f t="shared" si="211"/>
        <v/>
      </c>
      <c r="L857" s="2" t="str">
        <f t="shared" si="218"/>
        <v/>
      </c>
      <c r="M857" s="2" t="str">
        <f t="shared" si="223"/>
        <v/>
      </c>
      <c r="N857" s="2" t="str">
        <f t="shared" si="219"/>
        <v/>
      </c>
      <c r="O857" s="8" t="str">
        <f t="shared" si="220"/>
        <v/>
      </c>
      <c r="P857" s="8" t="str">
        <f t="shared" si="221"/>
        <v/>
      </c>
      <c r="Q857" s="40" t="str">
        <f t="shared" si="212"/>
        <v/>
      </c>
      <c r="R857" s="48" t="str">
        <f t="shared" si="222"/>
        <v/>
      </c>
      <c r="S857" s="8"/>
      <c r="U857" s="35">
        <f t="shared" si="213"/>
        <v>0</v>
      </c>
      <c r="V857" s="24">
        <f t="shared" si="214"/>
        <v>0</v>
      </c>
      <c r="W857" s="41">
        <f t="shared" si="209"/>
        <v>0</v>
      </c>
      <c r="X857" s="31"/>
      <c r="Y857" s="31"/>
      <c r="Z857" s="31"/>
      <c r="AA857" s="25">
        <f t="shared" si="215"/>
        <v>9.0359999999999996</v>
      </c>
      <c r="AB857" s="25">
        <f t="shared" si="216"/>
        <v>-184.49199999999999</v>
      </c>
      <c r="AD857" s="24">
        <f>IF(D857="M",IF(AG857&lt;78,BMILMS!$D$5*AG857^3+BMILMS!$E$5*AG857^2+BMILMS!$F$5*AG857+BMILMS!$G$5,IF(AG857&lt;150,BMILMS!$D$6*AG857^3+BMILMS!$E$6*AG857^2+BMILMS!$F$6*AG857+BMILMS!$G$6,BMILMS!$D$7*AG857^3+BMILMS!$E$7*AG857^2+BMILMS!$F$7*AG857+BMILMS!$G$7)),IF(AG857&lt;69,BMILMS!$D$9*AG857^3+BMILMS!$E$9*AG857^2+BMILMS!$F$9*AG857+BMILMS!$G$9,IF(AG857&lt;150,BMILMS!$D$10*AG857^3+BMILMS!$E$10*AG857^2+BMILMS!$F$10*AG857+BMILMS!$G$10,BMILMS!$D$11*AG857^3+BMILMS!$E$11*AG857^2+BMILMS!$F$11*AG857+BMILMS!$G$11)))</f>
        <v>0.79584630099999998</v>
      </c>
      <c r="AE857" s="24">
        <f>IF(D857="M",(IF(AG857&lt;2.5,BMILMS!$D$21*AG857^3+BMILMS!$E$21*AG857^2+BMILMS!$F$21*AG857+BMILMS!$G$21,IF(AG857&lt;9.5,BMILMS!$D$22*AG857^3+BMILMS!$E$22*AG857^2+BMILMS!$F$22*AG857+BMILMS!$G$22,IF(AG857&lt;26.75,BMILMS!$D$23*AG857^3+BMILMS!$E$23*AG857^2+BMILMS!$F$23*AG857+BMILMS!$G$23,IF(AG857&lt;90,BMILMS!$D$24*AG857^3+BMILMS!$E$24*AG857^2+BMILMS!$F$24*AG857+BMILMS!$G$24,BMILMS!$D$25*AG857^3+BMILMS!$E$25*AG857^2+BMILMS!$F$25*AG857+BMILMS!$G$25))))),(IF(AG857&lt;2.5,BMILMS!$D$27*AG857^3+BMILMS!$E$27*AG857^2+BMILMS!$F$27*AG857+BMILMS!$G$27,IF(AG857&lt;9.5,BMILMS!$D$28*AG857^3+BMILMS!$E$28*AG857^2+BMILMS!$F$28*AG857+BMILMS!$G$28,IF(AG857&lt;26.75,BMILMS!$D$29*AG857^3+BMILMS!$E$29*AG857^2+BMILMS!$F$29*AG857+BMILMS!$G$29,IF(AG857&lt;90,BMILMS!$D$30*AG857^3+BMILMS!$E$30*AG857^2+BMILMS!$F$30*AG857+BMILMS!$G$30,IF(AG857&lt;150,BMILMS!$D$31*AG857^3+BMILMS!$E$31*AG857^2+BMILMS!$F$31*AG857+BMILMS!$G$31,BMILMS!$D$32*AG857^3+BMILMS!$E$32*AG857^2+BMILMS!$F$32*AG857+BMILMS!$G$32)))))))</f>
        <v>12.568967990000001</v>
      </c>
      <c r="AF857" s="24">
        <f>IF(D857="M",(IF(AG857&lt;90,BMILMS!$D$14*AG857^3+BMILMS!$E$14*AG857^2+BMILMS!$F$14*AG857+BMILMS!$G$14,BMILMS!$D$15*AG857^3+BMILMS!$E$15*AG857^2+BMILMS!$F$15*AG857+BMILMS!$G$15)),(IF(AG857&lt;90,BMILMS!$D$17*AG857^3+BMILMS!$E$17*AG857^2+BMILMS!$F$17*AG857+BMILMS!$G$17,BMILMS!$D$18*AG857^3+BMILMS!$E$18*AG857^2+BMILMS!$F$18*AG857+BMILMS!$G$18)))</f>
        <v>8.8969350000000003E-2</v>
      </c>
      <c r="AG857" s="24">
        <f t="shared" si="224"/>
        <v>0</v>
      </c>
      <c r="AI857" s="38">
        <f>IF(D857="M",WeightSDS!P$5*$AG857^7+WeightSDS!Q$5*$AG857^6+WeightSDS!R$5*$AG857^5+WeightSDS!S$5*$AG857^4+WeightSDS!T$5*$AG857^3+WeightSDS!U$5*$AG857^2+WeightSDS!V$5*$AG857+WeightSDS!W$5,IF($AG857&lt;186,WeightSDS!P$8*$AG857^7+WeightSDS!Q$8*$AG857^6+WeightSDS!R$8*$AG857^5+WeightSDS!S$8*$AG857^4+WeightSDS!T$8*$AG857^3+WeightSDS!U$8*$AG857^2+WeightSDS!V$8*$AG857+WeightSDS!W$8,WeightSDS!$U$9-WeightSDS!$V$9*($AG857-WeightSDS!$W$9)))</f>
        <v>0.75407122999999998</v>
      </c>
      <c r="AJ857" s="24">
        <f>IF(D857="M",IF($AG857&lt;45,WeightSDS!M$23*$AG857^10+WeightSDS!N$23*$AG857^9+WeightSDS!O$23*$AG857^8+WeightSDS!P$23*$AG857^7+WeightSDS!Q$23*$AG857^6+WeightSDS!R$23*$AG857^5+WeightSDS!S$23*$AG857^4+WeightSDS!T$23*$AG857^3+WeightSDS!U$23*$AG857^2+WeightSDS!V$23*$AG857+WeightSDS!W$23,IF($AG857&lt;153,WeightSDS!M$25*$AG857^10+WeightSDS!N$25*$AG857^9+WeightSDS!O$25*$AG857^8+WeightSDS!P$25*$AG857^7+WeightSDS!Q$25*$AG857^6+WeightSDS!R$25*$AG857^5+WeightSDS!S$25*$AG857^4+WeightSDS!T$25*$AG857^3+WeightSDS!U$25*$AG857^2+WeightSDS!V$25*$AG857+WeightSDS!W$25,WeightSDS!M$27+WeightSDS!N$27/(1+EXP(WeightSDS!O$27+WeightSDS!P$27*$AG857)))),IF($AG857&lt;43.8,WeightSDS!M$29*$AG857^10+WeightSDS!N$29*$AG857^9+WeightSDS!O$29*$AG857^8+WeightSDS!P$29*$AG857^7+WeightSDS!Q$29*$AG857^6+WeightSDS!R$29*$AG857^5+WeightSDS!S$29*$AG857^4+WeightSDS!T$29*$AG857^3+WeightSDS!U$29*$AG857^2+WeightSDS!V$29*$AG857+WeightSDS!W$29-0.010431*(1-$AG857/210),IF($AG857&lt;123,WeightSDS!M$30*$AG857^10+WeightSDS!N$30*$AG857^9+WeightSDS!O$30*$AG857^8+WeightSDS!P$30*$AG857^7+WeightSDS!Q$30*$AG857^6+WeightSDS!R$30*$AG857^5+WeightSDS!S$30*$AG857^4+WeightSDS!T$30*$AG857^3+WeightSDS!U$30*$AG857^2+WeightSDS!V$30*$AG857+WeightSDS!W$30-0.010431*(1-1/$AG857),WeightSDS!M$32+WeightSDS!N$32/(1+EXP(WeightSDS!O$32+WeightSDS!P$32*$AG857))-0.010431*(1-$AG857/210))))</f>
        <v>2.9500001032655536</v>
      </c>
      <c r="AK857" s="24">
        <f>IF(D857="M",IF($AG857&lt;162,WeightSDS!P$12*$AG857^7+WeightSDS!Q$12*$AG857^6+WeightSDS!R$12*$AG857^5+WeightSDS!S$12*$AG857^4+WeightSDS!T$12*$AG857^3+WeightSDS!U$12*$AG857^2+WeightSDS!V$12*$AG857+WeightSDS!W$12,WeightSDS!P$14*$AG857^7+WeightSDS!Q$14*$AG857^6+WeightSDS!R$14*$AG857^5+WeightSDS!S$14*$AG857^4+WeightSDS!T$14*$AG857^3+WeightSDS!U$14*$AG857^2+WeightSDS!V$14*$AG857+WeightSDS!W$14),IF($AG857&lt;156,WeightSDS!O$17*$AG857^8+WeightSDS!P$17*$AG857^7+WeightSDS!Q$17*$AG857^6+WeightSDS!R$17*$AG857^5+WeightSDS!S$17*$AG857^4+WeightSDS!T$17*$AG857^3+WeightSDS!U$17*$AG857^2+WeightSDS!V$17*$AG857+WeightSDS!W$17,IF($AG857&lt;186,WeightSDS!$U$18+(WeightSDS!$V$18-WeightSDS!$U$18)/24*($AG857-186)+WeightSDS!$W$18*(-$AG857+186)^2-0.005,WeightSDS!$U$18+(WeightSDS!$V$18-WeightSDS!$U$18)/24*($AG857-186)-0.005)))</f>
        <v>0.14604529399999999</v>
      </c>
    </row>
    <row r="858" spans="1:37">
      <c r="A858" s="4"/>
      <c r="B858" s="21"/>
      <c r="C858" s="21"/>
      <c r="D858" s="21"/>
      <c r="E858" s="22"/>
      <c r="F858" s="22"/>
      <c r="G858" s="23"/>
      <c r="H858" s="23"/>
      <c r="I858" s="8" t="str">
        <f t="shared" si="210"/>
        <v/>
      </c>
      <c r="J858" s="2" t="str">
        <f t="shared" si="217"/>
        <v/>
      </c>
      <c r="K858" s="2" t="str">
        <f t="shared" si="211"/>
        <v/>
      </c>
      <c r="L858" s="2" t="str">
        <f t="shared" si="218"/>
        <v/>
      </c>
      <c r="M858" s="2" t="str">
        <f t="shared" si="223"/>
        <v/>
      </c>
      <c r="N858" s="2" t="str">
        <f t="shared" si="219"/>
        <v/>
      </c>
      <c r="O858" s="8" t="str">
        <f t="shared" si="220"/>
        <v/>
      </c>
      <c r="P858" s="8" t="str">
        <f t="shared" si="221"/>
        <v/>
      </c>
      <c r="Q858" s="40" t="str">
        <f t="shared" si="212"/>
        <v/>
      </c>
      <c r="R858" s="48" t="str">
        <f t="shared" si="222"/>
        <v/>
      </c>
      <c r="S858" s="8"/>
      <c r="U858" s="35">
        <f t="shared" si="213"/>
        <v>0</v>
      </c>
      <c r="V858" s="24">
        <f t="shared" si="214"/>
        <v>0</v>
      </c>
      <c r="W858" s="41">
        <f t="shared" si="209"/>
        <v>0</v>
      </c>
      <c r="X858" s="31"/>
      <c r="Y858" s="31"/>
      <c r="Z858" s="31"/>
      <c r="AA858" s="25">
        <f t="shared" si="215"/>
        <v>9.0359999999999996</v>
      </c>
      <c r="AB858" s="25">
        <f t="shared" si="216"/>
        <v>-184.49199999999999</v>
      </c>
      <c r="AD858" s="24">
        <f>IF(D858="M",IF(AG858&lt;78,BMILMS!$D$5*AG858^3+BMILMS!$E$5*AG858^2+BMILMS!$F$5*AG858+BMILMS!$G$5,IF(AG858&lt;150,BMILMS!$D$6*AG858^3+BMILMS!$E$6*AG858^2+BMILMS!$F$6*AG858+BMILMS!$G$6,BMILMS!$D$7*AG858^3+BMILMS!$E$7*AG858^2+BMILMS!$F$7*AG858+BMILMS!$G$7)),IF(AG858&lt;69,BMILMS!$D$9*AG858^3+BMILMS!$E$9*AG858^2+BMILMS!$F$9*AG858+BMILMS!$G$9,IF(AG858&lt;150,BMILMS!$D$10*AG858^3+BMILMS!$E$10*AG858^2+BMILMS!$F$10*AG858+BMILMS!$G$10,BMILMS!$D$11*AG858^3+BMILMS!$E$11*AG858^2+BMILMS!$F$11*AG858+BMILMS!$G$11)))</f>
        <v>0.79584630099999998</v>
      </c>
      <c r="AE858" s="24">
        <f>IF(D858="M",(IF(AG858&lt;2.5,BMILMS!$D$21*AG858^3+BMILMS!$E$21*AG858^2+BMILMS!$F$21*AG858+BMILMS!$G$21,IF(AG858&lt;9.5,BMILMS!$D$22*AG858^3+BMILMS!$E$22*AG858^2+BMILMS!$F$22*AG858+BMILMS!$G$22,IF(AG858&lt;26.75,BMILMS!$D$23*AG858^3+BMILMS!$E$23*AG858^2+BMILMS!$F$23*AG858+BMILMS!$G$23,IF(AG858&lt;90,BMILMS!$D$24*AG858^3+BMILMS!$E$24*AG858^2+BMILMS!$F$24*AG858+BMILMS!$G$24,BMILMS!$D$25*AG858^3+BMILMS!$E$25*AG858^2+BMILMS!$F$25*AG858+BMILMS!$G$25))))),(IF(AG858&lt;2.5,BMILMS!$D$27*AG858^3+BMILMS!$E$27*AG858^2+BMILMS!$F$27*AG858+BMILMS!$G$27,IF(AG858&lt;9.5,BMILMS!$D$28*AG858^3+BMILMS!$E$28*AG858^2+BMILMS!$F$28*AG858+BMILMS!$G$28,IF(AG858&lt;26.75,BMILMS!$D$29*AG858^3+BMILMS!$E$29*AG858^2+BMILMS!$F$29*AG858+BMILMS!$G$29,IF(AG858&lt;90,BMILMS!$D$30*AG858^3+BMILMS!$E$30*AG858^2+BMILMS!$F$30*AG858+BMILMS!$G$30,IF(AG858&lt;150,BMILMS!$D$31*AG858^3+BMILMS!$E$31*AG858^2+BMILMS!$F$31*AG858+BMILMS!$G$31,BMILMS!$D$32*AG858^3+BMILMS!$E$32*AG858^2+BMILMS!$F$32*AG858+BMILMS!$G$32)))))))</f>
        <v>12.568967990000001</v>
      </c>
      <c r="AF858" s="24">
        <f>IF(D858="M",(IF(AG858&lt;90,BMILMS!$D$14*AG858^3+BMILMS!$E$14*AG858^2+BMILMS!$F$14*AG858+BMILMS!$G$14,BMILMS!$D$15*AG858^3+BMILMS!$E$15*AG858^2+BMILMS!$F$15*AG858+BMILMS!$G$15)),(IF(AG858&lt;90,BMILMS!$D$17*AG858^3+BMILMS!$E$17*AG858^2+BMILMS!$F$17*AG858+BMILMS!$G$17,BMILMS!$D$18*AG858^3+BMILMS!$E$18*AG858^2+BMILMS!$F$18*AG858+BMILMS!$G$18)))</f>
        <v>8.8969350000000003E-2</v>
      </c>
      <c r="AG858" s="24">
        <f t="shared" si="224"/>
        <v>0</v>
      </c>
      <c r="AI858" s="38">
        <f>IF(D858="M",WeightSDS!P$5*$AG858^7+WeightSDS!Q$5*$AG858^6+WeightSDS!R$5*$AG858^5+WeightSDS!S$5*$AG858^4+WeightSDS!T$5*$AG858^3+WeightSDS!U$5*$AG858^2+WeightSDS!V$5*$AG858+WeightSDS!W$5,IF($AG858&lt;186,WeightSDS!P$8*$AG858^7+WeightSDS!Q$8*$AG858^6+WeightSDS!R$8*$AG858^5+WeightSDS!S$8*$AG858^4+WeightSDS!T$8*$AG858^3+WeightSDS!U$8*$AG858^2+WeightSDS!V$8*$AG858+WeightSDS!W$8,WeightSDS!$U$9-WeightSDS!$V$9*($AG858-WeightSDS!$W$9)))</f>
        <v>0.75407122999999998</v>
      </c>
      <c r="AJ858" s="24">
        <f>IF(D858="M",IF($AG858&lt;45,WeightSDS!M$23*$AG858^10+WeightSDS!N$23*$AG858^9+WeightSDS!O$23*$AG858^8+WeightSDS!P$23*$AG858^7+WeightSDS!Q$23*$AG858^6+WeightSDS!R$23*$AG858^5+WeightSDS!S$23*$AG858^4+WeightSDS!T$23*$AG858^3+WeightSDS!U$23*$AG858^2+WeightSDS!V$23*$AG858+WeightSDS!W$23,IF($AG858&lt;153,WeightSDS!M$25*$AG858^10+WeightSDS!N$25*$AG858^9+WeightSDS!O$25*$AG858^8+WeightSDS!P$25*$AG858^7+WeightSDS!Q$25*$AG858^6+WeightSDS!R$25*$AG858^5+WeightSDS!S$25*$AG858^4+WeightSDS!T$25*$AG858^3+WeightSDS!U$25*$AG858^2+WeightSDS!V$25*$AG858+WeightSDS!W$25,WeightSDS!M$27+WeightSDS!N$27/(1+EXP(WeightSDS!O$27+WeightSDS!P$27*$AG858)))),IF($AG858&lt;43.8,WeightSDS!M$29*$AG858^10+WeightSDS!N$29*$AG858^9+WeightSDS!O$29*$AG858^8+WeightSDS!P$29*$AG858^7+WeightSDS!Q$29*$AG858^6+WeightSDS!R$29*$AG858^5+WeightSDS!S$29*$AG858^4+WeightSDS!T$29*$AG858^3+WeightSDS!U$29*$AG858^2+WeightSDS!V$29*$AG858+WeightSDS!W$29-0.010431*(1-$AG858/210),IF($AG858&lt;123,WeightSDS!M$30*$AG858^10+WeightSDS!N$30*$AG858^9+WeightSDS!O$30*$AG858^8+WeightSDS!P$30*$AG858^7+WeightSDS!Q$30*$AG858^6+WeightSDS!R$30*$AG858^5+WeightSDS!S$30*$AG858^4+WeightSDS!T$30*$AG858^3+WeightSDS!U$30*$AG858^2+WeightSDS!V$30*$AG858+WeightSDS!W$30-0.010431*(1-1/$AG858),WeightSDS!M$32+WeightSDS!N$32/(1+EXP(WeightSDS!O$32+WeightSDS!P$32*$AG858))-0.010431*(1-$AG858/210))))</f>
        <v>2.9500001032655536</v>
      </c>
      <c r="AK858" s="24">
        <f>IF(D858="M",IF($AG858&lt;162,WeightSDS!P$12*$AG858^7+WeightSDS!Q$12*$AG858^6+WeightSDS!R$12*$AG858^5+WeightSDS!S$12*$AG858^4+WeightSDS!T$12*$AG858^3+WeightSDS!U$12*$AG858^2+WeightSDS!V$12*$AG858+WeightSDS!W$12,WeightSDS!P$14*$AG858^7+WeightSDS!Q$14*$AG858^6+WeightSDS!R$14*$AG858^5+WeightSDS!S$14*$AG858^4+WeightSDS!T$14*$AG858^3+WeightSDS!U$14*$AG858^2+WeightSDS!V$14*$AG858+WeightSDS!W$14),IF($AG858&lt;156,WeightSDS!O$17*$AG858^8+WeightSDS!P$17*$AG858^7+WeightSDS!Q$17*$AG858^6+WeightSDS!R$17*$AG858^5+WeightSDS!S$17*$AG858^4+WeightSDS!T$17*$AG858^3+WeightSDS!U$17*$AG858^2+WeightSDS!V$17*$AG858+WeightSDS!W$17,IF($AG858&lt;186,WeightSDS!$U$18+(WeightSDS!$V$18-WeightSDS!$U$18)/24*($AG858-186)+WeightSDS!$W$18*(-$AG858+186)^2-0.005,WeightSDS!$U$18+(WeightSDS!$V$18-WeightSDS!$U$18)/24*($AG858-186)-0.005)))</f>
        <v>0.14604529399999999</v>
      </c>
    </row>
    <row r="859" spans="1:37">
      <c r="A859" s="4"/>
      <c r="B859" s="21"/>
      <c r="C859" s="21"/>
      <c r="D859" s="21"/>
      <c r="E859" s="22"/>
      <c r="F859" s="22"/>
      <c r="G859" s="23"/>
      <c r="H859" s="23"/>
      <c r="I859" s="8" t="str">
        <f t="shared" si="210"/>
        <v/>
      </c>
      <c r="J859" s="2" t="str">
        <f t="shared" si="217"/>
        <v/>
      </c>
      <c r="K859" s="2" t="str">
        <f t="shared" si="211"/>
        <v/>
      </c>
      <c r="L859" s="2" t="str">
        <f t="shared" si="218"/>
        <v/>
      </c>
      <c r="M859" s="2" t="str">
        <f t="shared" si="223"/>
        <v/>
      </c>
      <c r="N859" s="2" t="str">
        <f t="shared" si="219"/>
        <v/>
      </c>
      <c r="O859" s="8" t="str">
        <f t="shared" si="220"/>
        <v/>
      </c>
      <c r="P859" s="8" t="str">
        <f t="shared" si="221"/>
        <v/>
      </c>
      <c r="Q859" s="40" t="str">
        <f t="shared" si="212"/>
        <v/>
      </c>
      <c r="R859" s="48" t="str">
        <f t="shared" si="222"/>
        <v/>
      </c>
      <c r="S859" s="8"/>
      <c r="U859" s="35">
        <f t="shared" si="213"/>
        <v>0</v>
      </c>
      <c r="V859" s="24">
        <f t="shared" si="214"/>
        <v>0</v>
      </c>
      <c r="W859" s="41">
        <f t="shared" si="209"/>
        <v>0</v>
      </c>
      <c r="X859" s="31"/>
      <c r="Y859" s="31"/>
      <c r="Z859" s="31"/>
      <c r="AA859" s="25">
        <f t="shared" si="215"/>
        <v>9.0359999999999996</v>
      </c>
      <c r="AB859" s="25">
        <f t="shared" si="216"/>
        <v>-184.49199999999999</v>
      </c>
      <c r="AD859" s="24">
        <f>IF(D859="M",IF(AG859&lt;78,BMILMS!$D$5*AG859^3+BMILMS!$E$5*AG859^2+BMILMS!$F$5*AG859+BMILMS!$G$5,IF(AG859&lt;150,BMILMS!$D$6*AG859^3+BMILMS!$E$6*AG859^2+BMILMS!$F$6*AG859+BMILMS!$G$6,BMILMS!$D$7*AG859^3+BMILMS!$E$7*AG859^2+BMILMS!$F$7*AG859+BMILMS!$G$7)),IF(AG859&lt;69,BMILMS!$D$9*AG859^3+BMILMS!$E$9*AG859^2+BMILMS!$F$9*AG859+BMILMS!$G$9,IF(AG859&lt;150,BMILMS!$D$10*AG859^3+BMILMS!$E$10*AG859^2+BMILMS!$F$10*AG859+BMILMS!$G$10,BMILMS!$D$11*AG859^3+BMILMS!$E$11*AG859^2+BMILMS!$F$11*AG859+BMILMS!$G$11)))</f>
        <v>0.79584630099999998</v>
      </c>
      <c r="AE859" s="24">
        <f>IF(D859="M",(IF(AG859&lt;2.5,BMILMS!$D$21*AG859^3+BMILMS!$E$21*AG859^2+BMILMS!$F$21*AG859+BMILMS!$G$21,IF(AG859&lt;9.5,BMILMS!$D$22*AG859^3+BMILMS!$E$22*AG859^2+BMILMS!$F$22*AG859+BMILMS!$G$22,IF(AG859&lt;26.75,BMILMS!$D$23*AG859^3+BMILMS!$E$23*AG859^2+BMILMS!$F$23*AG859+BMILMS!$G$23,IF(AG859&lt;90,BMILMS!$D$24*AG859^3+BMILMS!$E$24*AG859^2+BMILMS!$F$24*AG859+BMILMS!$G$24,BMILMS!$D$25*AG859^3+BMILMS!$E$25*AG859^2+BMILMS!$F$25*AG859+BMILMS!$G$25))))),(IF(AG859&lt;2.5,BMILMS!$D$27*AG859^3+BMILMS!$E$27*AG859^2+BMILMS!$F$27*AG859+BMILMS!$G$27,IF(AG859&lt;9.5,BMILMS!$D$28*AG859^3+BMILMS!$E$28*AG859^2+BMILMS!$F$28*AG859+BMILMS!$G$28,IF(AG859&lt;26.75,BMILMS!$D$29*AG859^3+BMILMS!$E$29*AG859^2+BMILMS!$F$29*AG859+BMILMS!$G$29,IF(AG859&lt;90,BMILMS!$D$30*AG859^3+BMILMS!$E$30*AG859^2+BMILMS!$F$30*AG859+BMILMS!$G$30,IF(AG859&lt;150,BMILMS!$D$31*AG859^3+BMILMS!$E$31*AG859^2+BMILMS!$F$31*AG859+BMILMS!$G$31,BMILMS!$D$32*AG859^3+BMILMS!$E$32*AG859^2+BMILMS!$F$32*AG859+BMILMS!$G$32)))))))</f>
        <v>12.568967990000001</v>
      </c>
      <c r="AF859" s="24">
        <f>IF(D859="M",(IF(AG859&lt;90,BMILMS!$D$14*AG859^3+BMILMS!$E$14*AG859^2+BMILMS!$F$14*AG859+BMILMS!$G$14,BMILMS!$D$15*AG859^3+BMILMS!$E$15*AG859^2+BMILMS!$F$15*AG859+BMILMS!$G$15)),(IF(AG859&lt;90,BMILMS!$D$17*AG859^3+BMILMS!$E$17*AG859^2+BMILMS!$F$17*AG859+BMILMS!$G$17,BMILMS!$D$18*AG859^3+BMILMS!$E$18*AG859^2+BMILMS!$F$18*AG859+BMILMS!$G$18)))</f>
        <v>8.8969350000000003E-2</v>
      </c>
      <c r="AG859" s="24">
        <f t="shared" si="224"/>
        <v>0</v>
      </c>
      <c r="AI859" s="38">
        <f>IF(D859="M",WeightSDS!P$5*$AG859^7+WeightSDS!Q$5*$AG859^6+WeightSDS!R$5*$AG859^5+WeightSDS!S$5*$AG859^4+WeightSDS!T$5*$AG859^3+WeightSDS!U$5*$AG859^2+WeightSDS!V$5*$AG859+WeightSDS!W$5,IF($AG859&lt;186,WeightSDS!P$8*$AG859^7+WeightSDS!Q$8*$AG859^6+WeightSDS!R$8*$AG859^5+WeightSDS!S$8*$AG859^4+WeightSDS!T$8*$AG859^3+WeightSDS!U$8*$AG859^2+WeightSDS!V$8*$AG859+WeightSDS!W$8,WeightSDS!$U$9-WeightSDS!$V$9*($AG859-WeightSDS!$W$9)))</f>
        <v>0.75407122999999998</v>
      </c>
      <c r="AJ859" s="24">
        <f>IF(D859="M",IF($AG859&lt;45,WeightSDS!M$23*$AG859^10+WeightSDS!N$23*$AG859^9+WeightSDS!O$23*$AG859^8+WeightSDS!P$23*$AG859^7+WeightSDS!Q$23*$AG859^6+WeightSDS!R$23*$AG859^5+WeightSDS!S$23*$AG859^4+WeightSDS!T$23*$AG859^3+WeightSDS!U$23*$AG859^2+WeightSDS!V$23*$AG859+WeightSDS!W$23,IF($AG859&lt;153,WeightSDS!M$25*$AG859^10+WeightSDS!N$25*$AG859^9+WeightSDS!O$25*$AG859^8+WeightSDS!P$25*$AG859^7+WeightSDS!Q$25*$AG859^6+WeightSDS!R$25*$AG859^5+WeightSDS!S$25*$AG859^4+WeightSDS!T$25*$AG859^3+WeightSDS!U$25*$AG859^2+WeightSDS!V$25*$AG859+WeightSDS!W$25,WeightSDS!M$27+WeightSDS!N$27/(1+EXP(WeightSDS!O$27+WeightSDS!P$27*$AG859)))),IF($AG859&lt;43.8,WeightSDS!M$29*$AG859^10+WeightSDS!N$29*$AG859^9+WeightSDS!O$29*$AG859^8+WeightSDS!P$29*$AG859^7+WeightSDS!Q$29*$AG859^6+WeightSDS!R$29*$AG859^5+WeightSDS!S$29*$AG859^4+WeightSDS!T$29*$AG859^3+WeightSDS!U$29*$AG859^2+WeightSDS!V$29*$AG859+WeightSDS!W$29-0.010431*(1-$AG859/210),IF($AG859&lt;123,WeightSDS!M$30*$AG859^10+WeightSDS!N$30*$AG859^9+WeightSDS!O$30*$AG859^8+WeightSDS!P$30*$AG859^7+WeightSDS!Q$30*$AG859^6+WeightSDS!R$30*$AG859^5+WeightSDS!S$30*$AG859^4+WeightSDS!T$30*$AG859^3+WeightSDS!U$30*$AG859^2+WeightSDS!V$30*$AG859+WeightSDS!W$30-0.010431*(1-1/$AG859),WeightSDS!M$32+WeightSDS!N$32/(1+EXP(WeightSDS!O$32+WeightSDS!P$32*$AG859))-0.010431*(1-$AG859/210))))</f>
        <v>2.9500001032655536</v>
      </c>
      <c r="AK859" s="24">
        <f>IF(D859="M",IF($AG859&lt;162,WeightSDS!P$12*$AG859^7+WeightSDS!Q$12*$AG859^6+WeightSDS!R$12*$AG859^5+WeightSDS!S$12*$AG859^4+WeightSDS!T$12*$AG859^3+WeightSDS!U$12*$AG859^2+WeightSDS!V$12*$AG859+WeightSDS!W$12,WeightSDS!P$14*$AG859^7+WeightSDS!Q$14*$AG859^6+WeightSDS!R$14*$AG859^5+WeightSDS!S$14*$AG859^4+WeightSDS!T$14*$AG859^3+WeightSDS!U$14*$AG859^2+WeightSDS!V$14*$AG859+WeightSDS!W$14),IF($AG859&lt;156,WeightSDS!O$17*$AG859^8+WeightSDS!P$17*$AG859^7+WeightSDS!Q$17*$AG859^6+WeightSDS!R$17*$AG859^5+WeightSDS!S$17*$AG859^4+WeightSDS!T$17*$AG859^3+WeightSDS!U$17*$AG859^2+WeightSDS!V$17*$AG859+WeightSDS!W$17,IF($AG859&lt;186,WeightSDS!$U$18+(WeightSDS!$V$18-WeightSDS!$U$18)/24*($AG859-186)+WeightSDS!$W$18*(-$AG859+186)^2-0.005,WeightSDS!$U$18+(WeightSDS!$V$18-WeightSDS!$U$18)/24*($AG859-186)-0.005)))</f>
        <v>0.14604529399999999</v>
      </c>
    </row>
    <row r="860" spans="1:37">
      <c r="A860" s="4"/>
      <c r="B860" s="21"/>
      <c r="C860" s="21"/>
      <c r="D860" s="21"/>
      <c r="E860" s="22"/>
      <c r="F860" s="22"/>
      <c r="G860" s="23"/>
      <c r="H860" s="23"/>
      <c r="I860" s="8" t="str">
        <f t="shared" si="210"/>
        <v/>
      </c>
      <c r="J860" s="2" t="str">
        <f t="shared" si="217"/>
        <v/>
      </c>
      <c r="K860" s="2" t="str">
        <f t="shared" si="211"/>
        <v/>
      </c>
      <c r="L860" s="2" t="str">
        <f t="shared" si="218"/>
        <v/>
      </c>
      <c r="M860" s="2" t="str">
        <f t="shared" si="223"/>
        <v/>
      </c>
      <c r="N860" s="2" t="str">
        <f t="shared" si="219"/>
        <v/>
      </c>
      <c r="O860" s="8" t="str">
        <f t="shared" si="220"/>
        <v/>
      </c>
      <c r="P860" s="8" t="str">
        <f t="shared" si="221"/>
        <v/>
      </c>
      <c r="Q860" s="40" t="str">
        <f t="shared" si="212"/>
        <v/>
      </c>
      <c r="R860" s="48" t="str">
        <f t="shared" si="222"/>
        <v/>
      </c>
      <c r="S860" s="8"/>
      <c r="U860" s="35">
        <f t="shared" si="213"/>
        <v>0</v>
      </c>
      <c r="V860" s="24">
        <f t="shared" si="214"/>
        <v>0</v>
      </c>
      <c r="W860" s="41">
        <f t="shared" si="209"/>
        <v>0</v>
      </c>
      <c r="X860" s="31"/>
      <c r="Y860" s="31"/>
      <c r="Z860" s="31"/>
      <c r="AA860" s="25">
        <f t="shared" si="215"/>
        <v>9.0359999999999996</v>
      </c>
      <c r="AB860" s="25">
        <f t="shared" si="216"/>
        <v>-184.49199999999999</v>
      </c>
      <c r="AD860" s="24">
        <f>IF(D860="M",IF(AG860&lt;78,BMILMS!$D$5*AG860^3+BMILMS!$E$5*AG860^2+BMILMS!$F$5*AG860+BMILMS!$G$5,IF(AG860&lt;150,BMILMS!$D$6*AG860^3+BMILMS!$E$6*AG860^2+BMILMS!$F$6*AG860+BMILMS!$G$6,BMILMS!$D$7*AG860^3+BMILMS!$E$7*AG860^2+BMILMS!$F$7*AG860+BMILMS!$G$7)),IF(AG860&lt;69,BMILMS!$D$9*AG860^3+BMILMS!$E$9*AG860^2+BMILMS!$F$9*AG860+BMILMS!$G$9,IF(AG860&lt;150,BMILMS!$D$10*AG860^3+BMILMS!$E$10*AG860^2+BMILMS!$F$10*AG860+BMILMS!$G$10,BMILMS!$D$11*AG860^3+BMILMS!$E$11*AG860^2+BMILMS!$F$11*AG860+BMILMS!$G$11)))</f>
        <v>0.79584630099999998</v>
      </c>
      <c r="AE860" s="24">
        <f>IF(D860="M",(IF(AG860&lt;2.5,BMILMS!$D$21*AG860^3+BMILMS!$E$21*AG860^2+BMILMS!$F$21*AG860+BMILMS!$G$21,IF(AG860&lt;9.5,BMILMS!$D$22*AG860^3+BMILMS!$E$22*AG860^2+BMILMS!$F$22*AG860+BMILMS!$G$22,IF(AG860&lt;26.75,BMILMS!$D$23*AG860^3+BMILMS!$E$23*AG860^2+BMILMS!$F$23*AG860+BMILMS!$G$23,IF(AG860&lt;90,BMILMS!$D$24*AG860^3+BMILMS!$E$24*AG860^2+BMILMS!$F$24*AG860+BMILMS!$G$24,BMILMS!$D$25*AG860^3+BMILMS!$E$25*AG860^2+BMILMS!$F$25*AG860+BMILMS!$G$25))))),(IF(AG860&lt;2.5,BMILMS!$D$27*AG860^3+BMILMS!$E$27*AG860^2+BMILMS!$F$27*AG860+BMILMS!$G$27,IF(AG860&lt;9.5,BMILMS!$D$28*AG860^3+BMILMS!$E$28*AG860^2+BMILMS!$F$28*AG860+BMILMS!$G$28,IF(AG860&lt;26.75,BMILMS!$D$29*AG860^3+BMILMS!$E$29*AG860^2+BMILMS!$F$29*AG860+BMILMS!$G$29,IF(AG860&lt;90,BMILMS!$D$30*AG860^3+BMILMS!$E$30*AG860^2+BMILMS!$F$30*AG860+BMILMS!$G$30,IF(AG860&lt;150,BMILMS!$D$31*AG860^3+BMILMS!$E$31*AG860^2+BMILMS!$F$31*AG860+BMILMS!$G$31,BMILMS!$D$32*AG860^3+BMILMS!$E$32*AG860^2+BMILMS!$F$32*AG860+BMILMS!$G$32)))))))</f>
        <v>12.568967990000001</v>
      </c>
      <c r="AF860" s="24">
        <f>IF(D860="M",(IF(AG860&lt;90,BMILMS!$D$14*AG860^3+BMILMS!$E$14*AG860^2+BMILMS!$F$14*AG860+BMILMS!$G$14,BMILMS!$D$15*AG860^3+BMILMS!$E$15*AG860^2+BMILMS!$F$15*AG860+BMILMS!$G$15)),(IF(AG860&lt;90,BMILMS!$D$17*AG860^3+BMILMS!$E$17*AG860^2+BMILMS!$F$17*AG860+BMILMS!$G$17,BMILMS!$D$18*AG860^3+BMILMS!$E$18*AG860^2+BMILMS!$F$18*AG860+BMILMS!$G$18)))</f>
        <v>8.8969350000000003E-2</v>
      </c>
      <c r="AG860" s="24">
        <f t="shared" si="224"/>
        <v>0</v>
      </c>
      <c r="AI860" s="38">
        <f>IF(D860="M",WeightSDS!P$5*$AG860^7+WeightSDS!Q$5*$AG860^6+WeightSDS!R$5*$AG860^5+WeightSDS!S$5*$AG860^4+WeightSDS!T$5*$AG860^3+WeightSDS!U$5*$AG860^2+WeightSDS!V$5*$AG860+WeightSDS!W$5,IF($AG860&lt;186,WeightSDS!P$8*$AG860^7+WeightSDS!Q$8*$AG860^6+WeightSDS!R$8*$AG860^5+WeightSDS!S$8*$AG860^4+WeightSDS!T$8*$AG860^3+WeightSDS!U$8*$AG860^2+WeightSDS!V$8*$AG860+WeightSDS!W$8,WeightSDS!$U$9-WeightSDS!$V$9*($AG860-WeightSDS!$W$9)))</f>
        <v>0.75407122999999998</v>
      </c>
      <c r="AJ860" s="24">
        <f>IF(D860="M",IF($AG860&lt;45,WeightSDS!M$23*$AG860^10+WeightSDS!N$23*$AG860^9+WeightSDS!O$23*$AG860^8+WeightSDS!P$23*$AG860^7+WeightSDS!Q$23*$AG860^6+WeightSDS!R$23*$AG860^5+WeightSDS!S$23*$AG860^4+WeightSDS!T$23*$AG860^3+WeightSDS!U$23*$AG860^2+WeightSDS!V$23*$AG860+WeightSDS!W$23,IF($AG860&lt;153,WeightSDS!M$25*$AG860^10+WeightSDS!N$25*$AG860^9+WeightSDS!O$25*$AG860^8+WeightSDS!P$25*$AG860^7+WeightSDS!Q$25*$AG860^6+WeightSDS!R$25*$AG860^5+WeightSDS!S$25*$AG860^4+WeightSDS!T$25*$AG860^3+WeightSDS!U$25*$AG860^2+WeightSDS!V$25*$AG860+WeightSDS!W$25,WeightSDS!M$27+WeightSDS!N$27/(1+EXP(WeightSDS!O$27+WeightSDS!P$27*$AG860)))),IF($AG860&lt;43.8,WeightSDS!M$29*$AG860^10+WeightSDS!N$29*$AG860^9+WeightSDS!O$29*$AG860^8+WeightSDS!P$29*$AG860^7+WeightSDS!Q$29*$AG860^6+WeightSDS!R$29*$AG860^5+WeightSDS!S$29*$AG860^4+WeightSDS!T$29*$AG860^3+WeightSDS!U$29*$AG860^2+WeightSDS!V$29*$AG860+WeightSDS!W$29-0.010431*(1-$AG860/210),IF($AG860&lt;123,WeightSDS!M$30*$AG860^10+WeightSDS!N$30*$AG860^9+WeightSDS!O$30*$AG860^8+WeightSDS!P$30*$AG860^7+WeightSDS!Q$30*$AG860^6+WeightSDS!R$30*$AG860^5+WeightSDS!S$30*$AG860^4+WeightSDS!T$30*$AG860^3+WeightSDS!U$30*$AG860^2+WeightSDS!V$30*$AG860+WeightSDS!W$30-0.010431*(1-1/$AG860),WeightSDS!M$32+WeightSDS!N$32/(1+EXP(WeightSDS!O$32+WeightSDS!P$32*$AG860))-0.010431*(1-$AG860/210))))</f>
        <v>2.9500001032655536</v>
      </c>
      <c r="AK860" s="24">
        <f>IF(D860="M",IF($AG860&lt;162,WeightSDS!P$12*$AG860^7+WeightSDS!Q$12*$AG860^6+WeightSDS!R$12*$AG860^5+WeightSDS!S$12*$AG860^4+WeightSDS!T$12*$AG860^3+WeightSDS!U$12*$AG860^2+WeightSDS!V$12*$AG860+WeightSDS!W$12,WeightSDS!P$14*$AG860^7+WeightSDS!Q$14*$AG860^6+WeightSDS!R$14*$AG860^5+WeightSDS!S$14*$AG860^4+WeightSDS!T$14*$AG860^3+WeightSDS!U$14*$AG860^2+WeightSDS!V$14*$AG860+WeightSDS!W$14),IF($AG860&lt;156,WeightSDS!O$17*$AG860^8+WeightSDS!P$17*$AG860^7+WeightSDS!Q$17*$AG860^6+WeightSDS!R$17*$AG860^5+WeightSDS!S$17*$AG860^4+WeightSDS!T$17*$AG860^3+WeightSDS!U$17*$AG860^2+WeightSDS!V$17*$AG860+WeightSDS!W$17,IF($AG860&lt;186,WeightSDS!$U$18+(WeightSDS!$V$18-WeightSDS!$U$18)/24*($AG860-186)+WeightSDS!$W$18*(-$AG860+186)^2-0.005,WeightSDS!$U$18+(WeightSDS!$V$18-WeightSDS!$U$18)/24*($AG860-186)-0.005)))</f>
        <v>0.14604529399999999</v>
      </c>
    </row>
    <row r="861" spans="1:37">
      <c r="A861" s="4"/>
      <c r="B861" s="21"/>
      <c r="C861" s="21"/>
      <c r="D861" s="21"/>
      <c r="E861" s="22"/>
      <c r="F861" s="22"/>
      <c r="G861" s="23"/>
      <c r="H861" s="23"/>
      <c r="I861" s="8" t="str">
        <f t="shared" si="210"/>
        <v/>
      </c>
      <c r="J861" s="2" t="str">
        <f t="shared" si="217"/>
        <v/>
      </c>
      <c r="K861" s="2" t="str">
        <f t="shared" si="211"/>
        <v/>
      </c>
      <c r="L861" s="2" t="str">
        <f t="shared" si="218"/>
        <v/>
      </c>
      <c r="M861" s="2" t="str">
        <f t="shared" si="223"/>
        <v/>
      </c>
      <c r="N861" s="2" t="str">
        <f t="shared" si="219"/>
        <v/>
      </c>
      <c r="O861" s="8" t="str">
        <f t="shared" si="220"/>
        <v/>
      </c>
      <c r="P861" s="8" t="str">
        <f t="shared" si="221"/>
        <v/>
      </c>
      <c r="Q861" s="40" t="str">
        <f t="shared" si="212"/>
        <v/>
      </c>
      <c r="R861" s="48" t="str">
        <f t="shared" si="222"/>
        <v/>
      </c>
      <c r="S861" s="8"/>
      <c r="U861" s="35">
        <f t="shared" si="213"/>
        <v>0</v>
      </c>
      <c r="V861" s="24">
        <f t="shared" si="214"/>
        <v>0</v>
      </c>
      <c r="W861" s="41">
        <f t="shared" si="209"/>
        <v>0</v>
      </c>
      <c r="X861" s="31"/>
      <c r="Y861" s="31"/>
      <c r="Z861" s="31"/>
      <c r="AA861" s="25">
        <f t="shared" si="215"/>
        <v>9.0359999999999996</v>
      </c>
      <c r="AB861" s="25">
        <f t="shared" si="216"/>
        <v>-184.49199999999999</v>
      </c>
      <c r="AD861" s="24">
        <f>IF(D861="M",IF(AG861&lt;78,BMILMS!$D$5*AG861^3+BMILMS!$E$5*AG861^2+BMILMS!$F$5*AG861+BMILMS!$G$5,IF(AG861&lt;150,BMILMS!$D$6*AG861^3+BMILMS!$E$6*AG861^2+BMILMS!$F$6*AG861+BMILMS!$G$6,BMILMS!$D$7*AG861^3+BMILMS!$E$7*AG861^2+BMILMS!$F$7*AG861+BMILMS!$G$7)),IF(AG861&lt;69,BMILMS!$D$9*AG861^3+BMILMS!$E$9*AG861^2+BMILMS!$F$9*AG861+BMILMS!$G$9,IF(AG861&lt;150,BMILMS!$D$10*AG861^3+BMILMS!$E$10*AG861^2+BMILMS!$F$10*AG861+BMILMS!$G$10,BMILMS!$D$11*AG861^3+BMILMS!$E$11*AG861^2+BMILMS!$F$11*AG861+BMILMS!$G$11)))</f>
        <v>0.79584630099999998</v>
      </c>
      <c r="AE861" s="24">
        <f>IF(D861="M",(IF(AG861&lt;2.5,BMILMS!$D$21*AG861^3+BMILMS!$E$21*AG861^2+BMILMS!$F$21*AG861+BMILMS!$G$21,IF(AG861&lt;9.5,BMILMS!$D$22*AG861^3+BMILMS!$E$22*AG861^2+BMILMS!$F$22*AG861+BMILMS!$G$22,IF(AG861&lt;26.75,BMILMS!$D$23*AG861^3+BMILMS!$E$23*AG861^2+BMILMS!$F$23*AG861+BMILMS!$G$23,IF(AG861&lt;90,BMILMS!$D$24*AG861^3+BMILMS!$E$24*AG861^2+BMILMS!$F$24*AG861+BMILMS!$G$24,BMILMS!$D$25*AG861^3+BMILMS!$E$25*AG861^2+BMILMS!$F$25*AG861+BMILMS!$G$25))))),(IF(AG861&lt;2.5,BMILMS!$D$27*AG861^3+BMILMS!$E$27*AG861^2+BMILMS!$F$27*AG861+BMILMS!$G$27,IF(AG861&lt;9.5,BMILMS!$D$28*AG861^3+BMILMS!$E$28*AG861^2+BMILMS!$F$28*AG861+BMILMS!$G$28,IF(AG861&lt;26.75,BMILMS!$D$29*AG861^3+BMILMS!$E$29*AG861^2+BMILMS!$F$29*AG861+BMILMS!$G$29,IF(AG861&lt;90,BMILMS!$D$30*AG861^3+BMILMS!$E$30*AG861^2+BMILMS!$F$30*AG861+BMILMS!$G$30,IF(AG861&lt;150,BMILMS!$D$31*AG861^3+BMILMS!$E$31*AG861^2+BMILMS!$F$31*AG861+BMILMS!$G$31,BMILMS!$D$32*AG861^3+BMILMS!$E$32*AG861^2+BMILMS!$F$32*AG861+BMILMS!$G$32)))))))</f>
        <v>12.568967990000001</v>
      </c>
      <c r="AF861" s="24">
        <f>IF(D861="M",(IF(AG861&lt;90,BMILMS!$D$14*AG861^3+BMILMS!$E$14*AG861^2+BMILMS!$F$14*AG861+BMILMS!$G$14,BMILMS!$D$15*AG861^3+BMILMS!$E$15*AG861^2+BMILMS!$F$15*AG861+BMILMS!$G$15)),(IF(AG861&lt;90,BMILMS!$D$17*AG861^3+BMILMS!$E$17*AG861^2+BMILMS!$F$17*AG861+BMILMS!$G$17,BMILMS!$D$18*AG861^3+BMILMS!$E$18*AG861^2+BMILMS!$F$18*AG861+BMILMS!$G$18)))</f>
        <v>8.8969350000000003E-2</v>
      </c>
      <c r="AG861" s="24">
        <f t="shared" si="224"/>
        <v>0</v>
      </c>
      <c r="AI861" s="38">
        <f>IF(D861="M",WeightSDS!P$5*$AG861^7+WeightSDS!Q$5*$AG861^6+WeightSDS!R$5*$AG861^5+WeightSDS!S$5*$AG861^4+WeightSDS!T$5*$AG861^3+WeightSDS!U$5*$AG861^2+WeightSDS!V$5*$AG861+WeightSDS!W$5,IF($AG861&lt;186,WeightSDS!P$8*$AG861^7+WeightSDS!Q$8*$AG861^6+WeightSDS!R$8*$AG861^5+WeightSDS!S$8*$AG861^4+WeightSDS!T$8*$AG861^3+WeightSDS!U$8*$AG861^2+WeightSDS!V$8*$AG861+WeightSDS!W$8,WeightSDS!$U$9-WeightSDS!$V$9*($AG861-WeightSDS!$W$9)))</f>
        <v>0.75407122999999998</v>
      </c>
      <c r="AJ861" s="24">
        <f>IF(D861="M",IF($AG861&lt;45,WeightSDS!M$23*$AG861^10+WeightSDS!N$23*$AG861^9+WeightSDS!O$23*$AG861^8+WeightSDS!P$23*$AG861^7+WeightSDS!Q$23*$AG861^6+WeightSDS!R$23*$AG861^5+WeightSDS!S$23*$AG861^4+WeightSDS!T$23*$AG861^3+WeightSDS!U$23*$AG861^2+WeightSDS!V$23*$AG861+WeightSDS!W$23,IF($AG861&lt;153,WeightSDS!M$25*$AG861^10+WeightSDS!N$25*$AG861^9+WeightSDS!O$25*$AG861^8+WeightSDS!P$25*$AG861^7+WeightSDS!Q$25*$AG861^6+WeightSDS!R$25*$AG861^5+WeightSDS!S$25*$AG861^4+WeightSDS!T$25*$AG861^3+WeightSDS!U$25*$AG861^2+WeightSDS!V$25*$AG861+WeightSDS!W$25,WeightSDS!M$27+WeightSDS!N$27/(1+EXP(WeightSDS!O$27+WeightSDS!P$27*$AG861)))),IF($AG861&lt;43.8,WeightSDS!M$29*$AG861^10+WeightSDS!N$29*$AG861^9+WeightSDS!O$29*$AG861^8+WeightSDS!P$29*$AG861^7+WeightSDS!Q$29*$AG861^6+WeightSDS!R$29*$AG861^5+WeightSDS!S$29*$AG861^4+WeightSDS!T$29*$AG861^3+WeightSDS!U$29*$AG861^2+WeightSDS!V$29*$AG861+WeightSDS!W$29-0.010431*(1-$AG861/210),IF($AG861&lt;123,WeightSDS!M$30*$AG861^10+WeightSDS!N$30*$AG861^9+WeightSDS!O$30*$AG861^8+WeightSDS!P$30*$AG861^7+WeightSDS!Q$30*$AG861^6+WeightSDS!R$30*$AG861^5+WeightSDS!S$30*$AG861^4+WeightSDS!T$30*$AG861^3+WeightSDS!U$30*$AG861^2+WeightSDS!V$30*$AG861+WeightSDS!W$30-0.010431*(1-1/$AG861),WeightSDS!M$32+WeightSDS!N$32/(1+EXP(WeightSDS!O$32+WeightSDS!P$32*$AG861))-0.010431*(1-$AG861/210))))</f>
        <v>2.9500001032655536</v>
      </c>
      <c r="AK861" s="24">
        <f>IF(D861="M",IF($AG861&lt;162,WeightSDS!P$12*$AG861^7+WeightSDS!Q$12*$AG861^6+WeightSDS!R$12*$AG861^5+WeightSDS!S$12*$AG861^4+WeightSDS!T$12*$AG861^3+WeightSDS!U$12*$AG861^2+WeightSDS!V$12*$AG861+WeightSDS!W$12,WeightSDS!P$14*$AG861^7+WeightSDS!Q$14*$AG861^6+WeightSDS!R$14*$AG861^5+WeightSDS!S$14*$AG861^4+WeightSDS!T$14*$AG861^3+WeightSDS!U$14*$AG861^2+WeightSDS!V$14*$AG861+WeightSDS!W$14),IF($AG861&lt;156,WeightSDS!O$17*$AG861^8+WeightSDS!P$17*$AG861^7+WeightSDS!Q$17*$AG861^6+WeightSDS!R$17*$AG861^5+WeightSDS!S$17*$AG861^4+WeightSDS!T$17*$AG861^3+WeightSDS!U$17*$AG861^2+WeightSDS!V$17*$AG861+WeightSDS!W$17,IF($AG861&lt;186,WeightSDS!$U$18+(WeightSDS!$V$18-WeightSDS!$U$18)/24*($AG861-186)+WeightSDS!$W$18*(-$AG861+186)^2-0.005,WeightSDS!$U$18+(WeightSDS!$V$18-WeightSDS!$U$18)/24*($AG861-186)-0.005)))</f>
        <v>0.14604529399999999</v>
      </c>
    </row>
    <row r="862" spans="1:37">
      <c r="A862" s="4"/>
      <c r="B862" s="21"/>
      <c r="C862" s="21"/>
      <c r="D862" s="21"/>
      <c r="E862" s="22"/>
      <c r="F862" s="22"/>
      <c r="G862" s="23"/>
      <c r="H862" s="23"/>
      <c r="I862" s="8" t="str">
        <f t="shared" si="210"/>
        <v/>
      </c>
      <c r="J862" s="2" t="str">
        <f t="shared" si="217"/>
        <v/>
      </c>
      <c r="K862" s="2" t="str">
        <f t="shared" si="211"/>
        <v/>
      </c>
      <c r="L862" s="2" t="str">
        <f t="shared" si="218"/>
        <v/>
      </c>
      <c r="M862" s="2" t="str">
        <f t="shared" si="223"/>
        <v/>
      </c>
      <c r="N862" s="2" t="str">
        <f t="shared" si="219"/>
        <v/>
      </c>
      <c r="O862" s="8" t="str">
        <f t="shared" si="220"/>
        <v/>
      </c>
      <c r="P862" s="8" t="str">
        <f t="shared" si="221"/>
        <v/>
      </c>
      <c r="Q862" s="40" t="str">
        <f t="shared" si="212"/>
        <v/>
      </c>
      <c r="R862" s="48" t="str">
        <f t="shared" si="222"/>
        <v/>
      </c>
      <c r="S862" s="8"/>
      <c r="U862" s="35">
        <f t="shared" si="213"/>
        <v>0</v>
      </c>
      <c r="V862" s="24">
        <f t="shared" si="214"/>
        <v>0</v>
      </c>
      <c r="W862" s="41">
        <f t="shared" ref="W862:W925" si="225">DATEDIF(E862,F862,"Y")+(F862-(DATE(YEAR(E862)+DATEDIF(E862,F862,"Y"),MONTH(E862),DAY(E862))))/(365+IF(MOD(YEAR((DATE(YEAR(F862)-1,MONTH(E862),DAY(E862)))),4)=0,IF((DATE(YEAR(F862)-1,MONTH(E862),DAY(E862)))&gt;DATE(YEAR((DATE(YEAR(F862)-1,MONTH(E862),DAY(E862)))),2,29),0,1),0)+IF(MOD(YEAR(F862),4)=0,IF(F862&gt;DATE(YEAR(F862),2,29),1,0),0))</f>
        <v>0</v>
      </c>
      <c r="X862" s="31"/>
      <c r="Y862" s="31"/>
      <c r="Z862" s="31"/>
      <c r="AA862" s="25">
        <f t="shared" si="215"/>
        <v>9.0359999999999996</v>
      </c>
      <c r="AB862" s="25">
        <f t="shared" si="216"/>
        <v>-184.49199999999999</v>
      </c>
      <c r="AD862" s="24">
        <f>IF(D862="M",IF(AG862&lt;78,BMILMS!$D$5*AG862^3+BMILMS!$E$5*AG862^2+BMILMS!$F$5*AG862+BMILMS!$G$5,IF(AG862&lt;150,BMILMS!$D$6*AG862^3+BMILMS!$E$6*AG862^2+BMILMS!$F$6*AG862+BMILMS!$G$6,BMILMS!$D$7*AG862^3+BMILMS!$E$7*AG862^2+BMILMS!$F$7*AG862+BMILMS!$G$7)),IF(AG862&lt;69,BMILMS!$D$9*AG862^3+BMILMS!$E$9*AG862^2+BMILMS!$F$9*AG862+BMILMS!$G$9,IF(AG862&lt;150,BMILMS!$D$10*AG862^3+BMILMS!$E$10*AG862^2+BMILMS!$F$10*AG862+BMILMS!$G$10,BMILMS!$D$11*AG862^3+BMILMS!$E$11*AG862^2+BMILMS!$F$11*AG862+BMILMS!$G$11)))</f>
        <v>0.79584630099999998</v>
      </c>
      <c r="AE862" s="24">
        <f>IF(D862="M",(IF(AG862&lt;2.5,BMILMS!$D$21*AG862^3+BMILMS!$E$21*AG862^2+BMILMS!$F$21*AG862+BMILMS!$G$21,IF(AG862&lt;9.5,BMILMS!$D$22*AG862^3+BMILMS!$E$22*AG862^2+BMILMS!$F$22*AG862+BMILMS!$G$22,IF(AG862&lt;26.75,BMILMS!$D$23*AG862^3+BMILMS!$E$23*AG862^2+BMILMS!$F$23*AG862+BMILMS!$G$23,IF(AG862&lt;90,BMILMS!$D$24*AG862^3+BMILMS!$E$24*AG862^2+BMILMS!$F$24*AG862+BMILMS!$G$24,BMILMS!$D$25*AG862^3+BMILMS!$E$25*AG862^2+BMILMS!$F$25*AG862+BMILMS!$G$25))))),(IF(AG862&lt;2.5,BMILMS!$D$27*AG862^3+BMILMS!$E$27*AG862^2+BMILMS!$F$27*AG862+BMILMS!$G$27,IF(AG862&lt;9.5,BMILMS!$D$28*AG862^3+BMILMS!$E$28*AG862^2+BMILMS!$F$28*AG862+BMILMS!$G$28,IF(AG862&lt;26.75,BMILMS!$D$29*AG862^3+BMILMS!$E$29*AG862^2+BMILMS!$F$29*AG862+BMILMS!$G$29,IF(AG862&lt;90,BMILMS!$D$30*AG862^3+BMILMS!$E$30*AG862^2+BMILMS!$F$30*AG862+BMILMS!$G$30,IF(AG862&lt;150,BMILMS!$D$31*AG862^3+BMILMS!$E$31*AG862^2+BMILMS!$F$31*AG862+BMILMS!$G$31,BMILMS!$D$32*AG862^3+BMILMS!$E$32*AG862^2+BMILMS!$F$32*AG862+BMILMS!$G$32)))))))</f>
        <v>12.568967990000001</v>
      </c>
      <c r="AF862" s="24">
        <f>IF(D862="M",(IF(AG862&lt;90,BMILMS!$D$14*AG862^3+BMILMS!$E$14*AG862^2+BMILMS!$F$14*AG862+BMILMS!$G$14,BMILMS!$D$15*AG862^3+BMILMS!$E$15*AG862^2+BMILMS!$F$15*AG862+BMILMS!$G$15)),(IF(AG862&lt;90,BMILMS!$D$17*AG862^3+BMILMS!$E$17*AG862^2+BMILMS!$F$17*AG862+BMILMS!$G$17,BMILMS!$D$18*AG862^3+BMILMS!$E$18*AG862^2+BMILMS!$F$18*AG862+BMILMS!$G$18)))</f>
        <v>8.8969350000000003E-2</v>
      </c>
      <c r="AG862" s="24">
        <f t="shared" si="224"/>
        <v>0</v>
      </c>
      <c r="AI862" s="38">
        <f>IF(D862="M",WeightSDS!P$5*$AG862^7+WeightSDS!Q$5*$AG862^6+WeightSDS!R$5*$AG862^5+WeightSDS!S$5*$AG862^4+WeightSDS!T$5*$AG862^3+WeightSDS!U$5*$AG862^2+WeightSDS!V$5*$AG862+WeightSDS!W$5,IF($AG862&lt;186,WeightSDS!P$8*$AG862^7+WeightSDS!Q$8*$AG862^6+WeightSDS!R$8*$AG862^5+WeightSDS!S$8*$AG862^4+WeightSDS!T$8*$AG862^3+WeightSDS!U$8*$AG862^2+WeightSDS!V$8*$AG862+WeightSDS!W$8,WeightSDS!$U$9-WeightSDS!$V$9*($AG862-WeightSDS!$W$9)))</f>
        <v>0.75407122999999998</v>
      </c>
      <c r="AJ862" s="24">
        <f>IF(D862="M",IF($AG862&lt;45,WeightSDS!M$23*$AG862^10+WeightSDS!N$23*$AG862^9+WeightSDS!O$23*$AG862^8+WeightSDS!P$23*$AG862^7+WeightSDS!Q$23*$AG862^6+WeightSDS!R$23*$AG862^5+WeightSDS!S$23*$AG862^4+WeightSDS!T$23*$AG862^3+WeightSDS!U$23*$AG862^2+WeightSDS!V$23*$AG862+WeightSDS!W$23,IF($AG862&lt;153,WeightSDS!M$25*$AG862^10+WeightSDS!N$25*$AG862^9+WeightSDS!O$25*$AG862^8+WeightSDS!P$25*$AG862^7+WeightSDS!Q$25*$AG862^6+WeightSDS!R$25*$AG862^5+WeightSDS!S$25*$AG862^4+WeightSDS!T$25*$AG862^3+WeightSDS!U$25*$AG862^2+WeightSDS!V$25*$AG862+WeightSDS!W$25,WeightSDS!M$27+WeightSDS!N$27/(1+EXP(WeightSDS!O$27+WeightSDS!P$27*$AG862)))),IF($AG862&lt;43.8,WeightSDS!M$29*$AG862^10+WeightSDS!N$29*$AG862^9+WeightSDS!O$29*$AG862^8+WeightSDS!P$29*$AG862^7+WeightSDS!Q$29*$AG862^6+WeightSDS!R$29*$AG862^5+WeightSDS!S$29*$AG862^4+WeightSDS!T$29*$AG862^3+WeightSDS!U$29*$AG862^2+WeightSDS!V$29*$AG862+WeightSDS!W$29-0.010431*(1-$AG862/210),IF($AG862&lt;123,WeightSDS!M$30*$AG862^10+WeightSDS!N$30*$AG862^9+WeightSDS!O$30*$AG862^8+WeightSDS!P$30*$AG862^7+WeightSDS!Q$30*$AG862^6+WeightSDS!R$30*$AG862^5+WeightSDS!S$30*$AG862^4+WeightSDS!T$30*$AG862^3+WeightSDS!U$30*$AG862^2+WeightSDS!V$30*$AG862+WeightSDS!W$30-0.010431*(1-1/$AG862),WeightSDS!M$32+WeightSDS!N$32/(1+EXP(WeightSDS!O$32+WeightSDS!P$32*$AG862))-0.010431*(1-$AG862/210))))</f>
        <v>2.9500001032655536</v>
      </c>
      <c r="AK862" s="24">
        <f>IF(D862="M",IF($AG862&lt;162,WeightSDS!P$12*$AG862^7+WeightSDS!Q$12*$AG862^6+WeightSDS!R$12*$AG862^5+WeightSDS!S$12*$AG862^4+WeightSDS!T$12*$AG862^3+WeightSDS!U$12*$AG862^2+WeightSDS!V$12*$AG862+WeightSDS!W$12,WeightSDS!P$14*$AG862^7+WeightSDS!Q$14*$AG862^6+WeightSDS!R$14*$AG862^5+WeightSDS!S$14*$AG862^4+WeightSDS!T$14*$AG862^3+WeightSDS!U$14*$AG862^2+WeightSDS!V$14*$AG862+WeightSDS!W$14),IF($AG862&lt;156,WeightSDS!O$17*$AG862^8+WeightSDS!P$17*$AG862^7+WeightSDS!Q$17*$AG862^6+WeightSDS!R$17*$AG862^5+WeightSDS!S$17*$AG862^4+WeightSDS!T$17*$AG862^3+WeightSDS!U$17*$AG862^2+WeightSDS!V$17*$AG862+WeightSDS!W$17,IF($AG862&lt;186,WeightSDS!$U$18+(WeightSDS!$V$18-WeightSDS!$U$18)/24*($AG862-186)+WeightSDS!$W$18*(-$AG862+186)^2-0.005,WeightSDS!$U$18+(WeightSDS!$V$18-WeightSDS!$U$18)/24*($AG862-186)-0.005)))</f>
        <v>0.14604529399999999</v>
      </c>
    </row>
    <row r="863" spans="1:37">
      <c r="A863" s="4"/>
      <c r="B863" s="21"/>
      <c r="C863" s="21"/>
      <c r="D863" s="21"/>
      <c r="E863" s="22"/>
      <c r="F863" s="22"/>
      <c r="G863" s="23"/>
      <c r="H863" s="23"/>
      <c r="I863" s="8" t="str">
        <f t="shared" si="210"/>
        <v/>
      </c>
      <c r="J863" s="2" t="str">
        <f t="shared" si="217"/>
        <v/>
      </c>
      <c r="K863" s="2" t="str">
        <f t="shared" si="211"/>
        <v/>
      </c>
      <c r="L863" s="2" t="str">
        <f t="shared" si="218"/>
        <v/>
      </c>
      <c r="M863" s="2" t="str">
        <f t="shared" si="223"/>
        <v/>
      </c>
      <c r="N863" s="2" t="str">
        <f t="shared" si="219"/>
        <v/>
      </c>
      <c r="O863" s="8" t="str">
        <f t="shared" si="220"/>
        <v/>
      </c>
      <c r="P863" s="8" t="str">
        <f t="shared" si="221"/>
        <v/>
      </c>
      <c r="Q863" s="40" t="str">
        <f t="shared" si="212"/>
        <v/>
      </c>
      <c r="R863" s="48" t="str">
        <f t="shared" si="222"/>
        <v/>
      </c>
      <c r="S863" s="8"/>
      <c r="U863" s="35">
        <f t="shared" si="213"/>
        <v>0</v>
      </c>
      <c r="V863" s="24">
        <f t="shared" si="214"/>
        <v>0</v>
      </c>
      <c r="W863" s="41">
        <f t="shared" si="225"/>
        <v>0</v>
      </c>
      <c r="X863" s="31"/>
      <c r="Y863" s="31"/>
      <c r="Z863" s="31"/>
      <c r="AA863" s="25">
        <f t="shared" si="215"/>
        <v>9.0359999999999996</v>
      </c>
      <c r="AB863" s="25">
        <f t="shared" si="216"/>
        <v>-184.49199999999999</v>
      </c>
      <c r="AD863" s="24">
        <f>IF(D863="M",IF(AG863&lt;78,BMILMS!$D$5*AG863^3+BMILMS!$E$5*AG863^2+BMILMS!$F$5*AG863+BMILMS!$G$5,IF(AG863&lt;150,BMILMS!$D$6*AG863^3+BMILMS!$E$6*AG863^2+BMILMS!$F$6*AG863+BMILMS!$G$6,BMILMS!$D$7*AG863^3+BMILMS!$E$7*AG863^2+BMILMS!$F$7*AG863+BMILMS!$G$7)),IF(AG863&lt;69,BMILMS!$D$9*AG863^3+BMILMS!$E$9*AG863^2+BMILMS!$F$9*AG863+BMILMS!$G$9,IF(AG863&lt;150,BMILMS!$D$10*AG863^3+BMILMS!$E$10*AG863^2+BMILMS!$F$10*AG863+BMILMS!$G$10,BMILMS!$D$11*AG863^3+BMILMS!$E$11*AG863^2+BMILMS!$F$11*AG863+BMILMS!$G$11)))</f>
        <v>0.79584630099999998</v>
      </c>
      <c r="AE863" s="24">
        <f>IF(D863="M",(IF(AG863&lt;2.5,BMILMS!$D$21*AG863^3+BMILMS!$E$21*AG863^2+BMILMS!$F$21*AG863+BMILMS!$G$21,IF(AG863&lt;9.5,BMILMS!$D$22*AG863^3+BMILMS!$E$22*AG863^2+BMILMS!$F$22*AG863+BMILMS!$G$22,IF(AG863&lt;26.75,BMILMS!$D$23*AG863^3+BMILMS!$E$23*AG863^2+BMILMS!$F$23*AG863+BMILMS!$G$23,IF(AG863&lt;90,BMILMS!$D$24*AG863^3+BMILMS!$E$24*AG863^2+BMILMS!$F$24*AG863+BMILMS!$G$24,BMILMS!$D$25*AG863^3+BMILMS!$E$25*AG863^2+BMILMS!$F$25*AG863+BMILMS!$G$25))))),(IF(AG863&lt;2.5,BMILMS!$D$27*AG863^3+BMILMS!$E$27*AG863^2+BMILMS!$F$27*AG863+BMILMS!$G$27,IF(AG863&lt;9.5,BMILMS!$D$28*AG863^3+BMILMS!$E$28*AG863^2+BMILMS!$F$28*AG863+BMILMS!$G$28,IF(AG863&lt;26.75,BMILMS!$D$29*AG863^3+BMILMS!$E$29*AG863^2+BMILMS!$F$29*AG863+BMILMS!$G$29,IF(AG863&lt;90,BMILMS!$D$30*AG863^3+BMILMS!$E$30*AG863^2+BMILMS!$F$30*AG863+BMILMS!$G$30,IF(AG863&lt;150,BMILMS!$D$31*AG863^3+BMILMS!$E$31*AG863^2+BMILMS!$F$31*AG863+BMILMS!$G$31,BMILMS!$D$32*AG863^3+BMILMS!$E$32*AG863^2+BMILMS!$F$32*AG863+BMILMS!$G$32)))))))</f>
        <v>12.568967990000001</v>
      </c>
      <c r="AF863" s="24">
        <f>IF(D863="M",(IF(AG863&lt;90,BMILMS!$D$14*AG863^3+BMILMS!$E$14*AG863^2+BMILMS!$F$14*AG863+BMILMS!$G$14,BMILMS!$D$15*AG863^3+BMILMS!$E$15*AG863^2+BMILMS!$F$15*AG863+BMILMS!$G$15)),(IF(AG863&lt;90,BMILMS!$D$17*AG863^3+BMILMS!$E$17*AG863^2+BMILMS!$F$17*AG863+BMILMS!$G$17,BMILMS!$D$18*AG863^3+BMILMS!$E$18*AG863^2+BMILMS!$F$18*AG863+BMILMS!$G$18)))</f>
        <v>8.8969350000000003E-2</v>
      </c>
      <c r="AG863" s="24">
        <f t="shared" si="224"/>
        <v>0</v>
      </c>
      <c r="AI863" s="38">
        <f>IF(D863="M",WeightSDS!P$5*$AG863^7+WeightSDS!Q$5*$AG863^6+WeightSDS!R$5*$AG863^5+WeightSDS!S$5*$AG863^4+WeightSDS!T$5*$AG863^3+WeightSDS!U$5*$AG863^2+WeightSDS!V$5*$AG863+WeightSDS!W$5,IF($AG863&lt;186,WeightSDS!P$8*$AG863^7+WeightSDS!Q$8*$AG863^6+WeightSDS!R$8*$AG863^5+WeightSDS!S$8*$AG863^4+WeightSDS!T$8*$AG863^3+WeightSDS!U$8*$AG863^2+WeightSDS!V$8*$AG863+WeightSDS!W$8,WeightSDS!$U$9-WeightSDS!$V$9*($AG863-WeightSDS!$W$9)))</f>
        <v>0.75407122999999998</v>
      </c>
      <c r="AJ863" s="24">
        <f>IF(D863="M",IF($AG863&lt;45,WeightSDS!M$23*$AG863^10+WeightSDS!N$23*$AG863^9+WeightSDS!O$23*$AG863^8+WeightSDS!P$23*$AG863^7+WeightSDS!Q$23*$AG863^6+WeightSDS!R$23*$AG863^5+WeightSDS!S$23*$AG863^4+WeightSDS!T$23*$AG863^3+WeightSDS!U$23*$AG863^2+WeightSDS!V$23*$AG863+WeightSDS!W$23,IF($AG863&lt;153,WeightSDS!M$25*$AG863^10+WeightSDS!N$25*$AG863^9+WeightSDS!O$25*$AG863^8+WeightSDS!P$25*$AG863^7+WeightSDS!Q$25*$AG863^6+WeightSDS!R$25*$AG863^5+WeightSDS!S$25*$AG863^4+WeightSDS!T$25*$AG863^3+WeightSDS!U$25*$AG863^2+WeightSDS!V$25*$AG863+WeightSDS!W$25,WeightSDS!M$27+WeightSDS!N$27/(1+EXP(WeightSDS!O$27+WeightSDS!P$27*$AG863)))),IF($AG863&lt;43.8,WeightSDS!M$29*$AG863^10+WeightSDS!N$29*$AG863^9+WeightSDS!O$29*$AG863^8+WeightSDS!P$29*$AG863^7+WeightSDS!Q$29*$AG863^6+WeightSDS!R$29*$AG863^5+WeightSDS!S$29*$AG863^4+WeightSDS!T$29*$AG863^3+WeightSDS!U$29*$AG863^2+WeightSDS!V$29*$AG863+WeightSDS!W$29-0.010431*(1-$AG863/210),IF($AG863&lt;123,WeightSDS!M$30*$AG863^10+WeightSDS!N$30*$AG863^9+WeightSDS!O$30*$AG863^8+WeightSDS!P$30*$AG863^7+WeightSDS!Q$30*$AG863^6+WeightSDS!R$30*$AG863^5+WeightSDS!S$30*$AG863^4+WeightSDS!T$30*$AG863^3+WeightSDS!U$30*$AG863^2+WeightSDS!V$30*$AG863+WeightSDS!W$30-0.010431*(1-1/$AG863),WeightSDS!M$32+WeightSDS!N$32/(1+EXP(WeightSDS!O$32+WeightSDS!P$32*$AG863))-0.010431*(1-$AG863/210))))</f>
        <v>2.9500001032655536</v>
      </c>
      <c r="AK863" s="24">
        <f>IF(D863="M",IF($AG863&lt;162,WeightSDS!P$12*$AG863^7+WeightSDS!Q$12*$AG863^6+WeightSDS!R$12*$AG863^5+WeightSDS!S$12*$AG863^4+WeightSDS!T$12*$AG863^3+WeightSDS!U$12*$AG863^2+WeightSDS!V$12*$AG863+WeightSDS!W$12,WeightSDS!P$14*$AG863^7+WeightSDS!Q$14*$AG863^6+WeightSDS!R$14*$AG863^5+WeightSDS!S$14*$AG863^4+WeightSDS!T$14*$AG863^3+WeightSDS!U$14*$AG863^2+WeightSDS!V$14*$AG863+WeightSDS!W$14),IF($AG863&lt;156,WeightSDS!O$17*$AG863^8+WeightSDS!P$17*$AG863^7+WeightSDS!Q$17*$AG863^6+WeightSDS!R$17*$AG863^5+WeightSDS!S$17*$AG863^4+WeightSDS!T$17*$AG863^3+WeightSDS!U$17*$AG863^2+WeightSDS!V$17*$AG863+WeightSDS!W$17,IF($AG863&lt;186,WeightSDS!$U$18+(WeightSDS!$V$18-WeightSDS!$U$18)/24*($AG863-186)+WeightSDS!$W$18*(-$AG863+186)^2-0.005,WeightSDS!$U$18+(WeightSDS!$V$18-WeightSDS!$U$18)/24*($AG863-186)-0.005)))</f>
        <v>0.14604529399999999</v>
      </c>
    </row>
    <row r="864" spans="1:37">
      <c r="A864" s="4"/>
      <c r="B864" s="21"/>
      <c r="C864" s="21"/>
      <c r="D864" s="21"/>
      <c r="E864" s="22"/>
      <c r="F864" s="22"/>
      <c r="G864" s="23"/>
      <c r="H864" s="23"/>
      <c r="I864" s="8" t="str">
        <f t="shared" si="210"/>
        <v/>
      </c>
      <c r="J864" s="2" t="str">
        <f t="shared" si="217"/>
        <v/>
      </c>
      <c r="K864" s="2" t="str">
        <f t="shared" si="211"/>
        <v/>
      </c>
      <c r="L864" s="2" t="str">
        <f t="shared" si="218"/>
        <v/>
      </c>
      <c r="M864" s="2" t="str">
        <f t="shared" si="223"/>
        <v/>
      </c>
      <c r="N864" s="2" t="str">
        <f t="shared" si="219"/>
        <v/>
      </c>
      <c r="O864" s="8" t="str">
        <f t="shared" si="220"/>
        <v/>
      </c>
      <c r="P864" s="8" t="str">
        <f t="shared" si="221"/>
        <v/>
      </c>
      <c r="Q864" s="40" t="str">
        <f t="shared" si="212"/>
        <v/>
      </c>
      <c r="R864" s="48" t="str">
        <f t="shared" si="222"/>
        <v/>
      </c>
      <c r="S864" s="8"/>
      <c r="U864" s="35">
        <f t="shared" si="213"/>
        <v>0</v>
      </c>
      <c r="V864" s="24">
        <f t="shared" si="214"/>
        <v>0</v>
      </c>
      <c r="W864" s="41">
        <f t="shared" si="225"/>
        <v>0</v>
      </c>
      <c r="X864" s="31"/>
      <c r="Y864" s="31"/>
      <c r="Z864" s="31"/>
      <c r="AA864" s="25">
        <f t="shared" si="215"/>
        <v>9.0359999999999996</v>
      </c>
      <c r="AB864" s="25">
        <f t="shared" si="216"/>
        <v>-184.49199999999999</v>
      </c>
      <c r="AD864" s="24">
        <f>IF(D864="M",IF(AG864&lt;78,BMILMS!$D$5*AG864^3+BMILMS!$E$5*AG864^2+BMILMS!$F$5*AG864+BMILMS!$G$5,IF(AG864&lt;150,BMILMS!$D$6*AG864^3+BMILMS!$E$6*AG864^2+BMILMS!$F$6*AG864+BMILMS!$G$6,BMILMS!$D$7*AG864^3+BMILMS!$E$7*AG864^2+BMILMS!$F$7*AG864+BMILMS!$G$7)),IF(AG864&lt;69,BMILMS!$D$9*AG864^3+BMILMS!$E$9*AG864^2+BMILMS!$F$9*AG864+BMILMS!$G$9,IF(AG864&lt;150,BMILMS!$D$10*AG864^3+BMILMS!$E$10*AG864^2+BMILMS!$F$10*AG864+BMILMS!$G$10,BMILMS!$D$11*AG864^3+BMILMS!$E$11*AG864^2+BMILMS!$F$11*AG864+BMILMS!$G$11)))</f>
        <v>0.79584630099999998</v>
      </c>
      <c r="AE864" s="24">
        <f>IF(D864="M",(IF(AG864&lt;2.5,BMILMS!$D$21*AG864^3+BMILMS!$E$21*AG864^2+BMILMS!$F$21*AG864+BMILMS!$G$21,IF(AG864&lt;9.5,BMILMS!$D$22*AG864^3+BMILMS!$E$22*AG864^2+BMILMS!$F$22*AG864+BMILMS!$G$22,IF(AG864&lt;26.75,BMILMS!$D$23*AG864^3+BMILMS!$E$23*AG864^2+BMILMS!$F$23*AG864+BMILMS!$G$23,IF(AG864&lt;90,BMILMS!$D$24*AG864^3+BMILMS!$E$24*AG864^2+BMILMS!$F$24*AG864+BMILMS!$G$24,BMILMS!$D$25*AG864^3+BMILMS!$E$25*AG864^2+BMILMS!$F$25*AG864+BMILMS!$G$25))))),(IF(AG864&lt;2.5,BMILMS!$D$27*AG864^3+BMILMS!$E$27*AG864^2+BMILMS!$F$27*AG864+BMILMS!$G$27,IF(AG864&lt;9.5,BMILMS!$D$28*AG864^3+BMILMS!$E$28*AG864^2+BMILMS!$F$28*AG864+BMILMS!$G$28,IF(AG864&lt;26.75,BMILMS!$D$29*AG864^3+BMILMS!$E$29*AG864^2+BMILMS!$F$29*AG864+BMILMS!$G$29,IF(AG864&lt;90,BMILMS!$D$30*AG864^3+BMILMS!$E$30*AG864^2+BMILMS!$F$30*AG864+BMILMS!$G$30,IF(AG864&lt;150,BMILMS!$D$31*AG864^3+BMILMS!$E$31*AG864^2+BMILMS!$F$31*AG864+BMILMS!$G$31,BMILMS!$D$32*AG864^3+BMILMS!$E$32*AG864^2+BMILMS!$F$32*AG864+BMILMS!$G$32)))))))</f>
        <v>12.568967990000001</v>
      </c>
      <c r="AF864" s="24">
        <f>IF(D864="M",(IF(AG864&lt;90,BMILMS!$D$14*AG864^3+BMILMS!$E$14*AG864^2+BMILMS!$F$14*AG864+BMILMS!$G$14,BMILMS!$D$15*AG864^3+BMILMS!$E$15*AG864^2+BMILMS!$F$15*AG864+BMILMS!$G$15)),(IF(AG864&lt;90,BMILMS!$D$17*AG864^3+BMILMS!$E$17*AG864^2+BMILMS!$F$17*AG864+BMILMS!$G$17,BMILMS!$D$18*AG864^3+BMILMS!$E$18*AG864^2+BMILMS!$F$18*AG864+BMILMS!$G$18)))</f>
        <v>8.8969350000000003E-2</v>
      </c>
      <c r="AG864" s="24">
        <f t="shared" si="224"/>
        <v>0</v>
      </c>
      <c r="AI864" s="38">
        <f>IF(D864="M",WeightSDS!P$5*$AG864^7+WeightSDS!Q$5*$AG864^6+WeightSDS!R$5*$AG864^5+WeightSDS!S$5*$AG864^4+WeightSDS!T$5*$AG864^3+WeightSDS!U$5*$AG864^2+WeightSDS!V$5*$AG864+WeightSDS!W$5,IF($AG864&lt;186,WeightSDS!P$8*$AG864^7+WeightSDS!Q$8*$AG864^6+WeightSDS!R$8*$AG864^5+WeightSDS!S$8*$AG864^4+WeightSDS!T$8*$AG864^3+WeightSDS!U$8*$AG864^2+WeightSDS!V$8*$AG864+WeightSDS!W$8,WeightSDS!$U$9-WeightSDS!$V$9*($AG864-WeightSDS!$W$9)))</f>
        <v>0.75407122999999998</v>
      </c>
      <c r="AJ864" s="24">
        <f>IF(D864="M",IF($AG864&lt;45,WeightSDS!M$23*$AG864^10+WeightSDS!N$23*$AG864^9+WeightSDS!O$23*$AG864^8+WeightSDS!P$23*$AG864^7+WeightSDS!Q$23*$AG864^6+WeightSDS!R$23*$AG864^5+WeightSDS!S$23*$AG864^4+WeightSDS!T$23*$AG864^3+WeightSDS!U$23*$AG864^2+WeightSDS!V$23*$AG864+WeightSDS!W$23,IF($AG864&lt;153,WeightSDS!M$25*$AG864^10+WeightSDS!N$25*$AG864^9+WeightSDS!O$25*$AG864^8+WeightSDS!P$25*$AG864^7+WeightSDS!Q$25*$AG864^6+WeightSDS!R$25*$AG864^5+WeightSDS!S$25*$AG864^4+WeightSDS!T$25*$AG864^3+WeightSDS!U$25*$AG864^2+WeightSDS!V$25*$AG864+WeightSDS!W$25,WeightSDS!M$27+WeightSDS!N$27/(1+EXP(WeightSDS!O$27+WeightSDS!P$27*$AG864)))),IF($AG864&lt;43.8,WeightSDS!M$29*$AG864^10+WeightSDS!N$29*$AG864^9+WeightSDS!O$29*$AG864^8+WeightSDS!P$29*$AG864^7+WeightSDS!Q$29*$AG864^6+WeightSDS!R$29*$AG864^5+WeightSDS!S$29*$AG864^4+WeightSDS!T$29*$AG864^3+WeightSDS!U$29*$AG864^2+WeightSDS!V$29*$AG864+WeightSDS!W$29-0.010431*(1-$AG864/210),IF($AG864&lt;123,WeightSDS!M$30*$AG864^10+WeightSDS!N$30*$AG864^9+WeightSDS!O$30*$AG864^8+WeightSDS!P$30*$AG864^7+WeightSDS!Q$30*$AG864^6+WeightSDS!R$30*$AG864^5+WeightSDS!S$30*$AG864^4+WeightSDS!T$30*$AG864^3+WeightSDS!U$30*$AG864^2+WeightSDS!V$30*$AG864+WeightSDS!W$30-0.010431*(1-1/$AG864),WeightSDS!M$32+WeightSDS!N$32/(1+EXP(WeightSDS!O$32+WeightSDS!P$32*$AG864))-0.010431*(1-$AG864/210))))</f>
        <v>2.9500001032655536</v>
      </c>
      <c r="AK864" s="24">
        <f>IF(D864="M",IF($AG864&lt;162,WeightSDS!P$12*$AG864^7+WeightSDS!Q$12*$AG864^6+WeightSDS!R$12*$AG864^5+WeightSDS!S$12*$AG864^4+WeightSDS!T$12*$AG864^3+WeightSDS!U$12*$AG864^2+WeightSDS!V$12*$AG864+WeightSDS!W$12,WeightSDS!P$14*$AG864^7+WeightSDS!Q$14*$AG864^6+WeightSDS!R$14*$AG864^5+WeightSDS!S$14*$AG864^4+WeightSDS!T$14*$AG864^3+WeightSDS!U$14*$AG864^2+WeightSDS!V$14*$AG864+WeightSDS!W$14),IF($AG864&lt;156,WeightSDS!O$17*$AG864^8+WeightSDS!P$17*$AG864^7+WeightSDS!Q$17*$AG864^6+WeightSDS!R$17*$AG864^5+WeightSDS!S$17*$AG864^4+WeightSDS!T$17*$AG864^3+WeightSDS!U$17*$AG864^2+WeightSDS!V$17*$AG864+WeightSDS!W$17,IF($AG864&lt;186,WeightSDS!$U$18+(WeightSDS!$V$18-WeightSDS!$U$18)/24*($AG864-186)+WeightSDS!$W$18*(-$AG864+186)^2-0.005,WeightSDS!$U$18+(WeightSDS!$V$18-WeightSDS!$U$18)/24*($AG864-186)-0.005)))</f>
        <v>0.14604529399999999</v>
      </c>
    </row>
    <row r="865" spans="1:37">
      <c r="A865" s="4"/>
      <c r="B865" s="21"/>
      <c r="C865" s="21"/>
      <c r="D865" s="21"/>
      <c r="E865" s="22"/>
      <c r="F865" s="22"/>
      <c r="G865" s="23"/>
      <c r="H865" s="23"/>
      <c r="I865" s="8" t="str">
        <f t="shared" si="210"/>
        <v/>
      </c>
      <c r="J865" s="2" t="str">
        <f t="shared" si="217"/>
        <v/>
      </c>
      <c r="K865" s="2" t="str">
        <f t="shared" si="211"/>
        <v/>
      </c>
      <c r="L865" s="2" t="str">
        <f t="shared" si="218"/>
        <v/>
      </c>
      <c r="M865" s="2" t="str">
        <f t="shared" si="223"/>
        <v/>
      </c>
      <c r="N865" s="2" t="str">
        <f t="shared" si="219"/>
        <v/>
      </c>
      <c r="O865" s="8" t="str">
        <f t="shared" si="220"/>
        <v/>
      </c>
      <c r="P865" s="8" t="str">
        <f t="shared" si="221"/>
        <v/>
      </c>
      <c r="Q865" s="40" t="str">
        <f t="shared" si="212"/>
        <v/>
      </c>
      <c r="R865" s="48" t="str">
        <f t="shared" si="222"/>
        <v/>
      </c>
      <c r="S865" s="8"/>
      <c r="U865" s="35">
        <f t="shared" si="213"/>
        <v>0</v>
      </c>
      <c r="V865" s="24">
        <f t="shared" si="214"/>
        <v>0</v>
      </c>
      <c r="W865" s="41">
        <f t="shared" si="225"/>
        <v>0</v>
      </c>
      <c r="X865" s="31"/>
      <c r="Y865" s="31"/>
      <c r="Z865" s="31"/>
      <c r="AA865" s="25">
        <f t="shared" si="215"/>
        <v>9.0359999999999996</v>
      </c>
      <c r="AB865" s="25">
        <f t="shared" si="216"/>
        <v>-184.49199999999999</v>
      </c>
      <c r="AD865" s="24">
        <f>IF(D865="M",IF(AG865&lt;78,BMILMS!$D$5*AG865^3+BMILMS!$E$5*AG865^2+BMILMS!$F$5*AG865+BMILMS!$G$5,IF(AG865&lt;150,BMILMS!$D$6*AG865^3+BMILMS!$E$6*AG865^2+BMILMS!$F$6*AG865+BMILMS!$G$6,BMILMS!$D$7*AG865^3+BMILMS!$E$7*AG865^2+BMILMS!$F$7*AG865+BMILMS!$G$7)),IF(AG865&lt;69,BMILMS!$D$9*AG865^3+BMILMS!$E$9*AG865^2+BMILMS!$F$9*AG865+BMILMS!$G$9,IF(AG865&lt;150,BMILMS!$D$10*AG865^3+BMILMS!$E$10*AG865^2+BMILMS!$F$10*AG865+BMILMS!$G$10,BMILMS!$D$11*AG865^3+BMILMS!$E$11*AG865^2+BMILMS!$F$11*AG865+BMILMS!$G$11)))</f>
        <v>0.79584630099999998</v>
      </c>
      <c r="AE865" s="24">
        <f>IF(D865="M",(IF(AG865&lt;2.5,BMILMS!$D$21*AG865^3+BMILMS!$E$21*AG865^2+BMILMS!$F$21*AG865+BMILMS!$G$21,IF(AG865&lt;9.5,BMILMS!$D$22*AG865^3+BMILMS!$E$22*AG865^2+BMILMS!$F$22*AG865+BMILMS!$G$22,IF(AG865&lt;26.75,BMILMS!$D$23*AG865^3+BMILMS!$E$23*AG865^2+BMILMS!$F$23*AG865+BMILMS!$G$23,IF(AG865&lt;90,BMILMS!$D$24*AG865^3+BMILMS!$E$24*AG865^2+BMILMS!$F$24*AG865+BMILMS!$G$24,BMILMS!$D$25*AG865^3+BMILMS!$E$25*AG865^2+BMILMS!$F$25*AG865+BMILMS!$G$25))))),(IF(AG865&lt;2.5,BMILMS!$D$27*AG865^3+BMILMS!$E$27*AG865^2+BMILMS!$F$27*AG865+BMILMS!$G$27,IF(AG865&lt;9.5,BMILMS!$D$28*AG865^3+BMILMS!$E$28*AG865^2+BMILMS!$F$28*AG865+BMILMS!$G$28,IF(AG865&lt;26.75,BMILMS!$D$29*AG865^3+BMILMS!$E$29*AG865^2+BMILMS!$F$29*AG865+BMILMS!$G$29,IF(AG865&lt;90,BMILMS!$D$30*AG865^3+BMILMS!$E$30*AG865^2+BMILMS!$F$30*AG865+BMILMS!$G$30,IF(AG865&lt;150,BMILMS!$D$31*AG865^3+BMILMS!$E$31*AG865^2+BMILMS!$F$31*AG865+BMILMS!$G$31,BMILMS!$D$32*AG865^3+BMILMS!$E$32*AG865^2+BMILMS!$F$32*AG865+BMILMS!$G$32)))))))</f>
        <v>12.568967990000001</v>
      </c>
      <c r="AF865" s="24">
        <f>IF(D865="M",(IF(AG865&lt;90,BMILMS!$D$14*AG865^3+BMILMS!$E$14*AG865^2+BMILMS!$F$14*AG865+BMILMS!$G$14,BMILMS!$D$15*AG865^3+BMILMS!$E$15*AG865^2+BMILMS!$F$15*AG865+BMILMS!$G$15)),(IF(AG865&lt;90,BMILMS!$D$17*AG865^3+BMILMS!$E$17*AG865^2+BMILMS!$F$17*AG865+BMILMS!$G$17,BMILMS!$D$18*AG865^3+BMILMS!$E$18*AG865^2+BMILMS!$F$18*AG865+BMILMS!$G$18)))</f>
        <v>8.8969350000000003E-2</v>
      </c>
      <c r="AG865" s="24">
        <f t="shared" si="224"/>
        <v>0</v>
      </c>
      <c r="AI865" s="38">
        <f>IF(D865="M",WeightSDS!P$5*$AG865^7+WeightSDS!Q$5*$AG865^6+WeightSDS!R$5*$AG865^5+WeightSDS!S$5*$AG865^4+WeightSDS!T$5*$AG865^3+WeightSDS!U$5*$AG865^2+WeightSDS!V$5*$AG865+WeightSDS!W$5,IF($AG865&lt;186,WeightSDS!P$8*$AG865^7+WeightSDS!Q$8*$AG865^6+WeightSDS!R$8*$AG865^5+WeightSDS!S$8*$AG865^4+WeightSDS!T$8*$AG865^3+WeightSDS!U$8*$AG865^2+WeightSDS!V$8*$AG865+WeightSDS!W$8,WeightSDS!$U$9-WeightSDS!$V$9*($AG865-WeightSDS!$W$9)))</f>
        <v>0.75407122999999998</v>
      </c>
      <c r="AJ865" s="24">
        <f>IF(D865="M",IF($AG865&lt;45,WeightSDS!M$23*$AG865^10+WeightSDS!N$23*$AG865^9+WeightSDS!O$23*$AG865^8+WeightSDS!P$23*$AG865^7+WeightSDS!Q$23*$AG865^6+WeightSDS!R$23*$AG865^5+WeightSDS!S$23*$AG865^4+WeightSDS!T$23*$AG865^3+WeightSDS!U$23*$AG865^2+WeightSDS!V$23*$AG865+WeightSDS!W$23,IF($AG865&lt;153,WeightSDS!M$25*$AG865^10+WeightSDS!N$25*$AG865^9+WeightSDS!O$25*$AG865^8+WeightSDS!P$25*$AG865^7+WeightSDS!Q$25*$AG865^6+WeightSDS!R$25*$AG865^5+WeightSDS!S$25*$AG865^4+WeightSDS!T$25*$AG865^3+WeightSDS!U$25*$AG865^2+WeightSDS!V$25*$AG865+WeightSDS!W$25,WeightSDS!M$27+WeightSDS!N$27/(1+EXP(WeightSDS!O$27+WeightSDS!P$27*$AG865)))),IF($AG865&lt;43.8,WeightSDS!M$29*$AG865^10+WeightSDS!N$29*$AG865^9+WeightSDS!O$29*$AG865^8+WeightSDS!P$29*$AG865^7+WeightSDS!Q$29*$AG865^6+WeightSDS!R$29*$AG865^5+WeightSDS!S$29*$AG865^4+WeightSDS!T$29*$AG865^3+WeightSDS!U$29*$AG865^2+WeightSDS!V$29*$AG865+WeightSDS!W$29-0.010431*(1-$AG865/210),IF($AG865&lt;123,WeightSDS!M$30*$AG865^10+WeightSDS!N$30*$AG865^9+WeightSDS!O$30*$AG865^8+WeightSDS!P$30*$AG865^7+WeightSDS!Q$30*$AG865^6+WeightSDS!R$30*$AG865^5+WeightSDS!S$30*$AG865^4+WeightSDS!T$30*$AG865^3+WeightSDS!U$30*$AG865^2+WeightSDS!V$30*$AG865+WeightSDS!W$30-0.010431*(1-1/$AG865),WeightSDS!M$32+WeightSDS!N$32/(1+EXP(WeightSDS!O$32+WeightSDS!P$32*$AG865))-0.010431*(1-$AG865/210))))</f>
        <v>2.9500001032655536</v>
      </c>
      <c r="AK865" s="24">
        <f>IF(D865="M",IF($AG865&lt;162,WeightSDS!P$12*$AG865^7+WeightSDS!Q$12*$AG865^6+WeightSDS!R$12*$AG865^5+WeightSDS!S$12*$AG865^4+WeightSDS!T$12*$AG865^3+WeightSDS!U$12*$AG865^2+WeightSDS!V$12*$AG865+WeightSDS!W$12,WeightSDS!P$14*$AG865^7+WeightSDS!Q$14*$AG865^6+WeightSDS!R$14*$AG865^5+WeightSDS!S$14*$AG865^4+WeightSDS!T$14*$AG865^3+WeightSDS!U$14*$AG865^2+WeightSDS!V$14*$AG865+WeightSDS!W$14),IF($AG865&lt;156,WeightSDS!O$17*$AG865^8+WeightSDS!P$17*$AG865^7+WeightSDS!Q$17*$AG865^6+WeightSDS!R$17*$AG865^5+WeightSDS!S$17*$AG865^4+WeightSDS!T$17*$AG865^3+WeightSDS!U$17*$AG865^2+WeightSDS!V$17*$AG865+WeightSDS!W$17,IF($AG865&lt;186,WeightSDS!$U$18+(WeightSDS!$V$18-WeightSDS!$U$18)/24*($AG865-186)+WeightSDS!$W$18*(-$AG865+186)^2-0.005,WeightSDS!$U$18+(WeightSDS!$V$18-WeightSDS!$U$18)/24*($AG865-186)-0.005)))</f>
        <v>0.14604529399999999</v>
      </c>
    </row>
    <row r="866" spans="1:37">
      <c r="A866" s="4"/>
      <c r="B866" s="21"/>
      <c r="C866" s="21"/>
      <c r="D866" s="21"/>
      <c r="E866" s="22"/>
      <c r="F866" s="22"/>
      <c r="G866" s="23"/>
      <c r="H866" s="23"/>
      <c r="I866" s="8" t="str">
        <f t="shared" si="210"/>
        <v/>
      </c>
      <c r="J866" s="2" t="str">
        <f t="shared" si="217"/>
        <v/>
      </c>
      <c r="K866" s="2" t="str">
        <f t="shared" si="211"/>
        <v/>
      </c>
      <c r="L866" s="2" t="str">
        <f t="shared" si="218"/>
        <v/>
      </c>
      <c r="M866" s="2" t="str">
        <f t="shared" si="223"/>
        <v/>
      </c>
      <c r="N866" s="2" t="str">
        <f t="shared" si="219"/>
        <v/>
      </c>
      <c r="O866" s="8" t="str">
        <f t="shared" si="220"/>
        <v/>
      </c>
      <c r="P866" s="8" t="str">
        <f t="shared" si="221"/>
        <v/>
      </c>
      <c r="Q866" s="40" t="str">
        <f t="shared" si="212"/>
        <v/>
      </c>
      <c r="R866" s="48" t="str">
        <f t="shared" si="222"/>
        <v/>
      </c>
      <c r="S866" s="8"/>
      <c r="U866" s="35">
        <f t="shared" si="213"/>
        <v>0</v>
      </c>
      <c r="V866" s="24">
        <f t="shared" si="214"/>
        <v>0</v>
      </c>
      <c r="W866" s="41">
        <f t="shared" si="225"/>
        <v>0</v>
      </c>
      <c r="X866" s="31"/>
      <c r="Y866" s="31"/>
      <c r="Z866" s="31"/>
      <c r="AA866" s="25">
        <f t="shared" si="215"/>
        <v>9.0359999999999996</v>
      </c>
      <c r="AB866" s="25">
        <f t="shared" si="216"/>
        <v>-184.49199999999999</v>
      </c>
      <c r="AD866" s="24">
        <f>IF(D866="M",IF(AG866&lt;78,BMILMS!$D$5*AG866^3+BMILMS!$E$5*AG866^2+BMILMS!$F$5*AG866+BMILMS!$G$5,IF(AG866&lt;150,BMILMS!$D$6*AG866^3+BMILMS!$E$6*AG866^2+BMILMS!$F$6*AG866+BMILMS!$G$6,BMILMS!$D$7*AG866^3+BMILMS!$E$7*AG866^2+BMILMS!$F$7*AG866+BMILMS!$G$7)),IF(AG866&lt;69,BMILMS!$D$9*AG866^3+BMILMS!$E$9*AG866^2+BMILMS!$F$9*AG866+BMILMS!$G$9,IF(AG866&lt;150,BMILMS!$D$10*AG866^3+BMILMS!$E$10*AG866^2+BMILMS!$F$10*AG866+BMILMS!$G$10,BMILMS!$D$11*AG866^3+BMILMS!$E$11*AG866^2+BMILMS!$F$11*AG866+BMILMS!$G$11)))</f>
        <v>0.79584630099999998</v>
      </c>
      <c r="AE866" s="24">
        <f>IF(D866="M",(IF(AG866&lt;2.5,BMILMS!$D$21*AG866^3+BMILMS!$E$21*AG866^2+BMILMS!$F$21*AG866+BMILMS!$G$21,IF(AG866&lt;9.5,BMILMS!$D$22*AG866^3+BMILMS!$E$22*AG866^2+BMILMS!$F$22*AG866+BMILMS!$G$22,IF(AG866&lt;26.75,BMILMS!$D$23*AG866^3+BMILMS!$E$23*AG866^2+BMILMS!$F$23*AG866+BMILMS!$G$23,IF(AG866&lt;90,BMILMS!$D$24*AG866^3+BMILMS!$E$24*AG866^2+BMILMS!$F$24*AG866+BMILMS!$G$24,BMILMS!$D$25*AG866^3+BMILMS!$E$25*AG866^2+BMILMS!$F$25*AG866+BMILMS!$G$25))))),(IF(AG866&lt;2.5,BMILMS!$D$27*AG866^3+BMILMS!$E$27*AG866^2+BMILMS!$F$27*AG866+BMILMS!$G$27,IF(AG866&lt;9.5,BMILMS!$D$28*AG866^3+BMILMS!$E$28*AG866^2+BMILMS!$F$28*AG866+BMILMS!$G$28,IF(AG866&lt;26.75,BMILMS!$D$29*AG866^3+BMILMS!$E$29*AG866^2+BMILMS!$F$29*AG866+BMILMS!$G$29,IF(AG866&lt;90,BMILMS!$D$30*AG866^3+BMILMS!$E$30*AG866^2+BMILMS!$F$30*AG866+BMILMS!$G$30,IF(AG866&lt;150,BMILMS!$D$31*AG866^3+BMILMS!$E$31*AG866^2+BMILMS!$F$31*AG866+BMILMS!$G$31,BMILMS!$D$32*AG866^3+BMILMS!$E$32*AG866^2+BMILMS!$F$32*AG866+BMILMS!$G$32)))))))</f>
        <v>12.568967990000001</v>
      </c>
      <c r="AF866" s="24">
        <f>IF(D866="M",(IF(AG866&lt;90,BMILMS!$D$14*AG866^3+BMILMS!$E$14*AG866^2+BMILMS!$F$14*AG866+BMILMS!$G$14,BMILMS!$D$15*AG866^3+BMILMS!$E$15*AG866^2+BMILMS!$F$15*AG866+BMILMS!$G$15)),(IF(AG866&lt;90,BMILMS!$D$17*AG866^3+BMILMS!$E$17*AG866^2+BMILMS!$F$17*AG866+BMILMS!$G$17,BMILMS!$D$18*AG866^3+BMILMS!$E$18*AG866^2+BMILMS!$F$18*AG866+BMILMS!$G$18)))</f>
        <v>8.8969350000000003E-2</v>
      </c>
      <c r="AG866" s="24">
        <f t="shared" si="224"/>
        <v>0</v>
      </c>
      <c r="AI866" s="38">
        <f>IF(D866="M",WeightSDS!P$5*$AG866^7+WeightSDS!Q$5*$AG866^6+WeightSDS!R$5*$AG866^5+WeightSDS!S$5*$AG866^4+WeightSDS!T$5*$AG866^3+WeightSDS!U$5*$AG866^2+WeightSDS!V$5*$AG866+WeightSDS!W$5,IF($AG866&lt;186,WeightSDS!P$8*$AG866^7+WeightSDS!Q$8*$AG866^6+WeightSDS!R$8*$AG866^5+WeightSDS!S$8*$AG866^4+WeightSDS!T$8*$AG866^3+WeightSDS!U$8*$AG866^2+WeightSDS!V$8*$AG866+WeightSDS!W$8,WeightSDS!$U$9-WeightSDS!$V$9*($AG866-WeightSDS!$W$9)))</f>
        <v>0.75407122999999998</v>
      </c>
      <c r="AJ866" s="24">
        <f>IF(D866="M",IF($AG866&lt;45,WeightSDS!M$23*$AG866^10+WeightSDS!N$23*$AG866^9+WeightSDS!O$23*$AG866^8+WeightSDS!P$23*$AG866^7+WeightSDS!Q$23*$AG866^6+WeightSDS!R$23*$AG866^5+WeightSDS!S$23*$AG866^4+WeightSDS!T$23*$AG866^3+WeightSDS!U$23*$AG866^2+WeightSDS!V$23*$AG866+WeightSDS!W$23,IF($AG866&lt;153,WeightSDS!M$25*$AG866^10+WeightSDS!N$25*$AG866^9+WeightSDS!O$25*$AG866^8+WeightSDS!P$25*$AG866^7+WeightSDS!Q$25*$AG866^6+WeightSDS!R$25*$AG866^5+WeightSDS!S$25*$AG866^4+WeightSDS!T$25*$AG866^3+WeightSDS!U$25*$AG866^2+WeightSDS!V$25*$AG866+WeightSDS!W$25,WeightSDS!M$27+WeightSDS!N$27/(1+EXP(WeightSDS!O$27+WeightSDS!P$27*$AG866)))),IF($AG866&lt;43.8,WeightSDS!M$29*$AG866^10+WeightSDS!N$29*$AG866^9+WeightSDS!O$29*$AG866^8+WeightSDS!P$29*$AG866^7+WeightSDS!Q$29*$AG866^6+WeightSDS!R$29*$AG866^5+WeightSDS!S$29*$AG866^4+WeightSDS!T$29*$AG866^3+WeightSDS!U$29*$AG866^2+WeightSDS!V$29*$AG866+WeightSDS!W$29-0.010431*(1-$AG866/210),IF($AG866&lt;123,WeightSDS!M$30*$AG866^10+WeightSDS!N$30*$AG866^9+WeightSDS!O$30*$AG866^8+WeightSDS!P$30*$AG866^7+WeightSDS!Q$30*$AG866^6+WeightSDS!R$30*$AG866^5+WeightSDS!S$30*$AG866^4+WeightSDS!T$30*$AG866^3+WeightSDS!U$30*$AG866^2+WeightSDS!V$30*$AG866+WeightSDS!W$30-0.010431*(1-1/$AG866),WeightSDS!M$32+WeightSDS!N$32/(1+EXP(WeightSDS!O$32+WeightSDS!P$32*$AG866))-0.010431*(1-$AG866/210))))</f>
        <v>2.9500001032655536</v>
      </c>
      <c r="AK866" s="24">
        <f>IF(D866="M",IF($AG866&lt;162,WeightSDS!P$12*$AG866^7+WeightSDS!Q$12*$AG866^6+WeightSDS!R$12*$AG866^5+WeightSDS!S$12*$AG866^4+WeightSDS!T$12*$AG866^3+WeightSDS!U$12*$AG866^2+WeightSDS!V$12*$AG866+WeightSDS!W$12,WeightSDS!P$14*$AG866^7+WeightSDS!Q$14*$AG866^6+WeightSDS!R$14*$AG866^5+WeightSDS!S$14*$AG866^4+WeightSDS!T$14*$AG866^3+WeightSDS!U$14*$AG866^2+WeightSDS!V$14*$AG866+WeightSDS!W$14),IF($AG866&lt;156,WeightSDS!O$17*$AG866^8+WeightSDS!P$17*$AG866^7+WeightSDS!Q$17*$AG866^6+WeightSDS!R$17*$AG866^5+WeightSDS!S$17*$AG866^4+WeightSDS!T$17*$AG866^3+WeightSDS!U$17*$AG866^2+WeightSDS!V$17*$AG866+WeightSDS!W$17,IF($AG866&lt;186,WeightSDS!$U$18+(WeightSDS!$V$18-WeightSDS!$U$18)/24*($AG866-186)+WeightSDS!$W$18*(-$AG866+186)^2-0.005,WeightSDS!$U$18+(WeightSDS!$V$18-WeightSDS!$U$18)/24*($AG866-186)-0.005)))</f>
        <v>0.14604529399999999</v>
      </c>
    </row>
    <row r="867" spans="1:37">
      <c r="A867" s="4"/>
      <c r="B867" s="21"/>
      <c r="C867" s="21"/>
      <c r="D867" s="21"/>
      <c r="E867" s="22"/>
      <c r="F867" s="22"/>
      <c r="G867" s="23"/>
      <c r="H867" s="23"/>
      <c r="I867" s="8" t="str">
        <f t="shared" si="210"/>
        <v/>
      </c>
      <c r="J867" s="2" t="str">
        <f t="shared" si="217"/>
        <v/>
      </c>
      <c r="K867" s="2" t="str">
        <f t="shared" si="211"/>
        <v/>
      </c>
      <c r="L867" s="2" t="str">
        <f t="shared" si="218"/>
        <v/>
      </c>
      <c r="M867" s="2" t="str">
        <f t="shared" si="223"/>
        <v/>
      </c>
      <c r="N867" s="2" t="str">
        <f t="shared" si="219"/>
        <v/>
      </c>
      <c r="O867" s="8" t="str">
        <f t="shared" si="220"/>
        <v/>
      </c>
      <c r="P867" s="8" t="str">
        <f t="shared" si="221"/>
        <v/>
      </c>
      <c r="Q867" s="40" t="str">
        <f t="shared" si="212"/>
        <v/>
      </c>
      <c r="R867" s="48" t="str">
        <f t="shared" si="222"/>
        <v/>
      </c>
      <c r="S867" s="8"/>
      <c r="U867" s="35">
        <f t="shared" si="213"/>
        <v>0</v>
      </c>
      <c r="V867" s="24">
        <f t="shared" si="214"/>
        <v>0</v>
      </c>
      <c r="W867" s="41">
        <f t="shared" si="225"/>
        <v>0</v>
      </c>
      <c r="X867" s="31"/>
      <c r="Y867" s="31"/>
      <c r="Z867" s="31"/>
      <c r="AA867" s="25">
        <f t="shared" si="215"/>
        <v>9.0359999999999996</v>
      </c>
      <c r="AB867" s="25">
        <f t="shared" si="216"/>
        <v>-184.49199999999999</v>
      </c>
      <c r="AD867" s="24">
        <f>IF(D867="M",IF(AG867&lt;78,BMILMS!$D$5*AG867^3+BMILMS!$E$5*AG867^2+BMILMS!$F$5*AG867+BMILMS!$G$5,IF(AG867&lt;150,BMILMS!$D$6*AG867^3+BMILMS!$E$6*AG867^2+BMILMS!$F$6*AG867+BMILMS!$G$6,BMILMS!$D$7*AG867^3+BMILMS!$E$7*AG867^2+BMILMS!$F$7*AG867+BMILMS!$G$7)),IF(AG867&lt;69,BMILMS!$D$9*AG867^3+BMILMS!$E$9*AG867^2+BMILMS!$F$9*AG867+BMILMS!$G$9,IF(AG867&lt;150,BMILMS!$D$10*AG867^3+BMILMS!$E$10*AG867^2+BMILMS!$F$10*AG867+BMILMS!$G$10,BMILMS!$D$11*AG867^3+BMILMS!$E$11*AG867^2+BMILMS!$F$11*AG867+BMILMS!$G$11)))</f>
        <v>0.79584630099999998</v>
      </c>
      <c r="AE867" s="24">
        <f>IF(D867="M",(IF(AG867&lt;2.5,BMILMS!$D$21*AG867^3+BMILMS!$E$21*AG867^2+BMILMS!$F$21*AG867+BMILMS!$G$21,IF(AG867&lt;9.5,BMILMS!$D$22*AG867^3+BMILMS!$E$22*AG867^2+BMILMS!$F$22*AG867+BMILMS!$G$22,IF(AG867&lt;26.75,BMILMS!$D$23*AG867^3+BMILMS!$E$23*AG867^2+BMILMS!$F$23*AG867+BMILMS!$G$23,IF(AG867&lt;90,BMILMS!$D$24*AG867^3+BMILMS!$E$24*AG867^2+BMILMS!$F$24*AG867+BMILMS!$G$24,BMILMS!$D$25*AG867^3+BMILMS!$E$25*AG867^2+BMILMS!$F$25*AG867+BMILMS!$G$25))))),(IF(AG867&lt;2.5,BMILMS!$D$27*AG867^3+BMILMS!$E$27*AG867^2+BMILMS!$F$27*AG867+BMILMS!$G$27,IF(AG867&lt;9.5,BMILMS!$D$28*AG867^3+BMILMS!$E$28*AG867^2+BMILMS!$F$28*AG867+BMILMS!$G$28,IF(AG867&lt;26.75,BMILMS!$D$29*AG867^3+BMILMS!$E$29*AG867^2+BMILMS!$F$29*AG867+BMILMS!$G$29,IF(AG867&lt;90,BMILMS!$D$30*AG867^3+BMILMS!$E$30*AG867^2+BMILMS!$F$30*AG867+BMILMS!$G$30,IF(AG867&lt;150,BMILMS!$D$31*AG867^3+BMILMS!$E$31*AG867^2+BMILMS!$F$31*AG867+BMILMS!$G$31,BMILMS!$D$32*AG867^3+BMILMS!$E$32*AG867^2+BMILMS!$F$32*AG867+BMILMS!$G$32)))))))</f>
        <v>12.568967990000001</v>
      </c>
      <c r="AF867" s="24">
        <f>IF(D867="M",(IF(AG867&lt;90,BMILMS!$D$14*AG867^3+BMILMS!$E$14*AG867^2+BMILMS!$F$14*AG867+BMILMS!$G$14,BMILMS!$D$15*AG867^3+BMILMS!$E$15*AG867^2+BMILMS!$F$15*AG867+BMILMS!$G$15)),(IF(AG867&lt;90,BMILMS!$D$17*AG867^3+BMILMS!$E$17*AG867^2+BMILMS!$F$17*AG867+BMILMS!$G$17,BMILMS!$D$18*AG867^3+BMILMS!$E$18*AG867^2+BMILMS!$F$18*AG867+BMILMS!$G$18)))</f>
        <v>8.8969350000000003E-2</v>
      </c>
      <c r="AG867" s="24">
        <f t="shared" si="224"/>
        <v>0</v>
      </c>
      <c r="AI867" s="38">
        <f>IF(D867="M",WeightSDS!P$5*$AG867^7+WeightSDS!Q$5*$AG867^6+WeightSDS!R$5*$AG867^5+WeightSDS!S$5*$AG867^4+WeightSDS!T$5*$AG867^3+WeightSDS!U$5*$AG867^2+WeightSDS!V$5*$AG867+WeightSDS!W$5,IF($AG867&lt;186,WeightSDS!P$8*$AG867^7+WeightSDS!Q$8*$AG867^6+WeightSDS!R$8*$AG867^5+WeightSDS!S$8*$AG867^4+WeightSDS!T$8*$AG867^3+WeightSDS!U$8*$AG867^2+WeightSDS!V$8*$AG867+WeightSDS!W$8,WeightSDS!$U$9-WeightSDS!$V$9*($AG867-WeightSDS!$W$9)))</f>
        <v>0.75407122999999998</v>
      </c>
      <c r="AJ867" s="24">
        <f>IF(D867="M",IF($AG867&lt;45,WeightSDS!M$23*$AG867^10+WeightSDS!N$23*$AG867^9+WeightSDS!O$23*$AG867^8+WeightSDS!P$23*$AG867^7+WeightSDS!Q$23*$AG867^6+WeightSDS!R$23*$AG867^5+WeightSDS!S$23*$AG867^4+WeightSDS!T$23*$AG867^3+WeightSDS!U$23*$AG867^2+WeightSDS!V$23*$AG867+WeightSDS!W$23,IF($AG867&lt;153,WeightSDS!M$25*$AG867^10+WeightSDS!N$25*$AG867^9+WeightSDS!O$25*$AG867^8+WeightSDS!P$25*$AG867^7+WeightSDS!Q$25*$AG867^6+WeightSDS!R$25*$AG867^5+WeightSDS!S$25*$AG867^4+WeightSDS!T$25*$AG867^3+WeightSDS!U$25*$AG867^2+WeightSDS!V$25*$AG867+WeightSDS!W$25,WeightSDS!M$27+WeightSDS!N$27/(1+EXP(WeightSDS!O$27+WeightSDS!P$27*$AG867)))),IF($AG867&lt;43.8,WeightSDS!M$29*$AG867^10+WeightSDS!N$29*$AG867^9+WeightSDS!O$29*$AG867^8+WeightSDS!P$29*$AG867^7+WeightSDS!Q$29*$AG867^6+WeightSDS!R$29*$AG867^5+WeightSDS!S$29*$AG867^4+WeightSDS!T$29*$AG867^3+WeightSDS!U$29*$AG867^2+WeightSDS!V$29*$AG867+WeightSDS!W$29-0.010431*(1-$AG867/210),IF($AG867&lt;123,WeightSDS!M$30*$AG867^10+WeightSDS!N$30*$AG867^9+WeightSDS!O$30*$AG867^8+WeightSDS!P$30*$AG867^7+WeightSDS!Q$30*$AG867^6+WeightSDS!R$30*$AG867^5+WeightSDS!S$30*$AG867^4+WeightSDS!T$30*$AG867^3+WeightSDS!U$30*$AG867^2+WeightSDS!V$30*$AG867+WeightSDS!W$30-0.010431*(1-1/$AG867),WeightSDS!M$32+WeightSDS!N$32/(1+EXP(WeightSDS!O$32+WeightSDS!P$32*$AG867))-0.010431*(1-$AG867/210))))</f>
        <v>2.9500001032655536</v>
      </c>
      <c r="AK867" s="24">
        <f>IF(D867="M",IF($AG867&lt;162,WeightSDS!P$12*$AG867^7+WeightSDS!Q$12*$AG867^6+WeightSDS!R$12*$AG867^5+WeightSDS!S$12*$AG867^4+WeightSDS!T$12*$AG867^3+WeightSDS!U$12*$AG867^2+WeightSDS!V$12*$AG867+WeightSDS!W$12,WeightSDS!P$14*$AG867^7+WeightSDS!Q$14*$AG867^6+WeightSDS!R$14*$AG867^5+WeightSDS!S$14*$AG867^4+WeightSDS!T$14*$AG867^3+WeightSDS!U$14*$AG867^2+WeightSDS!V$14*$AG867+WeightSDS!W$14),IF($AG867&lt;156,WeightSDS!O$17*$AG867^8+WeightSDS!P$17*$AG867^7+WeightSDS!Q$17*$AG867^6+WeightSDS!R$17*$AG867^5+WeightSDS!S$17*$AG867^4+WeightSDS!T$17*$AG867^3+WeightSDS!U$17*$AG867^2+WeightSDS!V$17*$AG867+WeightSDS!W$17,IF($AG867&lt;186,WeightSDS!$U$18+(WeightSDS!$V$18-WeightSDS!$U$18)/24*($AG867-186)+WeightSDS!$W$18*(-$AG867+186)^2-0.005,WeightSDS!$U$18+(WeightSDS!$V$18-WeightSDS!$U$18)/24*($AG867-186)-0.005)))</f>
        <v>0.14604529399999999</v>
      </c>
    </row>
    <row r="868" spans="1:37">
      <c r="A868" s="4"/>
      <c r="B868" s="21"/>
      <c r="C868" s="21"/>
      <c r="D868" s="21"/>
      <c r="E868" s="22"/>
      <c r="F868" s="22"/>
      <c r="G868" s="23"/>
      <c r="H868" s="23"/>
      <c r="I868" s="8" t="str">
        <f t="shared" si="210"/>
        <v/>
      </c>
      <c r="J868" s="2" t="str">
        <f t="shared" si="217"/>
        <v/>
      </c>
      <c r="K868" s="2" t="str">
        <f t="shared" si="211"/>
        <v/>
      </c>
      <c r="L868" s="2" t="str">
        <f t="shared" si="218"/>
        <v/>
      </c>
      <c r="M868" s="2" t="str">
        <f t="shared" si="223"/>
        <v/>
      </c>
      <c r="N868" s="2" t="str">
        <f t="shared" si="219"/>
        <v/>
      </c>
      <c r="O868" s="8" t="str">
        <f t="shared" si="220"/>
        <v/>
      </c>
      <c r="P868" s="8" t="str">
        <f t="shared" si="221"/>
        <v/>
      </c>
      <c r="Q868" s="40" t="str">
        <f t="shared" si="212"/>
        <v/>
      </c>
      <c r="R868" s="48" t="str">
        <f t="shared" si="222"/>
        <v/>
      </c>
      <c r="S868" s="8"/>
      <c r="U868" s="35">
        <f t="shared" si="213"/>
        <v>0</v>
      </c>
      <c r="V868" s="24">
        <f t="shared" si="214"/>
        <v>0</v>
      </c>
      <c r="W868" s="41">
        <f t="shared" si="225"/>
        <v>0</v>
      </c>
      <c r="X868" s="31"/>
      <c r="Y868" s="31"/>
      <c r="Z868" s="31"/>
      <c r="AA868" s="25">
        <f t="shared" si="215"/>
        <v>9.0359999999999996</v>
      </c>
      <c r="AB868" s="25">
        <f t="shared" si="216"/>
        <v>-184.49199999999999</v>
      </c>
      <c r="AD868" s="24">
        <f>IF(D868="M",IF(AG868&lt;78,BMILMS!$D$5*AG868^3+BMILMS!$E$5*AG868^2+BMILMS!$F$5*AG868+BMILMS!$G$5,IF(AG868&lt;150,BMILMS!$D$6*AG868^3+BMILMS!$E$6*AG868^2+BMILMS!$F$6*AG868+BMILMS!$G$6,BMILMS!$D$7*AG868^3+BMILMS!$E$7*AG868^2+BMILMS!$F$7*AG868+BMILMS!$G$7)),IF(AG868&lt;69,BMILMS!$D$9*AG868^3+BMILMS!$E$9*AG868^2+BMILMS!$F$9*AG868+BMILMS!$G$9,IF(AG868&lt;150,BMILMS!$D$10*AG868^3+BMILMS!$E$10*AG868^2+BMILMS!$F$10*AG868+BMILMS!$G$10,BMILMS!$D$11*AG868^3+BMILMS!$E$11*AG868^2+BMILMS!$F$11*AG868+BMILMS!$G$11)))</f>
        <v>0.79584630099999998</v>
      </c>
      <c r="AE868" s="24">
        <f>IF(D868="M",(IF(AG868&lt;2.5,BMILMS!$D$21*AG868^3+BMILMS!$E$21*AG868^2+BMILMS!$F$21*AG868+BMILMS!$G$21,IF(AG868&lt;9.5,BMILMS!$D$22*AG868^3+BMILMS!$E$22*AG868^2+BMILMS!$F$22*AG868+BMILMS!$G$22,IF(AG868&lt;26.75,BMILMS!$D$23*AG868^3+BMILMS!$E$23*AG868^2+BMILMS!$F$23*AG868+BMILMS!$G$23,IF(AG868&lt;90,BMILMS!$D$24*AG868^3+BMILMS!$E$24*AG868^2+BMILMS!$F$24*AG868+BMILMS!$G$24,BMILMS!$D$25*AG868^3+BMILMS!$E$25*AG868^2+BMILMS!$F$25*AG868+BMILMS!$G$25))))),(IF(AG868&lt;2.5,BMILMS!$D$27*AG868^3+BMILMS!$E$27*AG868^2+BMILMS!$F$27*AG868+BMILMS!$G$27,IF(AG868&lt;9.5,BMILMS!$D$28*AG868^3+BMILMS!$E$28*AG868^2+BMILMS!$F$28*AG868+BMILMS!$G$28,IF(AG868&lt;26.75,BMILMS!$D$29*AG868^3+BMILMS!$E$29*AG868^2+BMILMS!$F$29*AG868+BMILMS!$G$29,IF(AG868&lt;90,BMILMS!$D$30*AG868^3+BMILMS!$E$30*AG868^2+BMILMS!$F$30*AG868+BMILMS!$G$30,IF(AG868&lt;150,BMILMS!$D$31*AG868^3+BMILMS!$E$31*AG868^2+BMILMS!$F$31*AG868+BMILMS!$G$31,BMILMS!$D$32*AG868^3+BMILMS!$E$32*AG868^2+BMILMS!$F$32*AG868+BMILMS!$G$32)))))))</f>
        <v>12.568967990000001</v>
      </c>
      <c r="AF868" s="24">
        <f>IF(D868="M",(IF(AG868&lt;90,BMILMS!$D$14*AG868^3+BMILMS!$E$14*AG868^2+BMILMS!$F$14*AG868+BMILMS!$G$14,BMILMS!$D$15*AG868^3+BMILMS!$E$15*AG868^2+BMILMS!$F$15*AG868+BMILMS!$G$15)),(IF(AG868&lt;90,BMILMS!$D$17*AG868^3+BMILMS!$E$17*AG868^2+BMILMS!$F$17*AG868+BMILMS!$G$17,BMILMS!$D$18*AG868^3+BMILMS!$E$18*AG868^2+BMILMS!$F$18*AG868+BMILMS!$G$18)))</f>
        <v>8.8969350000000003E-2</v>
      </c>
      <c r="AG868" s="24">
        <f t="shared" si="224"/>
        <v>0</v>
      </c>
      <c r="AI868" s="38">
        <f>IF(D868="M",WeightSDS!P$5*$AG868^7+WeightSDS!Q$5*$AG868^6+WeightSDS!R$5*$AG868^5+WeightSDS!S$5*$AG868^4+WeightSDS!T$5*$AG868^3+WeightSDS!U$5*$AG868^2+WeightSDS!V$5*$AG868+WeightSDS!W$5,IF($AG868&lt;186,WeightSDS!P$8*$AG868^7+WeightSDS!Q$8*$AG868^6+WeightSDS!R$8*$AG868^5+WeightSDS!S$8*$AG868^4+WeightSDS!T$8*$AG868^3+WeightSDS!U$8*$AG868^2+WeightSDS!V$8*$AG868+WeightSDS!W$8,WeightSDS!$U$9-WeightSDS!$V$9*($AG868-WeightSDS!$W$9)))</f>
        <v>0.75407122999999998</v>
      </c>
      <c r="AJ868" s="24">
        <f>IF(D868="M",IF($AG868&lt;45,WeightSDS!M$23*$AG868^10+WeightSDS!N$23*$AG868^9+WeightSDS!O$23*$AG868^8+WeightSDS!P$23*$AG868^7+WeightSDS!Q$23*$AG868^6+WeightSDS!R$23*$AG868^5+WeightSDS!S$23*$AG868^4+WeightSDS!T$23*$AG868^3+WeightSDS!U$23*$AG868^2+WeightSDS!V$23*$AG868+WeightSDS!W$23,IF($AG868&lt;153,WeightSDS!M$25*$AG868^10+WeightSDS!N$25*$AG868^9+WeightSDS!O$25*$AG868^8+WeightSDS!P$25*$AG868^7+WeightSDS!Q$25*$AG868^6+WeightSDS!R$25*$AG868^5+WeightSDS!S$25*$AG868^4+WeightSDS!T$25*$AG868^3+WeightSDS!U$25*$AG868^2+WeightSDS!V$25*$AG868+WeightSDS!W$25,WeightSDS!M$27+WeightSDS!N$27/(1+EXP(WeightSDS!O$27+WeightSDS!P$27*$AG868)))),IF($AG868&lt;43.8,WeightSDS!M$29*$AG868^10+WeightSDS!N$29*$AG868^9+WeightSDS!O$29*$AG868^8+WeightSDS!P$29*$AG868^7+WeightSDS!Q$29*$AG868^6+WeightSDS!R$29*$AG868^5+WeightSDS!S$29*$AG868^4+WeightSDS!T$29*$AG868^3+WeightSDS!U$29*$AG868^2+WeightSDS!V$29*$AG868+WeightSDS!W$29-0.010431*(1-$AG868/210),IF($AG868&lt;123,WeightSDS!M$30*$AG868^10+WeightSDS!N$30*$AG868^9+WeightSDS!O$30*$AG868^8+WeightSDS!P$30*$AG868^7+WeightSDS!Q$30*$AG868^6+WeightSDS!R$30*$AG868^5+WeightSDS!S$30*$AG868^4+WeightSDS!T$30*$AG868^3+WeightSDS!U$30*$AG868^2+WeightSDS!V$30*$AG868+WeightSDS!W$30-0.010431*(1-1/$AG868),WeightSDS!M$32+WeightSDS!N$32/(1+EXP(WeightSDS!O$32+WeightSDS!P$32*$AG868))-0.010431*(1-$AG868/210))))</f>
        <v>2.9500001032655536</v>
      </c>
      <c r="AK868" s="24">
        <f>IF(D868="M",IF($AG868&lt;162,WeightSDS!P$12*$AG868^7+WeightSDS!Q$12*$AG868^6+WeightSDS!R$12*$AG868^5+WeightSDS!S$12*$AG868^4+WeightSDS!T$12*$AG868^3+WeightSDS!U$12*$AG868^2+WeightSDS!V$12*$AG868+WeightSDS!W$12,WeightSDS!P$14*$AG868^7+WeightSDS!Q$14*$AG868^6+WeightSDS!R$14*$AG868^5+WeightSDS!S$14*$AG868^4+WeightSDS!T$14*$AG868^3+WeightSDS!U$14*$AG868^2+WeightSDS!V$14*$AG868+WeightSDS!W$14),IF($AG868&lt;156,WeightSDS!O$17*$AG868^8+WeightSDS!P$17*$AG868^7+WeightSDS!Q$17*$AG868^6+WeightSDS!R$17*$AG868^5+WeightSDS!S$17*$AG868^4+WeightSDS!T$17*$AG868^3+WeightSDS!U$17*$AG868^2+WeightSDS!V$17*$AG868+WeightSDS!W$17,IF($AG868&lt;186,WeightSDS!$U$18+(WeightSDS!$V$18-WeightSDS!$U$18)/24*($AG868-186)+WeightSDS!$W$18*(-$AG868+186)^2-0.005,WeightSDS!$U$18+(WeightSDS!$V$18-WeightSDS!$U$18)/24*($AG868-186)-0.005)))</f>
        <v>0.14604529399999999</v>
      </c>
    </row>
    <row r="869" spans="1:37">
      <c r="A869" s="4"/>
      <c r="B869" s="21"/>
      <c r="C869" s="21"/>
      <c r="D869" s="21"/>
      <c r="E869" s="22"/>
      <c r="F869" s="22"/>
      <c r="G869" s="23"/>
      <c r="H869" s="23"/>
      <c r="I869" s="8" t="str">
        <f t="shared" si="210"/>
        <v/>
      </c>
      <c r="J869" s="2" t="str">
        <f t="shared" si="217"/>
        <v/>
      </c>
      <c r="K869" s="2" t="str">
        <f t="shared" si="211"/>
        <v/>
      </c>
      <c r="L869" s="2" t="str">
        <f t="shared" si="218"/>
        <v/>
      </c>
      <c r="M869" s="2" t="str">
        <f t="shared" si="223"/>
        <v/>
      </c>
      <c r="N869" s="2" t="str">
        <f t="shared" si="219"/>
        <v/>
      </c>
      <c r="O869" s="8" t="str">
        <f t="shared" si="220"/>
        <v/>
      </c>
      <c r="P869" s="8" t="str">
        <f t="shared" si="221"/>
        <v/>
      </c>
      <c r="Q869" s="40" t="str">
        <f t="shared" si="212"/>
        <v/>
      </c>
      <c r="R869" s="48" t="str">
        <f t="shared" si="222"/>
        <v/>
      </c>
      <c r="S869" s="8"/>
      <c r="U869" s="35">
        <f t="shared" si="213"/>
        <v>0</v>
      </c>
      <c r="V869" s="24">
        <f t="shared" si="214"/>
        <v>0</v>
      </c>
      <c r="W869" s="41">
        <f t="shared" si="225"/>
        <v>0</v>
      </c>
      <c r="X869" s="31"/>
      <c r="Y869" s="31"/>
      <c r="Z869" s="31"/>
      <c r="AA869" s="25">
        <f t="shared" si="215"/>
        <v>9.0359999999999996</v>
      </c>
      <c r="AB869" s="25">
        <f t="shared" si="216"/>
        <v>-184.49199999999999</v>
      </c>
      <c r="AD869" s="24">
        <f>IF(D869="M",IF(AG869&lt;78,BMILMS!$D$5*AG869^3+BMILMS!$E$5*AG869^2+BMILMS!$F$5*AG869+BMILMS!$G$5,IF(AG869&lt;150,BMILMS!$D$6*AG869^3+BMILMS!$E$6*AG869^2+BMILMS!$F$6*AG869+BMILMS!$G$6,BMILMS!$D$7*AG869^3+BMILMS!$E$7*AG869^2+BMILMS!$F$7*AG869+BMILMS!$G$7)),IF(AG869&lt;69,BMILMS!$D$9*AG869^3+BMILMS!$E$9*AG869^2+BMILMS!$F$9*AG869+BMILMS!$G$9,IF(AG869&lt;150,BMILMS!$D$10*AG869^3+BMILMS!$E$10*AG869^2+BMILMS!$F$10*AG869+BMILMS!$G$10,BMILMS!$D$11*AG869^3+BMILMS!$E$11*AG869^2+BMILMS!$F$11*AG869+BMILMS!$G$11)))</f>
        <v>0.79584630099999998</v>
      </c>
      <c r="AE869" s="24">
        <f>IF(D869="M",(IF(AG869&lt;2.5,BMILMS!$D$21*AG869^3+BMILMS!$E$21*AG869^2+BMILMS!$F$21*AG869+BMILMS!$G$21,IF(AG869&lt;9.5,BMILMS!$D$22*AG869^3+BMILMS!$E$22*AG869^2+BMILMS!$F$22*AG869+BMILMS!$G$22,IF(AG869&lt;26.75,BMILMS!$D$23*AG869^3+BMILMS!$E$23*AG869^2+BMILMS!$F$23*AG869+BMILMS!$G$23,IF(AG869&lt;90,BMILMS!$D$24*AG869^3+BMILMS!$E$24*AG869^2+BMILMS!$F$24*AG869+BMILMS!$G$24,BMILMS!$D$25*AG869^3+BMILMS!$E$25*AG869^2+BMILMS!$F$25*AG869+BMILMS!$G$25))))),(IF(AG869&lt;2.5,BMILMS!$D$27*AG869^3+BMILMS!$E$27*AG869^2+BMILMS!$F$27*AG869+BMILMS!$G$27,IF(AG869&lt;9.5,BMILMS!$D$28*AG869^3+BMILMS!$E$28*AG869^2+BMILMS!$F$28*AG869+BMILMS!$G$28,IF(AG869&lt;26.75,BMILMS!$D$29*AG869^3+BMILMS!$E$29*AG869^2+BMILMS!$F$29*AG869+BMILMS!$G$29,IF(AG869&lt;90,BMILMS!$D$30*AG869^3+BMILMS!$E$30*AG869^2+BMILMS!$F$30*AG869+BMILMS!$G$30,IF(AG869&lt;150,BMILMS!$D$31*AG869^3+BMILMS!$E$31*AG869^2+BMILMS!$F$31*AG869+BMILMS!$G$31,BMILMS!$D$32*AG869^3+BMILMS!$E$32*AG869^2+BMILMS!$F$32*AG869+BMILMS!$G$32)))))))</f>
        <v>12.568967990000001</v>
      </c>
      <c r="AF869" s="24">
        <f>IF(D869="M",(IF(AG869&lt;90,BMILMS!$D$14*AG869^3+BMILMS!$E$14*AG869^2+BMILMS!$F$14*AG869+BMILMS!$G$14,BMILMS!$D$15*AG869^3+BMILMS!$E$15*AG869^2+BMILMS!$F$15*AG869+BMILMS!$G$15)),(IF(AG869&lt;90,BMILMS!$D$17*AG869^3+BMILMS!$E$17*AG869^2+BMILMS!$F$17*AG869+BMILMS!$G$17,BMILMS!$D$18*AG869^3+BMILMS!$E$18*AG869^2+BMILMS!$F$18*AG869+BMILMS!$G$18)))</f>
        <v>8.8969350000000003E-2</v>
      </c>
      <c r="AG869" s="24">
        <f t="shared" si="224"/>
        <v>0</v>
      </c>
      <c r="AI869" s="38">
        <f>IF(D869="M",WeightSDS!P$5*$AG869^7+WeightSDS!Q$5*$AG869^6+WeightSDS!R$5*$AG869^5+WeightSDS!S$5*$AG869^4+WeightSDS!T$5*$AG869^3+WeightSDS!U$5*$AG869^2+WeightSDS!V$5*$AG869+WeightSDS!W$5,IF($AG869&lt;186,WeightSDS!P$8*$AG869^7+WeightSDS!Q$8*$AG869^6+WeightSDS!R$8*$AG869^5+WeightSDS!S$8*$AG869^4+WeightSDS!T$8*$AG869^3+WeightSDS!U$8*$AG869^2+WeightSDS!V$8*$AG869+WeightSDS!W$8,WeightSDS!$U$9-WeightSDS!$V$9*($AG869-WeightSDS!$W$9)))</f>
        <v>0.75407122999999998</v>
      </c>
      <c r="AJ869" s="24">
        <f>IF(D869="M",IF($AG869&lt;45,WeightSDS!M$23*$AG869^10+WeightSDS!N$23*$AG869^9+WeightSDS!O$23*$AG869^8+WeightSDS!P$23*$AG869^7+WeightSDS!Q$23*$AG869^6+WeightSDS!R$23*$AG869^5+WeightSDS!S$23*$AG869^4+WeightSDS!T$23*$AG869^3+WeightSDS!U$23*$AG869^2+WeightSDS!V$23*$AG869+WeightSDS!W$23,IF($AG869&lt;153,WeightSDS!M$25*$AG869^10+WeightSDS!N$25*$AG869^9+WeightSDS!O$25*$AG869^8+WeightSDS!P$25*$AG869^7+WeightSDS!Q$25*$AG869^6+WeightSDS!R$25*$AG869^5+WeightSDS!S$25*$AG869^4+WeightSDS!T$25*$AG869^3+WeightSDS!U$25*$AG869^2+WeightSDS!V$25*$AG869+WeightSDS!W$25,WeightSDS!M$27+WeightSDS!N$27/(1+EXP(WeightSDS!O$27+WeightSDS!P$27*$AG869)))),IF($AG869&lt;43.8,WeightSDS!M$29*$AG869^10+WeightSDS!N$29*$AG869^9+WeightSDS!O$29*$AG869^8+WeightSDS!P$29*$AG869^7+WeightSDS!Q$29*$AG869^6+WeightSDS!R$29*$AG869^5+WeightSDS!S$29*$AG869^4+WeightSDS!T$29*$AG869^3+WeightSDS!U$29*$AG869^2+WeightSDS!V$29*$AG869+WeightSDS!W$29-0.010431*(1-$AG869/210),IF($AG869&lt;123,WeightSDS!M$30*$AG869^10+WeightSDS!N$30*$AG869^9+WeightSDS!O$30*$AG869^8+WeightSDS!P$30*$AG869^7+WeightSDS!Q$30*$AG869^6+WeightSDS!R$30*$AG869^5+WeightSDS!S$30*$AG869^4+WeightSDS!T$30*$AG869^3+WeightSDS!U$30*$AG869^2+WeightSDS!V$30*$AG869+WeightSDS!W$30-0.010431*(1-1/$AG869),WeightSDS!M$32+WeightSDS!N$32/(1+EXP(WeightSDS!O$32+WeightSDS!P$32*$AG869))-0.010431*(1-$AG869/210))))</f>
        <v>2.9500001032655536</v>
      </c>
      <c r="AK869" s="24">
        <f>IF(D869="M",IF($AG869&lt;162,WeightSDS!P$12*$AG869^7+WeightSDS!Q$12*$AG869^6+WeightSDS!R$12*$AG869^5+WeightSDS!S$12*$AG869^4+WeightSDS!T$12*$AG869^3+WeightSDS!U$12*$AG869^2+WeightSDS!V$12*$AG869+WeightSDS!W$12,WeightSDS!P$14*$AG869^7+WeightSDS!Q$14*$AG869^6+WeightSDS!R$14*$AG869^5+WeightSDS!S$14*$AG869^4+WeightSDS!T$14*$AG869^3+WeightSDS!U$14*$AG869^2+WeightSDS!V$14*$AG869+WeightSDS!W$14),IF($AG869&lt;156,WeightSDS!O$17*$AG869^8+WeightSDS!P$17*$AG869^7+WeightSDS!Q$17*$AG869^6+WeightSDS!R$17*$AG869^5+WeightSDS!S$17*$AG869^4+WeightSDS!T$17*$AG869^3+WeightSDS!U$17*$AG869^2+WeightSDS!V$17*$AG869+WeightSDS!W$17,IF($AG869&lt;186,WeightSDS!$U$18+(WeightSDS!$V$18-WeightSDS!$U$18)/24*($AG869-186)+WeightSDS!$W$18*(-$AG869+186)^2-0.005,WeightSDS!$U$18+(WeightSDS!$V$18-WeightSDS!$U$18)/24*($AG869-186)-0.005)))</f>
        <v>0.14604529399999999</v>
      </c>
    </row>
    <row r="870" spans="1:37">
      <c r="A870" s="4"/>
      <c r="B870" s="21"/>
      <c r="C870" s="21"/>
      <c r="D870" s="21"/>
      <c r="E870" s="22"/>
      <c r="F870" s="22"/>
      <c r="G870" s="23"/>
      <c r="H870" s="23"/>
      <c r="I870" s="8" t="str">
        <f t="shared" si="210"/>
        <v/>
      </c>
      <c r="J870" s="2" t="str">
        <f t="shared" si="217"/>
        <v/>
      </c>
      <c r="K870" s="2" t="str">
        <f t="shared" si="211"/>
        <v/>
      </c>
      <c r="L870" s="2" t="str">
        <f t="shared" si="218"/>
        <v/>
      </c>
      <c r="M870" s="2" t="str">
        <f t="shared" si="223"/>
        <v/>
      </c>
      <c r="N870" s="2" t="str">
        <f t="shared" si="219"/>
        <v/>
      </c>
      <c r="O870" s="8" t="str">
        <f t="shared" si="220"/>
        <v/>
      </c>
      <c r="P870" s="8" t="str">
        <f t="shared" si="221"/>
        <v/>
      </c>
      <c r="Q870" s="40" t="str">
        <f t="shared" si="212"/>
        <v/>
      </c>
      <c r="R870" s="48" t="str">
        <f t="shared" si="222"/>
        <v/>
      </c>
      <c r="S870" s="8"/>
      <c r="U870" s="35">
        <f t="shared" si="213"/>
        <v>0</v>
      </c>
      <c r="V870" s="24">
        <f t="shared" si="214"/>
        <v>0</v>
      </c>
      <c r="W870" s="41">
        <f t="shared" si="225"/>
        <v>0</v>
      </c>
      <c r="X870" s="31"/>
      <c r="Y870" s="31"/>
      <c r="Z870" s="31"/>
      <c r="AA870" s="25">
        <f t="shared" si="215"/>
        <v>9.0359999999999996</v>
      </c>
      <c r="AB870" s="25">
        <f t="shared" si="216"/>
        <v>-184.49199999999999</v>
      </c>
      <c r="AD870" s="24">
        <f>IF(D870="M",IF(AG870&lt;78,BMILMS!$D$5*AG870^3+BMILMS!$E$5*AG870^2+BMILMS!$F$5*AG870+BMILMS!$G$5,IF(AG870&lt;150,BMILMS!$D$6*AG870^3+BMILMS!$E$6*AG870^2+BMILMS!$F$6*AG870+BMILMS!$G$6,BMILMS!$D$7*AG870^3+BMILMS!$E$7*AG870^2+BMILMS!$F$7*AG870+BMILMS!$G$7)),IF(AG870&lt;69,BMILMS!$D$9*AG870^3+BMILMS!$E$9*AG870^2+BMILMS!$F$9*AG870+BMILMS!$G$9,IF(AG870&lt;150,BMILMS!$D$10*AG870^3+BMILMS!$E$10*AG870^2+BMILMS!$F$10*AG870+BMILMS!$G$10,BMILMS!$D$11*AG870^3+BMILMS!$E$11*AG870^2+BMILMS!$F$11*AG870+BMILMS!$G$11)))</f>
        <v>0.79584630099999998</v>
      </c>
      <c r="AE870" s="24">
        <f>IF(D870="M",(IF(AG870&lt;2.5,BMILMS!$D$21*AG870^3+BMILMS!$E$21*AG870^2+BMILMS!$F$21*AG870+BMILMS!$G$21,IF(AG870&lt;9.5,BMILMS!$D$22*AG870^3+BMILMS!$E$22*AG870^2+BMILMS!$F$22*AG870+BMILMS!$G$22,IF(AG870&lt;26.75,BMILMS!$D$23*AG870^3+BMILMS!$E$23*AG870^2+BMILMS!$F$23*AG870+BMILMS!$G$23,IF(AG870&lt;90,BMILMS!$D$24*AG870^3+BMILMS!$E$24*AG870^2+BMILMS!$F$24*AG870+BMILMS!$G$24,BMILMS!$D$25*AG870^3+BMILMS!$E$25*AG870^2+BMILMS!$F$25*AG870+BMILMS!$G$25))))),(IF(AG870&lt;2.5,BMILMS!$D$27*AG870^3+BMILMS!$E$27*AG870^2+BMILMS!$F$27*AG870+BMILMS!$G$27,IF(AG870&lt;9.5,BMILMS!$D$28*AG870^3+BMILMS!$E$28*AG870^2+BMILMS!$F$28*AG870+BMILMS!$G$28,IF(AG870&lt;26.75,BMILMS!$D$29*AG870^3+BMILMS!$E$29*AG870^2+BMILMS!$F$29*AG870+BMILMS!$G$29,IF(AG870&lt;90,BMILMS!$D$30*AG870^3+BMILMS!$E$30*AG870^2+BMILMS!$F$30*AG870+BMILMS!$G$30,IF(AG870&lt;150,BMILMS!$D$31*AG870^3+BMILMS!$E$31*AG870^2+BMILMS!$F$31*AG870+BMILMS!$G$31,BMILMS!$D$32*AG870^3+BMILMS!$E$32*AG870^2+BMILMS!$F$32*AG870+BMILMS!$G$32)))))))</f>
        <v>12.568967990000001</v>
      </c>
      <c r="AF870" s="24">
        <f>IF(D870="M",(IF(AG870&lt;90,BMILMS!$D$14*AG870^3+BMILMS!$E$14*AG870^2+BMILMS!$F$14*AG870+BMILMS!$G$14,BMILMS!$D$15*AG870^3+BMILMS!$E$15*AG870^2+BMILMS!$F$15*AG870+BMILMS!$G$15)),(IF(AG870&lt;90,BMILMS!$D$17*AG870^3+BMILMS!$E$17*AG870^2+BMILMS!$F$17*AG870+BMILMS!$G$17,BMILMS!$D$18*AG870^3+BMILMS!$E$18*AG870^2+BMILMS!$F$18*AG870+BMILMS!$G$18)))</f>
        <v>8.8969350000000003E-2</v>
      </c>
      <c r="AG870" s="24">
        <f t="shared" si="224"/>
        <v>0</v>
      </c>
      <c r="AI870" s="38">
        <f>IF(D870="M",WeightSDS!P$5*$AG870^7+WeightSDS!Q$5*$AG870^6+WeightSDS!R$5*$AG870^5+WeightSDS!S$5*$AG870^4+WeightSDS!T$5*$AG870^3+WeightSDS!U$5*$AG870^2+WeightSDS!V$5*$AG870+WeightSDS!W$5,IF($AG870&lt;186,WeightSDS!P$8*$AG870^7+WeightSDS!Q$8*$AG870^6+WeightSDS!R$8*$AG870^5+WeightSDS!S$8*$AG870^4+WeightSDS!T$8*$AG870^3+WeightSDS!U$8*$AG870^2+WeightSDS!V$8*$AG870+WeightSDS!W$8,WeightSDS!$U$9-WeightSDS!$V$9*($AG870-WeightSDS!$W$9)))</f>
        <v>0.75407122999999998</v>
      </c>
      <c r="AJ870" s="24">
        <f>IF(D870="M",IF($AG870&lt;45,WeightSDS!M$23*$AG870^10+WeightSDS!N$23*$AG870^9+WeightSDS!O$23*$AG870^8+WeightSDS!P$23*$AG870^7+WeightSDS!Q$23*$AG870^6+WeightSDS!R$23*$AG870^5+WeightSDS!S$23*$AG870^4+WeightSDS!T$23*$AG870^3+WeightSDS!U$23*$AG870^2+WeightSDS!V$23*$AG870+WeightSDS!W$23,IF($AG870&lt;153,WeightSDS!M$25*$AG870^10+WeightSDS!N$25*$AG870^9+WeightSDS!O$25*$AG870^8+WeightSDS!P$25*$AG870^7+WeightSDS!Q$25*$AG870^6+WeightSDS!R$25*$AG870^5+WeightSDS!S$25*$AG870^4+WeightSDS!T$25*$AG870^3+WeightSDS!U$25*$AG870^2+WeightSDS!V$25*$AG870+WeightSDS!W$25,WeightSDS!M$27+WeightSDS!N$27/(1+EXP(WeightSDS!O$27+WeightSDS!P$27*$AG870)))),IF($AG870&lt;43.8,WeightSDS!M$29*$AG870^10+WeightSDS!N$29*$AG870^9+WeightSDS!O$29*$AG870^8+WeightSDS!P$29*$AG870^7+WeightSDS!Q$29*$AG870^6+WeightSDS!R$29*$AG870^5+WeightSDS!S$29*$AG870^4+WeightSDS!T$29*$AG870^3+WeightSDS!U$29*$AG870^2+WeightSDS!V$29*$AG870+WeightSDS!W$29-0.010431*(1-$AG870/210),IF($AG870&lt;123,WeightSDS!M$30*$AG870^10+WeightSDS!N$30*$AG870^9+WeightSDS!O$30*$AG870^8+WeightSDS!P$30*$AG870^7+WeightSDS!Q$30*$AG870^6+WeightSDS!R$30*$AG870^5+WeightSDS!S$30*$AG870^4+WeightSDS!T$30*$AG870^3+WeightSDS!U$30*$AG870^2+WeightSDS!V$30*$AG870+WeightSDS!W$30-0.010431*(1-1/$AG870),WeightSDS!M$32+WeightSDS!N$32/(1+EXP(WeightSDS!O$32+WeightSDS!P$32*$AG870))-0.010431*(1-$AG870/210))))</f>
        <v>2.9500001032655536</v>
      </c>
      <c r="AK870" s="24">
        <f>IF(D870="M",IF($AG870&lt;162,WeightSDS!P$12*$AG870^7+WeightSDS!Q$12*$AG870^6+WeightSDS!R$12*$AG870^5+WeightSDS!S$12*$AG870^4+WeightSDS!T$12*$AG870^3+WeightSDS!U$12*$AG870^2+WeightSDS!V$12*$AG870+WeightSDS!W$12,WeightSDS!P$14*$AG870^7+WeightSDS!Q$14*$AG870^6+WeightSDS!R$14*$AG870^5+WeightSDS!S$14*$AG870^4+WeightSDS!T$14*$AG870^3+WeightSDS!U$14*$AG870^2+WeightSDS!V$14*$AG870+WeightSDS!W$14),IF($AG870&lt;156,WeightSDS!O$17*$AG870^8+WeightSDS!P$17*$AG870^7+WeightSDS!Q$17*$AG870^6+WeightSDS!R$17*$AG870^5+WeightSDS!S$17*$AG870^4+WeightSDS!T$17*$AG870^3+WeightSDS!U$17*$AG870^2+WeightSDS!V$17*$AG870+WeightSDS!W$17,IF($AG870&lt;186,WeightSDS!$U$18+(WeightSDS!$V$18-WeightSDS!$U$18)/24*($AG870-186)+WeightSDS!$W$18*(-$AG870+186)^2-0.005,WeightSDS!$U$18+(WeightSDS!$V$18-WeightSDS!$U$18)/24*($AG870-186)-0.005)))</f>
        <v>0.14604529399999999</v>
      </c>
    </row>
    <row r="871" spans="1:37">
      <c r="A871" s="4"/>
      <c r="B871" s="21"/>
      <c r="C871" s="21"/>
      <c r="D871" s="21"/>
      <c r="E871" s="22"/>
      <c r="F871" s="22"/>
      <c r="G871" s="23"/>
      <c r="H871" s="23"/>
      <c r="I871" s="8" t="str">
        <f t="shared" si="210"/>
        <v/>
      </c>
      <c r="J871" s="2" t="str">
        <f t="shared" si="217"/>
        <v/>
      </c>
      <c r="K871" s="2" t="str">
        <f t="shared" si="211"/>
        <v/>
      </c>
      <c r="L871" s="2" t="str">
        <f t="shared" si="218"/>
        <v/>
      </c>
      <c r="M871" s="2" t="str">
        <f t="shared" si="223"/>
        <v/>
      </c>
      <c r="N871" s="2" t="str">
        <f t="shared" si="219"/>
        <v/>
      </c>
      <c r="O871" s="8" t="str">
        <f t="shared" si="220"/>
        <v/>
      </c>
      <c r="P871" s="8" t="str">
        <f t="shared" si="221"/>
        <v/>
      </c>
      <c r="Q871" s="40" t="str">
        <f t="shared" si="212"/>
        <v/>
      </c>
      <c r="R871" s="48" t="str">
        <f t="shared" si="222"/>
        <v/>
      </c>
      <c r="S871" s="8"/>
      <c r="U871" s="35">
        <f t="shared" si="213"/>
        <v>0</v>
      </c>
      <c r="V871" s="24">
        <f t="shared" si="214"/>
        <v>0</v>
      </c>
      <c r="W871" s="41">
        <f t="shared" si="225"/>
        <v>0</v>
      </c>
      <c r="X871" s="31"/>
      <c r="Y871" s="31"/>
      <c r="Z871" s="31"/>
      <c r="AA871" s="25">
        <f t="shared" si="215"/>
        <v>9.0359999999999996</v>
      </c>
      <c r="AB871" s="25">
        <f t="shared" si="216"/>
        <v>-184.49199999999999</v>
      </c>
      <c r="AD871" s="24">
        <f>IF(D871="M",IF(AG871&lt;78,BMILMS!$D$5*AG871^3+BMILMS!$E$5*AG871^2+BMILMS!$F$5*AG871+BMILMS!$G$5,IF(AG871&lt;150,BMILMS!$D$6*AG871^3+BMILMS!$E$6*AG871^2+BMILMS!$F$6*AG871+BMILMS!$G$6,BMILMS!$D$7*AG871^3+BMILMS!$E$7*AG871^2+BMILMS!$F$7*AG871+BMILMS!$G$7)),IF(AG871&lt;69,BMILMS!$D$9*AG871^3+BMILMS!$E$9*AG871^2+BMILMS!$F$9*AG871+BMILMS!$G$9,IF(AG871&lt;150,BMILMS!$D$10*AG871^3+BMILMS!$E$10*AG871^2+BMILMS!$F$10*AG871+BMILMS!$G$10,BMILMS!$D$11*AG871^3+BMILMS!$E$11*AG871^2+BMILMS!$F$11*AG871+BMILMS!$G$11)))</f>
        <v>0.79584630099999998</v>
      </c>
      <c r="AE871" s="24">
        <f>IF(D871="M",(IF(AG871&lt;2.5,BMILMS!$D$21*AG871^3+BMILMS!$E$21*AG871^2+BMILMS!$F$21*AG871+BMILMS!$G$21,IF(AG871&lt;9.5,BMILMS!$D$22*AG871^3+BMILMS!$E$22*AG871^2+BMILMS!$F$22*AG871+BMILMS!$G$22,IF(AG871&lt;26.75,BMILMS!$D$23*AG871^3+BMILMS!$E$23*AG871^2+BMILMS!$F$23*AG871+BMILMS!$G$23,IF(AG871&lt;90,BMILMS!$D$24*AG871^3+BMILMS!$E$24*AG871^2+BMILMS!$F$24*AG871+BMILMS!$G$24,BMILMS!$D$25*AG871^3+BMILMS!$E$25*AG871^2+BMILMS!$F$25*AG871+BMILMS!$G$25))))),(IF(AG871&lt;2.5,BMILMS!$D$27*AG871^3+BMILMS!$E$27*AG871^2+BMILMS!$F$27*AG871+BMILMS!$G$27,IF(AG871&lt;9.5,BMILMS!$D$28*AG871^3+BMILMS!$E$28*AG871^2+BMILMS!$F$28*AG871+BMILMS!$G$28,IF(AG871&lt;26.75,BMILMS!$D$29*AG871^3+BMILMS!$E$29*AG871^2+BMILMS!$F$29*AG871+BMILMS!$G$29,IF(AG871&lt;90,BMILMS!$D$30*AG871^3+BMILMS!$E$30*AG871^2+BMILMS!$F$30*AG871+BMILMS!$G$30,IF(AG871&lt;150,BMILMS!$D$31*AG871^3+BMILMS!$E$31*AG871^2+BMILMS!$F$31*AG871+BMILMS!$G$31,BMILMS!$D$32*AG871^3+BMILMS!$E$32*AG871^2+BMILMS!$F$32*AG871+BMILMS!$G$32)))))))</f>
        <v>12.568967990000001</v>
      </c>
      <c r="AF871" s="24">
        <f>IF(D871="M",(IF(AG871&lt;90,BMILMS!$D$14*AG871^3+BMILMS!$E$14*AG871^2+BMILMS!$F$14*AG871+BMILMS!$G$14,BMILMS!$D$15*AG871^3+BMILMS!$E$15*AG871^2+BMILMS!$F$15*AG871+BMILMS!$G$15)),(IF(AG871&lt;90,BMILMS!$D$17*AG871^3+BMILMS!$E$17*AG871^2+BMILMS!$F$17*AG871+BMILMS!$G$17,BMILMS!$D$18*AG871^3+BMILMS!$E$18*AG871^2+BMILMS!$F$18*AG871+BMILMS!$G$18)))</f>
        <v>8.8969350000000003E-2</v>
      </c>
      <c r="AG871" s="24">
        <f t="shared" si="224"/>
        <v>0</v>
      </c>
      <c r="AI871" s="38">
        <f>IF(D871="M",WeightSDS!P$5*$AG871^7+WeightSDS!Q$5*$AG871^6+WeightSDS!R$5*$AG871^5+WeightSDS!S$5*$AG871^4+WeightSDS!T$5*$AG871^3+WeightSDS!U$5*$AG871^2+WeightSDS!V$5*$AG871+WeightSDS!W$5,IF($AG871&lt;186,WeightSDS!P$8*$AG871^7+WeightSDS!Q$8*$AG871^6+WeightSDS!R$8*$AG871^5+WeightSDS!S$8*$AG871^4+WeightSDS!T$8*$AG871^3+WeightSDS!U$8*$AG871^2+WeightSDS!V$8*$AG871+WeightSDS!W$8,WeightSDS!$U$9-WeightSDS!$V$9*($AG871-WeightSDS!$W$9)))</f>
        <v>0.75407122999999998</v>
      </c>
      <c r="AJ871" s="24">
        <f>IF(D871="M",IF($AG871&lt;45,WeightSDS!M$23*$AG871^10+WeightSDS!N$23*$AG871^9+WeightSDS!O$23*$AG871^8+WeightSDS!P$23*$AG871^7+WeightSDS!Q$23*$AG871^6+WeightSDS!R$23*$AG871^5+WeightSDS!S$23*$AG871^4+WeightSDS!T$23*$AG871^3+WeightSDS!U$23*$AG871^2+WeightSDS!V$23*$AG871+WeightSDS!W$23,IF($AG871&lt;153,WeightSDS!M$25*$AG871^10+WeightSDS!N$25*$AG871^9+WeightSDS!O$25*$AG871^8+WeightSDS!P$25*$AG871^7+WeightSDS!Q$25*$AG871^6+WeightSDS!R$25*$AG871^5+WeightSDS!S$25*$AG871^4+WeightSDS!T$25*$AG871^3+WeightSDS!U$25*$AG871^2+WeightSDS!V$25*$AG871+WeightSDS!W$25,WeightSDS!M$27+WeightSDS!N$27/(1+EXP(WeightSDS!O$27+WeightSDS!P$27*$AG871)))),IF($AG871&lt;43.8,WeightSDS!M$29*$AG871^10+WeightSDS!N$29*$AG871^9+WeightSDS!O$29*$AG871^8+WeightSDS!P$29*$AG871^7+WeightSDS!Q$29*$AG871^6+WeightSDS!R$29*$AG871^5+WeightSDS!S$29*$AG871^4+WeightSDS!T$29*$AG871^3+WeightSDS!U$29*$AG871^2+WeightSDS!V$29*$AG871+WeightSDS!W$29-0.010431*(1-$AG871/210),IF($AG871&lt;123,WeightSDS!M$30*$AG871^10+WeightSDS!N$30*$AG871^9+WeightSDS!O$30*$AG871^8+WeightSDS!P$30*$AG871^7+WeightSDS!Q$30*$AG871^6+WeightSDS!R$30*$AG871^5+WeightSDS!S$30*$AG871^4+WeightSDS!T$30*$AG871^3+WeightSDS!U$30*$AG871^2+WeightSDS!V$30*$AG871+WeightSDS!W$30-0.010431*(1-1/$AG871),WeightSDS!M$32+WeightSDS!N$32/(1+EXP(WeightSDS!O$32+WeightSDS!P$32*$AG871))-0.010431*(1-$AG871/210))))</f>
        <v>2.9500001032655536</v>
      </c>
      <c r="AK871" s="24">
        <f>IF(D871="M",IF($AG871&lt;162,WeightSDS!P$12*$AG871^7+WeightSDS!Q$12*$AG871^6+WeightSDS!R$12*$AG871^5+WeightSDS!S$12*$AG871^4+WeightSDS!T$12*$AG871^3+WeightSDS!U$12*$AG871^2+WeightSDS!V$12*$AG871+WeightSDS!W$12,WeightSDS!P$14*$AG871^7+WeightSDS!Q$14*$AG871^6+WeightSDS!R$14*$AG871^5+WeightSDS!S$14*$AG871^4+WeightSDS!T$14*$AG871^3+WeightSDS!U$14*$AG871^2+WeightSDS!V$14*$AG871+WeightSDS!W$14),IF($AG871&lt;156,WeightSDS!O$17*$AG871^8+WeightSDS!P$17*$AG871^7+WeightSDS!Q$17*$AG871^6+WeightSDS!R$17*$AG871^5+WeightSDS!S$17*$AG871^4+WeightSDS!T$17*$AG871^3+WeightSDS!U$17*$AG871^2+WeightSDS!V$17*$AG871+WeightSDS!W$17,IF($AG871&lt;186,WeightSDS!$U$18+(WeightSDS!$V$18-WeightSDS!$U$18)/24*($AG871-186)+WeightSDS!$W$18*(-$AG871+186)^2-0.005,WeightSDS!$U$18+(WeightSDS!$V$18-WeightSDS!$U$18)/24*($AG871-186)-0.005)))</f>
        <v>0.14604529399999999</v>
      </c>
    </row>
    <row r="872" spans="1:37">
      <c r="A872" s="4"/>
      <c r="B872" s="21"/>
      <c r="C872" s="21"/>
      <c r="D872" s="21"/>
      <c r="E872" s="22"/>
      <c r="F872" s="22"/>
      <c r="G872" s="23"/>
      <c r="H872" s="23"/>
      <c r="I872" s="8" t="str">
        <f t="shared" si="210"/>
        <v/>
      </c>
      <c r="J872" s="2" t="str">
        <f t="shared" si="217"/>
        <v/>
      </c>
      <c r="K872" s="2" t="str">
        <f t="shared" si="211"/>
        <v/>
      </c>
      <c r="L872" s="2" t="str">
        <f t="shared" si="218"/>
        <v/>
      </c>
      <c r="M872" s="2" t="str">
        <f t="shared" si="223"/>
        <v/>
      </c>
      <c r="N872" s="2" t="str">
        <f t="shared" si="219"/>
        <v/>
      </c>
      <c r="O872" s="8" t="str">
        <f t="shared" si="220"/>
        <v/>
      </c>
      <c r="P872" s="8" t="str">
        <f t="shared" si="221"/>
        <v/>
      </c>
      <c r="Q872" s="40" t="str">
        <f t="shared" si="212"/>
        <v/>
      </c>
      <c r="R872" s="48" t="str">
        <f t="shared" si="222"/>
        <v/>
      </c>
      <c r="S872" s="8"/>
      <c r="U872" s="35">
        <f t="shared" si="213"/>
        <v>0</v>
      </c>
      <c r="V872" s="24">
        <f t="shared" si="214"/>
        <v>0</v>
      </c>
      <c r="W872" s="41">
        <f t="shared" si="225"/>
        <v>0</v>
      </c>
      <c r="X872" s="31"/>
      <c r="Y872" s="31"/>
      <c r="Z872" s="31"/>
      <c r="AA872" s="25">
        <f t="shared" si="215"/>
        <v>9.0359999999999996</v>
      </c>
      <c r="AB872" s="25">
        <f t="shared" si="216"/>
        <v>-184.49199999999999</v>
      </c>
      <c r="AD872" s="24">
        <f>IF(D872="M",IF(AG872&lt;78,BMILMS!$D$5*AG872^3+BMILMS!$E$5*AG872^2+BMILMS!$F$5*AG872+BMILMS!$G$5,IF(AG872&lt;150,BMILMS!$D$6*AG872^3+BMILMS!$E$6*AG872^2+BMILMS!$F$6*AG872+BMILMS!$G$6,BMILMS!$D$7*AG872^3+BMILMS!$E$7*AG872^2+BMILMS!$F$7*AG872+BMILMS!$G$7)),IF(AG872&lt;69,BMILMS!$D$9*AG872^3+BMILMS!$E$9*AG872^2+BMILMS!$F$9*AG872+BMILMS!$G$9,IF(AG872&lt;150,BMILMS!$D$10*AG872^3+BMILMS!$E$10*AG872^2+BMILMS!$F$10*AG872+BMILMS!$G$10,BMILMS!$D$11*AG872^3+BMILMS!$E$11*AG872^2+BMILMS!$F$11*AG872+BMILMS!$G$11)))</f>
        <v>0.79584630099999998</v>
      </c>
      <c r="AE872" s="24">
        <f>IF(D872="M",(IF(AG872&lt;2.5,BMILMS!$D$21*AG872^3+BMILMS!$E$21*AG872^2+BMILMS!$F$21*AG872+BMILMS!$G$21,IF(AG872&lt;9.5,BMILMS!$D$22*AG872^3+BMILMS!$E$22*AG872^2+BMILMS!$F$22*AG872+BMILMS!$G$22,IF(AG872&lt;26.75,BMILMS!$D$23*AG872^3+BMILMS!$E$23*AG872^2+BMILMS!$F$23*AG872+BMILMS!$G$23,IF(AG872&lt;90,BMILMS!$D$24*AG872^3+BMILMS!$E$24*AG872^2+BMILMS!$F$24*AG872+BMILMS!$G$24,BMILMS!$D$25*AG872^3+BMILMS!$E$25*AG872^2+BMILMS!$F$25*AG872+BMILMS!$G$25))))),(IF(AG872&lt;2.5,BMILMS!$D$27*AG872^3+BMILMS!$E$27*AG872^2+BMILMS!$F$27*AG872+BMILMS!$G$27,IF(AG872&lt;9.5,BMILMS!$D$28*AG872^3+BMILMS!$E$28*AG872^2+BMILMS!$F$28*AG872+BMILMS!$G$28,IF(AG872&lt;26.75,BMILMS!$D$29*AG872^3+BMILMS!$E$29*AG872^2+BMILMS!$F$29*AG872+BMILMS!$G$29,IF(AG872&lt;90,BMILMS!$D$30*AG872^3+BMILMS!$E$30*AG872^2+BMILMS!$F$30*AG872+BMILMS!$G$30,IF(AG872&lt;150,BMILMS!$D$31*AG872^3+BMILMS!$E$31*AG872^2+BMILMS!$F$31*AG872+BMILMS!$G$31,BMILMS!$D$32*AG872^3+BMILMS!$E$32*AG872^2+BMILMS!$F$32*AG872+BMILMS!$G$32)))))))</f>
        <v>12.568967990000001</v>
      </c>
      <c r="AF872" s="24">
        <f>IF(D872="M",(IF(AG872&lt;90,BMILMS!$D$14*AG872^3+BMILMS!$E$14*AG872^2+BMILMS!$F$14*AG872+BMILMS!$G$14,BMILMS!$D$15*AG872^3+BMILMS!$E$15*AG872^2+BMILMS!$F$15*AG872+BMILMS!$G$15)),(IF(AG872&lt;90,BMILMS!$D$17*AG872^3+BMILMS!$E$17*AG872^2+BMILMS!$F$17*AG872+BMILMS!$G$17,BMILMS!$D$18*AG872^3+BMILMS!$E$18*AG872^2+BMILMS!$F$18*AG872+BMILMS!$G$18)))</f>
        <v>8.8969350000000003E-2</v>
      </c>
      <c r="AG872" s="24">
        <f t="shared" si="224"/>
        <v>0</v>
      </c>
      <c r="AI872" s="38">
        <f>IF(D872="M",WeightSDS!P$5*$AG872^7+WeightSDS!Q$5*$AG872^6+WeightSDS!R$5*$AG872^5+WeightSDS!S$5*$AG872^4+WeightSDS!T$5*$AG872^3+WeightSDS!U$5*$AG872^2+WeightSDS!V$5*$AG872+WeightSDS!W$5,IF($AG872&lt;186,WeightSDS!P$8*$AG872^7+WeightSDS!Q$8*$AG872^6+WeightSDS!R$8*$AG872^5+WeightSDS!S$8*$AG872^4+WeightSDS!T$8*$AG872^3+WeightSDS!U$8*$AG872^2+WeightSDS!V$8*$AG872+WeightSDS!W$8,WeightSDS!$U$9-WeightSDS!$V$9*($AG872-WeightSDS!$W$9)))</f>
        <v>0.75407122999999998</v>
      </c>
      <c r="AJ872" s="24">
        <f>IF(D872="M",IF($AG872&lt;45,WeightSDS!M$23*$AG872^10+WeightSDS!N$23*$AG872^9+WeightSDS!O$23*$AG872^8+WeightSDS!P$23*$AG872^7+WeightSDS!Q$23*$AG872^6+WeightSDS!R$23*$AG872^5+WeightSDS!S$23*$AG872^4+WeightSDS!T$23*$AG872^3+WeightSDS!U$23*$AG872^2+WeightSDS!V$23*$AG872+WeightSDS!W$23,IF($AG872&lt;153,WeightSDS!M$25*$AG872^10+WeightSDS!N$25*$AG872^9+WeightSDS!O$25*$AG872^8+WeightSDS!P$25*$AG872^7+WeightSDS!Q$25*$AG872^6+WeightSDS!R$25*$AG872^5+WeightSDS!S$25*$AG872^4+WeightSDS!T$25*$AG872^3+WeightSDS!U$25*$AG872^2+WeightSDS!V$25*$AG872+WeightSDS!W$25,WeightSDS!M$27+WeightSDS!N$27/(1+EXP(WeightSDS!O$27+WeightSDS!P$27*$AG872)))),IF($AG872&lt;43.8,WeightSDS!M$29*$AG872^10+WeightSDS!N$29*$AG872^9+WeightSDS!O$29*$AG872^8+WeightSDS!P$29*$AG872^7+WeightSDS!Q$29*$AG872^6+WeightSDS!R$29*$AG872^5+WeightSDS!S$29*$AG872^4+WeightSDS!T$29*$AG872^3+WeightSDS!U$29*$AG872^2+WeightSDS!V$29*$AG872+WeightSDS!W$29-0.010431*(1-$AG872/210),IF($AG872&lt;123,WeightSDS!M$30*$AG872^10+WeightSDS!N$30*$AG872^9+WeightSDS!O$30*$AG872^8+WeightSDS!P$30*$AG872^7+WeightSDS!Q$30*$AG872^6+WeightSDS!R$30*$AG872^5+WeightSDS!S$30*$AG872^4+WeightSDS!T$30*$AG872^3+WeightSDS!U$30*$AG872^2+WeightSDS!V$30*$AG872+WeightSDS!W$30-0.010431*(1-1/$AG872),WeightSDS!M$32+WeightSDS!N$32/(1+EXP(WeightSDS!O$32+WeightSDS!P$32*$AG872))-0.010431*(1-$AG872/210))))</f>
        <v>2.9500001032655536</v>
      </c>
      <c r="AK872" s="24">
        <f>IF(D872="M",IF($AG872&lt;162,WeightSDS!P$12*$AG872^7+WeightSDS!Q$12*$AG872^6+WeightSDS!R$12*$AG872^5+WeightSDS!S$12*$AG872^4+WeightSDS!T$12*$AG872^3+WeightSDS!U$12*$AG872^2+WeightSDS!V$12*$AG872+WeightSDS!W$12,WeightSDS!P$14*$AG872^7+WeightSDS!Q$14*$AG872^6+WeightSDS!R$14*$AG872^5+WeightSDS!S$14*$AG872^4+WeightSDS!T$14*$AG872^3+WeightSDS!U$14*$AG872^2+WeightSDS!V$14*$AG872+WeightSDS!W$14),IF($AG872&lt;156,WeightSDS!O$17*$AG872^8+WeightSDS!P$17*$AG872^7+WeightSDS!Q$17*$AG872^6+WeightSDS!R$17*$AG872^5+WeightSDS!S$17*$AG872^4+WeightSDS!T$17*$AG872^3+WeightSDS!U$17*$AG872^2+WeightSDS!V$17*$AG872+WeightSDS!W$17,IF($AG872&lt;186,WeightSDS!$U$18+(WeightSDS!$V$18-WeightSDS!$U$18)/24*($AG872-186)+WeightSDS!$W$18*(-$AG872+186)^2-0.005,WeightSDS!$U$18+(WeightSDS!$V$18-WeightSDS!$U$18)/24*($AG872-186)-0.005)))</f>
        <v>0.14604529399999999</v>
      </c>
    </row>
    <row r="873" spans="1:37">
      <c r="A873" s="4"/>
      <c r="B873" s="21"/>
      <c r="C873" s="21"/>
      <c r="D873" s="21"/>
      <c r="E873" s="22"/>
      <c r="F873" s="22"/>
      <c r="G873" s="23"/>
      <c r="H873" s="23"/>
      <c r="I873" s="8" t="str">
        <f t="shared" si="210"/>
        <v/>
      </c>
      <c r="J873" s="2" t="str">
        <f t="shared" si="217"/>
        <v/>
      </c>
      <c r="K873" s="2" t="str">
        <f t="shared" si="211"/>
        <v/>
      </c>
      <c r="L873" s="2" t="str">
        <f t="shared" si="218"/>
        <v/>
      </c>
      <c r="M873" s="2" t="str">
        <f t="shared" si="223"/>
        <v/>
      </c>
      <c r="N873" s="2" t="str">
        <f t="shared" si="219"/>
        <v/>
      </c>
      <c r="O873" s="8" t="str">
        <f t="shared" si="220"/>
        <v/>
      </c>
      <c r="P873" s="8" t="str">
        <f t="shared" si="221"/>
        <v/>
      </c>
      <c r="Q873" s="40" t="str">
        <f t="shared" si="212"/>
        <v/>
      </c>
      <c r="R873" s="48" t="str">
        <f t="shared" si="222"/>
        <v/>
      </c>
      <c r="S873" s="8"/>
      <c r="U873" s="35">
        <f t="shared" si="213"/>
        <v>0</v>
      </c>
      <c r="V873" s="24">
        <f t="shared" si="214"/>
        <v>0</v>
      </c>
      <c r="W873" s="41">
        <f t="shared" si="225"/>
        <v>0</v>
      </c>
      <c r="X873" s="31"/>
      <c r="Y873" s="31"/>
      <c r="Z873" s="31"/>
      <c r="AA873" s="25">
        <f t="shared" si="215"/>
        <v>9.0359999999999996</v>
      </c>
      <c r="AB873" s="25">
        <f t="shared" si="216"/>
        <v>-184.49199999999999</v>
      </c>
      <c r="AD873" s="24">
        <f>IF(D873="M",IF(AG873&lt;78,BMILMS!$D$5*AG873^3+BMILMS!$E$5*AG873^2+BMILMS!$F$5*AG873+BMILMS!$G$5,IF(AG873&lt;150,BMILMS!$D$6*AG873^3+BMILMS!$E$6*AG873^2+BMILMS!$F$6*AG873+BMILMS!$G$6,BMILMS!$D$7*AG873^3+BMILMS!$E$7*AG873^2+BMILMS!$F$7*AG873+BMILMS!$G$7)),IF(AG873&lt;69,BMILMS!$D$9*AG873^3+BMILMS!$E$9*AG873^2+BMILMS!$F$9*AG873+BMILMS!$G$9,IF(AG873&lt;150,BMILMS!$D$10*AG873^3+BMILMS!$E$10*AG873^2+BMILMS!$F$10*AG873+BMILMS!$G$10,BMILMS!$D$11*AG873^3+BMILMS!$E$11*AG873^2+BMILMS!$F$11*AG873+BMILMS!$G$11)))</f>
        <v>0.79584630099999998</v>
      </c>
      <c r="AE873" s="24">
        <f>IF(D873="M",(IF(AG873&lt;2.5,BMILMS!$D$21*AG873^3+BMILMS!$E$21*AG873^2+BMILMS!$F$21*AG873+BMILMS!$G$21,IF(AG873&lt;9.5,BMILMS!$D$22*AG873^3+BMILMS!$E$22*AG873^2+BMILMS!$F$22*AG873+BMILMS!$G$22,IF(AG873&lt;26.75,BMILMS!$D$23*AG873^3+BMILMS!$E$23*AG873^2+BMILMS!$F$23*AG873+BMILMS!$G$23,IF(AG873&lt;90,BMILMS!$D$24*AG873^3+BMILMS!$E$24*AG873^2+BMILMS!$F$24*AG873+BMILMS!$G$24,BMILMS!$D$25*AG873^3+BMILMS!$E$25*AG873^2+BMILMS!$F$25*AG873+BMILMS!$G$25))))),(IF(AG873&lt;2.5,BMILMS!$D$27*AG873^3+BMILMS!$E$27*AG873^2+BMILMS!$F$27*AG873+BMILMS!$G$27,IF(AG873&lt;9.5,BMILMS!$D$28*AG873^3+BMILMS!$E$28*AG873^2+BMILMS!$F$28*AG873+BMILMS!$G$28,IF(AG873&lt;26.75,BMILMS!$D$29*AG873^3+BMILMS!$E$29*AG873^2+BMILMS!$F$29*AG873+BMILMS!$G$29,IF(AG873&lt;90,BMILMS!$D$30*AG873^3+BMILMS!$E$30*AG873^2+BMILMS!$F$30*AG873+BMILMS!$G$30,IF(AG873&lt;150,BMILMS!$D$31*AG873^3+BMILMS!$E$31*AG873^2+BMILMS!$F$31*AG873+BMILMS!$G$31,BMILMS!$D$32*AG873^3+BMILMS!$E$32*AG873^2+BMILMS!$F$32*AG873+BMILMS!$G$32)))))))</f>
        <v>12.568967990000001</v>
      </c>
      <c r="AF873" s="24">
        <f>IF(D873="M",(IF(AG873&lt;90,BMILMS!$D$14*AG873^3+BMILMS!$E$14*AG873^2+BMILMS!$F$14*AG873+BMILMS!$G$14,BMILMS!$D$15*AG873^3+BMILMS!$E$15*AG873^2+BMILMS!$F$15*AG873+BMILMS!$G$15)),(IF(AG873&lt;90,BMILMS!$D$17*AG873^3+BMILMS!$E$17*AG873^2+BMILMS!$F$17*AG873+BMILMS!$G$17,BMILMS!$D$18*AG873^3+BMILMS!$E$18*AG873^2+BMILMS!$F$18*AG873+BMILMS!$G$18)))</f>
        <v>8.8969350000000003E-2</v>
      </c>
      <c r="AG873" s="24">
        <f t="shared" si="224"/>
        <v>0</v>
      </c>
      <c r="AI873" s="38">
        <f>IF(D873="M",WeightSDS!P$5*$AG873^7+WeightSDS!Q$5*$AG873^6+WeightSDS!R$5*$AG873^5+WeightSDS!S$5*$AG873^4+WeightSDS!T$5*$AG873^3+WeightSDS!U$5*$AG873^2+WeightSDS!V$5*$AG873+WeightSDS!W$5,IF($AG873&lt;186,WeightSDS!P$8*$AG873^7+WeightSDS!Q$8*$AG873^6+WeightSDS!R$8*$AG873^5+WeightSDS!S$8*$AG873^4+WeightSDS!T$8*$AG873^3+WeightSDS!U$8*$AG873^2+WeightSDS!V$8*$AG873+WeightSDS!W$8,WeightSDS!$U$9-WeightSDS!$V$9*($AG873-WeightSDS!$W$9)))</f>
        <v>0.75407122999999998</v>
      </c>
      <c r="AJ873" s="24">
        <f>IF(D873="M",IF($AG873&lt;45,WeightSDS!M$23*$AG873^10+WeightSDS!N$23*$AG873^9+WeightSDS!O$23*$AG873^8+WeightSDS!P$23*$AG873^7+WeightSDS!Q$23*$AG873^6+WeightSDS!R$23*$AG873^5+WeightSDS!S$23*$AG873^4+WeightSDS!T$23*$AG873^3+WeightSDS!U$23*$AG873^2+WeightSDS!V$23*$AG873+WeightSDS!W$23,IF($AG873&lt;153,WeightSDS!M$25*$AG873^10+WeightSDS!N$25*$AG873^9+WeightSDS!O$25*$AG873^8+WeightSDS!P$25*$AG873^7+WeightSDS!Q$25*$AG873^6+WeightSDS!R$25*$AG873^5+WeightSDS!S$25*$AG873^4+WeightSDS!T$25*$AG873^3+WeightSDS!U$25*$AG873^2+WeightSDS!V$25*$AG873+WeightSDS!W$25,WeightSDS!M$27+WeightSDS!N$27/(1+EXP(WeightSDS!O$27+WeightSDS!P$27*$AG873)))),IF($AG873&lt;43.8,WeightSDS!M$29*$AG873^10+WeightSDS!N$29*$AG873^9+WeightSDS!O$29*$AG873^8+WeightSDS!P$29*$AG873^7+WeightSDS!Q$29*$AG873^6+WeightSDS!R$29*$AG873^5+WeightSDS!S$29*$AG873^4+WeightSDS!T$29*$AG873^3+WeightSDS!U$29*$AG873^2+WeightSDS!V$29*$AG873+WeightSDS!W$29-0.010431*(1-$AG873/210),IF($AG873&lt;123,WeightSDS!M$30*$AG873^10+WeightSDS!N$30*$AG873^9+WeightSDS!O$30*$AG873^8+WeightSDS!P$30*$AG873^7+WeightSDS!Q$30*$AG873^6+WeightSDS!R$30*$AG873^5+WeightSDS!S$30*$AG873^4+WeightSDS!T$30*$AG873^3+WeightSDS!U$30*$AG873^2+WeightSDS!V$30*$AG873+WeightSDS!W$30-0.010431*(1-1/$AG873),WeightSDS!M$32+WeightSDS!N$32/(1+EXP(WeightSDS!O$32+WeightSDS!P$32*$AG873))-0.010431*(1-$AG873/210))))</f>
        <v>2.9500001032655536</v>
      </c>
      <c r="AK873" s="24">
        <f>IF(D873="M",IF($AG873&lt;162,WeightSDS!P$12*$AG873^7+WeightSDS!Q$12*$AG873^6+WeightSDS!R$12*$AG873^5+WeightSDS!S$12*$AG873^4+WeightSDS!T$12*$AG873^3+WeightSDS!U$12*$AG873^2+WeightSDS!V$12*$AG873+WeightSDS!W$12,WeightSDS!P$14*$AG873^7+WeightSDS!Q$14*$AG873^6+WeightSDS!R$14*$AG873^5+WeightSDS!S$14*$AG873^4+WeightSDS!T$14*$AG873^3+WeightSDS!U$14*$AG873^2+WeightSDS!V$14*$AG873+WeightSDS!W$14),IF($AG873&lt;156,WeightSDS!O$17*$AG873^8+WeightSDS!P$17*$AG873^7+WeightSDS!Q$17*$AG873^6+WeightSDS!R$17*$AG873^5+WeightSDS!S$17*$AG873^4+WeightSDS!T$17*$AG873^3+WeightSDS!U$17*$AG873^2+WeightSDS!V$17*$AG873+WeightSDS!W$17,IF($AG873&lt;186,WeightSDS!$U$18+(WeightSDS!$V$18-WeightSDS!$U$18)/24*($AG873-186)+WeightSDS!$W$18*(-$AG873+186)^2-0.005,WeightSDS!$U$18+(WeightSDS!$V$18-WeightSDS!$U$18)/24*($AG873-186)-0.005)))</f>
        <v>0.14604529399999999</v>
      </c>
    </row>
    <row r="874" spans="1:37">
      <c r="A874" s="4"/>
      <c r="B874" s="21"/>
      <c r="C874" s="21"/>
      <c r="D874" s="21"/>
      <c r="E874" s="22"/>
      <c r="F874" s="22"/>
      <c r="G874" s="23"/>
      <c r="H874" s="23"/>
      <c r="I874" s="8" t="str">
        <f t="shared" si="210"/>
        <v/>
      </c>
      <c r="J874" s="2" t="str">
        <f t="shared" si="217"/>
        <v/>
      </c>
      <c r="K874" s="2" t="str">
        <f t="shared" si="211"/>
        <v/>
      </c>
      <c r="L874" s="2" t="str">
        <f t="shared" si="218"/>
        <v/>
      </c>
      <c r="M874" s="2" t="str">
        <f t="shared" si="223"/>
        <v/>
      </c>
      <c r="N874" s="2" t="str">
        <f t="shared" si="219"/>
        <v/>
      </c>
      <c r="O874" s="8" t="str">
        <f t="shared" si="220"/>
        <v/>
      </c>
      <c r="P874" s="8" t="str">
        <f t="shared" si="221"/>
        <v/>
      </c>
      <c r="Q874" s="40" t="str">
        <f t="shared" si="212"/>
        <v/>
      </c>
      <c r="R874" s="48" t="str">
        <f t="shared" si="222"/>
        <v/>
      </c>
      <c r="S874" s="8"/>
      <c r="U874" s="35">
        <f t="shared" si="213"/>
        <v>0</v>
      </c>
      <c r="V874" s="24">
        <f t="shared" si="214"/>
        <v>0</v>
      </c>
      <c r="W874" s="41">
        <f t="shared" si="225"/>
        <v>0</v>
      </c>
      <c r="X874" s="31"/>
      <c r="Y874" s="31"/>
      <c r="Z874" s="31"/>
      <c r="AA874" s="25">
        <f t="shared" si="215"/>
        <v>9.0359999999999996</v>
      </c>
      <c r="AB874" s="25">
        <f t="shared" si="216"/>
        <v>-184.49199999999999</v>
      </c>
      <c r="AD874" s="24">
        <f>IF(D874="M",IF(AG874&lt;78,BMILMS!$D$5*AG874^3+BMILMS!$E$5*AG874^2+BMILMS!$F$5*AG874+BMILMS!$G$5,IF(AG874&lt;150,BMILMS!$D$6*AG874^3+BMILMS!$E$6*AG874^2+BMILMS!$F$6*AG874+BMILMS!$G$6,BMILMS!$D$7*AG874^3+BMILMS!$E$7*AG874^2+BMILMS!$F$7*AG874+BMILMS!$G$7)),IF(AG874&lt;69,BMILMS!$D$9*AG874^3+BMILMS!$E$9*AG874^2+BMILMS!$F$9*AG874+BMILMS!$G$9,IF(AG874&lt;150,BMILMS!$D$10*AG874^3+BMILMS!$E$10*AG874^2+BMILMS!$F$10*AG874+BMILMS!$G$10,BMILMS!$D$11*AG874^3+BMILMS!$E$11*AG874^2+BMILMS!$F$11*AG874+BMILMS!$G$11)))</f>
        <v>0.79584630099999998</v>
      </c>
      <c r="AE874" s="24">
        <f>IF(D874="M",(IF(AG874&lt;2.5,BMILMS!$D$21*AG874^3+BMILMS!$E$21*AG874^2+BMILMS!$F$21*AG874+BMILMS!$G$21,IF(AG874&lt;9.5,BMILMS!$D$22*AG874^3+BMILMS!$E$22*AG874^2+BMILMS!$F$22*AG874+BMILMS!$G$22,IF(AG874&lt;26.75,BMILMS!$D$23*AG874^3+BMILMS!$E$23*AG874^2+BMILMS!$F$23*AG874+BMILMS!$G$23,IF(AG874&lt;90,BMILMS!$D$24*AG874^3+BMILMS!$E$24*AG874^2+BMILMS!$F$24*AG874+BMILMS!$G$24,BMILMS!$D$25*AG874^3+BMILMS!$E$25*AG874^2+BMILMS!$F$25*AG874+BMILMS!$G$25))))),(IF(AG874&lt;2.5,BMILMS!$D$27*AG874^3+BMILMS!$E$27*AG874^2+BMILMS!$F$27*AG874+BMILMS!$G$27,IF(AG874&lt;9.5,BMILMS!$D$28*AG874^3+BMILMS!$E$28*AG874^2+BMILMS!$F$28*AG874+BMILMS!$G$28,IF(AG874&lt;26.75,BMILMS!$D$29*AG874^3+BMILMS!$E$29*AG874^2+BMILMS!$F$29*AG874+BMILMS!$G$29,IF(AG874&lt;90,BMILMS!$D$30*AG874^3+BMILMS!$E$30*AG874^2+BMILMS!$F$30*AG874+BMILMS!$G$30,IF(AG874&lt;150,BMILMS!$D$31*AG874^3+BMILMS!$E$31*AG874^2+BMILMS!$F$31*AG874+BMILMS!$G$31,BMILMS!$D$32*AG874^3+BMILMS!$E$32*AG874^2+BMILMS!$F$32*AG874+BMILMS!$G$32)))))))</f>
        <v>12.568967990000001</v>
      </c>
      <c r="AF874" s="24">
        <f>IF(D874="M",(IF(AG874&lt;90,BMILMS!$D$14*AG874^3+BMILMS!$E$14*AG874^2+BMILMS!$F$14*AG874+BMILMS!$G$14,BMILMS!$D$15*AG874^3+BMILMS!$E$15*AG874^2+BMILMS!$F$15*AG874+BMILMS!$G$15)),(IF(AG874&lt;90,BMILMS!$D$17*AG874^3+BMILMS!$E$17*AG874^2+BMILMS!$F$17*AG874+BMILMS!$G$17,BMILMS!$D$18*AG874^3+BMILMS!$E$18*AG874^2+BMILMS!$F$18*AG874+BMILMS!$G$18)))</f>
        <v>8.8969350000000003E-2</v>
      </c>
      <c r="AG874" s="24">
        <f t="shared" si="224"/>
        <v>0</v>
      </c>
      <c r="AI874" s="38">
        <f>IF(D874="M",WeightSDS!P$5*$AG874^7+WeightSDS!Q$5*$AG874^6+WeightSDS!R$5*$AG874^5+WeightSDS!S$5*$AG874^4+WeightSDS!T$5*$AG874^3+WeightSDS!U$5*$AG874^2+WeightSDS!V$5*$AG874+WeightSDS!W$5,IF($AG874&lt;186,WeightSDS!P$8*$AG874^7+WeightSDS!Q$8*$AG874^6+WeightSDS!R$8*$AG874^5+WeightSDS!S$8*$AG874^4+WeightSDS!T$8*$AG874^3+WeightSDS!U$8*$AG874^2+WeightSDS!V$8*$AG874+WeightSDS!W$8,WeightSDS!$U$9-WeightSDS!$V$9*($AG874-WeightSDS!$W$9)))</f>
        <v>0.75407122999999998</v>
      </c>
      <c r="AJ874" s="24">
        <f>IF(D874="M",IF($AG874&lt;45,WeightSDS!M$23*$AG874^10+WeightSDS!N$23*$AG874^9+WeightSDS!O$23*$AG874^8+WeightSDS!P$23*$AG874^7+WeightSDS!Q$23*$AG874^6+WeightSDS!R$23*$AG874^5+WeightSDS!S$23*$AG874^4+WeightSDS!T$23*$AG874^3+WeightSDS!U$23*$AG874^2+WeightSDS!V$23*$AG874+WeightSDS!W$23,IF($AG874&lt;153,WeightSDS!M$25*$AG874^10+WeightSDS!N$25*$AG874^9+WeightSDS!O$25*$AG874^8+WeightSDS!P$25*$AG874^7+WeightSDS!Q$25*$AG874^6+WeightSDS!R$25*$AG874^5+WeightSDS!S$25*$AG874^4+WeightSDS!T$25*$AG874^3+WeightSDS!U$25*$AG874^2+WeightSDS!V$25*$AG874+WeightSDS!W$25,WeightSDS!M$27+WeightSDS!N$27/(1+EXP(WeightSDS!O$27+WeightSDS!P$27*$AG874)))),IF($AG874&lt;43.8,WeightSDS!M$29*$AG874^10+WeightSDS!N$29*$AG874^9+WeightSDS!O$29*$AG874^8+WeightSDS!P$29*$AG874^7+WeightSDS!Q$29*$AG874^6+WeightSDS!R$29*$AG874^5+WeightSDS!S$29*$AG874^4+WeightSDS!T$29*$AG874^3+WeightSDS!U$29*$AG874^2+WeightSDS!V$29*$AG874+WeightSDS!W$29-0.010431*(1-$AG874/210),IF($AG874&lt;123,WeightSDS!M$30*$AG874^10+WeightSDS!N$30*$AG874^9+WeightSDS!O$30*$AG874^8+WeightSDS!P$30*$AG874^7+WeightSDS!Q$30*$AG874^6+WeightSDS!R$30*$AG874^5+WeightSDS!S$30*$AG874^4+WeightSDS!T$30*$AG874^3+WeightSDS!U$30*$AG874^2+WeightSDS!V$30*$AG874+WeightSDS!W$30-0.010431*(1-1/$AG874),WeightSDS!M$32+WeightSDS!N$32/(1+EXP(WeightSDS!O$32+WeightSDS!P$32*$AG874))-0.010431*(1-$AG874/210))))</f>
        <v>2.9500001032655536</v>
      </c>
      <c r="AK874" s="24">
        <f>IF(D874="M",IF($AG874&lt;162,WeightSDS!P$12*$AG874^7+WeightSDS!Q$12*$AG874^6+WeightSDS!R$12*$AG874^5+WeightSDS!S$12*$AG874^4+WeightSDS!T$12*$AG874^3+WeightSDS!U$12*$AG874^2+WeightSDS!V$12*$AG874+WeightSDS!W$12,WeightSDS!P$14*$AG874^7+WeightSDS!Q$14*$AG874^6+WeightSDS!R$14*$AG874^5+WeightSDS!S$14*$AG874^4+WeightSDS!T$14*$AG874^3+WeightSDS!U$14*$AG874^2+WeightSDS!V$14*$AG874+WeightSDS!W$14),IF($AG874&lt;156,WeightSDS!O$17*$AG874^8+WeightSDS!P$17*$AG874^7+WeightSDS!Q$17*$AG874^6+WeightSDS!R$17*$AG874^5+WeightSDS!S$17*$AG874^4+WeightSDS!T$17*$AG874^3+WeightSDS!U$17*$AG874^2+WeightSDS!V$17*$AG874+WeightSDS!W$17,IF($AG874&lt;186,WeightSDS!$U$18+(WeightSDS!$V$18-WeightSDS!$U$18)/24*($AG874-186)+WeightSDS!$W$18*(-$AG874+186)^2-0.005,WeightSDS!$U$18+(WeightSDS!$V$18-WeightSDS!$U$18)/24*($AG874-186)-0.005)))</f>
        <v>0.14604529399999999</v>
      </c>
    </row>
    <row r="875" spans="1:37">
      <c r="A875" s="4"/>
      <c r="B875" s="21"/>
      <c r="C875" s="21"/>
      <c r="D875" s="21"/>
      <c r="E875" s="22"/>
      <c r="F875" s="22"/>
      <c r="G875" s="23"/>
      <c r="H875" s="23"/>
      <c r="I875" s="8" t="str">
        <f t="shared" si="210"/>
        <v/>
      </c>
      <c r="J875" s="2" t="str">
        <f t="shared" si="217"/>
        <v/>
      </c>
      <c r="K875" s="2" t="str">
        <f t="shared" si="211"/>
        <v/>
      </c>
      <c r="L875" s="2" t="str">
        <f t="shared" si="218"/>
        <v/>
      </c>
      <c r="M875" s="2" t="str">
        <f t="shared" si="223"/>
        <v/>
      </c>
      <c r="N875" s="2" t="str">
        <f t="shared" si="219"/>
        <v/>
      </c>
      <c r="O875" s="8" t="str">
        <f t="shared" si="220"/>
        <v/>
      </c>
      <c r="P875" s="8" t="str">
        <f t="shared" si="221"/>
        <v/>
      </c>
      <c r="Q875" s="40" t="str">
        <f t="shared" si="212"/>
        <v/>
      </c>
      <c r="R875" s="48" t="str">
        <f t="shared" si="222"/>
        <v/>
      </c>
      <c r="S875" s="8"/>
      <c r="U875" s="35">
        <f t="shared" si="213"/>
        <v>0</v>
      </c>
      <c r="V875" s="24">
        <f t="shared" si="214"/>
        <v>0</v>
      </c>
      <c r="W875" s="41">
        <f t="shared" si="225"/>
        <v>0</v>
      </c>
      <c r="X875" s="31"/>
      <c r="Y875" s="31"/>
      <c r="Z875" s="31"/>
      <c r="AA875" s="25">
        <f t="shared" si="215"/>
        <v>9.0359999999999996</v>
      </c>
      <c r="AB875" s="25">
        <f t="shared" si="216"/>
        <v>-184.49199999999999</v>
      </c>
      <c r="AD875" s="24">
        <f>IF(D875="M",IF(AG875&lt;78,BMILMS!$D$5*AG875^3+BMILMS!$E$5*AG875^2+BMILMS!$F$5*AG875+BMILMS!$G$5,IF(AG875&lt;150,BMILMS!$D$6*AG875^3+BMILMS!$E$6*AG875^2+BMILMS!$F$6*AG875+BMILMS!$G$6,BMILMS!$D$7*AG875^3+BMILMS!$E$7*AG875^2+BMILMS!$F$7*AG875+BMILMS!$G$7)),IF(AG875&lt;69,BMILMS!$D$9*AG875^3+BMILMS!$E$9*AG875^2+BMILMS!$F$9*AG875+BMILMS!$G$9,IF(AG875&lt;150,BMILMS!$D$10*AG875^3+BMILMS!$E$10*AG875^2+BMILMS!$F$10*AG875+BMILMS!$G$10,BMILMS!$D$11*AG875^3+BMILMS!$E$11*AG875^2+BMILMS!$F$11*AG875+BMILMS!$G$11)))</f>
        <v>0.79584630099999998</v>
      </c>
      <c r="AE875" s="24">
        <f>IF(D875="M",(IF(AG875&lt;2.5,BMILMS!$D$21*AG875^3+BMILMS!$E$21*AG875^2+BMILMS!$F$21*AG875+BMILMS!$G$21,IF(AG875&lt;9.5,BMILMS!$D$22*AG875^3+BMILMS!$E$22*AG875^2+BMILMS!$F$22*AG875+BMILMS!$G$22,IF(AG875&lt;26.75,BMILMS!$D$23*AG875^3+BMILMS!$E$23*AG875^2+BMILMS!$F$23*AG875+BMILMS!$G$23,IF(AG875&lt;90,BMILMS!$D$24*AG875^3+BMILMS!$E$24*AG875^2+BMILMS!$F$24*AG875+BMILMS!$G$24,BMILMS!$D$25*AG875^3+BMILMS!$E$25*AG875^2+BMILMS!$F$25*AG875+BMILMS!$G$25))))),(IF(AG875&lt;2.5,BMILMS!$D$27*AG875^3+BMILMS!$E$27*AG875^2+BMILMS!$F$27*AG875+BMILMS!$G$27,IF(AG875&lt;9.5,BMILMS!$D$28*AG875^3+BMILMS!$E$28*AG875^2+BMILMS!$F$28*AG875+BMILMS!$G$28,IF(AG875&lt;26.75,BMILMS!$D$29*AG875^3+BMILMS!$E$29*AG875^2+BMILMS!$F$29*AG875+BMILMS!$G$29,IF(AG875&lt;90,BMILMS!$D$30*AG875^3+BMILMS!$E$30*AG875^2+BMILMS!$F$30*AG875+BMILMS!$G$30,IF(AG875&lt;150,BMILMS!$D$31*AG875^3+BMILMS!$E$31*AG875^2+BMILMS!$F$31*AG875+BMILMS!$G$31,BMILMS!$D$32*AG875^3+BMILMS!$E$32*AG875^2+BMILMS!$F$32*AG875+BMILMS!$G$32)))))))</f>
        <v>12.568967990000001</v>
      </c>
      <c r="AF875" s="24">
        <f>IF(D875="M",(IF(AG875&lt;90,BMILMS!$D$14*AG875^3+BMILMS!$E$14*AG875^2+BMILMS!$F$14*AG875+BMILMS!$G$14,BMILMS!$D$15*AG875^3+BMILMS!$E$15*AG875^2+BMILMS!$F$15*AG875+BMILMS!$G$15)),(IF(AG875&lt;90,BMILMS!$D$17*AG875^3+BMILMS!$E$17*AG875^2+BMILMS!$F$17*AG875+BMILMS!$G$17,BMILMS!$D$18*AG875^3+BMILMS!$E$18*AG875^2+BMILMS!$F$18*AG875+BMILMS!$G$18)))</f>
        <v>8.8969350000000003E-2</v>
      </c>
      <c r="AG875" s="24">
        <f t="shared" si="224"/>
        <v>0</v>
      </c>
      <c r="AI875" s="38">
        <f>IF(D875="M",WeightSDS!P$5*$AG875^7+WeightSDS!Q$5*$AG875^6+WeightSDS!R$5*$AG875^5+WeightSDS!S$5*$AG875^4+WeightSDS!T$5*$AG875^3+WeightSDS!U$5*$AG875^2+WeightSDS!V$5*$AG875+WeightSDS!W$5,IF($AG875&lt;186,WeightSDS!P$8*$AG875^7+WeightSDS!Q$8*$AG875^6+WeightSDS!R$8*$AG875^5+WeightSDS!S$8*$AG875^4+WeightSDS!T$8*$AG875^3+WeightSDS!U$8*$AG875^2+WeightSDS!V$8*$AG875+WeightSDS!W$8,WeightSDS!$U$9-WeightSDS!$V$9*($AG875-WeightSDS!$W$9)))</f>
        <v>0.75407122999999998</v>
      </c>
      <c r="AJ875" s="24">
        <f>IF(D875="M",IF($AG875&lt;45,WeightSDS!M$23*$AG875^10+WeightSDS!N$23*$AG875^9+WeightSDS!O$23*$AG875^8+WeightSDS!P$23*$AG875^7+WeightSDS!Q$23*$AG875^6+WeightSDS!R$23*$AG875^5+WeightSDS!S$23*$AG875^4+WeightSDS!T$23*$AG875^3+WeightSDS!U$23*$AG875^2+WeightSDS!V$23*$AG875+WeightSDS!W$23,IF($AG875&lt;153,WeightSDS!M$25*$AG875^10+WeightSDS!N$25*$AG875^9+WeightSDS!O$25*$AG875^8+WeightSDS!P$25*$AG875^7+WeightSDS!Q$25*$AG875^6+WeightSDS!R$25*$AG875^5+WeightSDS!S$25*$AG875^4+WeightSDS!T$25*$AG875^3+WeightSDS!U$25*$AG875^2+WeightSDS!V$25*$AG875+WeightSDS!W$25,WeightSDS!M$27+WeightSDS!N$27/(1+EXP(WeightSDS!O$27+WeightSDS!P$27*$AG875)))),IF($AG875&lt;43.8,WeightSDS!M$29*$AG875^10+WeightSDS!N$29*$AG875^9+WeightSDS!O$29*$AG875^8+WeightSDS!P$29*$AG875^7+WeightSDS!Q$29*$AG875^6+WeightSDS!R$29*$AG875^5+WeightSDS!S$29*$AG875^4+WeightSDS!T$29*$AG875^3+WeightSDS!U$29*$AG875^2+WeightSDS!V$29*$AG875+WeightSDS!W$29-0.010431*(1-$AG875/210),IF($AG875&lt;123,WeightSDS!M$30*$AG875^10+WeightSDS!N$30*$AG875^9+WeightSDS!O$30*$AG875^8+WeightSDS!P$30*$AG875^7+WeightSDS!Q$30*$AG875^6+WeightSDS!R$30*$AG875^5+WeightSDS!S$30*$AG875^4+WeightSDS!T$30*$AG875^3+WeightSDS!U$30*$AG875^2+WeightSDS!V$30*$AG875+WeightSDS!W$30-0.010431*(1-1/$AG875),WeightSDS!M$32+WeightSDS!N$32/(1+EXP(WeightSDS!O$32+WeightSDS!P$32*$AG875))-0.010431*(1-$AG875/210))))</f>
        <v>2.9500001032655536</v>
      </c>
      <c r="AK875" s="24">
        <f>IF(D875="M",IF($AG875&lt;162,WeightSDS!P$12*$AG875^7+WeightSDS!Q$12*$AG875^6+WeightSDS!R$12*$AG875^5+WeightSDS!S$12*$AG875^4+WeightSDS!T$12*$AG875^3+WeightSDS!U$12*$AG875^2+WeightSDS!V$12*$AG875+WeightSDS!W$12,WeightSDS!P$14*$AG875^7+WeightSDS!Q$14*$AG875^6+WeightSDS!R$14*$AG875^5+WeightSDS!S$14*$AG875^4+WeightSDS!T$14*$AG875^3+WeightSDS!U$14*$AG875^2+WeightSDS!V$14*$AG875+WeightSDS!W$14),IF($AG875&lt;156,WeightSDS!O$17*$AG875^8+WeightSDS!P$17*$AG875^7+WeightSDS!Q$17*$AG875^6+WeightSDS!R$17*$AG875^5+WeightSDS!S$17*$AG875^4+WeightSDS!T$17*$AG875^3+WeightSDS!U$17*$AG875^2+WeightSDS!V$17*$AG875+WeightSDS!W$17,IF($AG875&lt;186,WeightSDS!$U$18+(WeightSDS!$V$18-WeightSDS!$U$18)/24*($AG875-186)+WeightSDS!$W$18*(-$AG875+186)^2-0.005,WeightSDS!$U$18+(WeightSDS!$V$18-WeightSDS!$U$18)/24*($AG875-186)-0.005)))</f>
        <v>0.14604529399999999</v>
      </c>
    </row>
    <row r="876" spans="1:37">
      <c r="A876" s="4"/>
      <c r="B876" s="21"/>
      <c r="C876" s="21"/>
      <c r="D876" s="21"/>
      <c r="E876" s="22"/>
      <c r="F876" s="22"/>
      <c r="G876" s="23"/>
      <c r="H876" s="23"/>
      <c r="I876" s="8" t="str">
        <f t="shared" si="210"/>
        <v/>
      </c>
      <c r="J876" s="2" t="str">
        <f t="shared" si="217"/>
        <v/>
      </c>
      <c r="K876" s="2" t="str">
        <f t="shared" si="211"/>
        <v/>
      </c>
      <c r="L876" s="2" t="str">
        <f t="shared" si="218"/>
        <v/>
      </c>
      <c r="M876" s="2" t="str">
        <f t="shared" si="223"/>
        <v/>
      </c>
      <c r="N876" s="2" t="str">
        <f t="shared" si="219"/>
        <v/>
      </c>
      <c r="O876" s="8" t="str">
        <f t="shared" si="220"/>
        <v/>
      </c>
      <c r="P876" s="8" t="str">
        <f t="shared" si="221"/>
        <v/>
      </c>
      <c r="Q876" s="40" t="str">
        <f t="shared" si="212"/>
        <v/>
      </c>
      <c r="R876" s="48" t="str">
        <f t="shared" si="222"/>
        <v/>
      </c>
      <c r="S876" s="8"/>
      <c r="U876" s="35">
        <f t="shared" si="213"/>
        <v>0</v>
      </c>
      <c r="V876" s="24">
        <f t="shared" si="214"/>
        <v>0</v>
      </c>
      <c r="W876" s="41">
        <f t="shared" si="225"/>
        <v>0</v>
      </c>
      <c r="X876" s="31"/>
      <c r="Y876" s="31"/>
      <c r="Z876" s="31"/>
      <c r="AA876" s="25">
        <f t="shared" si="215"/>
        <v>9.0359999999999996</v>
      </c>
      <c r="AB876" s="25">
        <f t="shared" si="216"/>
        <v>-184.49199999999999</v>
      </c>
      <c r="AD876" s="24">
        <f>IF(D876="M",IF(AG876&lt;78,BMILMS!$D$5*AG876^3+BMILMS!$E$5*AG876^2+BMILMS!$F$5*AG876+BMILMS!$G$5,IF(AG876&lt;150,BMILMS!$D$6*AG876^3+BMILMS!$E$6*AG876^2+BMILMS!$F$6*AG876+BMILMS!$G$6,BMILMS!$D$7*AG876^3+BMILMS!$E$7*AG876^2+BMILMS!$F$7*AG876+BMILMS!$G$7)),IF(AG876&lt;69,BMILMS!$D$9*AG876^3+BMILMS!$E$9*AG876^2+BMILMS!$F$9*AG876+BMILMS!$G$9,IF(AG876&lt;150,BMILMS!$D$10*AG876^3+BMILMS!$E$10*AG876^2+BMILMS!$F$10*AG876+BMILMS!$G$10,BMILMS!$D$11*AG876^3+BMILMS!$E$11*AG876^2+BMILMS!$F$11*AG876+BMILMS!$G$11)))</f>
        <v>0.79584630099999998</v>
      </c>
      <c r="AE876" s="24">
        <f>IF(D876="M",(IF(AG876&lt;2.5,BMILMS!$D$21*AG876^3+BMILMS!$E$21*AG876^2+BMILMS!$F$21*AG876+BMILMS!$G$21,IF(AG876&lt;9.5,BMILMS!$D$22*AG876^3+BMILMS!$E$22*AG876^2+BMILMS!$F$22*AG876+BMILMS!$G$22,IF(AG876&lt;26.75,BMILMS!$D$23*AG876^3+BMILMS!$E$23*AG876^2+BMILMS!$F$23*AG876+BMILMS!$G$23,IF(AG876&lt;90,BMILMS!$D$24*AG876^3+BMILMS!$E$24*AG876^2+BMILMS!$F$24*AG876+BMILMS!$G$24,BMILMS!$D$25*AG876^3+BMILMS!$E$25*AG876^2+BMILMS!$F$25*AG876+BMILMS!$G$25))))),(IF(AG876&lt;2.5,BMILMS!$D$27*AG876^3+BMILMS!$E$27*AG876^2+BMILMS!$F$27*AG876+BMILMS!$G$27,IF(AG876&lt;9.5,BMILMS!$D$28*AG876^3+BMILMS!$E$28*AG876^2+BMILMS!$F$28*AG876+BMILMS!$G$28,IF(AG876&lt;26.75,BMILMS!$D$29*AG876^3+BMILMS!$E$29*AG876^2+BMILMS!$F$29*AG876+BMILMS!$G$29,IF(AG876&lt;90,BMILMS!$D$30*AG876^3+BMILMS!$E$30*AG876^2+BMILMS!$F$30*AG876+BMILMS!$G$30,IF(AG876&lt;150,BMILMS!$D$31*AG876^3+BMILMS!$E$31*AG876^2+BMILMS!$F$31*AG876+BMILMS!$G$31,BMILMS!$D$32*AG876^3+BMILMS!$E$32*AG876^2+BMILMS!$F$32*AG876+BMILMS!$G$32)))))))</f>
        <v>12.568967990000001</v>
      </c>
      <c r="AF876" s="24">
        <f>IF(D876="M",(IF(AG876&lt;90,BMILMS!$D$14*AG876^3+BMILMS!$E$14*AG876^2+BMILMS!$F$14*AG876+BMILMS!$G$14,BMILMS!$D$15*AG876^3+BMILMS!$E$15*AG876^2+BMILMS!$F$15*AG876+BMILMS!$G$15)),(IF(AG876&lt;90,BMILMS!$D$17*AG876^3+BMILMS!$E$17*AG876^2+BMILMS!$F$17*AG876+BMILMS!$G$17,BMILMS!$D$18*AG876^3+BMILMS!$E$18*AG876^2+BMILMS!$F$18*AG876+BMILMS!$G$18)))</f>
        <v>8.8969350000000003E-2</v>
      </c>
      <c r="AG876" s="24">
        <f t="shared" si="224"/>
        <v>0</v>
      </c>
      <c r="AI876" s="38">
        <f>IF(D876="M",WeightSDS!P$5*$AG876^7+WeightSDS!Q$5*$AG876^6+WeightSDS!R$5*$AG876^5+WeightSDS!S$5*$AG876^4+WeightSDS!T$5*$AG876^3+WeightSDS!U$5*$AG876^2+WeightSDS!V$5*$AG876+WeightSDS!W$5,IF($AG876&lt;186,WeightSDS!P$8*$AG876^7+WeightSDS!Q$8*$AG876^6+WeightSDS!R$8*$AG876^5+WeightSDS!S$8*$AG876^4+WeightSDS!T$8*$AG876^3+WeightSDS!U$8*$AG876^2+WeightSDS!V$8*$AG876+WeightSDS!W$8,WeightSDS!$U$9-WeightSDS!$V$9*($AG876-WeightSDS!$W$9)))</f>
        <v>0.75407122999999998</v>
      </c>
      <c r="AJ876" s="24">
        <f>IF(D876="M",IF($AG876&lt;45,WeightSDS!M$23*$AG876^10+WeightSDS!N$23*$AG876^9+WeightSDS!O$23*$AG876^8+WeightSDS!P$23*$AG876^7+WeightSDS!Q$23*$AG876^6+WeightSDS!R$23*$AG876^5+WeightSDS!S$23*$AG876^4+WeightSDS!T$23*$AG876^3+WeightSDS!U$23*$AG876^2+WeightSDS!V$23*$AG876+WeightSDS!W$23,IF($AG876&lt;153,WeightSDS!M$25*$AG876^10+WeightSDS!N$25*$AG876^9+WeightSDS!O$25*$AG876^8+WeightSDS!P$25*$AG876^7+WeightSDS!Q$25*$AG876^6+WeightSDS!R$25*$AG876^5+WeightSDS!S$25*$AG876^4+WeightSDS!T$25*$AG876^3+WeightSDS!U$25*$AG876^2+WeightSDS!V$25*$AG876+WeightSDS!W$25,WeightSDS!M$27+WeightSDS!N$27/(1+EXP(WeightSDS!O$27+WeightSDS!P$27*$AG876)))),IF($AG876&lt;43.8,WeightSDS!M$29*$AG876^10+WeightSDS!N$29*$AG876^9+WeightSDS!O$29*$AG876^8+WeightSDS!P$29*$AG876^7+WeightSDS!Q$29*$AG876^6+WeightSDS!R$29*$AG876^5+WeightSDS!S$29*$AG876^4+WeightSDS!T$29*$AG876^3+WeightSDS!U$29*$AG876^2+WeightSDS!V$29*$AG876+WeightSDS!W$29-0.010431*(1-$AG876/210),IF($AG876&lt;123,WeightSDS!M$30*$AG876^10+WeightSDS!N$30*$AG876^9+WeightSDS!O$30*$AG876^8+WeightSDS!P$30*$AG876^7+WeightSDS!Q$30*$AG876^6+WeightSDS!R$30*$AG876^5+WeightSDS!S$30*$AG876^4+WeightSDS!T$30*$AG876^3+WeightSDS!U$30*$AG876^2+WeightSDS!V$30*$AG876+WeightSDS!W$30-0.010431*(1-1/$AG876),WeightSDS!M$32+WeightSDS!N$32/(1+EXP(WeightSDS!O$32+WeightSDS!P$32*$AG876))-0.010431*(1-$AG876/210))))</f>
        <v>2.9500001032655536</v>
      </c>
      <c r="AK876" s="24">
        <f>IF(D876="M",IF($AG876&lt;162,WeightSDS!P$12*$AG876^7+WeightSDS!Q$12*$AG876^6+WeightSDS!R$12*$AG876^5+WeightSDS!S$12*$AG876^4+WeightSDS!T$12*$AG876^3+WeightSDS!U$12*$AG876^2+WeightSDS!V$12*$AG876+WeightSDS!W$12,WeightSDS!P$14*$AG876^7+WeightSDS!Q$14*$AG876^6+WeightSDS!R$14*$AG876^5+WeightSDS!S$14*$AG876^4+WeightSDS!T$14*$AG876^3+WeightSDS!U$14*$AG876^2+WeightSDS!V$14*$AG876+WeightSDS!W$14),IF($AG876&lt;156,WeightSDS!O$17*$AG876^8+WeightSDS!P$17*$AG876^7+WeightSDS!Q$17*$AG876^6+WeightSDS!R$17*$AG876^5+WeightSDS!S$17*$AG876^4+WeightSDS!T$17*$AG876^3+WeightSDS!U$17*$AG876^2+WeightSDS!V$17*$AG876+WeightSDS!W$17,IF($AG876&lt;186,WeightSDS!$U$18+(WeightSDS!$V$18-WeightSDS!$U$18)/24*($AG876-186)+WeightSDS!$W$18*(-$AG876+186)^2-0.005,WeightSDS!$U$18+(WeightSDS!$V$18-WeightSDS!$U$18)/24*($AG876-186)-0.005)))</f>
        <v>0.14604529399999999</v>
      </c>
    </row>
    <row r="877" spans="1:37">
      <c r="A877" s="4"/>
      <c r="B877" s="21"/>
      <c r="C877" s="21"/>
      <c r="D877" s="21"/>
      <c r="E877" s="22"/>
      <c r="F877" s="22"/>
      <c r="G877" s="23"/>
      <c r="H877" s="23"/>
      <c r="I877" s="8" t="str">
        <f t="shared" si="210"/>
        <v/>
      </c>
      <c r="J877" s="2" t="str">
        <f t="shared" si="217"/>
        <v/>
      </c>
      <c r="K877" s="2" t="str">
        <f t="shared" si="211"/>
        <v/>
      </c>
      <c r="L877" s="2" t="str">
        <f t="shared" si="218"/>
        <v/>
      </c>
      <c r="M877" s="2" t="str">
        <f t="shared" si="223"/>
        <v/>
      </c>
      <c r="N877" s="2" t="str">
        <f t="shared" si="219"/>
        <v/>
      </c>
      <c r="O877" s="8" t="str">
        <f t="shared" si="220"/>
        <v/>
      </c>
      <c r="P877" s="8" t="str">
        <f t="shared" si="221"/>
        <v/>
      </c>
      <c r="Q877" s="40" t="str">
        <f t="shared" si="212"/>
        <v/>
      </c>
      <c r="R877" s="48" t="str">
        <f t="shared" si="222"/>
        <v/>
      </c>
      <c r="S877" s="8"/>
      <c r="U877" s="35">
        <f t="shared" si="213"/>
        <v>0</v>
      </c>
      <c r="V877" s="24">
        <f t="shared" si="214"/>
        <v>0</v>
      </c>
      <c r="W877" s="41">
        <f t="shared" si="225"/>
        <v>0</v>
      </c>
      <c r="X877" s="31"/>
      <c r="Y877" s="31"/>
      <c r="Z877" s="31"/>
      <c r="AA877" s="25">
        <f t="shared" si="215"/>
        <v>9.0359999999999996</v>
      </c>
      <c r="AB877" s="25">
        <f t="shared" si="216"/>
        <v>-184.49199999999999</v>
      </c>
      <c r="AD877" s="24">
        <f>IF(D877="M",IF(AG877&lt;78,BMILMS!$D$5*AG877^3+BMILMS!$E$5*AG877^2+BMILMS!$F$5*AG877+BMILMS!$G$5,IF(AG877&lt;150,BMILMS!$D$6*AG877^3+BMILMS!$E$6*AG877^2+BMILMS!$F$6*AG877+BMILMS!$G$6,BMILMS!$D$7*AG877^3+BMILMS!$E$7*AG877^2+BMILMS!$F$7*AG877+BMILMS!$G$7)),IF(AG877&lt;69,BMILMS!$D$9*AG877^3+BMILMS!$E$9*AG877^2+BMILMS!$F$9*AG877+BMILMS!$G$9,IF(AG877&lt;150,BMILMS!$D$10*AG877^3+BMILMS!$E$10*AG877^2+BMILMS!$F$10*AG877+BMILMS!$G$10,BMILMS!$D$11*AG877^3+BMILMS!$E$11*AG877^2+BMILMS!$F$11*AG877+BMILMS!$G$11)))</f>
        <v>0.79584630099999998</v>
      </c>
      <c r="AE877" s="24">
        <f>IF(D877="M",(IF(AG877&lt;2.5,BMILMS!$D$21*AG877^3+BMILMS!$E$21*AG877^2+BMILMS!$F$21*AG877+BMILMS!$G$21,IF(AG877&lt;9.5,BMILMS!$D$22*AG877^3+BMILMS!$E$22*AG877^2+BMILMS!$F$22*AG877+BMILMS!$G$22,IF(AG877&lt;26.75,BMILMS!$D$23*AG877^3+BMILMS!$E$23*AG877^2+BMILMS!$F$23*AG877+BMILMS!$G$23,IF(AG877&lt;90,BMILMS!$D$24*AG877^3+BMILMS!$E$24*AG877^2+BMILMS!$F$24*AG877+BMILMS!$G$24,BMILMS!$D$25*AG877^3+BMILMS!$E$25*AG877^2+BMILMS!$F$25*AG877+BMILMS!$G$25))))),(IF(AG877&lt;2.5,BMILMS!$D$27*AG877^3+BMILMS!$E$27*AG877^2+BMILMS!$F$27*AG877+BMILMS!$G$27,IF(AG877&lt;9.5,BMILMS!$D$28*AG877^3+BMILMS!$E$28*AG877^2+BMILMS!$F$28*AG877+BMILMS!$G$28,IF(AG877&lt;26.75,BMILMS!$D$29*AG877^3+BMILMS!$E$29*AG877^2+BMILMS!$F$29*AG877+BMILMS!$G$29,IF(AG877&lt;90,BMILMS!$D$30*AG877^3+BMILMS!$E$30*AG877^2+BMILMS!$F$30*AG877+BMILMS!$G$30,IF(AG877&lt;150,BMILMS!$D$31*AG877^3+BMILMS!$E$31*AG877^2+BMILMS!$F$31*AG877+BMILMS!$G$31,BMILMS!$D$32*AG877^3+BMILMS!$E$32*AG877^2+BMILMS!$F$32*AG877+BMILMS!$G$32)))))))</f>
        <v>12.568967990000001</v>
      </c>
      <c r="AF877" s="24">
        <f>IF(D877="M",(IF(AG877&lt;90,BMILMS!$D$14*AG877^3+BMILMS!$E$14*AG877^2+BMILMS!$F$14*AG877+BMILMS!$G$14,BMILMS!$D$15*AG877^3+BMILMS!$E$15*AG877^2+BMILMS!$F$15*AG877+BMILMS!$G$15)),(IF(AG877&lt;90,BMILMS!$D$17*AG877^3+BMILMS!$E$17*AG877^2+BMILMS!$F$17*AG877+BMILMS!$G$17,BMILMS!$D$18*AG877^3+BMILMS!$E$18*AG877^2+BMILMS!$F$18*AG877+BMILMS!$G$18)))</f>
        <v>8.8969350000000003E-2</v>
      </c>
      <c r="AG877" s="24">
        <f t="shared" si="224"/>
        <v>0</v>
      </c>
      <c r="AI877" s="38">
        <f>IF(D877="M",WeightSDS!P$5*$AG877^7+WeightSDS!Q$5*$AG877^6+WeightSDS!R$5*$AG877^5+WeightSDS!S$5*$AG877^4+WeightSDS!T$5*$AG877^3+WeightSDS!U$5*$AG877^2+WeightSDS!V$5*$AG877+WeightSDS!W$5,IF($AG877&lt;186,WeightSDS!P$8*$AG877^7+WeightSDS!Q$8*$AG877^6+WeightSDS!R$8*$AG877^5+WeightSDS!S$8*$AG877^4+WeightSDS!T$8*$AG877^3+WeightSDS!U$8*$AG877^2+WeightSDS!V$8*$AG877+WeightSDS!W$8,WeightSDS!$U$9-WeightSDS!$V$9*($AG877-WeightSDS!$W$9)))</f>
        <v>0.75407122999999998</v>
      </c>
      <c r="AJ877" s="24">
        <f>IF(D877="M",IF($AG877&lt;45,WeightSDS!M$23*$AG877^10+WeightSDS!N$23*$AG877^9+WeightSDS!O$23*$AG877^8+WeightSDS!P$23*$AG877^7+WeightSDS!Q$23*$AG877^6+WeightSDS!R$23*$AG877^5+WeightSDS!S$23*$AG877^4+WeightSDS!T$23*$AG877^3+WeightSDS!U$23*$AG877^2+WeightSDS!V$23*$AG877+WeightSDS!W$23,IF($AG877&lt;153,WeightSDS!M$25*$AG877^10+WeightSDS!N$25*$AG877^9+WeightSDS!O$25*$AG877^8+WeightSDS!P$25*$AG877^7+WeightSDS!Q$25*$AG877^6+WeightSDS!R$25*$AG877^5+WeightSDS!S$25*$AG877^4+WeightSDS!T$25*$AG877^3+WeightSDS!U$25*$AG877^2+WeightSDS!V$25*$AG877+WeightSDS!W$25,WeightSDS!M$27+WeightSDS!N$27/(1+EXP(WeightSDS!O$27+WeightSDS!P$27*$AG877)))),IF($AG877&lt;43.8,WeightSDS!M$29*$AG877^10+WeightSDS!N$29*$AG877^9+WeightSDS!O$29*$AG877^8+WeightSDS!P$29*$AG877^7+WeightSDS!Q$29*$AG877^6+WeightSDS!R$29*$AG877^5+WeightSDS!S$29*$AG877^4+WeightSDS!T$29*$AG877^3+WeightSDS!U$29*$AG877^2+WeightSDS!V$29*$AG877+WeightSDS!W$29-0.010431*(1-$AG877/210),IF($AG877&lt;123,WeightSDS!M$30*$AG877^10+WeightSDS!N$30*$AG877^9+WeightSDS!O$30*$AG877^8+WeightSDS!P$30*$AG877^7+WeightSDS!Q$30*$AG877^6+WeightSDS!R$30*$AG877^5+WeightSDS!S$30*$AG877^4+WeightSDS!T$30*$AG877^3+WeightSDS!U$30*$AG877^2+WeightSDS!V$30*$AG877+WeightSDS!W$30-0.010431*(1-1/$AG877),WeightSDS!M$32+WeightSDS!N$32/(1+EXP(WeightSDS!O$32+WeightSDS!P$32*$AG877))-0.010431*(1-$AG877/210))))</f>
        <v>2.9500001032655536</v>
      </c>
      <c r="AK877" s="24">
        <f>IF(D877="M",IF($AG877&lt;162,WeightSDS!P$12*$AG877^7+WeightSDS!Q$12*$AG877^6+WeightSDS!R$12*$AG877^5+WeightSDS!S$12*$AG877^4+WeightSDS!T$12*$AG877^3+WeightSDS!U$12*$AG877^2+WeightSDS!V$12*$AG877+WeightSDS!W$12,WeightSDS!P$14*$AG877^7+WeightSDS!Q$14*$AG877^6+WeightSDS!R$14*$AG877^5+WeightSDS!S$14*$AG877^4+WeightSDS!T$14*$AG877^3+WeightSDS!U$14*$AG877^2+WeightSDS!V$14*$AG877+WeightSDS!W$14),IF($AG877&lt;156,WeightSDS!O$17*$AG877^8+WeightSDS!P$17*$AG877^7+WeightSDS!Q$17*$AG877^6+WeightSDS!R$17*$AG877^5+WeightSDS!S$17*$AG877^4+WeightSDS!T$17*$AG877^3+WeightSDS!U$17*$AG877^2+WeightSDS!V$17*$AG877+WeightSDS!W$17,IF($AG877&lt;186,WeightSDS!$U$18+(WeightSDS!$V$18-WeightSDS!$U$18)/24*($AG877-186)+WeightSDS!$W$18*(-$AG877+186)^2-0.005,WeightSDS!$U$18+(WeightSDS!$V$18-WeightSDS!$U$18)/24*($AG877-186)-0.005)))</f>
        <v>0.14604529399999999</v>
      </c>
    </row>
    <row r="878" spans="1:37">
      <c r="A878" s="4"/>
      <c r="B878" s="21"/>
      <c r="C878" s="21"/>
      <c r="D878" s="21"/>
      <c r="E878" s="22"/>
      <c r="F878" s="22"/>
      <c r="G878" s="23"/>
      <c r="H878" s="23"/>
      <c r="I878" s="8" t="str">
        <f t="shared" si="210"/>
        <v/>
      </c>
      <c r="J878" s="2" t="str">
        <f t="shared" si="217"/>
        <v/>
      </c>
      <c r="K878" s="2" t="str">
        <f t="shared" si="211"/>
        <v/>
      </c>
      <c r="L878" s="2" t="str">
        <f t="shared" si="218"/>
        <v/>
      </c>
      <c r="M878" s="2" t="str">
        <f t="shared" si="223"/>
        <v/>
      </c>
      <c r="N878" s="2" t="str">
        <f t="shared" si="219"/>
        <v/>
      </c>
      <c r="O878" s="8" t="str">
        <f t="shared" si="220"/>
        <v/>
      </c>
      <c r="P878" s="8" t="str">
        <f t="shared" si="221"/>
        <v/>
      </c>
      <c r="Q878" s="40" t="str">
        <f t="shared" si="212"/>
        <v/>
      </c>
      <c r="R878" s="48" t="str">
        <f t="shared" si="222"/>
        <v/>
      </c>
      <c r="S878" s="8"/>
      <c r="U878" s="35">
        <f t="shared" si="213"/>
        <v>0</v>
      </c>
      <c r="V878" s="24">
        <f t="shared" si="214"/>
        <v>0</v>
      </c>
      <c r="W878" s="41">
        <f t="shared" si="225"/>
        <v>0</v>
      </c>
      <c r="X878" s="31"/>
      <c r="Y878" s="31"/>
      <c r="Z878" s="31"/>
      <c r="AA878" s="25">
        <f t="shared" si="215"/>
        <v>9.0359999999999996</v>
      </c>
      <c r="AB878" s="25">
        <f t="shared" si="216"/>
        <v>-184.49199999999999</v>
      </c>
      <c r="AD878" s="24">
        <f>IF(D878="M",IF(AG878&lt;78,BMILMS!$D$5*AG878^3+BMILMS!$E$5*AG878^2+BMILMS!$F$5*AG878+BMILMS!$G$5,IF(AG878&lt;150,BMILMS!$D$6*AG878^3+BMILMS!$E$6*AG878^2+BMILMS!$F$6*AG878+BMILMS!$G$6,BMILMS!$D$7*AG878^3+BMILMS!$E$7*AG878^2+BMILMS!$F$7*AG878+BMILMS!$G$7)),IF(AG878&lt;69,BMILMS!$D$9*AG878^3+BMILMS!$E$9*AG878^2+BMILMS!$F$9*AG878+BMILMS!$G$9,IF(AG878&lt;150,BMILMS!$D$10*AG878^3+BMILMS!$E$10*AG878^2+BMILMS!$F$10*AG878+BMILMS!$G$10,BMILMS!$D$11*AG878^3+BMILMS!$E$11*AG878^2+BMILMS!$F$11*AG878+BMILMS!$G$11)))</f>
        <v>0.79584630099999998</v>
      </c>
      <c r="AE878" s="24">
        <f>IF(D878="M",(IF(AG878&lt;2.5,BMILMS!$D$21*AG878^3+BMILMS!$E$21*AG878^2+BMILMS!$F$21*AG878+BMILMS!$G$21,IF(AG878&lt;9.5,BMILMS!$D$22*AG878^3+BMILMS!$E$22*AG878^2+BMILMS!$F$22*AG878+BMILMS!$G$22,IF(AG878&lt;26.75,BMILMS!$D$23*AG878^3+BMILMS!$E$23*AG878^2+BMILMS!$F$23*AG878+BMILMS!$G$23,IF(AG878&lt;90,BMILMS!$D$24*AG878^3+BMILMS!$E$24*AG878^2+BMILMS!$F$24*AG878+BMILMS!$G$24,BMILMS!$D$25*AG878^3+BMILMS!$E$25*AG878^2+BMILMS!$F$25*AG878+BMILMS!$G$25))))),(IF(AG878&lt;2.5,BMILMS!$D$27*AG878^3+BMILMS!$E$27*AG878^2+BMILMS!$F$27*AG878+BMILMS!$G$27,IF(AG878&lt;9.5,BMILMS!$D$28*AG878^3+BMILMS!$E$28*AG878^2+BMILMS!$F$28*AG878+BMILMS!$G$28,IF(AG878&lt;26.75,BMILMS!$D$29*AG878^3+BMILMS!$E$29*AG878^2+BMILMS!$F$29*AG878+BMILMS!$G$29,IF(AG878&lt;90,BMILMS!$D$30*AG878^3+BMILMS!$E$30*AG878^2+BMILMS!$F$30*AG878+BMILMS!$G$30,IF(AG878&lt;150,BMILMS!$D$31*AG878^3+BMILMS!$E$31*AG878^2+BMILMS!$F$31*AG878+BMILMS!$G$31,BMILMS!$D$32*AG878^3+BMILMS!$E$32*AG878^2+BMILMS!$F$32*AG878+BMILMS!$G$32)))))))</f>
        <v>12.568967990000001</v>
      </c>
      <c r="AF878" s="24">
        <f>IF(D878="M",(IF(AG878&lt;90,BMILMS!$D$14*AG878^3+BMILMS!$E$14*AG878^2+BMILMS!$F$14*AG878+BMILMS!$G$14,BMILMS!$D$15*AG878^3+BMILMS!$E$15*AG878^2+BMILMS!$F$15*AG878+BMILMS!$G$15)),(IF(AG878&lt;90,BMILMS!$D$17*AG878^3+BMILMS!$E$17*AG878^2+BMILMS!$F$17*AG878+BMILMS!$G$17,BMILMS!$D$18*AG878^3+BMILMS!$E$18*AG878^2+BMILMS!$F$18*AG878+BMILMS!$G$18)))</f>
        <v>8.8969350000000003E-2</v>
      </c>
      <c r="AG878" s="24">
        <f t="shared" si="224"/>
        <v>0</v>
      </c>
      <c r="AI878" s="38">
        <f>IF(D878="M",WeightSDS!P$5*$AG878^7+WeightSDS!Q$5*$AG878^6+WeightSDS!R$5*$AG878^5+WeightSDS!S$5*$AG878^4+WeightSDS!T$5*$AG878^3+WeightSDS!U$5*$AG878^2+WeightSDS!V$5*$AG878+WeightSDS!W$5,IF($AG878&lt;186,WeightSDS!P$8*$AG878^7+WeightSDS!Q$8*$AG878^6+WeightSDS!R$8*$AG878^5+WeightSDS!S$8*$AG878^4+WeightSDS!T$8*$AG878^3+WeightSDS!U$8*$AG878^2+WeightSDS!V$8*$AG878+WeightSDS!W$8,WeightSDS!$U$9-WeightSDS!$V$9*($AG878-WeightSDS!$W$9)))</f>
        <v>0.75407122999999998</v>
      </c>
      <c r="AJ878" s="24">
        <f>IF(D878="M",IF($AG878&lt;45,WeightSDS!M$23*$AG878^10+WeightSDS!N$23*$AG878^9+WeightSDS!O$23*$AG878^8+WeightSDS!P$23*$AG878^7+WeightSDS!Q$23*$AG878^6+WeightSDS!R$23*$AG878^5+WeightSDS!S$23*$AG878^4+WeightSDS!T$23*$AG878^3+WeightSDS!U$23*$AG878^2+WeightSDS!V$23*$AG878+WeightSDS!W$23,IF($AG878&lt;153,WeightSDS!M$25*$AG878^10+WeightSDS!N$25*$AG878^9+WeightSDS!O$25*$AG878^8+WeightSDS!P$25*$AG878^7+WeightSDS!Q$25*$AG878^6+WeightSDS!R$25*$AG878^5+WeightSDS!S$25*$AG878^4+WeightSDS!T$25*$AG878^3+WeightSDS!U$25*$AG878^2+WeightSDS!V$25*$AG878+WeightSDS!W$25,WeightSDS!M$27+WeightSDS!N$27/(1+EXP(WeightSDS!O$27+WeightSDS!P$27*$AG878)))),IF($AG878&lt;43.8,WeightSDS!M$29*$AG878^10+WeightSDS!N$29*$AG878^9+WeightSDS!O$29*$AG878^8+WeightSDS!P$29*$AG878^7+WeightSDS!Q$29*$AG878^6+WeightSDS!R$29*$AG878^5+WeightSDS!S$29*$AG878^4+WeightSDS!T$29*$AG878^3+WeightSDS!U$29*$AG878^2+WeightSDS!V$29*$AG878+WeightSDS!W$29-0.010431*(1-$AG878/210),IF($AG878&lt;123,WeightSDS!M$30*$AG878^10+WeightSDS!N$30*$AG878^9+WeightSDS!O$30*$AG878^8+WeightSDS!P$30*$AG878^7+WeightSDS!Q$30*$AG878^6+WeightSDS!R$30*$AG878^5+WeightSDS!S$30*$AG878^4+WeightSDS!T$30*$AG878^3+WeightSDS!U$30*$AG878^2+WeightSDS!V$30*$AG878+WeightSDS!W$30-0.010431*(1-1/$AG878),WeightSDS!M$32+WeightSDS!N$32/(1+EXP(WeightSDS!O$32+WeightSDS!P$32*$AG878))-0.010431*(1-$AG878/210))))</f>
        <v>2.9500001032655536</v>
      </c>
      <c r="AK878" s="24">
        <f>IF(D878="M",IF($AG878&lt;162,WeightSDS!P$12*$AG878^7+WeightSDS!Q$12*$AG878^6+WeightSDS!R$12*$AG878^5+WeightSDS!S$12*$AG878^4+WeightSDS!T$12*$AG878^3+WeightSDS!U$12*$AG878^2+WeightSDS!V$12*$AG878+WeightSDS!W$12,WeightSDS!P$14*$AG878^7+WeightSDS!Q$14*$AG878^6+WeightSDS!R$14*$AG878^5+WeightSDS!S$14*$AG878^4+WeightSDS!T$14*$AG878^3+WeightSDS!U$14*$AG878^2+WeightSDS!V$14*$AG878+WeightSDS!W$14),IF($AG878&lt;156,WeightSDS!O$17*$AG878^8+WeightSDS!P$17*$AG878^7+WeightSDS!Q$17*$AG878^6+WeightSDS!R$17*$AG878^5+WeightSDS!S$17*$AG878^4+WeightSDS!T$17*$AG878^3+WeightSDS!U$17*$AG878^2+WeightSDS!V$17*$AG878+WeightSDS!W$17,IF($AG878&lt;186,WeightSDS!$U$18+(WeightSDS!$V$18-WeightSDS!$U$18)/24*($AG878-186)+WeightSDS!$W$18*(-$AG878+186)^2-0.005,WeightSDS!$U$18+(WeightSDS!$V$18-WeightSDS!$U$18)/24*($AG878-186)-0.005)))</f>
        <v>0.14604529399999999</v>
      </c>
    </row>
    <row r="879" spans="1:37">
      <c r="A879" s="4"/>
      <c r="B879" s="21"/>
      <c r="C879" s="21"/>
      <c r="D879" s="21"/>
      <c r="E879" s="22"/>
      <c r="F879" s="22"/>
      <c r="G879" s="23"/>
      <c r="H879" s="23"/>
      <c r="I879" s="8" t="str">
        <f t="shared" si="210"/>
        <v/>
      </c>
      <c r="J879" s="2" t="str">
        <f t="shared" si="217"/>
        <v/>
      </c>
      <c r="K879" s="2" t="str">
        <f t="shared" si="211"/>
        <v/>
      </c>
      <c r="L879" s="2" t="str">
        <f t="shared" si="218"/>
        <v/>
      </c>
      <c r="M879" s="2" t="str">
        <f t="shared" si="223"/>
        <v/>
      </c>
      <c r="N879" s="2" t="str">
        <f t="shared" si="219"/>
        <v/>
      </c>
      <c r="O879" s="8" t="str">
        <f t="shared" si="220"/>
        <v/>
      </c>
      <c r="P879" s="8" t="str">
        <f t="shared" si="221"/>
        <v/>
      </c>
      <c r="Q879" s="40" t="str">
        <f t="shared" si="212"/>
        <v/>
      </c>
      <c r="R879" s="48" t="str">
        <f t="shared" si="222"/>
        <v/>
      </c>
      <c r="S879" s="8"/>
      <c r="U879" s="35">
        <f t="shared" si="213"/>
        <v>0</v>
      </c>
      <c r="V879" s="24">
        <f t="shared" si="214"/>
        <v>0</v>
      </c>
      <c r="W879" s="41">
        <f t="shared" si="225"/>
        <v>0</v>
      </c>
      <c r="X879" s="31"/>
      <c r="Y879" s="31"/>
      <c r="Z879" s="31"/>
      <c r="AA879" s="25">
        <f t="shared" si="215"/>
        <v>9.0359999999999996</v>
      </c>
      <c r="AB879" s="25">
        <f t="shared" si="216"/>
        <v>-184.49199999999999</v>
      </c>
      <c r="AD879" s="24">
        <f>IF(D879="M",IF(AG879&lt;78,BMILMS!$D$5*AG879^3+BMILMS!$E$5*AG879^2+BMILMS!$F$5*AG879+BMILMS!$G$5,IF(AG879&lt;150,BMILMS!$D$6*AG879^3+BMILMS!$E$6*AG879^2+BMILMS!$F$6*AG879+BMILMS!$G$6,BMILMS!$D$7*AG879^3+BMILMS!$E$7*AG879^2+BMILMS!$F$7*AG879+BMILMS!$G$7)),IF(AG879&lt;69,BMILMS!$D$9*AG879^3+BMILMS!$E$9*AG879^2+BMILMS!$F$9*AG879+BMILMS!$G$9,IF(AG879&lt;150,BMILMS!$D$10*AG879^3+BMILMS!$E$10*AG879^2+BMILMS!$F$10*AG879+BMILMS!$G$10,BMILMS!$D$11*AG879^3+BMILMS!$E$11*AG879^2+BMILMS!$F$11*AG879+BMILMS!$G$11)))</f>
        <v>0.79584630099999998</v>
      </c>
      <c r="AE879" s="24">
        <f>IF(D879="M",(IF(AG879&lt;2.5,BMILMS!$D$21*AG879^3+BMILMS!$E$21*AG879^2+BMILMS!$F$21*AG879+BMILMS!$G$21,IF(AG879&lt;9.5,BMILMS!$D$22*AG879^3+BMILMS!$E$22*AG879^2+BMILMS!$F$22*AG879+BMILMS!$G$22,IF(AG879&lt;26.75,BMILMS!$D$23*AG879^3+BMILMS!$E$23*AG879^2+BMILMS!$F$23*AG879+BMILMS!$G$23,IF(AG879&lt;90,BMILMS!$D$24*AG879^3+BMILMS!$E$24*AG879^2+BMILMS!$F$24*AG879+BMILMS!$G$24,BMILMS!$D$25*AG879^3+BMILMS!$E$25*AG879^2+BMILMS!$F$25*AG879+BMILMS!$G$25))))),(IF(AG879&lt;2.5,BMILMS!$D$27*AG879^3+BMILMS!$E$27*AG879^2+BMILMS!$F$27*AG879+BMILMS!$G$27,IF(AG879&lt;9.5,BMILMS!$D$28*AG879^3+BMILMS!$E$28*AG879^2+BMILMS!$F$28*AG879+BMILMS!$G$28,IF(AG879&lt;26.75,BMILMS!$D$29*AG879^3+BMILMS!$E$29*AG879^2+BMILMS!$F$29*AG879+BMILMS!$G$29,IF(AG879&lt;90,BMILMS!$D$30*AG879^3+BMILMS!$E$30*AG879^2+BMILMS!$F$30*AG879+BMILMS!$G$30,IF(AG879&lt;150,BMILMS!$D$31*AG879^3+BMILMS!$E$31*AG879^2+BMILMS!$F$31*AG879+BMILMS!$G$31,BMILMS!$D$32*AG879^3+BMILMS!$E$32*AG879^2+BMILMS!$F$32*AG879+BMILMS!$G$32)))))))</f>
        <v>12.568967990000001</v>
      </c>
      <c r="AF879" s="24">
        <f>IF(D879="M",(IF(AG879&lt;90,BMILMS!$D$14*AG879^3+BMILMS!$E$14*AG879^2+BMILMS!$F$14*AG879+BMILMS!$G$14,BMILMS!$D$15*AG879^3+BMILMS!$E$15*AG879^2+BMILMS!$F$15*AG879+BMILMS!$G$15)),(IF(AG879&lt;90,BMILMS!$D$17*AG879^3+BMILMS!$E$17*AG879^2+BMILMS!$F$17*AG879+BMILMS!$G$17,BMILMS!$D$18*AG879^3+BMILMS!$E$18*AG879^2+BMILMS!$F$18*AG879+BMILMS!$G$18)))</f>
        <v>8.8969350000000003E-2</v>
      </c>
      <c r="AG879" s="24">
        <f t="shared" si="224"/>
        <v>0</v>
      </c>
      <c r="AI879" s="38">
        <f>IF(D879="M",WeightSDS!P$5*$AG879^7+WeightSDS!Q$5*$AG879^6+WeightSDS!R$5*$AG879^5+WeightSDS!S$5*$AG879^4+WeightSDS!T$5*$AG879^3+WeightSDS!U$5*$AG879^2+WeightSDS!V$5*$AG879+WeightSDS!W$5,IF($AG879&lt;186,WeightSDS!P$8*$AG879^7+WeightSDS!Q$8*$AG879^6+WeightSDS!R$8*$AG879^5+WeightSDS!S$8*$AG879^4+WeightSDS!T$8*$AG879^3+WeightSDS!U$8*$AG879^2+WeightSDS!V$8*$AG879+WeightSDS!W$8,WeightSDS!$U$9-WeightSDS!$V$9*($AG879-WeightSDS!$W$9)))</f>
        <v>0.75407122999999998</v>
      </c>
      <c r="AJ879" s="24">
        <f>IF(D879="M",IF($AG879&lt;45,WeightSDS!M$23*$AG879^10+WeightSDS!N$23*$AG879^9+WeightSDS!O$23*$AG879^8+WeightSDS!P$23*$AG879^7+WeightSDS!Q$23*$AG879^6+WeightSDS!R$23*$AG879^5+WeightSDS!S$23*$AG879^4+WeightSDS!T$23*$AG879^3+WeightSDS!U$23*$AG879^2+WeightSDS!V$23*$AG879+WeightSDS!W$23,IF($AG879&lt;153,WeightSDS!M$25*$AG879^10+WeightSDS!N$25*$AG879^9+WeightSDS!O$25*$AG879^8+WeightSDS!P$25*$AG879^7+WeightSDS!Q$25*$AG879^6+WeightSDS!R$25*$AG879^5+WeightSDS!S$25*$AG879^4+WeightSDS!T$25*$AG879^3+WeightSDS!U$25*$AG879^2+WeightSDS!V$25*$AG879+WeightSDS!W$25,WeightSDS!M$27+WeightSDS!N$27/(1+EXP(WeightSDS!O$27+WeightSDS!P$27*$AG879)))),IF($AG879&lt;43.8,WeightSDS!M$29*$AG879^10+WeightSDS!N$29*$AG879^9+WeightSDS!O$29*$AG879^8+WeightSDS!P$29*$AG879^7+WeightSDS!Q$29*$AG879^6+WeightSDS!R$29*$AG879^5+WeightSDS!S$29*$AG879^4+WeightSDS!T$29*$AG879^3+WeightSDS!U$29*$AG879^2+WeightSDS!V$29*$AG879+WeightSDS!W$29-0.010431*(1-$AG879/210),IF($AG879&lt;123,WeightSDS!M$30*$AG879^10+WeightSDS!N$30*$AG879^9+WeightSDS!O$30*$AG879^8+WeightSDS!P$30*$AG879^7+WeightSDS!Q$30*$AG879^6+WeightSDS!R$30*$AG879^5+WeightSDS!S$30*$AG879^4+WeightSDS!T$30*$AG879^3+WeightSDS!U$30*$AG879^2+WeightSDS!V$30*$AG879+WeightSDS!W$30-0.010431*(1-1/$AG879),WeightSDS!M$32+WeightSDS!N$32/(1+EXP(WeightSDS!O$32+WeightSDS!P$32*$AG879))-0.010431*(1-$AG879/210))))</f>
        <v>2.9500001032655536</v>
      </c>
      <c r="AK879" s="24">
        <f>IF(D879="M",IF($AG879&lt;162,WeightSDS!P$12*$AG879^7+WeightSDS!Q$12*$AG879^6+WeightSDS!R$12*$AG879^5+WeightSDS!S$12*$AG879^4+WeightSDS!T$12*$AG879^3+WeightSDS!U$12*$AG879^2+WeightSDS!V$12*$AG879+WeightSDS!W$12,WeightSDS!P$14*$AG879^7+WeightSDS!Q$14*$AG879^6+WeightSDS!R$14*$AG879^5+WeightSDS!S$14*$AG879^4+WeightSDS!T$14*$AG879^3+WeightSDS!U$14*$AG879^2+WeightSDS!V$14*$AG879+WeightSDS!W$14),IF($AG879&lt;156,WeightSDS!O$17*$AG879^8+WeightSDS!P$17*$AG879^7+WeightSDS!Q$17*$AG879^6+WeightSDS!R$17*$AG879^5+WeightSDS!S$17*$AG879^4+WeightSDS!T$17*$AG879^3+WeightSDS!U$17*$AG879^2+WeightSDS!V$17*$AG879+WeightSDS!W$17,IF($AG879&lt;186,WeightSDS!$U$18+(WeightSDS!$V$18-WeightSDS!$U$18)/24*($AG879-186)+WeightSDS!$W$18*(-$AG879+186)^2-0.005,WeightSDS!$U$18+(WeightSDS!$V$18-WeightSDS!$U$18)/24*($AG879-186)-0.005)))</f>
        <v>0.14604529399999999</v>
      </c>
    </row>
    <row r="880" spans="1:37">
      <c r="A880" s="4"/>
      <c r="B880" s="21"/>
      <c r="C880" s="21"/>
      <c r="D880" s="21"/>
      <c r="E880" s="22"/>
      <c r="F880" s="22"/>
      <c r="G880" s="23"/>
      <c r="H880" s="23"/>
      <c r="I880" s="8" t="str">
        <f t="shared" si="210"/>
        <v/>
      </c>
      <c r="J880" s="2" t="str">
        <f t="shared" si="217"/>
        <v/>
      </c>
      <c r="K880" s="2" t="str">
        <f t="shared" si="211"/>
        <v/>
      </c>
      <c r="L880" s="2" t="str">
        <f t="shared" si="218"/>
        <v/>
      </c>
      <c r="M880" s="2" t="str">
        <f t="shared" si="223"/>
        <v/>
      </c>
      <c r="N880" s="2" t="str">
        <f t="shared" si="219"/>
        <v/>
      </c>
      <c r="O880" s="8" t="str">
        <f t="shared" si="220"/>
        <v/>
      </c>
      <c r="P880" s="8" t="str">
        <f t="shared" si="221"/>
        <v/>
      </c>
      <c r="Q880" s="40" t="str">
        <f t="shared" si="212"/>
        <v/>
      </c>
      <c r="R880" s="48" t="str">
        <f t="shared" si="222"/>
        <v/>
      </c>
      <c r="S880" s="8"/>
      <c r="U880" s="35">
        <f t="shared" si="213"/>
        <v>0</v>
      </c>
      <c r="V880" s="24">
        <f t="shared" si="214"/>
        <v>0</v>
      </c>
      <c r="W880" s="41">
        <f t="shared" si="225"/>
        <v>0</v>
      </c>
      <c r="X880" s="31"/>
      <c r="Y880" s="31"/>
      <c r="Z880" s="31"/>
      <c r="AA880" s="25">
        <f t="shared" si="215"/>
        <v>9.0359999999999996</v>
      </c>
      <c r="AB880" s="25">
        <f t="shared" si="216"/>
        <v>-184.49199999999999</v>
      </c>
      <c r="AD880" s="24">
        <f>IF(D880="M",IF(AG880&lt;78,BMILMS!$D$5*AG880^3+BMILMS!$E$5*AG880^2+BMILMS!$F$5*AG880+BMILMS!$G$5,IF(AG880&lt;150,BMILMS!$D$6*AG880^3+BMILMS!$E$6*AG880^2+BMILMS!$F$6*AG880+BMILMS!$G$6,BMILMS!$D$7*AG880^3+BMILMS!$E$7*AG880^2+BMILMS!$F$7*AG880+BMILMS!$G$7)),IF(AG880&lt;69,BMILMS!$D$9*AG880^3+BMILMS!$E$9*AG880^2+BMILMS!$F$9*AG880+BMILMS!$G$9,IF(AG880&lt;150,BMILMS!$D$10*AG880^3+BMILMS!$E$10*AG880^2+BMILMS!$F$10*AG880+BMILMS!$G$10,BMILMS!$D$11*AG880^3+BMILMS!$E$11*AG880^2+BMILMS!$F$11*AG880+BMILMS!$G$11)))</f>
        <v>0.79584630099999998</v>
      </c>
      <c r="AE880" s="24">
        <f>IF(D880="M",(IF(AG880&lt;2.5,BMILMS!$D$21*AG880^3+BMILMS!$E$21*AG880^2+BMILMS!$F$21*AG880+BMILMS!$G$21,IF(AG880&lt;9.5,BMILMS!$D$22*AG880^3+BMILMS!$E$22*AG880^2+BMILMS!$F$22*AG880+BMILMS!$G$22,IF(AG880&lt;26.75,BMILMS!$D$23*AG880^3+BMILMS!$E$23*AG880^2+BMILMS!$F$23*AG880+BMILMS!$G$23,IF(AG880&lt;90,BMILMS!$D$24*AG880^3+BMILMS!$E$24*AG880^2+BMILMS!$F$24*AG880+BMILMS!$G$24,BMILMS!$D$25*AG880^3+BMILMS!$E$25*AG880^2+BMILMS!$F$25*AG880+BMILMS!$G$25))))),(IF(AG880&lt;2.5,BMILMS!$D$27*AG880^3+BMILMS!$E$27*AG880^2+BMILMS!$F$27*AG880+BMILMS!$G$27,IF(AG880&lt;9.5,BMILMS!$D$28*AG880^3+BMILMS!$E$28*AG880^2+BMILMS!$F$28*AG880+BMILMS!$G$28,IF(AG880&lt;26.75,BMILMS!$D$29*AG880^3+BMILMS!$E$29*AG880^2+BMILMS!$F$29*AG880+BMILMS!$G$29,IF(AG880&lt;90,BMILMS!$D$30*AG880^3+BMILMS!$E$30*AG880^2+BMILMS!$F$30*AG880+BMILMS!$G$30,IF(AG880&lt;150,BMILMS!$D$31*AG880^3+BMILMS!$E$31*AG880^2+BMILMS!$F$31*AG880+BMILMS!$G$31,BMILMS!$D$32*AG880^3+BMILMS!$E$32*AG880^2+BMILMS!$F$32*AG880+BMILMS!$G$32)))))))</f>
        <v>12.568967990000001</v>
      </c>
      <c r="AF880" s="24">
        <f>IF(D880="M",(IF(AG880&lt;90,BMILMS!$D$14*AG880^3+BMILMS!$E$14*AG880^2+BMILMS!$F$14*AG880+BMILMS!$G$14,BMILMS!$D$15*AG880^3+BMILMS!$E$15*AG880^2+BMILMS!$F$15*AG880+BMILMS!$G$15)),(IF(AG880&lt;90,BMILMS!$D$17*AG880^3+BMILMS!$E$17*AG880^2+BMILMS!$F$17*AG880+BMILMS!$G$17,BMILMS!$D$18*AG880^3+BMILMS!$E$18*AG880^2+BMILMS!$F$18*AG880+BMILMS!$G$18)))</f>
        <v>8.8969350000000003E-2</v>
      </c>
      <c r="AG880" s="24">
        <f t="shared" si="224"/>
        <v>0</v>
      </c>
      <c r="AI880" s="38">
        <f>IF(D880="M",WeightSDS!P$5*$AG880^7+WeightSDS!Q$5*$AG880^6+WeightSDS!R$5*$AG880^5+WeightSDS!S$5*$AG880^4+WeightSDS!T$5*$AG880^3+WeightSDS!U$5*$AG880^2+WeightSDS!V$5*$AG880+WeightSDS!W$5,IF($AG880&lt;186,WeightSDS!P$8*$AG880^7+WeightSDS!Q$8*$AG880^6+WeightSDS!R$8*$AG880^5+WeightSDS!S$8*$AG880^4+WeightSDS!T$8*$AG880^3+WeightSDS!U$8*$AG880^2+WeightSDS!V$8*$AG880+WeightSDS!W$8,WeightSDS!$U$9-WeightSDS!$V$9*($AG880-WeightSDS!$W$9)))</f>
        <v>0.75407122999999998</v>
      </c>
      <c r="AJ880" s="24">
        <f>IF(D880="M",IF($AG880&lt;45,WeightSDS!M$23*$AG880^10+WeightSDS!N$23*$AG880^9+WeightSDS!O$23*$AG880^8+WeightSDS!P$23*$AG880^7+WeightSDS!Q$23*$AG880^6+WeightSDS!R$23*$AG880^5+WeightSDS!S$23*$AG880^4+WeightSDS!T$23*$AG880^3+WeightSDS!U$23*$AG880^2+WeightSDS!V$23*$AG880+WeightSDS!W$23,IF($AG880&lt;153,WeightSDS!M$25*$AG880^10+WeightSDS!N$25*$AG880^9+WeightSDS!O$25*$AG880^8+WeightSDS!P$25*$AG880^7+WeightSDS!Q$25*$AG880^6+WeightSDS!R$25*$AG880^5+WeightSDS!S$25*$AG880^4+WeightSDS!T$25*$AG880^3+WeightSDS!U$25*$AG880^2+WeightSDS!V$25*$AG880+WeightSDS!W$25,WeightSDS!M$27+WeightSDS!N$27/(1+EXP(WeightSDS!O$27+WeightSDS!P$27*$AG880)))),IF($AG880&lt;43.8,WeightSDS!M$29*$AG880^10+WeightSDS!N$29*$AG880^9+WeightSDS!O$29*$AG880^8+WeightSDS!P$29*$AG880^7+WeightSDS!Q$29*$AG880^6+WeightSDS!R$29*$AG880^5+WeightSDS!S$29*$AG880^4+WeightSDS!T$29*$AG880^3+WeightSDS!U$29*$AG880^2+WeightSDS!V$29*$AG880+WeightSDS!W$29-0.010431*(1-$AG880/210),IF($AG880&lt;123,WeightSDS!M$30*$AG880^10+WeightSDS!N$30*$AG880^9+WeightSDS!O$30*$AG880^8+WeightSDS!P$30*$AG880^7+WeightSDS!Q$30*$AG880^6+WeightSDS!R$30*$AG880^5+WeightSDS!S$30*$AG880^4+WeightSDS!T$30*$AG880^3+WeightSDS!U$30*$AG880^2+WeightSDS!V$30*$AG880+WeightSDS!W$30-0.010431*(1-1/$AG880),WeightSDS!M$32+WeightSDS!N$32/(1+EXP(WeightSDS!O$32+WeightSDS!P$32*$AG880))-0.010431*(1-$AG880/210))))</f>
        <v>2.9500001032655536</v>
      </c>
      <c r="AK880" s="24">
        <f>IF(D880="M",IF($AG880&lt;162,WeightSDS!P$12*$AG880^7+WeightSDS!Q$12*$AG880^6+WeightSDS!R$12*$AG880^5+WeightSDS!S$12*$AG880^4+WeightSDS!T$12*$AG880^3+WeightSDS!U$12*$AG880^2+WeightSDS!V$12*$AG880+WeightSDS!W$12,WeightSDS!P$14*$AG880^7+WeightSDS!Q$14*$AG880^6+WeightSDS!R$14*$AG880^5+WeightSDS!S$14*$AG880^4+WeightSDS!T$14*$AG880^3+WeightSDS!U$14*$AG880^2+WeightSDS!V$14*$AG880+WeightSDS!W$14),IF($AG880&lt;156,WeightSDS!O$17*$AG880^8+WeightSDS!P$17*$AG880^7+WeightSDS!Q$17*$AG880^6+WeightSDS!R$17*$AG880^5+WeightSDS!S$17*$AG880^4+WeightSDS!T$17*$AG880^3+WeightSDS!U$17*$AG880^2+WeightSDS!V$17*$AG880+WeightSDS!W$17,IF($AG880&lt;186,WeightSDS!$U$18+(WeightSDS!$V$18-WeightSDS!$U$18)/24*($AG880-186)+WeightSDS!$W$18*(-$AG880+186)^2-0.005,WeightSDS!$U$18+(WeightSDS!$V$18-WeightSDS!$U$18)/24*($AG880-186)-0.005)))</f>
        <v>0.14604529399999999</v>
      </c>
    </row>
    <row r="881" spans="1:37">
      <c r="A881" s="4"/>
      <c r="B881" s="21"/>
      <c r="C881" s="21"/>
      <c r="D881" s="21"/>
      <c r="E881" s="22"/>
      <c r="F881" s="22"/>
      <c r="G881" s="23"/>
      <c r="H881" s="23"/>
      <c r="I881" s="8" t="str">
        <f t="shared" si="210"/>
        <v/>
      </c>
      <c r="J881" s="2" t="str">
        <f t="shared" si="217"/>
        <v/>
      </c>
      <c r="K881" s="2" t="str">
        <f t="shared" si="211"/>
        <v/>
      </c>
      <c r="L881" s="2" t="str">
        <f t="shared" si="218"/>
        <v/>
      </c>
      <c r="M881" s="2" t="str">
        <f t="shared" si="223"/>
        <v/>
      </c>
      <c r="N881" s="2" t="str">
        <f t="shared" si="219"/>
        <v/>
      </c>
      <c r="O881" s="8" t="str">
        <f t="shared" si="220"/>
        <v/>
      </c>
      <c r="P881" s="8" t="str">
        <f t="shared" si="221"/>
        <v/>
      </c>
      <c r="Q881" s="40" t="str">
        <f t="shared" si="212"/>
        <v/>
      </c>
      <c r="R881" s="48" t="str">
        <f t="shared" si="222"/>
        <v/>
      </c>
      <c r="S881" s="8"/>
      <c r="U881" s="35">
        <f t="shared" si="213"/>
        <v>0</v>
      </c>
      <c r="V881" s="24">
        <f t="shared" si="214"/>
        <v>0</v>
      </c>
      <c r="W881" s="41">
        <f t="shared" si="225"/>
        <v>0</v>
      </c>
      <c r="X881" s="31"/>
      <c r="Y881" s="31"/>
      <c r="Z881" s="31"/>
      <c r="AA881" s="25">
        <f t="shared" si="215"/>
        <v>9.0359999999999996</v>
      </c>
      <c r="AB881" s="25">
        <f t="shared" si="216"/>
        <v>-184.49199999999999</v>
      </c>
      <c r="AD881" s="24">
        <f>IF(D881="M",IF(AG881&lt;78,BMILMS!$D$5*AG881^3+BMILMS!$E$5*AG881^2+BMILMS!$F$5*AG881+BMILMS!$G$5,IF(AG881&lt;150,BMILMS!$D$6*AG881^3+BMILMS!$E$6*AG881^2+BMILMS!$F$6*AG881+BMILMS!$G$6,BMILMS!$D$7*AG881^3+BMILMS!$E$7*AG881^2+BMILMS!$F$7*AG881+BMILMS!$G$7)),IF(AG881&lt;69,BMILMS!$D$9*AG881^3+BMILMS!$E$9*AG881^2+BMILMS!$F$9*AG881+BMILMS!$G$9,IF(AG881&lt;150,BMILMS!$D$10*AG881^3+BMILMS!$E$10*AG881^2+BMILMS!$F$10*AG881+BMILMS!$G$10,BMILMS!$D$11*AG881^3+BMILMS!$E$11*AG881^2+BMILMS!$F$11*AG881+BMILMS!$G$11)))</f>
        <v>0.79584630099999998</v>
      </c>
      <c r="AE881" s="24">
        <f>IF(D881="M",(IF(AG881&lt;2.5,BMILMS!$D$21*AG881^3+BMILMS!$E$21*AG881^2+BMILMS!$F$21*AG881+BMILMS!$G$21,IF(AG881&lt;9.5,BMILMS!$D$22*AG881^3+BMILMS!$E$22*AG881^2+BMILMS!$F$22*AG881+BMILMS!$G$22,IF(AG881&lt;26.75,BMILMS!$D$23*AG881^3+BMILMS!$E$23*AG881^2+BMILMS!$F$23*AG881+BMILMS!$G$23,IF(AG881&lt;90,BMILMS!$D$24*AG881^3+BMILMS!$E$24*AG881^2+BMILMS!$F$24*AG881+BMILMS!$G$24,BMILMS!$D$25*AG881^3+BMILMS!$E$25*AG881^2+BMILMS!$F$25*AG881+BMILMS!$G$25))))),(IF(AG881&lt;2.5,BMILMS!$D$27*AG881^3+BMILMS!$E$27*AG881^2+BMILMS!$F$27*AG881+BMILMS!$G$27,IF(AG881&lt;9.5,BMILMS!$D$28*AG881^3+BMILMS!$E$28*AG881^2+BMILMS!$F$28*AG881+BMILMS!$G$28,IF(AG881&lt;26.75,BMILMS!$D$29*AG881^3+BMILMS!$E$29*AG881^2+BMILMS!$F$29*AG881+BMILMS!$G$29,IF(AG881&lt;90,BMILMS!$D$30*AG881^3+BMILMS!$E$30*AG881^2+BMILMS!$F$30*AG881+BMILMS!$G$30,IF(AG881&lt;150,BMILMS!$D$31*AG881^3+BMILMS!$E$31*AG881^2+BMILMS!$F$31*AG881+BMILMS!$G$31,BMILMS!$D$32*AG881^3+BMILMS!$E$32*AG881^2+BMILMS!$F$32*AG881+BMILMS!$G$32)))))))</f>
        <v>12.568967990000001</v>
      </c>
      <c r="AF881" s="24">
        <f>IF(D881="M",(IF(AG881&lt;90,BMILMS!$D$14*AG881^3+BMILMS!$E$14*AG881^2+BMILMS!$F$14*AG881+BMILMS!$G$14,BMILMS!$D$15*AG881^3+BMILMS!$E$15*AG881^2+BMILMS!$F$15*AG881+BMILMS!$G$15)),(IF(AG881&lt;90,BMILMS!$D$17*AG881^3+BMILMS!$E$17*AG881^2+BMILMS!$F$17*AG881+BMILMS!$G$17,BMILMS!$D$18*AG881^3+BMILMS!$E$18*AG881^2+BMILMS!$F$18*AG881+BMILMS!$G$18)))</f>
        <v>8.8969350000000003E-2</v>
      </c>
      <c r="AG881" s="24">
        <f t="shared" si="224"/>
        <v>0</v>
      </c>
      <c r="AI881" s="38">
        <f>IF(D881="M",WeightSDS!P$5*$AG881^7+WeightSDS!Q$5*$AG881^6+WeightSDS!R$5*$AG881^5+WeightSDS!S$5*$AG881^4+WeightSDS!T$5*$AG881^3+WeightSDS!U$5*$AG881^2+WeightSDS!V$5*$AG881+WeightSDS!W$5,IF($AG881&lt;186,WeightSDS!P$8*$AG881^7+WeightSDS!Q$8*$AG881^6+WeightSDS!R$8*$AG881^5+WeightSDS!S$8*$AG881^4+WeightSDS!T$8*$AG881^3+WeightSDS!U$8*$AG881^2+WeightSDS!V$8*$AG881+WeightSDS!W$8,WeightSDS!$U$9-WeightSDS!$V$9*($AG881-WeightSDS!$W$9)))</f>
        <v>0.75407122999999998</v>
      </c>
      <c r="AJ881" s="24">
        <f>IF(D881="M",IF($AG881&lt;45,WeightSDS!M$23*$AG881^10+WeightSDS!N$23*$AG881^9+WeightSDS!O$23*$AG881^8+WeightSDS!P$23*$AG881^7+WeightSDS!Q$23*$AG881^6+WeightSDS!R$23*$AG881^5+WeightSDS!S$23*$AG881^4+WeightSDS!T$23*$AG881^3+WeightSDS!U$23*$AG881^2+WeightSDS!V$23*$AG881+WeightSDS!W$23,IF($AG881&lt;153,WeightSDS!M$25*$AG881^10+WeightSDS!N$25*$AG881^9+WeightSDS!O$25*$AG881^8+WeightSDS!P$25*$AG881^7+WeightSDS!Q$25*$AG881^6+WeightSDS!R$25*$AG881^5+WeightSDS!S$25*$AG881^4+WeightSDS!T$25*$AG881^3+WeightSDS!U$25*$AG881^2+WeightSDS!V$25*$AG881+WeightSDS!W$25,WeightSDS!M$27+WeightSDS!N$27/(1+EXP(WeightSDS!O$27+WeightSDS!P$27*$AG881)))),IF($AG881&lt;43.8,WeightSDS!M$29*$AG881^10+WeightSDS!N$29*$AG881^9+WeightSDS!O$29*$AG881^8+WeightSDS!P$29*$AG881^7+WeightSDS!Q$29*$AG881^6+WeightSDS!R$29*$AG881^5+WeightSDS!S$29*$AG881^4+WeightSDS!T$29*$AG881^3+WeightSDS!U$29*$AG881^2+WeightSDS!V$29*$AG881+WeightSDS!W$29-0.010431*(1-$AG881/210),IF($AG881&lt;123,WeightSDS!M$30*$AG881^10+WeightSDS!N$30*$AG881^9+WeightSDS!O$30*$AG881^8+WeightSDS!P$30*$AG881^7+WeightSDS!Q$30*$AG881^6+WeightSDS!R$30*$AG881^5+WeightSDS!S$30*$AG881^4+WeightSDS!T$30*$AG881^3+WeightSDS!U$30*$AG881^2+WeightSDS!V$30*$AG881+WeightSDS!W$30-0.010431*(1-1/$AG881),WeightSDS!M$32+WeightSDS!N$32/(1+EXP(WeightSDS!O$32+WeightSDS!P$32*$AG881))-0.010431*(1-$AG881/210))))</f>
        <v>2.9500001032655536</v>
      </c>
      <c r="AK881" s="24">
        <f>IF(D881="M",IF($AG881&lt;162,WeightSDS!P$12*$AG881^7+WeightSDS!Q$12*$AG881^6+WeightSDS!R$12*$AG881^5+WeightSDS!S$12*$AG881^4+WeightSDS!T$12*$AG881^3+WeightSDS!U$12*$AG881^2+WeightSDS!V$12*$AG881+WeightSDS!W$12,WeightSDS!P$14*$AG881^7+WeightSDS!Q$14*$AG881^6+WeightSDS!R$14*$AG881^5+WeightSDS!S$14*$AG881^4+WeightSDS!T$14*$AG881^3+WeightSDS!U$14*$AG881^2+WeightSDS!V$14*$AG881+WeightSDS!W$14),IF($AG881&lt;156,WeightSDS!O$17*$AG881^8+WeightSDS!P$17*$AG881^7+WeightSDS!Q$17*$AG881^6+WeightSDS!R$17*$AG881^5+WeightSDS!S$17*$AG881^4+WeightSDS!T$17*$AG881^3+WeightSDS!U$17*$AG881^2+WeightSDS!V$17*$AG881+WeightSDS!W$17,IF($AG881&lt;186,WeightSDS!$U$18+(WeightSDS!$V$18-WeightSDS!$U$18)/24*($AG881-186)+WeightSDS!$W$18*(-$AG881+186)^2-0.005,WeightSDS!$U$18+(WeightSDS!$V$18-WeightSDS!$U$18)/24*($AG881-186)-0.005)))</f>
        <v>0.14604529399999999</v>
      </c>
    </row>
    <row r="882" spans="1:37">
      <c r="A882" s="4"/>
      <c r="B882" s="21"/>
      <c r="C882" s="21"/>
      <c r="D882" s="21"/>
      <c r="E882" s="22"/>
      <c r="F882" s="22"/>
      <c r="G882" s="23"/>
      <c r="H882" s="23"/>
      <c r="I882" s="8" t="str">
        <f t="shared" si="210"/>
        <v/>
      </c>
      <c r="J882" s="2" t="str">
        <f t="shared" si="217"/>
        <v/>
      </c>
      <c r="K882" s="2" t="str">
        <f t="shared" si="211"/>
        <v/>
      </c>
      <c r="L882" s="2" t="str">
        <f t="shared" si="218"/>
        <v/>
      </c>
      <c r="M882" s="2" t="str">
        <f t="shared" si="223"/>
        <v/>
      </c>
      <c r="N882" s="2" t="str">
        <f t="shared" si="219"/>
        <v/>
      </c>
      <c r="O882" s="8" t="str">
        <f t="shared" si="220"/>
        <v/>
      </c>
      <c r="P882" s="8" t="str">
        <f t="shared" si="221"/>
        <v/>
      </c>
      <c r="Q882" s="40" t="str">
        <f t="shared" si="212"/>
        <v/>
      </c>
      <c r="R882" s="48" t="str">
        <f t="shared" si="222"/>
        <v/>
      </c>
      <c r="S882" s="8"/>
      <c r="U882" s="35">
        <f t="shared" si="213"/>
        <v>0</v>
      </c>
      <c r="V882" s="24">
        <f t="shared" si="214"/>
        <v>0</v>
      </c>
      <c r="W882" s="41">
        <f t="shared" si="225"/>
        <v>0</v>
      </c>
      <c r="X882" s="31"/>
      <c r="Y882" s="31"/>
      <c r="Z882" s="31"/>
      <c r="AA882" s="25">
        <f t="shared" si="215"/>
        <v>9.0359999999999996</v>
      </c>
      <c r="AB882" s="25">
        <f t="shared" si="216"/>
        <v>-184.49199999999999</v>
      </c>
      <c r="AD882" s="24">
        <f>IF(D882="M",IF(AG882&lt;78,BMILMS!$D$5*AG882^3+BMILMS!$E$5*AG882^2+BMILMS!$F$5*AG882+BMILMS!$G$5,IF(AG882&lt;150,BMILMS!$D$6*AG882^3+BMILMS!$E$6*AG882^2+BMILMS!$F$6*AG882+BMILMS!$G$6,BMILMS!$D$7*AG882^3+BMILMS!$E$7*AG882^2+BMILMS!$F$7*AG882+BMILMS!$G$7)),IF(AG882&lt;69,BMILMS!$D$9*AG882^3+BMILMS!$E$9*AG882^2+BMILMS!$F$9*AG882+BMILMS!$G$9,IF(AG882&lt;150,BMILMS!$D$10*AG882^3+BMILMS!$E$10*AG882^2+BMILMS!$F$10*AG882+BMILMS!$G$10,BMILMS!$D$11*AG882^3+BMILMS!$E$11*AG882^2+BMILMS!$F$11*AG882+BMILMS!$G$11)))</f>
        <v>0.79584630099999998</v>
      </c>
      <c r="AE882" s="24">
        <f>IF(D882="M",(IF(AG882&lt;2.5,BMILMS!$D$21*AG882^3+BMILMS!$E$21*AG882^2+BMILMS!$F$21*AG882+BMILMS!$G$21,IF(AG882&lt;9.5,BMILMS!$D$22*AG882^3+BMILMS!$E$22*AG882^2+BMILMS!$F$22*AG882+BMILMS!$G$22,IF(AG882&lt;26.75,BMILMS!$D$23*AG882^3+BMILMS!$E$23*AG882^2+BMILMS!$F$23*AG882+BMILMS!$G$23,IF(AG882&lt;90,BMILMS!$D$24*AG882^3+BMILMS!$E$24*AG882^2+BMILMS!$F$24*AG882+BMILMS!$G$24,BMILMS!$D$25*AG882^3+BMILMS!$E$25*AG882^2+BMILMS!$F$25*AG882+BMILMS!$G$25))))),(IF(AG882&lt;2.5,BMILMS!$D$27*AG882^3+BMILMS!$E$27*AG882^2+BMILMS!$F$27*AG882+BMILMS!$G$27,IF(AG882&lt;9.5,BMILMS!$D$28*AG882^3+BMILMS!$E$28*AG882^2+BMILMS!$F$28*AG882+BMILMS!$G$28,IF(AG882&lt;26.75,BMILMS!$D$29*AG882^3+BMILMS!$E$29*AG882^2+BMILMS!$F$29*AG882+BMILMS!$G$29,IF(AG882&lt;90,BMILMS!$D$30*AG882^3+BMILMS!$E$30*AG882^2+BMILMS!$F$30*AG882+BMILMS!$G$30,IF(AG882&lt;150,BMILMS!$D$31*AG882^3+BMILMS!$E$31*AG882^2+BMILMS!$F$31*AG882+BMILMS!$G$31,BMILMS!$D$32*AG882^3+BMILMS!$E$32*AG882^2+BMILMS!$F$32*AG882+BMILMS!$G$32)))))))</f>
        <v>12.568967990000001</v>
      </c>
      <c r="AF882" s="24">
        <f>IF(D882="M",(IF(AG882&lt;90,BMILMS!$D$14*AG882^3+BMILMS!$E$14*AG882^2+BMILMS!$F$14*AG882+BMILMS!$G$14,BMILMS!$D$15*AG882^3+BMILMS!$E$15*AG882^2+BMILMS!$F$15*AG882+BMILMS!$G$15)),(IF(AG882&lt;90,BMILMS!$D$17*AG882^3+BMILMS!$E$17*AG882^2+BMILMS!$F$17*AG882+BMILMS!$G$17,BMILMS!$D$18*AG882^3+BMILMS!$E$18*AG882^2+BMILMS!$F$18*AG882+BMILMS!$G$18)))</f>
        <v>8.8969350000000003E-2</v>
      </c>
      <c r="AG882" s="24">
        <f t="shared" si="224"/>
        <v>0</v>
      </c>
      <c r="AI882" s="38">
        <f>IF(D882="M",WeightSDS!P$5*$AG882^7+WeightSDS!Q$5*$AG882^6+WeightSDS!R$5*$AG882^5+WeightSDS!S$5*$AG882^4+WeightSDS!T$5*$AG882^3+WeightSDS!U$5*$AG882^2+WeightSDS!V$5*$AG882+WeightSDS!W$5,IF($AG882&lt;186,WeightSDS!P$8*$AG882^7+WeightSDS!Q$8*$AG882^6+WeightSDS!R$8*$AG882^5+WeightSDS!S$8*$AG882^4+WeightSDS!T$8*$AG882^3+WeightSDS!U$8*$AG882^2+WeightSDS!V$8*$AG882+WeightSDS!W$8,WeightSDS!$U$9-WeightSDS!$V$9*($AG882-WeightSDS!$W$9)))</f>
        <v>0.75407122999999998</v>
      </c>
      <c r="AJ882" s="24">
        <f>IF(D882="M",IF($AG882&lt;45,WeightSDS!M$23*$AG882^10+WeightSDS!N$23*$AG882^9+WeightSDS!O$23*$AG882^8+WeightSDS!P$23*$AG882^7+WeightSDS!Q$23*$AG882^6+WeightSDS!R$23*$AG882^5+WeightSDS!S$23*$AG882^4+WeightSDS!T$23*$AG882^3+WeightSDS!U$23*$AG882^2+WeightSDS!V$23*$AG882+WeightSDS!W$23,IF($AG882&lt;153,WeightSDS!M$25*$AG882^10+WeightSDS!N$25*$AG882^9+WeightSDS!O$25*$AG882^8+WeightSDS!P$25*$AG882^7+WeightSDS!Q$25*$AG882^6+WeightSDS!R$25*$AG882^5+WeightSDS!S$25*$AG882^4+WeightSDS!T$25*$AG882^3+WeightSDS!U$25*$AG882^2+WeightSDS!V$25*$AG882+WeightSDS!W$25,WeightSDS!M$27+WeightSDS!N$27/(1+EXP(WeightSDS!O$27+WeightSDS!P$27*$AG882)))),IF($AG882&lt;43.8,WeightSDS!M$29*$AG882^10+WeightSDS!N$29*$AG882^9+WeightSDS!O$29*$AG882^8+WeightSDS!P$29*$AG882^7+WeightSDS!Q$29*$AG882^6+WeightSDS!R$29*$AG882^5+WeightSDS!S$29*$AG882^4+WeightSDS!T$29*$AG882^3+WeightSDS!U$29*$AG882^2+WeightSDS!V$29*$AG882+WeightSDS!W$29-0.010431*(1-$AG882/210),IF($AG882&lt;123,WeightSDS!M$30*$AG882^10+WeightSDS!N$30*$AG882^9+WeightSDS!O$30*$AG882^8+WeightSDS!P$30*$AG882^7+WeightSDS!Q$30*$AG882^6+WeightSDS!R$30*$AG882^5+WeightSDS!S$30*$AG882^4+WeightSDS!T$30*$AG882^3+WeightSDS!U$30*$AG882^2+WeightSDS!V$30*$AG882+WeightSDS!W$30-0.010431*(1-1/$AG882),WeightSDS!M$32+WeightSDS!N$32/(1+EXP(WeightSDS!O$32+WeightSDS!P$32*$AG882))-0.010431*(1-$AG882/210))))</f>
        <v>2.9500001032655536</v>
      </c>
      <c r="AK882" s="24">
        <f>IF(D882="M",IF($AG882&lt;162,WeightSDS!P$12*$AG882^7+WeightSDS!Q$12*$AG882^6+WeightSDS!R$12*$AG882^5+WeightSDS!S$12*$AG882^4+WeightSDS!T$12*$AG882^3+WeightSDS!U$12*$AG882^2+WeightSDS!V$12*$AG882+WeightSDS!W$12,WeightSDS!P$14*$AG882^7+WeightSDS!Q$14*$AG882^6+WeightSDS!R$14*$AG882^5+WeightSDS!S$14*$AG882^4+WeightSDS!T$14*$AG882^3+WeightSDS!U$14*$AG882^2+WeightSDS!V$14*$AG882+WeightSDS!W$14),IF($AG882&lt;156,WeightSDS!O$17*$AG882^8+WeightSDS!P$17*$AG882^7+WeightSDS!Q$17*$AG882^6+WeightSDS!R$17*$AG882^5+WeightSDS!S$17*$AG882^4+WeightSDS!T$17*$AG882^3+WeightSDS!U$17*$AG882^2+WeightSDS!V$17*$AG882+WeightSDS!W$17,IF($AG882&lt;186,WeightSDS!$U$18+(WeightSDS!$V$18-WeightSDS!$U$18)/24*($AG882-186)+WeightSDS!$W$18*(-$AG882+186)^2-0.005,WeightSDS!$U$18+(WeightSDS!$V$18-WeightSDS!$U$18)/24*($AG882-186)-0.005)))</f>
        <v>0.14604529399999999</v>
      </c>
    </row>
    <row r="883" spans="1:37">
      <c r="A883" s="4"/>
      <c r="B883" s="21"/>
      <c r="C883" s="21"/>
      <c r="D883" s="21"/>
      <c r="E883" s="22"/>
      <c r="F883" s="22"/>
      <c r="G883" s="23"/>
      <c r="H883" s="23"/>
      <c r="I883" s="8" t="str">
        <f t="shared" si="210"/>
        <v/>
      </c>
      <c r="J883" s="2" t="str">
        <f t="shared" si="217"/>
        <v/>
      </c>
      <c r="K883" s="2" t="str">
        <f t="shared" si="211"/>
        <v/>
      </c>
      <c r="L883" s="2" t="str">
        <f t="shared" si="218"/>
        <v/>
      </c>
      <c r="M883" s="2" t="str">
        <f t="shared" si="223"/>
        <v/>
      </c>
      <c r="N883" s="2" t="str">
        <f t="shared" si="219"/>
        <v/>
      </c>
      <c r="O883" s="8" t="str">
        <f t="shared" si="220"/>
        <v/>
      </c>
      <c r="P883" s="8" t="str">
        <f t="shared" si="221"/>
        <v/>
      </c>
      <c r="Q883" s="40" t="str">
        <f t="shared" si="212"/>
        <v/>
      </c>
      <c r="R883" s="48" t="str">
        <f t="shared" si="222"/>
        <v/>
      </c>
      <c r="S883" s="8"/>
      <c r="U883" s="35">
        <f t="shared" si="213"/>
        <v>0</v>
      </c>
      <c r="V883" s="24">
        <f t="shared" si="214"/>
        <v>0</v>
      </c>
      <c r="W883" s="41">
        <f t="shared" si="225"/>
        <v>0</v>
      </c>
      <c r="X883" s="31"/>
      <c r="Y883" s="31"/>
      <c r="Z883" s="31"/>
      <c r="AA883" s="25">
        <f t="shared" si="215"/>
        <v>9.0359999999999996</v>
      </c>
      <c r="AB883" s="25">
        <f t="shared" si="216"/>
        <v>-184.49199999999999</v>
      </c>
      <c r="AD883" s="24">
        <f>IF(D883="M",IF(AG883&lt;78,BMILMS!$D$5*AG883^3+BMILMS!$E$5*AG883^2+BMILMS!$F$5*AG883+BMILMS!$G$5,IF(AG883&lt;150,BMILMS!$D$6*AG883^3+BMILMS!$E$6*AG883^2+BMILMS!$F$6*AG883+BMILMS!$G$6,BMILMS!$D$7*AG883^3+BMILMS!$E$7*AG883^2+BMILMS!$F$7*AG883+BMILMS!$G$7)),IF(AG883&lt;69,BMILMS!$D$9*AG883^3+BMILMS!$E$9*AG883^2+BMILMS!$F$9*AG883+BMILMS!$G$9,IF(AG883&lt;150,BMILMS!$D$10*AG883^3+BMILMS!$E$10*AG883^2+BMILMS!$F$10*AG883+BMILMS!$G$10,BMILMS!$D$11*AG883^3+BMILMS!$E$11*AG883^2+BMILMS!$F$11*AG883+BMILMS!$G$11)))</f>
        <v>0.79584630099999998</v>
      </c>
      <c r="AE883" s="24">
        <f>IF(D883="M",(IF(AG883&lt;2.5,BMILMS!$D$21*AG883^3+BMILMS!$E$21*AG883^2+BMILMS!$F$21*AG883+BMILMS!$G$21,IF(AG883&lt;9.5,BMILMS!$D$22*AG883^3+BMILMS!$E$22*AG883^2+BMILMS!$F$22*AG883+BMILMS!$G$22,IF(AG883&lt;26.75,BMILMS!$D$23*AG883^3+BMILMS!$E$23*AG883^2+BMILMS!$F$23*AG883+BMILMS!$G$23,IF(AG883&lt;90,BMILMS!$D$24*AG883^3+BMILMS!$E$24*AG883^2+BMILMS!$F$24*AG883+BMILMS!$G$24,BMILMS!$D$25*AG883^3+BMILMS!$E$25*AG883^2+BMILMS!$F$25*AG883+BMILMS!$G$25))))),(IF(AG883&lt;2.5,BMILMS!$D$27*AG883^3+BMILMS!$E$27*AG883^2+BMILMS!$F$27*AG883+BMILMS!$G$27,IF(AG883&lt;9.5,BMILMS!$D$28*AG883^3+BMILMS!$E$28*AG883^2+BMILMS!$F$28*AG883+BMILMS!$G$28,IF(AG883&lt;26.75,BMILMS!$D$29*AG883^3+BMILMS!$E$29*AG883^2+BMILMS!$F$29*AG883+BMILMS!$G$29,IF(AG883&lt;90,BMILMS!$D$30*AG883^3+BMILMS!$E$30*AG883^2+BMILMS!$F$30*AG883+BMILMS!$G$30,IF(AG883&lt;150,BMILMS!$D$31*AG883^3+BMILMS!$E$31*AG883^2+BMILMS!$F$31*AG883+BMILMS!$G$31,BMILMS!$D$32*AG883^3+BMILMS!$E$32*AG883^2+BMILMS!$F$32*AG883+BMILMS!$G$32)))))))</f>
        <v>12.568967990000001</v>
      </c>
      <c r="AF883" s="24">
        <f>IF(D883="M",(IF(AG883&lt;90,BMILMS!$D$14*AG883^3+BMILMS!$E$14*AG883^2+BMILMS!$F$14*AG883+BMILMS!$G$14,BMILMS!$D$15*AG883^3+BMILMS!$E$15*AG883^2+BMILMS!$F$15*AG883+BMILMS!$G$15)),(IF(AG883&lt;90,BMILMS!$D$17*AG883^3+BMILMS!$E$17*AG883^2+BMILMS!$F$17*AG883+BMILMS!$G$17,BMILMS!$D$18*AG883^3+BMILMS!$E$18*AG883^2+BMILMS!$F$18*AG883+BMILMS!$G$18)))</f>
        <v>8.8969350000000003E-2</v>
      </c>
      <c r="AG883" s="24">
        <f t="shared" si="224"/>
        <v>0</v>
      </c>
      <c r="AI883" s="38">
        <f>IF(D883="M",WeightSDS!P$5*$AG883^7+WeightSDS!Q$5*$AG883^6+WeightSDS!R$5*$AG883^5+WeightSDS!S$5*$AG883^4+WeightSDS!T$5*$AG883^3+WeightSDS!U$5*$AG883^2+WeightSDS!V$5*$AG883+WeightSDS!W$5,IF($AG883&lt;186,WeightSDS!P$8*$AG883^7+WeightSDS!Q$8*$AG883^6+WeightSDS!R$8*$AG883^5+WeightSDS!S$8*$AG883^4+WeightSDS!T$8*$AG883^3+WeightSDS!U$8*$AG883^2+WeightSDS!V$8*$AG883+WeightSDS!W$8,WeightSDS!$U$9-WeightSDS!$V$9*($AG883-WeightSDS!$W$9)))</f>
        <v>0.75407122999999998</v>
      </c>
      <c r="AJ883" s="24">
        <f>IF(D883="M",IF($AG883&lt;45,WeightSDS!M$23*$AG883^10+WeightSDS!N$23*$AG883^9+WeightSDS!O$23*$AG883^8+WeightSDS!P$23*$AG883^7+WeightSDS!Q$23*$AG883^6+WeightSDS!R$23*$AG883^5+WeightSDS!S$23*$AG883^4+WeightSDS!T$23*$AG883^3+WeightSDS!U$23*$AG883^2+WeightSDS!V$23*$AG883+WeightSDS!W$23,IF($AG883&lt;153,WeightSDS!M$25*$AG883^10+WeightSDS!N$25*$AG883^9+WeightSDS!O$25*$AG883^8+WeightSDS!P$25*$AG883^7+WeightSDS!Q$25*$AG883^6+WeightSDS!R$25*$AG883^5+WeightSDS!S$25*$AG883^4+WeightSDS!T$25*$AG883^3+WeightSDS!U$25*$AG883^2+WeightSDS!V$25*$AG883+WeightSDS!W$25,WeightSDS!M$27+WeightSDS!N$27/(1+EXP(WeightSDS!O$27+WeightSDS!P$27*$AG883)))),IF($AG883&lt;43.8,WeightSDS!M$29*$AG883^10+WeightSDS!N$29*$AG883^9+WeightSDS!O$29*$AG883^8+WeightSDS!P$29*$AG883^7+WeightSDS!Q$29*$AG883^6+WeightSDS!R$29*$AG883^5+WeightSDS!S$29*$AG883^4+WeightSDS!T$29*$AG883^3+WeightSDS!U$29*$AG883^2+WeightSDS!V$29*$AG883+WeightSDS!W$29-0.010431*(1-$AG883/210),IF($AG883&lt;123,WeightSDS!M$30*$AG883^10+WeightSDS!N$30*$AG883^9+WeightSDS!O$30*$AG883^8+WeightSDS!P$30*$AG883^7+WeightSDS!Q$30*$AG883^6+WeightSDS!R$30*$AG883^5+WeightSDS!S$30*$AG883^4+WeightSDS!T$30*$AG883^3+WeightSDS!U$30*$AG883^2+WeightSDS!V$30*$AG883+WeightSDS!W$30-0.010431*(1-1/$AG883),WeightSDS!M$32+WeightSDS!N$32/(1+EXP(WeightSDS!O$32+WeightSDS!P$32*$AG883))-0.010431*(1-$AG883/210))))</f>
        <v>2.9500001032655536</v>
      </c>
      <c r="AK883" s="24">
        <f>IF(D883="M",IF($AG883&lt;162,WeightSDS!P$12*$AG883^7+WeightSDS!Q$12*$AG883^6+WeightSDS!R$12*$AG883^5+WeightSDS!S$12*$AG883^4+WeightSDS!T$12*$AG883^3+WeightSDS!U$12*$AG883^2+WeightSDS!V$12*$AG883+WeightSDS!W$12,WeightSDS!P$14*$AG883^7+WeightSDS!Q$14*$AG883^6+WeightSDS!R$14*$AG883^5+WeightSDS!S$14*$AG883^4+WeightSDS!T$14*$AG883^3+WeightSDS!U$14*$AG883^2+WeightSDS!V$14*$AG883+WeightSDS!W$14),IF($AG883&lt;156,WeightSDS!O$17*$AG883^8+WeightSDS!P$17*$AG883^7+WeightSDS!Q$17*$AG883^6+WeightSDS!R$17*$AG883^5+WeightSDS!S$17*$AG883^4+WeightSDS!T$17*$AG883^3+WeightSDS!U$17*$AG883^2+WeightSDS!V$17*$AG883+WeightSDS!W$17,IF($AG883&lt;186,WeightSDS!$U$18+(WeightSDS!$V$18-WeightSDS!$U$18)/24*($AG883-186)+WeightSDS!$W$18*(-$AG883+186)^2-0.005,WeightSDS!$U$18+(WeightSDS!$V$18-WeightSDS!$U$18)/24*($AG883-186)-0.005)))</f>
        <v>0.14604529399999999</v>
      </c>
    </row>
    <row r="884" spans="1:37">
      <c r="A884" s="4"/>
      <c r="B884" s="21"/>
      <c r="C884" s="21"/>
      <c r="D884" s="21"/>
      <c r="E884" s="22"/>
      <c r="F884" s="22"/>
      <c r="G884" s="23"/>
      <c r="H884" s="23"/>
      <c r="I884" s="8" t="str">
        <f t="shared" si="210"/>
        <v/>
      </c>
      <c r="J884" s="2" t="str">
        <f t="shared" si="217"/>
        <v/>
      </c>
      <c r="K884" s="2" t="str">
        <f t="shared" si="211"/>
        <v/>
      </c>
      <c r="L884" s="2" t="str">
        <f t="shared" si="218"/>
        <v/>
      </c>
      <c r="M884" s="2" t="str">
        <f t="shared" si="223"/>
        <v/>
      </c>
      <c r="N884" s="2" t="str">
        <f t="shared" si="219"/>
        <v/>
      </c>
      <c r="O884" s="8" t="str">
        <f t="shared" si="220"/>
        <v/>
      </c>
      <c r="P884" s="8" t="str">
        <f t="shared" si="221"/>
        <v/>
      </c>
      <c r="Q884" s="40" t="str">
        <f t="shared" si="212"/>
        <v/>
      </c>
      <c r="R884" s="48" t="str">
        <f t="shared" si="222"/>
        <v/>
      </c>
      <c r="S884" s="8"/>
      <c r="U884" s="35">
        <f t="shared" si="213"/>
        <v>0</v>
      </c>
      <c r="V884" s="24">
        <f t="shared" si="214"/>
        <v>0</v>
      </c>
      <c r="W884" s="41">
        <f t="shared" si="225"/>
        <v>0</v>
      </c>
      <c r="X884" s="31"/>
      <c r="Y884" s="31"/>
      <c r="Z884" s="31"/>
      <c r="AA884" s="25">
        <f t="shared" si="215"/>
        <v>9.0359999999999996</v>
      </c>
      <c r="AB884" s="25">
        <f t="shared" si="216"/>
        <v>-184.49199999999999</v>
      </c>
      <c r="AD884" s="24">
        <f>IF(D884="M",IF(AG884&lt;78,BMILMS!$D$5*AG884^3+BMILMS!$E$5*AG884^2+BMILMS!$F$5*AG884+BMILMS!$G$5,IF(AG884&lt;150,BMILMS!$D$6*AG884^3+BMILMS!$E$6*AG884^2+BMILMS!$F$6*AG884+BMILMS!$G$6,BMILMS!$D$7*AG884^3+BMILMS!$E$7*AG884^2+BMILMS!$F$7*AG884+BMILMS!$G$7)),IF(AG884&lt;69,BMILMS!$D$9*AG884^3+BMILMS!$E$9*AG884^2+BMILMS!$F$9*AG884+BMILMS!$G$9,IF(AG884&lt;150,BMILMS!$D$10*AG884^3+BMILMS!$E$10*AG884^2+BMILMS!$F$10*AG884+BMILMS!$G$10,BMILMS!$D$11*AG884^3+BMILMS!$E$11*AG884^2+BMILMS!$F$11*AG884+BMILMS!$G$11)))</f>
        <v>0.79584630099999998</v>
      </c>
      <c r="AE884" s="24">
        <f>IF(D884="M",(IF(AG884&lt;2.5,BMILMS!$D$21*AG884^3+BMILMS!$E$21*AG884^2+BMILMS!$F$21*AG884+BMILMS!$G$21,IF(AG884&lt;9.5,BMILMS!$D$22*AG884^3+BMILMS!$E$22*AG884^2+BMILMS!$F$22*AG884+BMILMS!$G$22,IF(AG884&lt;26.75,BMILMS!$D$23*AG884^3+BMILMS!$E$23*AG884^2+BMILMS!$F$23*AG884+BMILMS!$G$23,IF(AG884&lt;90,BMILMS!$D$24*AG884^3+BMILMS!$E$24*AG884^2+BMILMS!$F$24*AG884+BMILMS!$G$24,BMILMS!$D$25*AG884^3+BMILMS!$E$25*AG884^2+BMILMS!$F$25*AG884+BMILMS!$G$25))))),(IF(AG884&lt;2.5,BMILMS!$D$27*AG884^3+BMILMS!$E$27*AG884^2+BMILMS!$F$27*AG884+BMILMS!$G$27,IF(AG884&lt;9.5,BMILMS!$D$28*AG884^3+BMILMS!$E$28*AG884^2+BMILMS!$F$28*AG884+BMILMS!$G$28,IF(AG884&lt;26.75,BMILMS!$D$29*AG884^3+BMILMS!$E$29*AG884^2+BMILMS!$F$29*AG884+BMILMS!$G$29,IF(AG884&lt;90,BMILMS!$D$30*AG884^3+BMILMS!$E$30*AG884^2+BMILMS!$F$30*AG884+BMILMS!$G$30,IF(AG884&lt;150,BMILMS!$D$31*AG884^3+BMILMS!$E$31*AG884^2+BMILMS!$F$31*AG884+BMILMS!$G$31,BMILMS!$D$32*AG884^3+BMILMS!$E$32*AG884^2+BMILMS!$F$32*AG884+BMILMS!$G$32)))))))</f>
        <v>12.568967990000001</v>
      </c>
      <c r="AF884" s="24">
        <f>IF(D884="M",(IF(AG884&lt;90,BMILMS!$D$14*AG884^3+BMILMS!$E$14*AG884^2+BMILMS!$F$14*AG884+BMILMS!$G$14,BMILMS!$D$15*AG884^3+BMILMS!$E$15*AG884^2+BMILMS!$F$15*AG884+BMILMS!$G$15)),(IF(AG884&lt;90,BMILMS!$D$17*AG884^3+BMILMS!$E$17*AG884^2+BMILMS!$F$17*AG884+BMILMS!$G$17,BMILMS!$D$18*AG884^3+BMILMS!$E$18*AG884^2+BMILMS!$F$18*AG884+BMILMS!$G$18)))</f>
        <v>8.8969350000000003E-2</v>
      </c>
      <c r="AG884" s="24">
        <f t="shared" si="224"/>
        <v>0</v>
      </c>
      <c r="AI884" s="38">
        <f>IF(D884="M",WeightSDS!P$5*$AG884^7+WeightSDS!Q$5*$AG884^6+WeightSDS!R$5*$AG884^5+WeightSDS!S$5*$AG884^4+WeightSDS!T$5*$AG884^3+WeightSDS!U$5*$AG884^2+WeightSDS!V$5*$AG884+WeightSDS!W$5,IF($AG884&lt;186,WeightSDS!P$8*$AG884^7+WeightSDS!Q$8*$AG884^6+WeightSDS!R$8*$AG884^5+WeightSDS!S$8*$AG884^4+WeightSDS!T$8*$AG884^3+WeightSDS!U$8*$AG884^2+WeightSDS!V$8*$AG884+WeightSDS!W$8,WeightSDS!$U$9-WeightSDS!$V$9*($AG884-WeightSDS!$W$9)))</f>
        <v>0.75407122999999998</v>
      </c>
      <c r="AJ884" s="24">
        <f>IF(D884="M",IF($AG884&lt;45,WeightSDS!M$23*$AG884^10+WeightSDS!N$23*$AG884^9+WeightSDS!O$23*$AG884^8+WeightSDS!P$23*$AG884^7+WeightSDS!Q$23*$AG884^6+WeightSDS!R$23*$AG884^5+WeightSDS!S$23*$AG884^4+WeightSDS!T$23*$AG884^3+WeightSDS!U$23*$AG884^2+WeightSDS!V$23*$AG884+WeightSDS!W$23,IF($AG884&lt;153,WeightSDS!M$25*$AG884^10+WeightSDS!N$25*$AG884^9+WeightSDS!O$25*$AG884^8+WeightSDS!P$25*$AG884^7+WeightSDS!Q$25*$AG884^6+WeightSDS!R$25*$AG884^5+WeightSDS!S$25*$AG884^4+WeightSDS!T$25*$AG884^3+WeightSDS!U$25*$AG884^2+WeightSDS!V$25*$AG884+WeightSDS!W$25,WeightSDS!M$27+WeightSDS!N$27/(1+EXP(WeightSDS!O$27+WeightSDS!P$27*$AG884)))),IF($AG884&lt;43.8,WeightSDS!M$29*$AG884^10+WeightSDS!N$29*$AG884^9+WeightSDS!O$29*$AG884^8+WeightSDS!P$29*$AG884^7+WeightSDS!Q$29*$AG884^6+WeightSDS!R$29*$AG884^5+WeightSDS!S$29*$AG884^4+WeightSDS!T$29*$AG884^3+WeightSDS!U$29*$AG884^2+WeightSDS!V$29*$AG884+WeightSDS!W$29-0.010431*(1-$AG884/210),IF($AG884&lt;123,WeightSDS!M$30*$AG884^10+WeightSDS!N$30*$AG884^9+WeightSDS!O$30*$AG884^8+WeightSDS!P$30*$AG884^7+WeightSDS!Q$30*$AG884^6+WeightSDS!R$30*$AG884^5+WeightSDS!S$30*$AG884^4+WeightSDS!T$30*$AG884^3+WeightSDS!U$30*$AG884^2+WeightSDS!V$30*$AG884+WeightSDS!W$30-0.010431*(1-1/$AG884),WeightSDS!M$32+WeightSDS!N$32/(1+EXP(WeightSDS!O$32+WeightSDS!P$32*$AG884))-0.010431*(1-$AG884/210))))</f>
        <v>2.9500001032655536</v>
      </c>
      <c r="AK884" s="24">
        <f>IF(D884="M",IF($AG884&lt;162,WeightSDS!P$12*$AG884^7+WeightSDS!Q$12*$AG884^6+WeightSDS!R$12*$AG884^5+WeightSDS!S$12*$AG884^4+WeightSDS!T$12*$AG884^3+WeightSDS!U$12*$AG884^2+WeightSDS!V$12*$AG884+WeightSDS!W$12,WeightSDS!P$14*$AG884^7+WeightSDS!Q$14*$AG884^6+WeightSDS!R$14*$AG884^5+WeightSDS!S$14*$AG884^4+WeightSDS!T$14*$AG884^3+WeightSDS!U$14*$AG884^2+WeightSDS!V$14*$AG884+WeightSDS!W$14),IF($AG884&lt;156,WeightSDS!O$17*$AG884^8+WeightSDS!P$17*$AG884^7+WeightSDS!Q$17*$AG884^6+WeightSDS!R$17*$AG884^5+WeightSDS!S$17*$AG884^4+WeightSDS!T$17*$AG884^3+WeightSDS!U$17*$AG884^2+WeightSDS!V$17*$AG884+WeightSDS!W$17,IF($AG884&lt;186,WeightSDS!$U$18+(WeightSDS!$V$18-WeightSDS!$U$18)/24*($AG884-186)+WeightSDS!$W$18*(-$AG884+186)^2-0.005,WeightSDS!$U$18+(WeightSDS!$V$18-WeightSDS!$U$18)/24*($AG884-186)-0.005)))</f>
        <v>0.14604529399999999</v>
      </c>
    </row>
    <row r="885" spans="1:37">
      <c r="A885" s="4"/>
      <c r="B885" s="21"/>
      <c r="C885" s="21"/>
      <c r="D885" s="21"/>
      <c r="E885" s="22"/>
      <c r="F885" s="22"/>
      <c r="G885" s="23"/>
      <c r="H885" s="23"/>
      <c r="I885" s="8" t="str">
        <f t="shared" si="210"/>
        <v/>
      </c>
      <c r="J885" s="2" t="str">
        <f t="shared" si="217"/>
        <v/>
      </c>
      <c r="K885" s="2" t="str">
        <f t="shared" si="211"/>
        <v/>
      </c>
      <c r="L885" s="2" t="str">
        <f t="shared" si="218"/>
        <v/>
      </c>
      <c r="M885" s="2" t="str">
        <f t="shared" si="223"/>
        <v/>
      </c>
      <c r="N885" s="2" t="str">
        <f t="shared" si="219"/>
        <v/>
      </c>
      <c r="O885" s="8" t="str">
        <f t="shared" si="220"/>
        <v/>
      </c>
      <c r="P885" s="8" t="str">
        <f t="shared" si="221"/>
        <v/>
      </c>
      <c r="Q885" s="40" t="str">
        <f t="shared" si="212"/>
        <v/>
      </c>
      <c r="R885" s="48" t="str">
        <f t="shared" si="222"/>
        <v/>
      </c>
      <c r="S885" s="8"/>
      <c r="U885" s="35">
        <f t="shared" si="213"/>
        <v>0</v>
      </c>
      <c r="V885" s="24">
        <f t="shared" si="214"/>
        <v>0</v>
      </c>
      <c r="W885" s="41">
        <f t="shared" si="225"/>
        <v>0</v>
      </c>
      <c r="X885" s="31"/>
      <c r="Y885" s="31"/>
      <c r="Z885" s="31"/>
      <c r="AA885" s="25">
        <f t="shared" si="215"/>
        <v>9.0359999999999996</v>
      </c>
      <c r="AB885" s="25">
        <f t="shared" si="216"/>
        <v>-184.49199999999999</v>
      </c>
      <c r="AD885" s="24">
        <f>IF(D885="M",IF(AG885&lt;78,BMILMS!$D$5*AG885^3+BMILMS!$E$5*AG885^2+BMILMS!$F$5*AG885+BMILMS!$G$5,IF(AG885&lt;150,BMILMS!$D$6*AG885^3+BMILMS!$E$6*AG885^2+BMILMS!$F$6*AG885+BMILMS!$G$6,BMILMS!$D$7*AG885^3+BMILMS!$E$7*AG885^2+BMILMS!$F$7*AG885+BMILMS!$G$7)),IF(AG885&lt;69,BMILMS!$D$9*AG885^3+BMILMS!$E$9*AG885^2+BMILMS!$F$9*AG885+BMILMS!$G$9,IF(AG885&lt;150,BMILMS!$D$10*AG885^3+BMILMS!$E$10*AG885^2+BMILMS!$F$10*AG885+BMILMS!$G$10,BMILMS!$D$11*AG885^3+BMILMS!$E$11*AG885^2+BMILMS!$F$11*AG885+BMILMS!$G$11)))</f>
        <v>0.79584630099999998</v>
      </c>
      <c r="AE885" s="24">
        <f>IF(D885="M",(IF(AG885&lt;2.5,BMILMS!$D$21*AG885^3+BMILMS!$E$21*AG885^2+BMILMS!$F$21*AG885+BMILMS!$G$21,IF(AG885&lt;9.5,BMILMS!$D$22*AG885^3+BMILMS!$E$22*AG885^2+BMILMS!$F$22*AG885+BMILMS!$G$22,IF(AG885&lt;26.75,BMILMS!$D$23*AG885^3+BMILMS!$E$23*AG885^2+BMILMS!$F$23*AG885+BMILMS!$G$23,IF(AG885&lt;90,BMILMS!$D$24*AG885^3+BMILMS!$E$24*AG885^2+BMILMS!$F$24*AG885+BMILMS!$G$24,BMILMS!$D$25*AG885^3+BMILMS!$E$25*AG885^2+BMILMS!$F$25*AG885+BMILMS!$G$25))))),(IF(AG885&lt;2.5,BMILMS!$D$27*AG885^3+BMILMS!$E$27*AG885^2+BMILMS!$F$27*AG885+BMILMS!$G$27,IF(AG885&lt;9.5,BMILMS!$D$28*AG885^3+BMILMS!$E$28*AG885^2+BMILMS!$F$28*AG885+BMILMS!$G$28,IF(AG885&lt;26.75,BMILMS!$D$29*AG885^3+BMILMS!$E$29*AG885^2+BMILMS!$F$29*AG885+BMILMS!$G$29,IF(AG885&lt;90,BMILMS!$D$30*AG885^3+BMILMS!$E$30*AG885^2+BMILMS!$F$30*AG885+BMILMS!$G$30,IF(AG885&lt;150,BMILMS!$D$31*AG885^3+BMILMS!$E$31*AG885^2+BMILMS!$F$31*AG885+BMILMS!$G$31,BMILMS!$D$32*AG885^3+BMILMS!$E$32*AG885^2+BMILMS!$F$32*AG885+BMILMS!$G$32)))))))</f>
        <v>12.568967990000001</v>
      </c>
      <c r="AF885" s="24">
        <f>IF(D885="M",(IF(AG885&lt;90,BMILMS!$D$14*AG885^3+BMILMS!$E$14*AG885^2+BMILMS!$F$14*AG885+BMILMS!$G$14,BMILMS!$D$15*AG885^3+BMILMS!$E$15*AG885^2+BMILMS!$F$15*AG885+BMILMS!$G$15)),(IF(AG885&lt;90,BMILMS!$D$17*AG885^3+BMILMS!$E$17*AG885^2+BMILMS!$F$17*AG885+BMILMS!$G$17,BMILMS!$D$18*AG885^3+BMILMS!$E$18*AG885^2+BMILMS!$F$18*AG885+BMILMS!$G$18)))</f>
        <v>8.8969350000000003E-2</v>
      </c>
      <c r="AG885" s="24">
        <f t="shared" si="224"/>
        <v>0</v>
      </c>
      <c r="AI885" s="38">
        <f>IF(D885="M",WeightSDS!P$5*$AG885^7+WeightSDS!Q$5*$AG885^6+WeightSDS!R$5*$AG885^5+WeightSDS!S$5*$AG885^4+WeightSDS!T$5*$AG885^3+WeightSDS!U$5*$AG885^2+WeightSDS!V$5*$AG885+WeightSDS!W$5,IF($AG885&lt;186,WeightSDS!P$8*$AG885^7+WeightSDS!Q$8*$AG885^6+WeightSDS!R$8*$AG885^5+WeightSDS!S$8*$AG885^4+WeightSDS!T$8*$AG885^3+WeightSDS!U$8*$AG885^2+WeightSDS!V$8*$AG885+WeightSDS!W$8,WeightSDS!$U$9-WeightSDS!$V$9*($AG885-WeightSDS!$W$9)))</f>
        <v>0.75407122999999998</v>
      </c>
      <c r="AJ885" s="24">
        <f>IF(D885="M",IF($AG885&lt;45,WeightSDS!M$23*$AG885^10+WeightSDS!N$23*$AG885^9+WeightSDS!O$23*$AG885^8+WeightSDS!P$23*$AG885^7+WeightSDS!Q$23*$AG885^6+WeightSDS!R$23*$AG885^5+WeightSDS!S$23*$AG885^4+WeightSDS!T$23*$AG885^3+WeightSDS!U$23*$AG885^2+WeightSDS!V$23*$AG885+WeightSDS!W$23,IF($AG885&lt;153,WeightSDS!M$25*$AG885^10+WeightSDS!N$25*$AG885^9+WeightSDS!O$25*$AG885^8+WeightSDS!P$25*$AG885^7+WeightSDS!Q$25*$AG885^6+WeightSDS!R$25*$AG885^5+WeightSDS!S$25*$AG885^4+WeightSDS!T$25*$AG885^3+WeightSDS!U$25*$AG885^2+WeightSDS!V$25*$AG885+WeightSDS!W$25,WeightSDS!M$27+WeightSDS!N$27/(1+EXP(WeightSDS!O$27+WeightSDS!P$27*$AG885)))),IF($AG885&lt;43.8,WeightSDS!M$29*$AG885^10+WeightSDS!N$29*$AG885^9+WeightSDS!O$29*$AG885^8+WeightSDS!P$29*$AG885^7+WeightSDS!Q$29*$AG885^6+WeightSDS!R$29*$AG885^5+WeightSDS!S$29*$AG885^4+WeightSDS!T$29*$AG885^3+WeightSDS!U$29*$AG885^2+WeightSDS!V$29*$AG885+WeightSDS!W$29-0.010431*(1-$AG885/210),IF($AG885&lt;123,WeightSDS!M$30*$AG885^10+WeightSDS!N$30*$AG885^9+WeightSDS!O$30*$AG885^8+WeightSDS!P$30*$AG885^7+WeightSDS!Q$30*$AG885^6+WeightSDS!R$30*$AG885^5+WeightSDS!S$30*$AG885^4+WeightSDS!T$30*$AG885^3+WeightSDS!U$30*$AG885^2+WeightSDS!V$30*$AG885+WeightSDS!W$30-0.010431*(1-1/$AG885),WeightSDS!M$32+WeightSDS!N$32/(1+EXP(WeightSDS!O$32+WeightSDS!P$32*$AG885))-0.010431*(1-$AG885/210))))</f>
        <v>2.9500001032655536</v>
      </c>
      <c r="AK885" s="24">
        <f>IF(D885="M",IF($AG885&lt;162,WeightSDS!P$12*$AG885^7+WeightSDS!Q$12*$AG885^6+WeightSDS!R$12*$AG885^5+WeightSDS!S$12*$AG885^4+WeightSDS!T$12*$AG885^3+WeightSDS!U$12*$AG885^2+WeightSDS!V$12*$AG885+WeightSDS!W$12,WeightSDS!P$14*$AG885^7+WeightSDS!Q$14*$AG885^6+WeightSDS!R$14*$AG885^5+WeightSDS!S$14*$AG885^4+WeightSDS!T$14*$AG885^3+WeightSDS!U$14*$AG885^2+WeightSDS!V$14*$AG885+WeightSDS!W$14),IF($AG885&lt;156,WeightSDS!O$17*$AG885^8+WeightSDS!P$17*$AG885^7+WeightSDS!Q$17*$AG885^6+WeightSDS!R$17*$AG885^5+WeightSDS!S$17*$AG885^4+WeightSDS!T$17*$AG885^3+WeightSDS!U$17*$AG885^2+WeightSDS!V$17*$AG885+WeightSDS!W$17,IF($AG885&lt;186,WeightSDS!$U$18+(WeightSDS!$V$18-WeightSDS!$U$18)/24*($AG885-186)+WeightSDS!$W$18*(-$AG885+186)^2-0.005,WeightSDS!$U$18+(WeightSDS!$V$18-WeightSDS!$U$18)/24*($AG885-186)-0.005)))</f>
        <v>0.14604529399999999</v>
      </c>
    </row>
    <row r="886" spans="1:37">
      <c r="A886" s="4"/>
      <c r="B886" s="21"/>
      <c r="C886" s="21"/>
      <c r="D886" s="21"/>
      <c r="E886" s="22"/>
      <c r="F886" s="22"/>
      <c r="G886" s="23"/>
      <c r="H886" s="23"/>
      <c r="I886" s="8" t="str">
        <f t="shared" si="210"/>
        <v/>
      </c>
      <c r="J886" s="2" t="str">
        <f t="shared" si="217"/>
        <v/>
      </c>
      <c r="K886" s="2" t="str">
        <f t="shared" si="211"/>
        <v/>
      </c>
      <c r="L886" s="2" t="str">
        <f t="shared" si="218"/>
        <v/>
      </c>
      <c r="M886" s="2" t="str">
        <f t="shared" si="223"/>
        <v/>
      </c>
      <c r="N886" s="2" t="str">
        <f t="shared" si="219"/>
        <v/>
      </c>
      <c r="O886" s="8" t="str">
        <f t="shared" si="220"/>
        <v/>
      </c>
      <c r="P886" s="8" t="str">
        <f t="shared" si="221"/>
        <v/>
      </c>
      <c r="Q886" s="40" t="str">
        <f t="shared" si="212"/>
        <v/>
      </c>
      <c r="R886" s="48" t="str">
        <f t="shared" si="222"/>
        <v/>
      </c>
      <c r="S886" s="8"/>
      <c r="U886" s="35">
        <f t="shared" si="213"/>
        <v>0</v>
      </c>
      <c r="V886" s="24">
        <f t="shared" si="214"/>
        <v>0</v>
      </c>
      <c r="W886" s="41">
        <f t="shared" si="225"/>
        <v>0</v>
      </c>
      <c r="X886" s="31"/>
      <c r="Y886" s="31"/>
      <c r="Z886" s="31"/>
      <c r="AA886" s="25">
        <f t="shared" si="215"/>
        <v>9.0359999999999996</v>
      </c>
      <c r="AB886" s="25">
        <f t="shared" si="216"/>
        <v>-184.49199999999999</v>
      </c>
      <c r="AD886" s="24">
        <f>IF(D886="M",IF(AG886&lt;78,BMILMS!$D$5*AG886^3+BMILMS!$E$5*AG886^2+BMILMS!$F$5*AG886+BMILMS!$G$5,IF(AG886&lt;150,BMILMS!$D$6*AG886^3+BMILMS!$E$6*AG886^2+BMILMS!$F$6*AG886+BMILMS!$G$6,BMILMS!$D$7*AG886^3+BMILMS!$E$7*AG886^2+BMILMS!$F$7*AG886+BMILMS!$G$7)),IF(AG886&lt;69,BMILMS!$D$9*AG886^3+BMILMS!$E$9*AG886^2+BMILMS!$F$9*AG886+BMILMS!$G$9,IF(AG886&lt;150,BMILMS!$D$10*AG886^3+BMILMS!$E$10*AG886^2+BMILMS!$F$10*AG886+BMILMS!$G$10,BMILMS!$D$11*AG886^3+BMILMS!$E$11*AG886^2+BMILMS!$F$11*AG886+BMILMS!$G$11)))</f>
        <v>0.79584630099999998</v>
      </c>
      <c r="AE886" s="24">
        <f>IF(D886="M",(IF(AG886&lt;2.5,BMILMS!$D$21*AG886^3+BMILMS!$E$21*AG886^2+BMILMS!$F$21*AG886+BMILMS!$G$21,IF(AG886&lt;9.5,BMILMS!$D$22*AG886^3+BMILMS!$E$22*AG886^2+BMILMS!$F$22*AG886+BMILMS!$G$22,IF(AG886&lt;26.75,BMILMS!$D$23*AG886^3+BMILMS!$E$23*AG886^2+BMILMS!$F$23*AG886+BMILMS!$G$23,IF(AG886&lt;90,BMILMS!$D$24*AG886^3+BMILMS!$E$24*AG886^2+BMILMS!$F$24*AG886+BMILMS!$G$24,BMILMS!$D$25*AG886^3+BMILMS!$E$25*AG886^2+BMILMS!$F$25*AG886+BMILMS!$G$25))))),(IF(AG886&lt;2.5,BMILMS!$D$27*AG886^3+BMILMS!$E$27*AG886^2+BMILMS!$F$27*AG886+BMILMS!$G$27,IF(AG886&lt;9.5,BMILMS!$D$28*AG886^3+BMILMS!$E$28*AG886^2+BMILMS!$F$28*AG886+BMILMS!$G$28,IF(AG886&lt;26.75,BMILMS!$D$29*AG886^3+BMILMS!$E$29*AG886^2+BMILMS!$F$29*AG886+BMILMS!$G$29,IF(AG886&lt;90,BMILMS!$D$30*AG886^3+BMILMS!$E$30*AG886^2+BMILMS!$F$30*AG886+BMILMS!$G$30,IF(AG886&lt;150,BMILMS!$D$31*AG886^3+BMILMS!$E$31*AG886^2+BMILMS!$F$31*AG886+BMILMS!$G$31,BMILMS!$D$32*AG886^3+BMILMS!$E$32*AG886^2+BMILMS!$F$32*AG886+BMILMS!$G$32)))))))</f>
        <v>12.568967990000001</v>
      </c>
      <c r="AF886" s="24">
        <f>IF(D886="M",(IF(AG886&lt;90,BMILMS!$D$14*AG886^3+BMILMS!$E$14*AG886^2+BMILMS!$F$14*AG886+BMILMS!$G$14,BMILMS!$D$15*AG886^3+BMILMS!$E$15*AG886^2+BMILMS!$F$15*AG886+BMILMS!$G$15)),(IF(AG886&lt;90,BMILMS!$D$17*AG886^3+BMILMS!$E$17*AG886^2+BMILMS!$F$17*AG886+BMILMS!$G$17,BMILMS!$D$18*AG886^3+BMILMS!$E$18*AG886^2+BMILMS!$F$18*AG886+BMILMS!$G$18)))</f>
        <v>8.8969350000000003E-2</v>
      </c>
      <c r="AG886" s="24">
        <f t="shared" si="224"/>
        <v>0</v>
      </c>
      <c r="AI886" s="38">
        <f>IF(D886="M",WeightSDS!P$5*$AG886^7+WeightSDS!Q$5*$AG886^6+WeightSDS!R$5*$AG886^5+WeightSDS!S$5*$AG886^4+WeightSDS!T$5*$AG886^3+WeightSDS!U$5*$AG886^2+WeightSDS!V$5*$AG886+WeightSDS!W$5,IF($AG886&lt;186,WeightSDS!P$8*$AG886^7+WeightSDS!Q$8*$AG886^6+WeightSDS!R$8*$AG886^5+WeightSDS!S$8*$AG886^4+WeightSDS!T$8*$AG886^3+WeightSDS!U$8*$AG886^2+WeightSDS!V$8*$AG886+WeightSDS!W$8,WeightSDS!$U$9-WeightSDS!$V$9*($AG886-WeightSDS!$W$9)))</f>
        <v>0.75407122999999998</v>
      </c>
      <c r="AJ886" s="24">
        <f>IF(D886="M",IF($AG886&lt;45,WeightSDS!M$23*$AG886^10+WeightSDS!N$23*$AG886^9+WeightSDS!O$23*$AG886^8+WeightSDS!P$23*$AG886^7+WeightSDS!Q$23*$AG886^6+WeightSDS!R$23*$AG886^5+WeightSDS!S$23*$AG886^4+WeightSDS!T$23*$AG886^3+WeightSDS!U$23*$AG886^2+WeightSDS!V$23*$AG886+WeightSDS!W$23,IF($AG886&lt;153,WeightSDS!M$25*$AG886^10+WeightSDS!N$25*$AG886^9+WeightSDS!O$25*$AG886^8+WeightSDS!P$25*$AG886^7+WeightSDS!Q$25*$AG886^6+WeightSDS!R$25*$AG886^5+WeightSDS!S$25*$AG886^4+WeightSDS!T$25*$AG886^3+WeightSDS!U$25*$AG886^2+WeightSDS!V$25*$AG886+WeightSDS!W$25,WeightSDS!M$27+WeightSDS!N$27/(1+EXP(WeightSDS!O$27+WeightSDS!P$27*$AG886)))),IF($AG886&lt;43.8,WeightSDS!M$29*$AG886^10+WeightSDS!N$29*$AG886^9+WeightSDS!O$29*$AG886^8+WeightSDS!P$29*$AG886^7+WeightSDS!Q$29*$AG886^6+WeightSDS!R$29*$AG886^5+WeightSDS!S$29*$AG886^4+WeightSDS!T$29*$AG886^3+WeightSDS!U$29*$AG886^2+WeightSDS!V$29*$AG886+WeightSDS!W$29-0.010431*(1-$AG886/210),IF($AG886&lt;123,WeightSDS!M$30*$AG886^10+WeightSDS!N$30*$AG886^9+WeightSDS!O$30*$AG886^8+WeightSDS!P$30*$AG886^7+WeightSDS!Q$30*$AG886^6+WeightSDS!R$30*$AG886^5+WeightSDS!S$30*$AG886^4+WeightSDS!T$30*$AG886^3+WeightSDS!U$30*$AG886^2+WeightSDS!V$30*$AG886+WeightSDS!W$30-0.010431*(1-1/$AG886),WeightSDS!M$32+WeightSDS!N$32/(1+EXP(WeightSDS!O$32+WeightSDS!P$32*$AG886))-0.010431*(1-$AG886/210))))</f>
        <v>2.9500001032655536</v>
      </c>
      <c r="AK886" s="24">
        <f>IF(D886="M",IF($AG886&lt;162,WeightSDS!P$12*$AG886^7+WeightSDS!Q$12*$AG886^6+WeightSDS!R$12*$AG886^5+WeightSDS!S$12*$AG886^4+WeightSDS!T$12*$AG886^3+WeightSDS!U$12*$AG886^2+WeightSDS!V$12*$AG886+WeightSDS!W$12,WeightSDS!P$14*$AG886^7+WeightSDS!Q$14*$AG886^6+WeightSDS!R$14*$AG886^5+WeightSDS!S$14*$AG886^4+WeightSDS!T$14*$AG886^3+WeightSDS!U$14*$AG886^2+WeightSDS!V$14*$AG886+WeightSDS!W$14),IF($AG886&lt;156,WeightSDS!O$17*$AG886^8+WeightSDS!P$17*$AG886^7+WeightSDS!Q$17*$AG886^6+WeightSDS!R$17*$AG886^5+WeightSDS!S$17*$AG886^4+WeightSDS!T$17*$AG886^3+WeightSDS!U$17*$AG886^2+WeightSDS!V$17*$AG886+WeightSDS!W$17,IF($AG886&lt;186,WeightSDS!$U$18+(WeightSDS!$V$18-WeightSDS!$U$18)/24*($AG886-186)+WeightSDS!$W$18*(-$AG886+186)^2-0.005,WeightSDS!$U$18+(WeightSDS!$V$18-WeightSDS!$U$18)/24*($AG886-186)-0.005)))</f>
        <v>0.14604529399999999</v>
      </c>
    </row>
    <row r="887" spans="1:37">
      <c r="A887" s="4"/>
      <c r="B887" s="21"/>
      <c r="C887" s="21"/>
      <c r="D887" s="21"/>
      <c r="E887" s="22"/>
      <c r="F887" s="22"/>
      <c r="G887" s="23"/>
      <c r="H887" s="23"/>
      <c r="I887" s="8" t="str">
        <f t="shared" si="210"/>
        <v/>
      </c>
      <c r="J887" s="2" t="str">
        <f t="shared" si="217"/>
        <v/>
      </c>
      <c r="K887" s="2" t="str">
        <f t="shared" si="211"/>
        <v/>
      </c>
      <c r="L887" s="2" t="str">
        <f t="shared" si="218"/>
        <v/>
      </c>
      <c r="M887" s="2" t="str">
        <f t="shared" si="223"/>
        <v/>
      </c>
      <c r="N887" s="2" t="str">
        <f t="shared" si="219"/>
        <v/>
      </c>
      <c r="O887" s="8" t="str">
        <f t="shared" si="220"/>
        <v/>
      </c>
      <c r="P887" s="8" t="str">
        <f t="shared" si="221"/>
        <v/>
      </c>
      <c r="Q887" s="40" t="str">
        <f t="shared" si="212"/>
        <v/>
      </c>
      <c r="R887" s="48" t="str">
        <f t="shared" si="222"/>
        <v/>
      </c>
      <c r="S887" s="8"/>
      <c r="U887" s="35">
        <f t="shared" si="213"/>
        <v>0</v>
      </c>
      <c r="V887" s="24">
        <f t="shared" si="214"/>
        <v>0</v>
      </c>
      <c r="W887" s="41">
        <f t="shared" si="225"/>
        <v>0</v>
      </c>
      <c r="X887" s="31"/>
      <c r="Y887" s="31"/>
      <c r="Z887" s="31"/>
      <c r="AA887" s="25">
        <f t="shared" si="215"/>
        <v>9.0359999999999996</v>
      </c>
      <c r="AB887" s="25">
        <f t="shared" si="216"/>
        <v>-184.49199999999999</v>
      </c>
      <c r="AD887" s="24">
        <f>IF(D887="M",IF(AG887&lt;78,BMILMS!$D$5*AG887^3+BMILMS!$E$5*AG887^2+BMILMS!$F$5*AG887+BMILMS!$G$5,IF(AG887&lt;150,BMILMS!$D$6*AG887^3+BMILMS!$E$6*AG887^2+BMILMS!$F$6*AG887+BMILMS!$G$6,BMILMS!$D$7*AG887^3+BMILMS!$E$7*AG887^2+BMILMS!$F$7*AG887+BMILMS!$G$7)),IF(AG887&lt;69,BMILMS!$D$9*AG887^3+BMILMS!$E$9*AG887^2+BMILMS!$F$9*AG887+BMILMS!$G$9,IF(AG887&lt;150,BMILMS!$D$10*AG887^3+BMILMS!$E$10*AG887^2+BMILMS!$F$10*AG887+BMILMS!$G$10,BMILMS!$D$11*AG887^3+BMILMS!$E$11*AG887^2+BMILMS!$F$11*AG887+BMILMS!$G$11)))</f>
        <v>0.79584630099999998</v>
      </c>
      <c r="AE887" s="24">
        <f>IF(D887="M",(IF(AG887&lt;2.5,BMILMS!$D$21*AG887^3+BMILMS!$E$21*AG887^2+BMILMS!$F$21*AG887+BMILMS!$G$21,IF(AG887&lt;9.5,BMILMS!$D$22*AG887^3+BMILMS!$E$22*AG887^2+BMILMS!$F$22*AG887+BMILMS!$G$22,IF(AG887&lt;26.75,BMILMS!$D$23*AG887^3+BMILMS!$E$23*AG887^2+BMILMS!$F$23*AG887+BMILMS!$G$23,IF(AG887&lt;90,BMILMS!$D$24*AG887^3+BMILMS!$E$24*AG887^2+BMILMS!$F$24*AG887+BMILMS!$G$24,BMILMS!$D$25*AG887^3+BMILMS!$E$25*AG887^2+BMILMS!$F$25*AG887+BMILMS!$G$25))))),(IF(AG887&lt;2.5,BMILMS!$D$27*AG887^3+BMILMS!$E$27*AG887^2+BMILMS!$F$27*AG887+BMILMS!$G$27,IF(AG887&lt;9.5,BMILMS!$D$28*AG887^3+BMILMS!$E$28*AG887^2+BMILMS!$F$28*AG887+BMILMS!$G$28,IF(AG887&lt;26.75,BMILMS!$D$29*AG887^3+BMILMS!$E$29*AG887^2+BMILMS!$F$29*AG887+BMILMS!$G$29,IF(AG887&lt;90,BMILMS!$D$30*AG887^3+BMILMS!$E$30*AG887^2+BMILMS!$F$30*AG887+BMILMS!$G$30,IF(AG887&lt;150,BMILMS!$D$31*AG887^3+BMILMS!$E$31*AG887^2+BMILMS!$F$31*AG887+BMILMS!$G$31,BMILMS!$D$32*AG887^3+BMILMS!$E$32*AG887^2+BMILMS!$F$32*AG887+BMILMS!$G$32)))))))</f>
        <v>12.568967990000001</v>
      </c>
      <c r="AF887" s="24">
        <f>IF(D887="M",(IF(AG887&lt;90,BMILMS!$D$14*AG887^3+BMILMS!$E$14*AG887^2+BMILMS!$F$14*AG887+BMILMS!$G$14,BMILMS!$D$15*AG887^3+BMILMS!$E$15*AG887^2+BMILMS!$F$15*AG887+BMILMS!$G$15)),(IF(AG887&lt;90,BMILMS!$D$17*AG887^3+BMILMS!$E$17*AG887^2+BMILMS!$F$17*AG887+BMILMS!$G$17,BMILMS!$D$18*AG887^3+BMILMS!$E$18*AG887^2+BMILMS!$F$18*AG887+BMILMS!$G$18)))</f>
        <v>8.8969350000000003E-2</v>
      </c>
      <c r="AG887" s="24">
        <f t="shared" si="224"/>
        <v>0</v>
      </c>
      <c r="AI887" s="38">
        <f>IF(D887="M",WeightSDS!P$5*$AG887^7+WeightSDS!Q$5*$AG887^6+WeightSDS!R$5*$AG887^5+WeightSDS!S$5*$AG887^4+WeightSDS!T$5*$AG887^3+WeightSDS!U$5*$AG887^2+WeightSDS!V$5*$AG887+WeightSDS!W$5,IF($AG887&lt;186,WeightSDS!P$8*$AG887^7+WeightSDS!Q$8*$AG887^6+WeightSDS!R$8*$AG887^5+WeightSDS!S$8*$AG887^4+WeightSDS!T$8*$AG887^3+WeightSDS!U$8*$AG887^2+WeightSDS!V$8*$AG887+WeightSDS!W$8,WeightSDS!$U$9-WeightSDS!$V$9*($AG887-WeightSDS!$W$9)))</f>
        <v>0.75407122999999998</v>
      </c>
      <c r="AJ887" s="24">
        <f>IF(D887="M",IF($AG887&lt;45,WeightSDS!M$23*$AG887^10+WeightSDS!N$23*$AG887^9+WeightSDS!O$23*$AG887^8+WeightSDS!P$23*$AG887^7+WeightSDS!Q$23*$AG887^6+WeightSDS!R$23*$AG887^5+WeightSDS!S$23*$AG887^4+WeightSDS!T$23*$AG887^3+WeightSDS!U$23*$AG887^2+WeightSDS!V$23*$AG887+WeightSDS!W$23,IF($AG887&lt;153,WeightSDS!M$25*$AG887^10+WeightSDS!N$25*$AG887^9+WeightSDS!O$25*$AG887^8+WeightSDS!P$25*$AG887^7+WeightSDS!Q$25*$AG887^6+WeightSDS!R$25*$AG887^5+WeightSDS!S$25*$AG887^4+WeightSDS!T$25*$AG887^3+WeightSDS!U$25*$AG887^2+WeightSDS!V$25*$AG887+WeightSDS!W$25,WeightSDS!M$27+WeightSDS!N$27/(1+EXP(WeightSDS!O$27+WeightSDS!P$27*$AG887)))),IF($AG887&lt;43.8,WeightSDS!M$29*$AG887^10+WeightSDS!N$29*$AG887^9+WeightSDS!O$29*$AG887^8+WeightSDS!P$29*$AG887^7+WeightSDS!Q$29*$AG887^6+WeightSDS!R$29*$AG887^5+WeightSDS!S$29*$AG887^4+WeightSDS!T$29*$AG887^3+WeightSDS!U$29*$AG887^2+WeightSDS!V$29*$AG887+WeightSDS!W$29-0.010431*(1-$AG887/210),IF($AG887&lt;123,WeightSDS!M$30*$AG887^10+WeightSDS!N$30*$AG887^9+WeightSDS!O$30*$AG887^8+WeightSDS!P$30*$AG887^7+WeightSDS!Q$30*$AG887^6+WeightSDS!R$30*$AG887^5+WeightSDS!S$30*$AG887^4+WeightSDS!T$30*$AG887^3+WeightSDS!U$30*$AG887^2+WeightSDS!V$30*$AG887+WeightSDS!W$30-0.010431*(1-1/$AG887),WeightSDS!M$32+WeightSDS!N$32/(1+EXP(WeightSDS!O$32+WeightSDS!P$32*$AG887))-0.010431*(1-$AG887/210))))</f>
        <v>2.9500001032655536</v>
      </c>
      <c r="AK887" s="24">
        <f>IF(D887="M",IF($AG887&lt;162,WeightSDS!P$12*$AG887^7+WeightSDS!Q$12*$AG887^6+WeightSDS!R$12*$AG887^5+WeightSDS!S$12*$AG887^4+WeightSDS!T$12*$AG887^3+WeightSDS!U$12*$AG887^2+WeightSDS!V$12*$AG887+WeightSDS!W$12,WeightSDS!P$14*$AG887^7+WeightSDS!Q$14*$AG887^6+WeightSDS!R$14*$AG887^5+WeightSDS!S$14*$AG887^4+WeightSDS!T$14*$AG887^3+WeightSDS!U$14*$AG887^2+WeightSDS!V$14*$AG887+WeightSDS!W$14),IF($AG887&lt;156,WeightSDS!O$17*$AG887^8+WeightSDS!P$17*$AG887^7+WeightSDS!Q$17*$AG887^6+WeightSDS!R$17*$AG887^5+WeightSDS!S$17*$AG887^4+WeightSDS!T$17*$AG887^3+WeightSDS!U$17*$AG887^2+WeightSDS!V$17*$AG887+WeightSDS!W$17,IF($AG887&lt;186,WeightSDS!$U$18+(WeightSDS!$V$18-WeightSDS!$U$18)/24*($AG887-186)+WeightSDS!$W$18*(-$AG887+186)^2-0.005,WeightSDS!$U$18+(WeightSDS!$V$18-WeightSDS!$U$18)/24*($AG887-186)-0.005)))</f>
        <v>0.14604529399999999</v>
      </c>
    </row>
    <row r="888" spans="1:37">
      <c r="A888" s="4"/>
      <c r="B888" s="21"/>
      <c r="C888" s="21"/>
      <c r="D888" s="21"/>
      <c r="E888" s="22"/>
      <c r="F888" s="22"/>
      <c r="G888" s="23"/>
      <c r="H888" s="23"/>
      <c r="I888" s="8" t="str">
        <f t="shared" si="210"/>
        <v/>
      </c>
      <c r="J888" s="2" t="str">
        <f t="shared" si="217"/>
        <v/>
      </c>
      <c r="K888" s="2" t="str">
        <f t="shared" si="211"/>
        <v/>
      </c>
      <c r="L888" s="2" t="str">
        <f t="shared" si="218"/>
        <v/>
      </c>
      <c r="M888" s="2" t="str">
        <f t="shared" si="223"/>
        <v/>
      </c>
      <c r="N888" s="2" t="str">
        <f t="shared" si="219"/>
        <v/>
      </c>
      <c r="O888" s="8" t="str">
        <f t="shared" si="220"/>
        <v/>
      </c>
      <c r="P888" s="8" t="str">
        <f t="shared" si="221"/>
        <v/>
      </c>
      <c r="Q888" s="40" t="str">
        <f t="shared" si="212"/>
        <v/>
      </c>
      <c r="R888" s="48" t="str">
        <f t="shared" si="222"/>
        <v/>
      </c>
      <c r="S888" s="8"/>
      <c r="U888" s="35">
        <f t="shared" si="213"/>
        <v>0</v>
      </c>
      <c r="V888" s="24">
        <f t="shared" si="214"/>
        <v>0</v>
      </c>
      <c r="W888" s="41">
        <f t="shared" si="225"/>
        <v>0</v>
      </c>
      <c r="X888" s="31"/>
      <c r="Y888" s="31"/>
      <c r="Z888" s="31"/>
      <c r="AA888" s="25">
        <f t="shared" si="215"/>
        <v>9.0359999999999996</v>
      </c>
      <c r="AB888" s="25">
        <f t="shared" si="216"/>
        <v>-184.49199999999999</v>
      </c>
      <c r="AD888" s="24">
        <f>IF(D888="M",IF(AG888&lt;78,BMILMS!$D$5*AG888^3+BMILMS!$E$5*AG888^2+BMILMS!$F$5*AG888+BMILMS!$G$5,IF(AG888&lt;150,BMILMS!$D$6*AG888^3+BMILMS!$E$6*AG888^2+BMILMS!$F$6*AG888+BMILMS!$G$6,BMILMS!$D$7*AG888^3+BMILMS!$E$7*AG888^2+BMILMS!$F$7*AG888+BMILMS!$G$7)),IF(AG888&lt;69,BMILMS!$D$9*AG888^3+BMILMS!$E$9*AG888^2+BMILMS!$F$9*AG888+BMILMS!$G$9,IF(AG888&lt;150,BMILMS!$D$10*AG888^3+BMILMS!$E$10*AG888^2+BMILMS!$F$10*AG888+BMILMS!$G$10,BMILMS!$D$11*AG888^3+BMILMS!$E$11*AG888^2+BMILMS!$F$11*AG888+BMILMS!$G$11)))</f>
        <v>0.79584630099999998</v>
      </c>
      <c r="AE888" s="24">
        <f>IF(D888="M",(IF(AG888&lt;2.5,BMILMS!$D$21*AG888^3+BMILMS!$E$21*AG888^2+BMILMS!$F$21*AG888+BMILMS!$G$21,IF(AG888&lt;9.5,BMILMS!$D$22*AG888^3+BMILMS!$E$22*AG888^2+BMILMS!$F$22*AG888+BMILMS!$G$22,IF(AG888&lt;26.75,BMILMS!$D$23*AG888^3+BMILMS!$E$23*AG888^2+BMILMS!$F$23*AG888+BMILMS!$G$23,IF(AG888&lt;90,BMILMS!$D$24*AG888^3+BMILMS!$E$24*AG888^2+BMILMS!$F$24*AG888+BMILMS!$G$24,BMILMS!$D$25*AG888^3+BMILMS!$E$25*AG888^2+BMILMS!$F$25*AG888+BMILMS!$G$25))))),(IF(AG888&lt;2.5,BMILMS!$D$27*AG888^3+BMILMS!$E$27*AG888^2+BMILMS!$F$27*AG888+BMILMS!$G$27,IF(AG888&lt;9.5,BMILMS!$D$28*AG888^3+BMILMS!$E$28*AG888^2+BMILMS!$F$28*AG888+BMILMS!$G$28,IF(AG888&lt;26.75,BMILMS!$D$29*AG888^3+BMILMS!$E$29*AG888^2+BMILMS!$F$29*AG888+BMILMS!$G$29,IF(AG888&lt;90,BMILMS!$D$30*AG888^3+BMILMS!$E$30*AG888^2+BMILMS!$F$30*AG888+BMILMS!$G$30,IF(AG888&lt;150,BMILMS!$D$31*AG888^3+BMILMS!$E$31*AG888^2+BMILMS!$F$31*AG888+BMILMS!$G$31,BMILMS!$D$32*AG888^3+BMILMS!$E$32*AG888^2+BMILMS!$F$32*AG888+BMILMS!$G$32)))))))</f>
        <v>12.568967990000001</v>
      </c>
      <c r="AF888" s="24">
        <f>IF(D888="M",(IF(AG888&lt;90,BMILMS!$D$14*AG888^3+BMILMS!$E$14*AG888^2+BMILMS!$F$14*AG888+BMILMS!$G$14,BMILMS!$D$15*AG888^3+BMILMS!$E$15*AG888^2+BMILMS!$F$15*AG888+BMILMS!$G$15)),(IF(AG888&lt;90,BMILMS!$D$17*AG888^3+BMILMS!$E$17*AG888^2+BMILMS!$F$17*AG888+BMILMS!$G$17,BMILMS!$D$18*AG888^3+BMILMS!$E$18*AG888^2+BMILMS!$F$18*AG888+BMILMS!$G$18)))</f>
        <v>8.8969350000000003E-2</v>
      </c>
      <c r="AG888" s="24">
        <f t="shared" si="224"/>
        <v>0</v>
      </c>
      <c r="AI888" s="38">
        <f>IF(D888="M",WeightSDS!P$5*$AG888^7+WeightSDS!Q$5*$AG888^6+WeightSDS!R$5*$AG888^5+WeightSDS!S$5*$AG888^4+WeightSDS!T$5*$AG888^3+WeightSDS!U$5*$AG888^2+WeightSDS!V$5*$AG888+WeightSDS!W$5,IF($AG888&lt;186,WeightSDS!P$8*$AG888^7+WeightSDS!Q$8*$AG888^6+WeightSDS!R$8*$AG888^5+WeightSDS!S$8*$AG888^4+WeightSDS!T$8*$AG888^3+WeightSDS!U$8*$AG888^2+WeightSDS!V$8*$AG888+WeightSDS!W$8,WeightSDS!$U$9-WeightSDS!$V$9*($AG888-WeightSDS!$W$9)))</f>
        <v>0.75407122999999998</v>
      </c>
      <c r="AJ888" s="24">
        <f>IF(D888="M",IF($AG888&lt;45,WeightSDS!M$23*$AG888^10+WeightSDS!N$23*$AG888^9+WeightSDS!O$23*$AG888^8+WeightSDS!P$23*$AG888^7+WeightSDS!Q$23*$AG888^6+WeightSDS!R$23*$AG888^5+WeightSDS!S$23*$AG888^4+WeightSDS!T$23*$AG888^3+WeightSDS!U$23*$AG888^2+WeightSDS!V$23*$AG888+WeightSDS!W$23,IF($AG888&lt;153,WeightSDS!M$25*$AG888^10+WeightSDS!N$25*$AG888^9+WeightSDS!O$25*$AG888^8+WeightSDS!P$25*$AG888^7+WeightSDS!Q$25*$AG888^6+WeightSDS!R$25*$AG888^5+WeightSDS!S$25*$AG888^4+WeightSDS!T$25*$AG888^3+WeightSDS!U$25*$AG888^2+WeightSDS!V$25*$AG888+WeightSDS!W$25,WeightSDS!M$27+WeightSDS!N$27/(1+EXP(WeightSDS!O$27+WeightSDS!P$27*$AG888)))),IF($AG888&lt;43.8,WeightSDS!M$29*$AG888^10+WeightSDS!N$29*$AG888^9+WeightSDS!O$29*$AG888^8+WeightSDS!P$29*$AG888^7+WeightSDS!Q$29*$AG888^6+WeightSDS!R$29*$AG888^5+WeightSDS!S$29*$AG888^4+WeightSDS!T$29*$AG888^3+WeightSDS!U$29*$AG888^2+WeightSDS!V$29*$AG888+WeightSDS!W$29-0.010431*(1-$AG888/210),IF($AG888&lt;123,WeightSDS!M$30*$AG888^10+WeightSDS!N$30*$AG888^9+WeightSDS!O$30*$AG888^8+WeightSDS!P$30*$AG888^7+WeightSDS!Q$30*$AG888^6+WeightSDS!R$30*$AG888^5+WeightSDS!S$30*$AG888^4+WeightSDS!T$30*$AG888^3+WeightSDS!U$30*$AG888^2+WeightSDS!V$30*$AG888+WeightSDS!W$30-0.010431*(1-1/$AG888),WeightSDS!M$32+WeightSDS!N$32/(1+EXP(WeightSDS!O$32+WeightSDS!P$32*$AG888))-0.010431*(1-$AG888/210))))</f>
        <v>2.9500001032655536</v>
      </c>
      <c r="AK888" s="24">
        <f>IF(D888="M",IF($AG888&lt;162,WeightSDS!P$12*$AG888^7+WeightSDS!Q$12*$AG888^6+WeightSDS!R$12*$AG888^5+WeightSDS!S$12*$AG888^4+WeightSDS!T$12*$AG888^3+WeightSDS!U$12*$AG888^2+WeightSDS!V$12*$AG888+WeightSDS!W$12,WeightSDS!P$14*$AG888^7+WeightSDS!Q$14*$AG888^6+WeightSDS!R$14*$AG888^5+WeightSDS!S$14*$AG888^4+WeightSDS!T$14*$AG888^3+WeightSDS!U$14*$AG888^2+WeightSDS!V$14*$AG888+WeightSDS!W$14),IF($AG888&lt;156,WeightSDS!O$17*$AG888^8+WeightSDS!P$17*$AG888^7+WeightSDS!Q$17*$AG888^6+WeightSDS!R$17*$AG888^5+WeightSDS!S$17*$AG888^4+WeightSDS!T$17*$AG888^3+WeightSDS!U$17*$AG888^2+WeightSDS!V$17*$AG888+WeightSDS!W$17,IF($AG888&lt;186,WeightSDS!$U$18+(WeightSDS!$V$18-WeightSDS!$U$18)/24*($AG888-186)+WeightSDS!$W$18*(-$AG888+186)^2-0.005,WeightSDS!$U$18+(WeightSDS!$V$18-WeightSDS!$U$18)/24*($AG888-186)-0.005)))</f>
        <v>0.14604529399999999</v>
      </c>
    </row>
    <row r="889" spans="1:37">
      <c r="A889" s="4"/>
      <c r="B889" s="21"/>
      <c r="C889" s="21"/>
      <c r="D889" s="21"/>
      <c r="E889" s="22"/>
      <c r="F889" s="22"/>
      <c r="G889" s="23"/>
      <c r="H889" s="23"/>
      <c r="I889" s="8" t="str">
        <f t="shared" si="210"/>
        <v/>
      </c>
      <c r="J889" s="2" t="str">
        <f t="shared" si="217"/>
        <v/>
      </c>
      <c r="K889" s="2" t="str">
        <f t="shared" si="211"/>
        <v/>
      </c>
      <c r="L889" s="2" t="str">
        <f t="shared" si="218"/>
        <v/>
      </c>
      <c r="M889" s="2" t="str">
        <f t="shared" si="223"/>
        <v/>
      </c>
      <c r="N889" s="2" t="str">
        <f t="shared" si="219"/>
        <v/>
      </c>
      <c r="O889" s="8" t="str">
        <f t="shared" si="220"/>
        <v/>
      </c>
      <c r="P889" s="8" t="str">
        <f t="shared" si="221"/>
        <v/>
      </c>
      <c r="Q889" s="40" t="str">
        <f t="shared" si="212"/>
        <v/>
      </c>
      <c r="R889" s="48" t="str">
        <f t="shared" si="222"/>
        <v/>
      </c>
      <c r="S889" s="8"/>
      <c r="U889" s="35">
        <f t="shared" si="213"/>
        <v>0</v>
      </c>
      <c r="V889" s="24">
        <f t="shared" si="214"/>
        <v>0</v>
      </c>
      <c r="W889" s="41">
        <f t="shared" si="225"/>
        <v>0</v>
      </c>
      <c r="X889" s="31"/>
      <c r="Y889" s="31"/>
      <c r="Z889" s="31"/>
      <c r="AA889" s="25">
        <f t="shared" si="215"/>
        <v>9.0359999999999996</v>
      </c>
      <c r="AB889" s="25">
        <f t="shared" si="216"/>
        <v>-184.49199999999999</v>
      </c>
      <c r="AD889" s="24">
        <f>IF(D889="M",IF(AG889&lt;78,BMILMS!$D$5*AG889^3+BMILMS!$E$5*AG889^2+BMILMS!$F$5*AG889+BMILMS!$G$5,IF(AG889&lt;150,BMILMS!$D$6*AG889^3+BMILMS!$E$6*AG889^2+BMILMS!$F$6*AG889+BMILMS!$G$6,BMILMS!$D$7*AG889^3+BMILMS!$E$7*AG889^2+BMILMS!$F$7*AG889+BMILMS!$G$7)),IF(AG889&lt;69,BMILMS!$D$9*AG889^3+BMILMS!$E$9*AG889^2+BMILMS!$F$9*AG889+BMILMS!$G$9,IF(AG889&lt;150,BMILMS!$D$10*AG889^3+BMILMS!$E$10*AG889^2+BMILMS!$F$10*AG889+BMILMS!$G$10,BMILMS!$D$11*AG889^3+BMILMS!$E$11*AG889^2+BMILMS!$F$11*AG889+BMILMS!$G$11)))</f>
        <v>0.79584630099999998</v>
      </c>
      <c r="AE889" s="24">
        <f>IF(D889="M",(IF(AG889&lt;2.5,BMILMS!$D$21*AG889^3+BMILMS!$E$21*AG889^2+BMILMS!$F$21*AG889+BMILMS!$G$21,IF(AG889&lt;9.5,BMILMS!$D$22*AG889^3+BMILMS!$E$22*AG889^2+BMILMS!$F$22*AG889+BMILMS!$G$22,IF(AG889&lt;26.75,BMILMS!$D$23*AG889^3+BMILMS!$E$23*AG889^2+BMILMS!$F$23*AG889+BMILMS!$G$23,IF(AG889&lt;90,BMILMS!$D$24*AG889^3+BMILMS!$E$24*AG889^2+BMILMS!$F$24*AG889+BMILMS!$G$24,BMILMS!$D$25*AG889^3+BMILMS!$E$25*AG889^2+BMILMS!$F$25*AG889+BMILMS!$G$25))))),(IF(AG889&lt;2.5,BMILMS!$D$27*AG889^3+BMILMS!$E$27*AG889^2+BMILMS!$F$27*AG889+BMILMS!$G$27,IF(AG889&lt;9.5,BMILMS!$D$28*AG889^3+BMILMS!$E$28*AG889^2+BMILMS!$F$28*AG889+BMILMS!$G$28,IF(AG889&lt;26.75,BMILMS!$D$29*AG889^3+BMILMS!$E$29*AG889^2+BMILMS!$F$29*AG889+BMILMS!$G$29,IF(AG889&lt;90,BMILMS!$D$30*AG889^3+BMILMS!$E$30*AG889^2+BMILMS!$F$30*AG889+BMILMS!$G$30,IF(AG889&lt;150,BMILMS!$D$31*AG889^3+BMILMS!$E$31*AG889^2+BMILMS!$F$31*AG889+BMILMS!$G$31,BMILMS!$D$32*AG889^3+BMILMS!$E$32*AG889^2+BMILMS!$F$32*AG889+BMILMS!$G$32)))))))</f>
        <v>12.568967990000001</v>
      </c>
      <c r="AF889" s="24">
        <f>IF(D889="M",(IF(AG889&lt;90,BMILMS!$D$14*AG889^3+BMILMS!$E$14*AG889^2+BMILMS!$F$14*AG889+BMILMS!$G$14,BMILMS!$D$15*AG889^3+BMILMS!$E$15*AG889^2+BMILMS!$F$15*AG889+BMILMS!$G$15)),(IF(AG889&lt;90,BMILMS!$D$17*AG889^3+BMILMS!$E$17*AG889^2+BMILMS!$F$17*AG889+BMILMS!$G$17,BMILMS!$D$18*AG889^3+BMILMS!$E$18*AG889^2+BMILMS!$F$18*AG889+BMILMS!$G$18)))</f>
        <v>8.8969350000000003E-2</v>
      </c>
      <c r="AG889" s="24">
        <f t="shared" si="224"/>
        <v>0</v>
      </c>
      <c r="AI889" s="38">
        <f>IF(D889="M",WeightSDS!P$5*$AG889^7+WeightSDS!Q$5*$AG889^6+WeightSDS!R$5*$AG889^5+WeightSDS!S$5*$AG889^4+WeightSDS!T$5*$AG889^3+WeightSDS!U$5*$AG889^2+WeightSDS!V$5*$AG889+WeightSDS!W$5,IF($AG889&lt;186,WeightSDS!P$8*$AG889^7+WeightSDS!Q$8*$AG889^6+WeightSDS!R$8*$AG889^5+WeightSDS!S$8*$AG889^4+WeightSDS!T$8*$AG889^3+WeightSDS!U$8*$AG889^2+WeightSDS!V$8*$AG889+WeightSDS!W$8,WeightSDS!$U$9-WeightSDS!$V$9*($AG889-WeightSDS!$W$9)))</f>
        <v>0.75407122999999998</v>
      </c>
      <c r="AJ889" s="24">
        <f>IF(D889="M",IF($AG889&lt;45,WeightSDS!M$23*$AG889^10+WeightSDS!N$23*$AG889^9+WeightSDS!O$23*$AG889^8+WeightSDS!P$23*$AG889^7+WeightSDS!Q$23*$AG889^6+WeightSDS!R$23*$AG889^5+WeightSDS!S$23*$AG889^4+WeightSDS!T$23*$AG889^3+WeightSDS!U$23*$AG889^2+WeightSDS!V$23*$AG889+WeightSDS!W$23,IF($AG889&lt;153,WeightSDS!M$25*$AG889^10+WeightSDS!N$25*$AG889^9+WeightSDS!O$25*$AG889^8+WeightSDS!P$25*$AG889^7+WeightSDS!Q$25*$AG889^6+WeightSDS!R$25*$AG889^5+WeightSDS!S$25*$AG889^4+WeightSDS!T$25*$AG889^3+WeightSDS!U$25*$AG889^2+WeightSDS!V$25*$AG889+WeightSDS!W$25,WeightSDS!M$27+WeightSDS!N$27/(1+EXP(WeightSDS!O$27+WeightSDS!P$27*$AG889)))),IF($AG889&lt;43.8,WeightSDS!M$29*$AG889^10+WeightSDS!N$29*$AG889^9+WeightSDS!O$29*$AG889^8+WeightSDS!P$29*$AG889^7+WeightSDS!Q$29*$AG889^6+WeightSDS!R$29*$AG889^5+WeightSDS!S$29*$AG889^4+WeightSDS!T$29*$AG889^3+WeightSDS!U$29*$AG889^2+WeightSDS!V$29*$AG889+WeightSDS!W$29-0.010431*(1-$AG889/210),IF($AG889&lt;123,WeightSDS!M$30*$AG889^10+WeightSDS!N$30*$AG889^9+WeightSDS!O$30*$AG889^8+WeightSDS!P$30*$AG889^7+WeightSDS!Q$30*$AG889^6+WeightSDS!R$30*$AG889^5+WeightSDS!S$30*$AG889^4+WeightSDS!T$30*$AG889^3+WeightSDS!U$30*$AG889^2+WeightSDS!V$30*$AG889+WeightSDS!W$30-0.010431*(1-1/$AG889),WeightSDS!M$32+WeightSDS!N$32/(1+EXP(WeightSDS!O$32+WeightSDS!P$32*$AG889))-0.010431*(1-$AG889/210))))</f>
        <v>2.9500001032655536</v>
      </c>
      <c r="AK889" s="24">
        <f>IF(D889="M",IF($AG889&lt;162,WeightSDS!P$12*$AG889^7+WeightSDS!Q$12*$AG889^6+WeightSDS!R$12*$AG889^5+WeightSDS!S$12*$AG889^4+WeightSDS!T$12*$AG889^3+WeightSDS!U$12*$AG889^2+WeightSDS!V$12*$AG889+WeightSDS!W$12,WeightSDS!P$14*$AG889^7+WeightSDS!Q$14*$AG889^6+WeightSDS!R$14*$AG889^5+WeightSDS!S$14*$AG889^4+WeightSDS!T$14*$AG889^3+WeightSDS!U$14*$AG889^2+WeightSDS!V$14*$AG889+WeightSDS!W$14),IF($AG889&lt;156,WeightSDS!O$17*$AG889^8+WeightSDS!P$17*$AG889^7+WeightSDS!Q$17*$AG889^6+WeightSDS!R$17*$AG889^5+WeightSDS!S$17*$AG889^4+WeightSDS!T$17*$AG889^3+WeightSDS!U$17*$AG889^2+WeightSDS!V$17*$AG889+WeightSDS!W$17,IF($AG889&lt;186,WeightSDS!$U$18+(WeightSDS!$V$18-WeightSDS!$U$18)/24*($AG889-186)+WeightSDS!$W$18*(-$AG889+186)^2-0.005,WeightSDS!$U$18+(WeightSDS!$V$18-WeightSDS!$U$18)/24*($AG889-186)-0.005)))</f>
        <v>0.14604529399999999</v>
      </c>
    </row>
    <row r="890" spans="1:37">
      <c r="A890" s="4"/>
      <c r="B890" s="21"/>
      <c r="C890" s="21"/>
      <c r="D890" s="21"/>
      <c r="E890" s="22"/>
      <c r="F890" s="22"/>
      <c r="G890" s="23"/>
      <c r="H890" s="23"/>
      <c r="I890" s="8" t="str">
        <f t="shared" si="210"/>
        <v/>
      </c>
      <c r="J890" s="2" t="str">
        <f t="shared" si="217"/>
        <v/>
      </c>
      <c r="K890" s="2" t="str">
        <f t="shared" si="211"/>
        <v/>
      </c>
      <c r="L890" s="2" t="str">
        <f t="shared" si="218"/>
        <v/>
      </c>
      <c r="M890" s="2" t="str">
        <f t="shared" si="223"/>
        <v/>
      </c>
      <c r="N890" s="2" t="str">
        <f t="shared" si="219"/>
        <v/>
      </c>
      <c r="O890" s="8" t="str">
        <f t="shared" si="220"/>
        <v/>
      </c>
      <c r="P890" s="8" t="str">
        <f t="shared" si="221"/>
        <v/>
      </c>
      <c r="Q890" s="40" t="str">
        <f t="shared" si="212"/>
        <v/>
      </c>
      <c r="R890" s="48" t="str">
        <f t="shared" si="222"/>
        <v/>
      </c>
      <c r="S890" s="8"/>
      <c r="U890" s="35">
        <f t="shared" si="213"/>
        <v>0</v>
      </c>
      <c r="V890" s="24">
        <f t="shared" si="214"/>
        <v>0</v>
      </c>
      <c r="W890" s="41">
        <f t="shared" si="225"/>
        <v>0</v>
      </c>
      <c r="X890" s="31"/>
      <c r="Y890" s="31"/>
      <c r="Z890" s="31"/>
      <c r="AA890" s="25">
        <f t="shared" si="215"/>
        <v>9.0359999999999996</v>
      </c>
      <c r="AB890" s="25">
        <f t="shared" si="216"/>
        <v>-184.49199999999999</v>
      </c>
      <c r="AD890" s="24">
        <f>IF(D890="M",IF(AG890&lt;78,BMILMS!$D$5*AG890^3+BMILMS!$E$5*AG890^2+BMILMS!$F$5*AG890+BMILMS!$G$5,IF(AG890&lt;150,BMILMS!$D$6*AG890^3+BMILMS!$E$6*AG890^2+BMILMS!$F$6*AG890+BMILMS!$G$6,BMILMS!$D$7*AG890^3+BMILMS!$E$7*AG890^2+BMILMS!$F$7*AG890+BMILMS!$G$7)),IF(AG890&lt;69,BMILMS!$D$9*AG890^3+BMILMS!$E$9*AG890^2+BMILMS!$F$9*AG890+BMILMS!$G$9,IF(AG890&lt;150,BMILMS!$D$10*AG890^3+BMILMS!$E$10*AG890^2+BMILMS!$F$10*AG890+BMILMS!$G$10,BMILMS!$D$11*AG890^3+BMILMS!$E$11*AG890^2+BMILMS!$F$11*AG890+BMILMS!$G$11)))</f>
        <v>0.79584630099999998</v>
      </c>
      <c r="AE890" s="24">
        <f>IF(D890="M",(IF(AG890&lt;2.5,BMILMS!$D$21*AG890^3+BMILMS!$E$21*AG890^2+BMILMS!$F$21*AG890+BMILMS!$G$21,IF(AG890&lt;9.5,BMILMS!$D$22*AG890^3+BMILMS!$E$22*AG890^2+BMILMS!$F$22*AG890+BMILMS!$G$22,IF(AG890&lt;26.75,BMILMS!$D$23*AG890^3+BMILMS!$E$23*AG890^2+BMILMS!$F$23*AG890+BMILMS!$G$23,IF(AG890&lt;90,BMILMS!$D$24*AG890^3+BMILMS!$E$24*AG890^2+BMILMS!$F$24*AG890+BMILMS!$G$24,BMILMS!$D$25*AG890^3+BMILMS!$E$25*AG890^2+BMILMS!$F$25*AG890+BMILMS!$G$25))))),(IF(AG890&lt;2.5,BMILMS!$D$27*AG890^3+BMILMS!$E$27*AG890^2+BMILMS!$F$27*AG890+BMILMS!$G$27,IF(AG890&lt;9.5,BMILMS!$D$28*AG890^3+BMILMS!$E$28*AG890^2+BMILMS!$F$28*AG890+BMILMS!$G$28,IF(AG890&lt;26.75,BMILMS!$D$29*AG890^3+BMILMS!$E$29*AG890^2+BMILMS!$F$29*AG890+BMILMS!$G$29,IF(AG890&lt;90,BMILMS!$D$30*AG890^3+BMILMS!$E$30*AG890^2+BMILMS!$F$30*AG890+BMILMS!$G$30,IF(AG890&lt;150,BMILMS!$D$31*AG890^3+BMILMS!$E$31*AG890^2+BMILMS!$F$31*AG890+BMILMS!$G$31,BMILMS!$D$32*AG890^3+BMILMS!$E$32*AG890^2+BMILMS!$F$32*AG890+BMILMS!$G$32)))))))</f>
        <v>12.568967990000001</v>
      </c>
      <c r="AF890" s="24">
        <f>IF(D890="M",(IF(AG890&lt;90,BMILMS!$D$14*AG890^3+BMILMS!$E$14*AG890^2+BMILMS!$F$14*AG890+BMILMS!$G$14,BMILMS!$D$15*AG890^3+BMILMS!$E$15*AG890^2+BMILMS!$F$15*AG890+BMILMS!$G$15)),(IF(AG890&lt;90,BMILMS!$D$17*AG890^3+BMILMS!$E$17*AG890^2+BMILMS!$F$17*AG890+BMILMS!$G$17,BMILMS!$D$18*AG890^3+BMILMS!$E$18*AG890^2+BMILMS!$F$18*AG890+BMILMS!$G$18)))</f>
        <v>8.8969350000000003E-2</v>
      </c>
      <c r="AG890" s="24">
        <f t="shared" si="224"/>
        <v>0</v>
      </c>
      <c r="AI890" s="38">
        <f>IF(D890="M",WeightSDS!P$5*$AG890^7+WeightSDS!Q$5*$AG890^6+WeightSDS!R$5*$AG890^5+WeightSDS!S$5*$AG890^4+WeightSDS!T$5*$AG890^3+WeightSDS!U$5*$AG890^2+WeightSDS!V$5*$AG890+WeightSDS!W$5,IF($AG890&lt;186,WeightSDS!P$8*$AG890^7+WeightSDS!Q$8*$AG890^6+WeightSDS!R$8*$AG890^5+WeightSDS!S$8*$AG890^4+WeightSDS!T$8*$AG890^3+WeightSDS!U$8*$AG890^2+WeightSDS!V$8*$AG890+WeightSDS!W$8,WeightSDS!$U$9-WeightSDS!$V$9*($AG890-WeightSDS!$W$9)))</f>
        <v>0.75407122999999998</v>
      </c>
      <c r="AJ890" s="24">
        <f>IF(D890="M",IF($AG890&lt;45,WeightSDS!M$23*$AG890^10+WeightSDS!N$23*$AG890^9+WeightSDS!O$23*$AG890^8+WeightSDS!P$23*$AG890^7+WeightSDS!Q$23*$AG890^6+WeightSDS!R$23*$AG890^5+WeightSDS!S$23*$AG890^4+WeightSDS!T$23*$AG890^3+WeightSDS!U$23*$AG890^2+WeightSDS!V$23*$AG890+WeightSDS!W$23,IF($AG890&lt;153,WeightSDS!M$25*$AG890^10+WeightSDS!N$25*$AG890^9+WeightSDS!O$25*$AG890^8+WeightSDS!P$25*$AG890^7+WeightSDS!Q$25*$AG890^6+WeightSDS!R$25*$AG890^5+WeightSDS!S$25*$AG890^4+WeightSDS!T$25*$AG890^3+WeightSDS!U$25*$AG890^2+WeightSDS!V$25*$AG890+WeightSDS!W$25,WeightSDS!M$27+WeightSDS!N$27/(1+EXP(WeightSDS!O$27+WeightSDS!P$27*$AG890)))),IF($AG890&lt;43.8,WeightSDS!M$29*$AG890^10+WeightSDS!N$29*$AG890^9+WeightSDS!O$29*$AG890^8+WeightSDS!P$29*$AG890^7+WeightSDS!Q$29*$AG890^6+WeightSDS!R$29*$AG890^5+WeightSDS!S$29*$AG890^4+WeightSDS!T$29*$AG890^3+WeightSDS!U$29*$AG890^2+WeightSDS!V$29*$AG890+WeightSDS!W$29-0.010431*(1-$AG890/210),IF($AG890&lt;123,WeightSDS!M$30*$AG890^10+WeightSDS!N$30*$AG890^9+WeightSDS!O$30*$AG890^8+WeightSDS!P$30*$AG890^7+WeightSDS!Q$30*$AG890^6+WeightSDS!R$30*$AG890^5+WeightSDS!S$30*$AG890^4+WeightSDS!T$30*$AG890^3+WeightSDS!U$30*$AG890^2+WeightSDS!V$30*$AG890+WeightSDS!W$30-0.010431*(1-1/$AG890),WeightSDS!M$32+WeightSDS!N$32/(1+EXP(WeightSDS!O$32+WeightSDS!P$32*$AG890))-0.010431*(1-$AG890/210))))</f>
        <v>2.9500001032655536</v>
      </c>
      <c r="AK890" s="24">
        <f>IF(D890="M",IF($AG890&lt;162,WeightSDS!P$12*$AG890^7+WeightSDS!Q$12*$AG890^6+WeightSDS!R$12*$AG890^5+WeightSDS!S$12*$AG890^4+WeightSDS!T$12*$AG890^3+WeightSDS!U$12*$AG890^2+WeightSDS!V$12*$AG890+WeightSDS!W$12,WeightSDS!P$14*$AG890^7+WeightSDS!Q$14*$AG890^6+WeightSDS!R$14*$AG890^5+WeightSDS!S$14*$AG890^4+WeightSDS!T$14*$AG890^3+WeightSDS!U$14*$AG890^2+WeightSDS!V$14*$AG890+WeightSDS!W$14),IF($AG890&lt;156,WeightSDS!O$17*$AG890^8+WeightSDS!P$17*$AG890^7+WeightSDS!Q$17*$AG890^6+WeightSDS!R$17*$AG890^5+WeightSDS!S$17*$AG890^4+WeightSDS!T$17*$AG890^3+WeightSDS!U$17*$AG890^2+WeightSDS!V$17*$AG890+WeightSDS!W$17,IF($AG890&lt;186,WeightSDS!$U$18+(WeightSDS!$V$18-WeightSDS!$U$18)/24*($AG890-186)+WeightSDS!$W$18*(-$AG890+186)^2-0.005,WeightSDS!$U$18+(WeightSDS!$V$18-WeightSDS!$U$18)/24*($AG890-186)-0.005)))</f>
        <v>0.14604529399999999</v>
      </c>
    </row>
    <row r="891" spans="1:37">
      <c r="A891" s="4"/>
      <c r="B891" s="21"/>
      <c r="C891" s="21"/>
      <c r="D891" s="21"/>
      <c r="E891" s="22"/>
      <c r="F891" s="22"/>
      <c r="G891" s="23"/>
      <c r="H891" s="23"/>
      <c r="I891" s="8" t="str">
        <f t="shared" si="210"/>
        <v/>
      </c>
      <c r="J891" s="2" t="str">
        <f t="shared" si="217"/>
        <v/>
      </c>
      <c r="K891" s="2" t="str">
        <f t="shared" si="211"/>
        <v/>
      </c>
      <c r="L891" s="2" t="str">
        <f t="shared" si="218"/>
        <v/>
      </c>
      <c r="M891" s="2" t="str">
        <f t="shared" si="223"/>
        <v/>
      </c>
      <c r="N891" s="2" t="str">
        <f t="shared" si="219"/>
        <v/>
      </c>
      <c r="O891" s="8" t="str">
        <f t="shared" si="220"/>
        <v/>
      </c>
      <c r="P891" s="8" t="str">
        <f t="shared" si="221"/>
        <v/>
      </c>
      <c r="Q891" s="40" t="str">
        <f t="shared" si="212"/>
        <v/>
      </c>
      <c r="R891" s="48" t="str">
        <f t="shared" si="222"/>
        <v/>
      </c>
      <c r="S891" s="8"/>
      <c r="U891" s="35">
        <f t="shared" si="213"/>
        <v>0</v>
      </c>
      <c r="V891" s="24">
        <f t="shared" si="214"/>
        <v>0</v>
      </c>
      <c r="W891" s="41">
        <f t="shared" si="225"/>
        <v>0</v>
      </c>
      <c r="X891" s="31"/>
      <c r="Y891" s="31"/>
      <c r="Z891" s="31"/>
      <c r="AA891" s="25">
        <f t="shared" si="215"/>
        <v>9.0359999999999996</v>
      </c>
      <c r="AB891" s="25">
        <f t="shared" si="216"/>
        <v>-184.49199999999999</v>
      </c>
      <c r="AD891" s="24">
        <f>IF(D891="M",IF(AG891&lt;78,BMILMS!$D$5*AG891^3+BMILMS!$E$5*AG891^2+BMILMS!$F$5*AG891+BMILMS!$G$5,IF(AG891&lt;150,BMILMS!$D$6*AG891^3+BMILMS!$E$6*AG891^2+BMILMS!$F$6*AG891+BMILMS!$G$6,BMILMS!$D$7*AG891^3+BMILMS!$E$7*AG891^2+BMILMS!$F$7*AG891+BMILMS!$G$7)),IF(AG891&lt;69,BMILMS!$D$9*AG891^3+BMILMS!$E$9*AG891^2+BMILMS!$F$9*AG891+BMILMS!$G$9,IF(AG891&lt;150,BMILMS!$D$10*AG891^3+BMILMS!$E$10*AG891^2+BMILMS!$F$10*AG891+BMILMS!$G$10,BMILMS!$D$11*AG891^3+BMILMS!$E$11*AG891^2+BMILMS!$F$11*AG891+BMILMS!$G$11)))</f>
        <v>0.79584630099999998</v>
      </c>
      <c r="AE891" s="24">
        <f>IF(D891="M",(IF(AG891&lt;2.5,BMILMS!$D$21*AG891^3+BMILMS!$E$21*AG891^2+BMILMS!$F$21*AG891+BMILMS!$G$21,IF(AG891&lt;9.5,BMILMS!$D$22*AG891^3+BMILMS!$E$22*AG891^2+BMILMS!$F$22*AG891+BMILMS!$G$22,IF(AG891&lt;26.75,BMILMS!$D$23*AG891^3+BMILMS!$E$23*AG891^2+BMILMS!$F$23*AG891+BMILMS!$G$23,IF(AG891&lt;90,BMILMS!$D$24*AG891^3+BMILMS!$E$24*AG891^2+BMILMS!$F$24*AG891+BMILMS!$G$24,BMILMS!$D$25*AG891^3+BMILMS!$E$25*AG891^2+BMILMS!$F$25*AG891+BMILMS!$G$25))))),(IF(AG891&lt;2.5,BMILMS!$D$27*AG891^3+BMILMS!$E$27*AG891^2+BMILMS!$F$27*AG891+BMILMS!$G$27,IF(AG891&lt;9.5,BMILMS!$D$28*AG891^3+BMILMS!$E$28*AG891^2+BMILMS!$F$28*AG891+BMILMS!$G$28,IF(AG891&lt;26.75,BMILMS!$D$29*AG891^3+BMILMS!$E$29*AG891^2+BMILMS!$F$29*AG891+BMILMS!$G$29,IF(AG891&lt;90,BMILMS!$D$30*AG891^3+BMILMS!$E$30*AG891^2+BMILMS!$F$30*AG891+BMILMS!$G$30,IF(AG891&lt;150,BMILMS!$D$31*AG891^3+BMILMS!$E$31*AG891^2+BMILMS!$F$31*AG891+BMILMS!$G$31,BMILMS!$D$32*AG891^3+BMILMS!$E$32*AG891^2+BMILMS!$F$32*AG891+BMILMS!$G$32)))))))</f>
        <v>12.568967990000001</v>
      </c>
      <c r="AF891" s="24">
        <f>IF(D891="M",(IF(AG891&lt;90,BMILMS!$D$14*AG891^3+BMILMS!$E$14*AG891^2+BMILMS!$F$14*AG891+BMILMS!$G$14,BMILMS!$D$15*AG891^3+BMILMS!$E$15*AG891^2+BMILMS!$F$15*AG891+BMILMS!$G$15)),(IF(AG891&lt;90,BMILMS!$D$17*AG891^3+BMILMS!$E$17*AG891^2+BMILMS!$F$17*AG891+BMILMS!$G$17,BMILMS!$D$18*AG891^3+BMILMS!$E$18*AG891^2+BMILMS!$F$18*AG891+BMILMS!$G$18)))</f>
        <v>8.8969350000000003E-2</v>
      </c>
      <c r="AG891" s="24">
        <f t="shared" si="224"/>
        <v>0</v>
      </c>
      <c r="AI891" s="38">
        <f>IF(D891="M",WeightSDS!P$5*$AG891^7+WeightSDS!Q$5*$AG891^6+WeightSDS!R$5*$AG891^5+WeightSDS!S$5*$AG891^4+WeightSDS!T$5*$AG891^3+WeightSDS!U$5*$AG891^2+WeightSDS!V$5*$AG891+WeightSDS!W$5,IF($AG891&lt;186,WeightSDS!P$8*$AG891^7+WeightSDS!Q$8*$AG891^6+WeightSDS!R$8*$AG891^5+WeightSDS!S$8*$AG891^4+WeightSDS!T$8*$AG891^3+WeightSDS!U$8*$AG891^2+WeightSDS!V$8*$AG891+WeightSDS!W$8,WeightSDS!$U$9-WeightSDS!$V$9*($AG891-WeightSDS!$W$9)))</f>
        <v>0.75407122999999998</v>
      </c>
      <c r="AJ891" s="24">
        <f>IF(D891="M",IF($AG891&lt;45,WeightSDS!M$23*$AG891^10+WeightSDS!N$23*$AG891^9+WeightSDS!O$23*$AG891^8+WeightSDS!P$23*$AG891^7+WeightSDS!Q$23*$AG891^6+WeightSDS!R$23*$AG891^5+WeightSDS!S$23*$AG891^4+WeightSDS!T$23*$AG891^3+WeightSDS!U$23*$AG891^2+WeightSDS!V$23*$AG891+WeightSDS!W$23,IF($AG891&lt;153,WeightSDS!M$25*$AG891^10+WeightSDS!N$25*$AG891^9+WeightSDS!O$25*$AG891^8+WeightSDS!P$25*$AG891^7+WeightSDS!Q$25*$AG891^6+WeightSDS!R$25*$AG891^5+WeightSDS!S$25*$AG891^4+WeightSDS!T$25*$AG891^3+WeightSDS!U$25*$AG891^2+WeightSDS!V$25*$AG891+WeightSDS!W$25,WeightSDS!M$27+WeightSDS!N$27/(1+EXP(WeightSDS!O$27+WeightSDS!P$27*$AG891)))),IF($AG891&lt;43.8,WeightSDS!M$29*$AG891^10+WeightSDS!N$29*$AG891^9+WeightSDS!O$29*$AG891^8+WeightSDS!P$29*$AG891^7+WeightSDS!Q$29*$AG891^6+WeightSDS!R$29*$AG891^5+WeightSDS!S$29*$AG891^4+WeightSDS!T$29*$AG891^3+WeightSDS!U$29*$AG891^2+WeightSDS!V$29*$AG891+WeightSDS!W$29-0.010431*(1-$AG891/210),IF($AG891&lt;123,WeightSDS!M$30*$AG891^10+WeightSDS!N$30*$AG891^9+WeightSDS!O$30*$AG891^8+WeightSDS!P$30*$AG891^7+WeightSDS!Q$30*$AG891^6+WeightSDS!R$30*$AG891^5+WeightSDS!S$30*$AG891^4+WeightSDS!T$30*$AG891^3+WeightSDS!U$30*$AG891^2+WeightSDS!V$30*$AG891+WeightSDS!W$30-0.010431*(1-1/$AG891),WeightSDS!M$32+WeightSDS!N$32/(1+EXP(WeightSDS!O$32+WeightSDS!P$32*$AG891))-0.010431*(1-$AG891/210))))</f>
        <v>2.9500001032655536</v>
      </c>
      <c r="AK891" s="24">
        <f>IF(D891="M",IF($AG891&lt;162,WeightSDS!P$12*$AG891^7+WeightSDS!Q$12*$AG891^6+WeightSDS!R$12*$AG891^5+WeightSDS!S$12*$AG891^4+WeightSDS!T$12*$AG891^3+WeightSDS!U$12*$AG891^2+WeightSDS!V$12*$AG891+WeightSDS!W$12,WeightSDS!P$14*$AG891^7+WeightSDS!Q$14*$AG891^6+WeightSDS!R$14*$AG891^5+WeightSDS!S$14*$AG891^4+WeightSDS!T$14*$AG891^3+WeightSDS!U$14*$AG891^2+WeightSDS!V$14*$AG891+WeightSDS!W$14),IF($AG891&lt;156,WeightSDS!O$17*$AG891^8+WeightSDS!P$17*$AG891^7+WeightSDS!Q$17*$AG891^6+WeightSDS!R$17*$AG891^5+WeightSDS!S$17*$AG891^4+WeightSDS!T$17*$AG891^3+WeightSDS!U$17*$AG891^2+WeightSDS!V$17*$AG891+WeightSDS!W$17,IF($AG891&lt;186,WeightSDS!$U$18+(WeightSDS!$V$18-WeightSDS!$U$18)/24*($AG891-186)+WeightSDS!$W$18*(-$AG891+186)^2-0.005,WeightSDS!$U$18+(WeightSDS!$V$18-WeightSDS!$U$18)/24*($AG891-186)-0.005)))</f>
        <v>0.14604529399999999</v>
      </c>
    </row>
    <row r="892" spans="1:37">
      <c r="A892" s="4"/>
      <c r="B892" s="21"/>
      <c r="C892" s="21"/>
      <c r="D892" s="21"/>
      <c r="E892" s="22"/>
      <c r="F892" s="22"/>
      <c r="G892" s="23"/>
      <c r="H892" s="23"/>
      <c r="I892" s="8" t="str">
        <f t="shared" si="210"/>
        <v/>
      </c>
      <c r="J892" s="2" t="str">
        <f t="shared" si="217"/>
        <v/>
      </c>
      <c r="K892" s="2" t="str">
        <f t="shared" si="211"/>
        <v/>
      </c>
      <c r="L892" s="2" t="str">
        <f t="shared" si="218"/>
        <v/>
      </c>
      <c r="M892" s="2" t="str">
        <f t="shared" si="223"/>
        <v/>
      </c>
      <c r="N892" s="2" t="str">
        <f t="shared" si="219"/>
        <v/>
      </c>
      <c r="O892" s="8" t="str">
        <f t="shared" si="220"/>
        <v/>
      </c>
      <c r="P892" s="8" t="str">
        <f t="shared" si="221"/>
        <v/>
      </c>
      <c r="Q892" s="40" t="str">
        <f t="shared" si="212"/>
        <v/>
      </c>
      <c r="R892" s="48" t="str">
        <f t="shared" si="222"/>
        <v/>
      </c>
      <c r="S892" s="8"/>
      <c r="U892" s="35">
        <f t="shared" si="213"/>
        <v>0</v>
      </c>
      <c r="V892" s="24">
        <f t="shared" si="214"/>
        <v>0</v>
      </c>
      <c r="W892" s="41">
        <f t="shared" si="225"/>
        <v>0</v>
      </c>
      <c r="X892" s="31"/>
      <c r="Y892" s="31"/>
      <c r="Z892" s="31"/>
      <c r="AA892" s="25">
        <f t="shared" si="215"/>
        <v>9.0359999999999996</v>
      </c>
      <c r="AB892" s="25">
        <f t="shared" si="216"/>
        <v>-184.49199999999999</v>
      </c>
      <c r="AD892" s="24">
        <f>IF(D892="M",IF(AG892&lt;78,BMILMS!$D$5*AG892^3+BMILMS!$E$5*AG892^2+BMILMS!$F$5*AG892+BMILMS!$G$5,IF(AG892&lt;150,BMILMS!$D$6*AG892^3+BMILMS!$E$6*AG892^2+BMILMS!$F$6*AG892+BMILMS!$G$6,BMILMS!$D$7*AG892^3+BMILMS!$E$7*AG892^2+BMILMS!$F$7*AG892+BMILMS!$G$7)),IF(AG892&lt;69,BMILMS!$D$9*AG892^3+BMILMS!$E$9*AG892^2+BMILMS!$F$9*AG892+BMILMS!$G$9,IF(AG892&lt;150,BMILMS!$D$10*AG892^3+BMILMS!$E$10*AG892^2+BMILMS!$F$10*AG892+BMILMS!$G$10,BMILMS!$D$11*AG892^3+BMILMS!$E$11*AG892^2+BMILMS!$F$11*AG892+BMILMS!$G$11)))</f>
        <v>0.79584630099999998</v>
      </c>
      <c r="AE892" s="24">
        <f>IF(D892="M",(IF(AG892&lt;2.5,BMILMS!$D$21*AG892^3+BMILMS!$E$21*AG892^2+BMILMS!$F$21*AG892+BMILMS!$G$21,IF(AG892&lt;9.5,BMILMS!$D$22*AG892^3+BMILMS!$E$22*AG892^2+BMILMS!$F$22*AG892+BMILMS!$G$22,IF(AG892&lt;26.75,BMILMS!$D$23*AG892^3+BMILMS!$E$23*AG892^2+BMILMS!$F$23*AG892+BMILMS!$G$23,IF(AG892&lt;90,BMILMS!$D$24*AG892^3+BMILMS!$E$24*AG892^2+BMILMS!$F$24*AG892+BMILMS!$G$24,BMILMS!$D$25*AG892^3+BMILMS!$E$25*AG892^2+BMILMS!$F$25*AG892+BMILMS!$G$25))))),(IF(AG892&lt;2.5,BMILMS!$D$27*AG892^3+BMILMS!$E$27*AG892^2+BMILMS!$F$27*AG892+BMILMS!$G$27,IF(AG892&lt;9.5,BMILMS!$D$28*AG892^3+BMILMS!$E$28*AG892^2+BMILMS!$F$28*AG892+BMILMS!$G$28,IF(AG892&lt;26.75,BMILMS!$D$29*AG892^3+BMILMS!$E$29*AG892^2+BMILMS!$F$29*AG892+BMILMS!$G$29,IF(AG892&lt;90,BMILMS!$D$30*AG892^3+BMILMS!$E$30*AG892^2+BMILMS!$F$30*AG892+BMILMS!$G$30,IF(AG892&lt;150,BMILMS!$D$31*AG892^3+BMILMS!$E$31*AG892^2+BMILMS!$F$31*AG892+BMILMS!$G$31,BMILMS!$D$32*AG892^3+BMILMS!$E$32*AG892^2+BMILMS!$F$32*AG892+BMILMS!$G$32)))))))</f>
        <v>12.568967990000001</v>
      </c>
      <c r="AF892" s="24">
        <f>IF(D892="M",(IF(AG892&lt;90,BMILMS!$D$14*AG892^3+BMILMS!$E$14*AG892^2+BMILMS!$F$14*AG892+BMILMS!$G$14,BMILMS!$D$15*AG892^3+BMILMS!$E$15*AG892^2+BMILMS!$F$15*AG892+BMILMS!$G$15)),(IF(AG892&lt;90,BMILMS!$D$17*AG892^3+BMILMS!$E$17*AG892^2+BMILMS!$F$17*AG892+BMILMS!$G$17,BMILMS!$D$18*AG892^3+BMILMS!$E$18*AG892^2+BMILMS!$F$18*AG892+BMILMS!$G$18)))</f>
        <v>8.8969350000000003E-2</v>
      </c>
      <c r="AG892" s="24">
        <f t="shared" si="224"/>
        <v>0</v>
      </c>
      <c r="AI892" s="38">
        <f>IF(D892="M",WeightSDS!P$5*$AG892^7+WeightSDS!Q$5*$AG892^6+WeightSDS!R$5*$AG892^5+WeightSDS!S$5*$AG892^4+WeightSDS!T$5*$AG892^3+WeightSDS!U$5*$AG892^2+WeightSDS!V$5*$AG892+WeightSDS!W$5,IF($AG892&lt;186,WeightSDS!P$8*$AG892^7+WeightSDS!Q$8*$AG892^6+WeightSDS!R$8*$AG892^5+WeightSDS!S$8*$AG892^4+WeightSDS!T$8*$AG892^3+WeightSDS!U$8*$AG892^2+WeightSDS!V$8*$AG892+WeightSDS!W$8,WeightSDS!$U$9-WeightSDS!$V$9*($AG892-WeightSDS!$W$9)))</f>
        <v>0.75407122999999998</v>
      </c>
      <c r="AJ892" s="24">
        <f>IF(D892="M",IF($AG892&lt;45,WeightSDS!M$23*$AG892^10+WeightSDS!N$23*$AG892^9+WeightSDS!O$23*$AG892^8+WeightSDS!P$23*$AG892^7+WeightSDS!Q$23*$AG892^6+WeightSDS!R$23*$AG892^5+WeightSDS!S$23*$AG892^4+WeightSDS!T$23*$AG892^3+WeightSDS!U$23*$AG892^2+WeightSDS!V$23*$AG892+WeightSDS!W$23,IF($AG892&lt;153,WeightSDS!M$25*$AG892^10+WeightSDS!N$25*$AG892^9+WeightSDS!O$25*$AG892^8+WeightSDS!P$25*$AG892^7+WeightSDS!Q$25*$AG892^6+WeightSDS!R$25*$AG892^5+WeightSDS!S$25*$AG892^4+WeightSDS!T$25*$AG892^3+WeightSDS!U$25*$AG892^2+WeightSDS!V$25*$AG892+WeightSDS!W$25,WeightSDS!M$27+WeightSDS!N$27/(1+EXP(WeightSDS!O$27+WeightSDS!P$27*$AG892)))),IF($AG892&lt;43.8,WeightSDS!M$29*$AG892^10+WeightSDS!N$29*$AG892^9+WeightSDS!O$29*$AG892^8+WeightSDS!P$29*$AG892^7+WeightSDS!Q$29*$AG892^6+WeightSDS!R$29*$AG892^5+WeightSDS!S$29*$AG892^4+WeightSDS!T$29*$AG892^3+WeightSDS!U$29*$AG892^2+WeightSDS!V$29*$AG892+WeightSDS!W$29-0.010431*(1-$AG892/210),IF($AG892&lt;123,WeightSDS!M$30*$AG892^10+WeightSDS!N$30*$AG892^9+WeightSDS!O$30*$AG892^8+WeightSDS!P$30*$AG892^7+WeightSDS!Q$30*$AG892^6+WeightSDS!R$30*$AG892^5+WeightSDS!S$30*$AG892^4+WeightSDS!T$30*$AG892^3+WeightSDS!U$30*$AG892^2+WeightSDS!V$30*$AG892+WeightSDS!W$30-0.010431*(1-1/$AG892),WeightSDS!M$32+WeightSDS!N$32/(1+EXP(WeightSDS!O$32+WeightSDS!P$32*$AG892))-0.010431*(1-$AG892/210))))</f>
        <v>2.9500001032655536</v>
      </c>
      <c r="AK892" s="24">
        <f>IF(D892="M",IF($AG892&lt;162,WeightSDS!P$12*$AG892^7+WeightSDS!Q$12*$AG892^6+WeightSDS!R$12*$AG892^5+WeightSDS!S$12*$AG892^4+WeightSDS!T$12*$AG892^3+WeightSDS!U$12*$AG892^2+WeightSDS!V$12*$AG892+WeightSDS!W$12,WeightSDS!P$14*$AG892^7+WeightSDS!Q$14*$AG892^6+WeightSDS!R$14*$AG892^5+WeightSDS!S$14*$AG892^4+WeightSDS!T$14*$AG892^3+WeightSDS!U$14*$AG892^2+WeightSDS!V$14*$AG892+WeightSDS!W$14),IF($AG892&lt;156,WeightSDS!O$17*$AG892^8+WeightSDS!P$17*$AG892^7+WeightSDS!Q$17*$AG892^6+WeightSDS!R$17*$AG892^5+WeightSDS!S$17*$AG892^4+WeightSDS!T$17*$AG892^3+WeightSDS!U$17*$AG892^2+WeightSDS!V$17*$AG892+WeightSDS!W$17,IF($AG892&lt;186,WeightSDS!$U$18+(WeightSDS!$V$18-WeightSDS!$U$18)/24*($AG892-186)+WeightSDS!$W$18*(-$AG892+186)^2-0.005,WeightSDS!$U$18+(WeightSDS!$V$18-WeightSDS!$U$18)/24*($AG892-186)-0.005)))</f>
        <v>0.14604529399999999</v>
      </c>
    </row>
    <row r="893" spans="1:37">
      <c r="A893" s="4"/>
      <c r="B893" s="21"/>
      <c r="C893" s="21"/>
      <c r="D893" s="21"/>
      <c r="E893" s="22"/>
      <c r="F893" s="22"/>
      <c r="G893" s="23"/>
      <c r="H893" s="23"/>
      <c r="I893" s="8" t="str">
        <f t="shared" si="210"/>
        <v/>
      </c>
      <c r="J893" s="2" t="str">
        <f t="shared" si="217"/>
        <v/>
      </c>
      <c r="K893" s="2" t="str">
        <f t="shared" si="211"/>
        <v/>
      </c>
      <c r="L893" s="2" t="str">
        <f t="shared" si="218"/>
        <v/>
      </c>
      <c r="M893" s="2" t="str">
        <f t="shared" si="223"/>
        <v/>
      </c>
      <c r="N893" s="2" t="str">
        <f t="shared" si="219"/>
        <v/>
      </c>
      <c r="O893" s="8" t="str">
        <f t="shared" si="220"/>
        <v/>
      </c>
      <c r="P893" s="8" t="str">
        <f t="shared" si="221"/>
        <v/>
      </c>
      <c r="Q893" s="40" t="str">
        <f t="shared" si="212"/>
        <v/>
      </c>
      <c r="R893" s="48" t="str">
        <f t="shared" si="222"/>
        <v/>
      </c>
      <c r="S893" s="8"/>
      <c r="U893" s="35">
        <f t="shared" si="213"/>
        <v>0</v>
      </c>
      <c r="V893" s="24">
        <f t="shared" si="214"/>
        <v>0</v>
      </c>
      <c r="W893" s="41">
        <f t="shared" si="225"/>
        <v>0</v>
      </c>
      <c r="X893" s="31"/>
      <c r="Y893" s="31"/>
      <c r="Z893" s="31"/>
      <c r="AA893" s="25">
        <f t="shared" si="215"/>
        <v>9.0359999999999996</v>
      </c>
      <c r="AB893" s="25">
        <f t="shared" si="216"/>
        <v>-184.49199999999999</v>
      </c>
      <c r="AD893" s="24">
        <f>IF(D893="M",IF(AG893&lt;78,BMILMS!$D$5*AG893^3+BMILMS!$E$5*AG893^2+BMILMS!$F$5*AG893+BMILMS!$G$5,IF(AG893&lt;150,BMILMS!$D$6*AG893^3+BMILMS!$E$6*AG893^2+BMILMS!$F$6*AG893+BMILMS!$G$6,BMILMS!$D$7*AG893^3+BMILMS!$E$7*AG893^2+BMILMS!$F$7*AG893+BMILMS!$G$7)),IF(AG893&lt;69,BMILMS!$D$9*AG893^3+BMILMS!$E$9*AG893^2+BMILMS!$F$9*AG893+BMILMS!$G$9,IF(AG893&lt;150,BMILMS!$D$10*AG893^3+BMILMS!$E$10*AG893^2+BMILMS!$F$10*AG893+BMILMS!$G$10,BMILMS!$D$11*AG893^3+BMILMS!$E$11*AG893^2+BMILMS!$F$11*AG893+BMILMS!$G$11)))</f>
        <v>0.79584630099999998</v>
      </c>
      <c r="AE893" s="24">
        <f>IF(D893="M",(IF(AG893&lt;2.5,BMILMS!$D$21*AG893^3+BMILMS!$E$21*AG893^2+BMILMS!$F$21*AG893+BMILMS!$G$21,IF(AG893&lt;9.5,BMILMS!$D$22*AG893^3+BMILMS!$E$22*AG893^2+BMILMS!$F$22*AG893+BMILMS!$G$22,IF(AG893&lt;26.75,BMILMS!$D$23*AG893^3+BMILMS!$E$23*AG893^2+BMILMS!$F$23*AG893+BMILMS!$G$23,IF(AG893&lt;90,BMILMS!$D$24*AG893^3+BMILMS!$E$24*AG893^2+BMILMS!$F$24*AG893+BMILMS!$G$24,BMILMS!$D$25*AG893^3+BMILMS!$E$25*AG893^2+BMILMS!$F$25*AG893+BMILMS!$G$25))))),(IF(AG893&lt;2.5,BMILMS!$D$27*AG893^3+BMILMS!$E$27*AG893^2+BMILMS!$F$27*AG893+BMILMS!$G$27,IF(AG893&lt;9.5,BMILMS!$D$28*AG893^3+BMILMS!$E$28*AG893^2+BMILMS!$F$28*AG893+BMILMS!$G$28,IF(AG893&lt;26.75,BMILMS!$D$29*AG893^3+BMILMS!$E$29*AG893^2+BMILMS!$F$29*AG893+BMILMS!$G$29,IF(AG893&lt;90,BMILMS!$D$30*AG893^3+BMILMS!$E$30*AG893^2+BMILMS!$F$30*AG893+BMILMS!$G$30,IF(AG893&lt;150,BMILMS!$D$31*AG893^3+BMILMS!$E$31*AG893^2+BMILMS!$F$31*AG893+BMILMS!$G$31,BMILMS!$D$32*AG893^3+BMILMS!$E$32*AG893^2+BMILMS!$F$32*AG893+BMILMS!$G$32)))))))</f>
        <v>12.568967990000001</v>
      </c>
      <c r="AF893" s="24">
        <f>IF(D893="M",(IF(AG893&lt;90,BMILMS!$D$14*AG893^3+BMILMS!$E$14*AG893^2+BMILMS!$F$14*AG893+BMILMS!$G$14,BMILMS!$D$15*AG893^3+BMILMS!$E$15*AG893^2+BMILMS!$F$15*AG893+BMILMS!$G$15)),(IF(AG893&lt;90,BMILMS!$D$17*AG893^3+BMILMS!$E$17*AG893^2+BMILMS!$F$17*AG893+BMILMS!$G$17,BMILMS!$D$18*AG893^3+BMILMS!$E$18*AG893^2+BMILMS!$F$18*AG893+BMILMS!$G$18)))</f>
        <v>8.8969350000000003E-2</v>
      </c>
      <c r="AG893" s="24">
        <f t="shared" si="224"/>
        <v>0</v>
      </c>
      <c r="AI893" s="38">
        <f>IF(D893="M",WeightSDS!P$5*$AG893^7+WeightSDS!Q$5*$AG893^6+WeightSDS!R$5*$AG893^5+WeightSDS!S$5*$AG893^4+WeightSDS!T$5*$AG893^3+WeightSDS!U$5*$AG893^2+WeightSDS!V$5*$AG893+WeightSDS!W$5,IF($AG893&lt;186,WeightSDS!P$8*$AG893^7+WeightSDS!Q$8*$AG893^6+WeightSDS!R$8*$AG893^5+WeightSDS!S$8*$AG893^4+WeightSDS!T$8*$AG893^3+WeightSDS!U$8*$AG893^2+WeightSDS!V$8*$AG893+WeightSDS!W$8,WeightSDS!$U$9-WeightSDS!$V$9*($AG893-WeightSDS!$W$9)))</f>
        <v>0.75407122999999998</v>
      </c>
      <c r="AJ893" s="24">
        <f>IF(D893="M",IF($AG893&lt;45,WeightSDS!M$23*$AG893^10+WeightSDS!N$23*$AG893^9+WeightSDS!O$23*$AG893^8+WeightSDS!P$23*$AG893^7+WeightSDS!Q$23*$AG893^6+WeightSDS!R$23*$AG893^5+WeightSDS!S$23*$AG893^4+WeightSDS!T$23*$AG893^3+WeightSDS!U$23*$AG893^2+WeightSDS!V$23*$AG893+WeightSDS!W$23,IF($AG893&lt;153,WeightSDS!M$25*$AG893^10+WeightSDS!N$25*$AG893^9+WeightSDS!O$25*$AG893^8+WeightSDS!P$25*$AG893^7+WeightSDS!Q$25*$AG893^6+WeightSDS!R$25*$AG893^5+WeightSDS!S$25*$AG893^4+WeightSDS!T$25*$AG893^3+WeightSDS!U$25*$AG893^2+WeightSDS!V$25*$AG893+WeightSDS!W$25,WeightSDS!M$27+WeightSDS!N$27/(1+EXP(WeightSDS!O$27+WeightSDS!P$27*$AG893)))),IF($AG893&lt;43.8,WeightSDS!M$29*$AG893^10+WeightSDS!N$29*$AG893^9+WeightSDS!O$29*$AG893^8+WeightSDS!P$29*$AG893^7+WeightSDS!Q$29*$AG893^6+WeightSDS!R$29*$AG893^5+WeightSDS!S$29*$AG893^4+WeightSDS!T$29*$AG893^3+WeightSDS!U$29*$AG893^2+WeightSDS!V$29*$AG893+WeightSDS!W$29-0.010431*(1-$AG893/210),IF($AG893&lt;123,WeightSDS!M$30*$AG893^10+WeightSDS!N$30*$AG893^9+WeightSDS!O$30*$AG893^8+WeightSDS!P$30*$AG893^7+WeightSDS!Q$30*$AG893^6+WeightSDS!R$30*$AG893^5+WeightSDS!S$30*$AG893^4+WeightSDS!T$30*$AG893^3+WeightSDS!U$30*$AG893^2+WeightSDS!V$30*$AG893+WeightSDS!W$30-0.010431*(1-1/$AG893),WeightSDS!M$32+WeightSDS!N$32/(1+EXP(WeightSDS!O$32+WeightSDS!P$32*$AG893))-0.010431*(1-$AG893/210))))</f>
        <v>2.9500001032655536</v>
      </c>
      <c r="AK893" s="24">
        <f>IF(D893="M",IF($AG893&lt;162,WeightSDS!P$12*$AG893^7+WeightSDS!Q$12*$AG893^6+WeightSDS!R$12*$AG893^5+WeightSDS!S$12*$AG893^4+WeightSDS!T$12*$AG893^3+WeightSDS!U$12*$AG893^2+WeightSDS!V$12*$AG893+WeightSDS!W$12,WeightSDS!P$14*$AG893^7+WeightSDS!Q$14*$AG893^6+WeightSDS!R$14*$AG893^5+WeightSDS!S$14*$AG893^4+WeightSDS!T$14*$AG893^3+WeightSDS!U$14*$AG893^2+WeightSDS!V$14*$AG893+WeightSDS!W$14),IF($AG893&lt;156,WeightSDS!O$17*$AG893^8+WeightSDS!P$17*$AG893^7+WeightSDS!Q$17*$AG893^6+WeightSDS!R$17*$AG893^5+WeightSDS!S$17*$AG893^4+WeightSDS!T$17*$AG893^3+WeightSDS!U$17*$AG893^2+WeightSDS!V$17*$AG893+WeightSDS!W$17,IF($AG893&lt;186,WeightSDS!$U$18+(WeightSDS!$V$18-WeightSDS!$U$18)/24*($AG893-186)+WeightSDS!$W$18*(-$AG893+186)^2-0.005,WeightSDS!$U$18+(WeightSDS!$V$18-WeightSDS!$U$18)/24*($AG893-186)-0.005)))</f>
        <v>0.14604529399999999</v>
      </c>
    </row>
    <row r="894" spans="1:37">
      <c r="A894" s="4"/>
      <c r="B894" s="21"/>
      <c r="C894" s="21"/>
      <c r="D894" s="21"/>
      <c r="E894" s="22"/>
      <c r="F894" s="22"/>
      <c r="G894" s="23"/>
      <c r="H894" s="23"/>
      <c r="I894" s="8" t="str">
        <f t="shared" si="210"/>
        <v/>
      </c>
      <c r="J894" s="2" t="str">
        <f t="shared" si="217"/>
        <v/>
      </c>
      <c r="K894" s="2" t="str">
        <f t="shared" si="211"/>
        <v/>
      </c>
      <c r="L894" s="2" t="str">
        <f t="shared" si="218"/>
        <v/>
      </c>
      <c r="M894" s="2" t="str">
        <f t="shared" si="223"/>
        <v/>
      </c>
      <c r="N894" s="2" t="str">
        <f t="shared" si="219"/>
        <v/>
      </c>
      <c r="O894" s="8" t="str">
        <f t="shared" si="220"/>
        <v/>
      </c>
      <c r="P894" s="8" t="str">
        <f t="shared" si="221"/>
        <v/>
      </c>
      <c r="Q894" s="40" t="str">
        <f t="shared" si="212"/>
        <v/>
      </c>
      <c r="R894" s="48" t="str">
        <f t="shared" si="222"/>
        <v/>
      </c>
      <c r="S894" s="8"/>
      <c r="U894" s="35">
        <f t="shared" si="213"/>
        <v>0</v>
      </c>
      <c r="V894" s="24">
        <f t="shared" si="214"/>
        <v>0</v>
      </c>
      <c r="W894" s="41">
        <f t="shared" si="225"/>
        <v>0</v>
      </c>
      <c r="X894" s="31"/>
      <c r="Y894" s="31"/>
      <c r="Z894" s="31"/>
      <c r="AA894" s="25">
        <f t="shared" si="215"/>
        <v>9.0359999999999996</v>
      </c>
      <c r="AB894" s="25">
        <f t="shared" si="216"/>
        <v>-184.49199999999999</v>
      </c>
      <c r="AD894" s="24">
        <f>IF(D894="M",IF(AG894&lt;78,BMILMS!$D$5*AG894^3+BMILMS!$E$5*AG894^2+BMILMS!$F$5*AG894+BMILMS!$G$5,IF(AG894&lt;150,BMILMS!$D$6*AG894^3+BMILMS!$E$6*AG894^2+BMILMS!$F$6*AG894+BMILMS!$G$6,BMILMS!$D$7*AG894^3+BMILMS!$E$7*AG894^2+BMILMS!$F$7*AG894+BMILMS!$G$7)),IF(AG894&lt;69,BMILMS!$D$9*AG894^3+BMILMS!$E$9*AG894^2+BMILMS!$F$9*AG894+BMILMS!$G$9,IF(AG894&lt;150,BMILMS!$D$10*AG894^3+BMILMS!$E$10*AG894^2+BMILMS!$F$10*AG894+BMILMS!$G$10,BMILMS!$D$11*AG894^3+BMILMS!$E$11*AG894^2+BMILMS!$F$11*AG894+BMILMS!$G$11)))</f>
        <v>0.79584630099999998</v>
      </c>
      <c r="AE894" s="24">
        <f>IF(D894="M",(IF(AG894&lt;2.5,BMILMS!$D$21*AG894^3+BMILMS!$E$21*AG894^2+BMILMS!$F$21*AG894+BMILMS!$G$21,IF(AG894&lt;9.5,BMILMS!$D$22*AG894^3+BMILMS!$E$22*AG894^2+BMILMS!$F$22*AG894+BMILMS!$G$22,IF(AG894&lt;26.75,BMILMS!$D$23*AG894^3+BMILMS!$E$23*AG894^2+BMILMS!$F$23*AG894+BMILMS!$G$23,IF(AG894&lt;90,BMILMS!$D$24*AG894^3+BMILMS!$E$24*AG894^2+BMILMS!$F$24*AG894+BMILMS!$G$24,BMILMS!$D$25*AG894^3+BMILMS!$E$25*AG894^2+BMILMS!$F$25*AG894+BMILMS!$G$25))))),(IF(AG894&lt;2.5,BMILMS!$D$27*AG894^3+BMILMS!$E$27*AG894^2+BMILMS!$F$27*AG894+BMILMS!$G$27,IF(AG894&lt;9.5,BMILMS!$D$28*AG894^3+BMILMS!$E$28*AG894^2+BMILMS!$F$28*AG894+BMILMS!$G$28,IF(AG894&lt;26.75,BMILMS!$D$29*AG894^3+BMILMS!$E$29*AG894^2+BMILMS!$F$29*AG894+BMILMS!$G$29,IF(AG894&lt;90,BMILMS!$D$30*AG894^3+BMILMS!$E$30*AG894^2+BMILMS!$F$30*AG894+BMILMS!$G$30,IF(AG894&lt;150,BMILMS!$D$31*AG894^3+BMILMS!$E$31*AG894^2+BMILMS!$F$31*AG894+BMILMS!$G$31,BMILMS!$D$32*AG894^3+BMILMS!$E$32*AG894^2+BMILMS!$F$32*AG894+BMILMS!$G$32)))))))</f>
        <v>12.568967990000001</v>
      </c>
      <c r="AF894" s="24">
        <f>IF(D894="M",(IF(AG894&lt;90,BMILMS!$D$14*AG894^3+BMILMS!$E$14*AG894^2+BMILMS!$F$14*AG894+BMILMS!$G$14,BMILMS!$D$15*AG894^3+BMILMS!$E$15*AG894^2+BMILMS!$F$15*AG894+BMILMS!$G$15)),(IF(AG894&lt;90,BMILMS!$D$17*AG894^3+BMILMS!$E$17*AG894^2+BMILMS!$F$17*AG894+BMILMS!$G$17,BMILMS!$D$18*AG894^3+BMILMS!$E$18*AG894^2+BMILMS!$F$18*AG894+BMILMS!$G$18)))</f>
        <v>8.8969350000000003E-2</v>
      </c>
      <c r="AG894" s="24">
        <f t="shared" si="224"/>
        <v>0</v>
      </c>
      <c r="AI894" s="38">
        <f>IF(D894="M",WeightSDS!P$5*$AG894^7+WeightSDS!Q$5*$AG894^6+WeightSDS!R$5*$AG894^5+WeightSDS!S$5*$AG894^4+WeightSDS!T$5*$AG894^3+WeightSDS!U$5*$AG894^2+WeightSDS!V$5*$AG894+WeightSDS!W$5,IF($AG894&lt;186,WeightSDS!P$8*$AG894^7+WeightSDS!Q$8*$AG894^6+WeightSDS!R$8*$AG894^5+WeightSDS!S$8*$AG894^4+WeightSDS!T$8*$AG894^3+WeightSDS!U$8*$AG894^2+WeightSDS!V$8*$AG894+WeightSDS!W$8,WeightSDS!$U$9-WeightSDS!$V$9*($AG894-WeightSDS!$W$9)))</f>
        <v>0.75407122999999998</v>
      </c>
      <c r="AJ894" s="24">
        <f>IF(D894="M",IF($AG894&lt;45,WeightSDS!M$23*$AG894^10+WeightSDS!N$23*$AG894^9+WeightSDS!O$23*$AG894^8+WeightSDS!P$23*$AG894^7+WeightSDS!Q$23*$AG894^6+WeightSDS!R$23*$AG894^5+WeightSDS!S$23*$AG894^4+WeightSDS!T$23*$AG894^3+WeightSDS!U$23*$AG894^2+WeightSDS!V$23*$AG894+WeightSDS!W$23,IF($AG894&lt;153,WeightSDS!M$25*$AG894^10+WeightSDS!N$25*$AG894^9+WeightSDS!O$25*$AG894^8+WeightSDS!P$25*$AG894^7+WeightSDS!Q$25*$AG894^6+WeightSDS!R$25*$AG894^5+WeightSDS!S$25*$AG894^4+WeightSDS!T$25*$AG894^3+WeightSDS!U$25*$AG894^2+WeightSDS!V$25*$AG894+WeightSDS!W$25,WeightSDS!M$27+WeightSDS!N$27/(1+EXP(WeightSDS!O$27+WeightSDS!P$27*$AG894)))),IF($AG894&lt;43.8,WeightSDS!M$29*$AG894^10+WeightSDS!N$29*$AG894^9+WeightSDS!O$29*$AG894^8+WeightSDS!P$29*$AG894^7+WeightSDS!Q$29*$AG894^6+WeightSDS!R$29*$AG894^5+WeightSDS!S$29*$AG894^4+WeightSDS!T$29*$AG894^3+WeightSDS!U$29*$AG894^2+WeightSDS!V$29*$AG894+WeightSDS!W$29-0.010431*(1-$AG894/210),IF($AG894&lt;123,WeightSDS!M$30*$AG894^10+WeightSDS!N$30*$AG894^9+WeightSDS!O$30*$AG894^8+WeightSDS!P$30*$AG894^7+WeightSDS!Q$30*$AG894^6+WeightSDS!R$30*$AG894^5+WeightSDS!S$30*$AG894^4+WeightSDS!T$30*$AG894^3+WeightSDS!U$30*$AG894^2+WeightSDS!V$30*$AG894+WeightSDS!W$30-0.010431*(1-1/$AG894),WeightSDS!M$32+WeightSDS!N$32/(1+EXP(WeightSDS!O$32+WeightSDS!P$32*$AG894))-0.010431*(1-$AG894/210))))</f>
        <v>2.9500001032655536</v>
      </c>
      <c r="AK894" s="24">
        <f>IF(D894="M",IF($AG894&lt;162,WeightSDS!P$12*$AG894^7+WeightSDS!Q$12*$AG894^6+WeightSDS!R$12*$AG894^5+WeightSDS!S$12*$AG894^4+WeightSDS!T$12*$AG894^3+WeightSDS!U$12*$AG894^2+WeightSDS!V$12*$AG894+WeightSDS!W$12,WeightSDS!P$14*$AG894^7+WeightSDS!Q$14*$AG894^6+WeightSDS!R$14*$AG894^5+WeightSDS!S$14*$AG894^4+WeightSDS!T$14*$AG894^3+WeightSDS!U$14*$AG894^2+WeightSDS!V$14*$AG894+WeightSDS!W$14),IF($AG894&lt;156,WeightSDS!O$17*$AG894^8+WeightSDS!P$17*$AG894^7+WeightSDS!Q$17*$AG894^6+WeightSDS!R$17*$AG894^5+WeightSDS!S$17*$AG894^4+WeightSDS!T$17*$AG894^3+WeightSDS!U$17*$AG894^2+WeightSDS!V$17*$AG894+WeightSDS!W$17,IF($AG894&lt;186,WeightSDS!$U$18+(WeightSDS!$V$18-WeightSDS!$U$18)/24*($AG894-186)+WeightSDS!$W$18*(-$AG894+186)^2-0.005,WeightSDS!$U$18+(WeightSDS!$V$18-WeightSDS!$U$18)/24*($AG894-186)-0.005)))</f>
        <v>0.14604529399999999</v>
      </c>
    </row>
    <row r="895" spans="1:37">
      <c r="A895" s="4"/>
      <c r="B895" s="21"/>
      <c r="C895" s="21"/>
      <c r="D895" s="21"/>
      <c r="E895" s="22"/>
      <c r="F895" s="22"/>
      <c r="G895" s="23"/>
      <c r="H895" s="23"/>
      <c r="I895" s="8" t="str">
        <f t="shared" si="210"/>
        <v/>
      </c>
      <c r="J895" s="2" t="str">
        <f t="shared" si="217"/>
        <v/>
      </c>
      <c r="K895" s="2" t="str">
        <f t="shared" si="211"/>
        <v/>
      </c>
      <c r="L895" s="2" t="str">
        <f t="shared" si="218"/>
        <v/>
      </c>
      <c r="M895" s="2" t="str">
        <f t="shared" si="223"/>
        <v/>
      </c>
      <c r="N895" s="2" t="str">
        <f t="shared" si="219"/>
        <v/>
      </c>
      <c r="O895" s="8" t="str">
        <f t="shared" si="220"/>
        <v/>
      </c>
      <c r="P895" s="8" t="str">
        <f t="shared" si="221"/>
        <v/>
      </c>
      <c r="Q895" s="40" t="str">
        <f t="shared" si="212"/>
        <v/>
      </c>
      <c r="R895" s="48" t="str">
        <f t="shared" si="222"/>
        <v/>
      </c>
      <c r="S895" s="8"/>
      <c r="U895" s="35">
        <f t="shared" si="213"/>
        <v>0</v>
      </c>
      <c r="V895" s="24">
        <f t="shared" si="214"/>
        <v>0</v>
      </c>
      <c r="W895" s="41">
        <f t="shared" si="225"/>
        <v>0</v>
      </c>
      <c r="X895" s="31"/>
      <c r="Y895" s="31"/>
      <c r="Z895" s="31"/>
      <c r="AA895" s="25">
        <f t="shared" si="215"/>
        <v>9.0359999999999996</v>
      </c>
      <c r="AB895" s="25">
        <f t="shared" si="216"/>
        <v>-184.49199999999999</v>
      </c>
      <c r="AD895" s="24">
        <f>IF(D895="M",IF(AG895&lt;78,BMILMS!$D$5*AG895^3+BMILMS!$E$5*AG895^2+BMILMS!$F$5*AG895+BMILMS!$G$5,IF(AG895&lt;150,BMILMS!$D$6*AG895^3+BMILMS!$E$6*AG895^2+BMILMS!$F$6*AG895+BMILMS!$G$6,BMILMS!$D$7*AG895^3+BMILMS!$E$7*AG895^2+BMILMS!$F$7*AG895+BMILMS!$G$7)),IF(AG895&lt;69,BMILMS!$D$9*AG895^3+BMILMS!$E$9*AG895^2+BMILMS!$F$9*AG895+BMILMS!$G$9,IF(AG895&lt;150,BMILMS!$D$10*AG895^3+BMILMS!$E$10*AG895^2+BMILMS!$F$10*AG895+BMILMS!$G$10,BMILMS!$D$11*AG895^3+BMILMS!$E$11*AG895^2+BMILMS!$F$11*AG895+BMILMS!$G$11)))</f>
        <v>0.79584630099999998</v>
      </c>
      <c r="AE895" s="24">
        <f>IF(D895="M",(IF(AG895&lt;2.5,BMILMS!$D$21*AG895^3+BMILMS!$E$21*AG895^2+BMILMS!$F$21*AG895+BMILMS!$G$21,IF(AG895&lt;9.5,BMILMS!$D$22*AG895^3+BMILMS!$E$22*AG895^2+BMILMS!$F$22*AG895+BMILMS!$G$22,IF(AG895&lt;26.75,BMILMS!$D$23*AG895^3+BMILMS!$E$23*AG895^2+BMILMS!$F$23*AG895+BMILMS!$G$23,IF(AG895&lt;90,BMILMS!$D$24*AG895^3+BMILMS!$E$24*AG895^2+BMILMS!$F$24*AG895+BMILMS!$G$24,BMILMS!$D$25*AG895^3+BMILMS!$E$25*AG895^2+BMILMS!$F$25*AG895+BMILMS!$G$25))))),(IF(AG895&lt;2.5,BMILMS!$D$27*AG895^3+BMILMS!$E$27*AG895^2+BMILMS!$F$27*AG895+BMILMS!$G$27,IF(AG895&lt;9.5,BMILMS!$D$28*AG895^3+BMILMS!$E$28*AG895^2+BMILMS!$F$28*AG895+BMILMS!$G$28,IF(AG895&lt;26.75,BMILMS!$D$29*AG895^3+BMILMS!$E$29*AG895^2+BMILMS!$F$29*AG895+BMILMS!$G$29,IF(AG895&lt;90,BMILMS!$D$30*AG895^3+BMILMS!$E$30*AG895^2+BMILMS!$F$30*AG895+BMILMS!$G$30,IF(AG895&lt;150,BMILMS!$D$31*AG895^3+BMILMS!$E$31*AG895^2+BMILMS!$F$31*AG895+BMILMS!$G$31,BMILMS!$D$32*AG895^3+BMILMS!$E$32*AG895^2+BMILMS!$F$32*AG895+BMILMS!$G$32)))))))</f>
        <v>12.568967990000001</v>
      </c>
      <c r="AF895" s="24">
        <f>IF(D895="M",(IF(AG895&lt;90,BMILMS!$D$14*AG895^3+BMILMS!$E$14*AG895^2+BMILMS!$F$14*AG895+BMILMS!$G$14,BMILMS!$D$15*AG895^3+BMILMS!$E$15*AG895^2+BMILMS!$F$15*AG895+BMILMS!$G$15)),(IF(AG895&lt;90,BMILMS!$D$17*AG895^3+BMILMS!$E$17*AG895^2+BMILMS!$F$17*AG895+BMILMS!$G$17,BMILMS!$D$18*AG895^3+BMILMS!$E$18*AG895^2+BMILMS!$F$18*AG895+BMILMS!$G$18)))</f>
        <v>8.8969350000000003E-2</v>
      </c>
      <c r="AG895" s="24">
        <f t="shared" si="224"/>
        <v>0</v>
      </c>
      <c r="AI895" s="38">
        <f>IF(D895="M",WeightSDS!P$5*$AG895^7+WeightSDS!Q$5*$AG895^6+WeightSDS!R$5*$AG895^5+WeightSDS!S$5*$AG895^4+WeightSDS!T$5*$AG895^3+WeightSDS!U$5*$AG895^2+WeightSDS!V$5*$AG895+WeightSDS!W$5,IF($AG895&lt;186,WeightSDS!P$8*$AG895^7+WeightSDS!Q$8*$AG895^6+WeightSDS!R$8*$AG895^5+WeightSDS!S$8*$AG895^4+WeightSDS!T$8*$AG895^3+WeightSDS!U$8*$AG895^2+WeightSDS!V$8*$AG895+WeightSDS!W$8,WeightSDS!$U$9-WeightSDS!$V$9*($AG895-WeightSDS!$W$9)))</f>
        <v>0.75407122999999998</v>
      </c>
      <c r="AJ895" s="24">
        <f>IF(D895="M",IF($AG895&lt;45,WeightSDS!M$23*$AG895^10+WeightSDS!N$23*$AG895^9+WeightSDS!O$23*$AG895^8+WeightSDS!P$23*$AG895^7+WeightSDS!Q$23*$AG895^6+WeightSDS!R$23*$AG895^5+WeightSDS!S$23*$AG895^4+WeightSDS!T$23*$AG895^3+WeightSDS!U$23*$AG895^2+WeightSDS!V$23*$AG895+WeightSDS!W$23,IF($AG895&lt;153,WeightSDS!M$25*$AG895^10+WeightSDS!N$25*$AG895^9+WeightSDS!O$25*$AG895^8+WeightSDS!P$25*$AG895^7+WeightSDS!Q$25*$AG895^6+WeightSDS!R$25*$AG895^5+WeightSDS!S$25*$AG895^4+WeightSDS!T$25*$AG895^3+WeightSDS!U$25*$AG895^2+WeightSDS!V$25*$AG895+WeightSDS!W$25,WeightSDS!M$27+WeightSDS!N$27/(1+EXP(WeightSDS!O$27+WeightSDS!P$27*$AG895)))),IF($AG895&lt;43.8,WeightSDS!M$29*$AG895^10+WeightSDS!N$29*$AG895^9+WeightSDS!O$29*$AG895^8+WeightSDS!P$29*$AG895^7+WeightSDS!Q$29*$AG895^6+WeightSDS!R$29*$AG895^5+WeightSDS!S$29*$AG895^4+WeightSDS!T$29*$AG895^3+WeightSDS!U$29*$AG895^2+WeightSDS!V$29*$AG895+WeightSDS!W$29-0.010431*(1-$AG895/210),IF($AG895&lt;123,WeightSDS!M$30*$AG895^10+WeightSDS!N$30*$AG895^9+WeightSDS!O$30*$AG895^8+WeightSDS!P$30*$AG895^7+WeightSDS!Q$30*$AG895^6+WeightSDS!R$30*$AG895^5+WeightSDS!S$30*$AG895^4+WeightSDS!T$30*$AG895^3+WeightSDS!U$30*$AG895^2+WeightSDS!V$30*$AG895+WeightSDS!W$30-0.010431*(1-1/$AG895),WeightSDS!M$32+WeightSDS!N$32/(1+EXP(WeightSDS!O$32+WeightSDS!P$32*$AG895))-0.010431*(1-$AG895/210))))</f>
        <v>2.9500001032655536</v>
      </c>
      <c r="AK895" s="24">
        <f>IF(D895="M",IF($AG895&lt;162,WeightSDS!P$12*$AG895^7+WeightSDS!Q$12*$AG895^6+WeightSDS!R$12*$AG895^5+WeightSDS!S$12*$AG895^4+WeightSDS!T$12*$AG895^3+WeightSDS!U$12*$AG895^2+WeightSDS!V$12*$AG895+WeightSDS!W$12,WeightSDS!P$14*$AG895^7+WeightSDS!Q$14*$AG895^6+WeightSDS!R$14*$AG895^5+WeightSDS!S$14*$AG895^4+WeightSDS!T$14*$AG895^3+WeightSDS!U$14*$AG895^2+WeightSDS!V$14*$AG895+WeightSDS!W$14),IF($AG895&lt;156,WeightSDS!O$17*$AG895^8+WeightSDS!P$17*$AG895^7+WeightSDS!Q$17*$AG895^6+WeightSDS!R$17*$AG895^5+WeightSDS!S$17*$AG895^4+WeightSDS!T$17*$AG895^3+WeightSDS!U$17*$AG895^2+WeightSDS!V$17*$AG895+WeightSDS!W$17,IF($AG895&lt;186,WeightSDS!$U$18+(WeightSDS!$V$18-WeightSDS!$U$18)/24*($AG895-186)+WeightSDS!$W$18*(-$AG895+186)^2-0.005,WeightSDS!$U$18+(WeightSDS!$V$18-WeightSDS!$U$18)/24*($AG895-186)-0.005)))</f>
        <v>0.14604529399999999</v>
      </c>
    </row>
    <row r="896" spans="1:37">
      <c r="A896" s="4"/>
      <c r="B896" s="21"/>
      <c r="C896" s="21"/>
      <c r="D896" s="21"/>
      <c r="E896" s="22"/>
      <c r="F896" s="22"/>
      <c r="G896" s="23"/>
      <c r="H896" s="23"/>
      <c r="I896" s="8" t="str">
        <f t="shared" si="210"/>
        <v/>
      </c>
      <c r="J896" s="2" t="str">
        <f t="shared" si="217"/>
        <v/>
      </c>
      <c r="K896" s="2" t="str">
        <f t="shared" si="211"/>
        <v/>
      </c>
      <c r="L896" s="2" t="str">
        <f t="shared" si="218"/>
        <v/>
      </c>
      <c r="M896" s="2" t="str">
        <f t="shared" si="223"/>
        <v/>
      </c>
      <c r="N896" s="2" t="str">
        <f t="shared" si="219"/>
        <v/>
      </c>
      <c r="O896" s="8" t="str">
        <f t="shared" si="220"/>
        <v/>
      </c>
      <c r="P896" s="8" t="str">
        <f t="shared" si="221"/>
        <v/>
      </c>
      <c r="Q896" s="40" t="str">
        <f t="shared" si="212"/>
        <v/>
      </c>
      <c r="R896" s="48" t="str">
        <f t="shared" si="222"/>
        <v/>
      </c>
      <c r="S896" s="8"/>
      <c r="U896" s="35">
        <f t="shared" si="213"/>
        <v>0</v>
      </c>
      <c r="V896" s="24">
        <f t="shared" si="214"/>
        <v>0</v>
      </c>
      <c r="W896" s="41">
        <f t="shared" si="225"/>
        <v>0</v>
      </c>
      <c r="X896" s="31"/>
      <c r="Y896" s="31"/>
      <c r="Z896" s="31"/>
      <c r="AA896" s="25">
        <f t="shared" si="215"/>
        <v>9.0359999999999996</v>
      </c>
      <c r="AB896" s="25">
        <f t="shared" si="216"/>
        <v>-184.49199999999999</v>
      </c>
      <c r="AD896" s="24">
        <f>IF(D896="M",IF(AG896&lt;78,BMILMS!$D$5*AG896^3+BMILMS!$E$5*AG896^2+BMILMS!$F$5*AG896+BMILMS!$G$5,IF(AG896&lt;150,BMILMS!$D$6*AG896^3+BMILMS!$E$6*AG896^2+BMILMS!$F$6*AG896+BMILMS!$G$6,BMILMS!$D$7*AG896^3+BMILMS!$E$7*AG896^2+BMILMS!$F$7*AG896+BMILMS!$G$7)),IF(AG896&lt;69,BMILMS!$D$9*AG896^3+BMILMS!$E$9*AG896^2+BMILMS!$F$9*AG896+BMILMS!$G$9,IF(AG896&lt;150,BMILMS!$D$10*AG896^3+BMILMS!$E$10*AG896^2+BMILMS!$F$10*AG896+BMILMS!$G$10,BMILMS!$D$11*AG896^3+BMILMS!$E$11*AG896^2+BMILMS!$F$11*AG896+BMILMS!$G$11)))</f>
        <v>0.79584630099999998</v>
      </c>
      <c r="AE896" s="24">
        <f>IF(D896="M",(IF(AG896&lt;2.5,BMILMS!$D$21*AG896^3+BMILMS!$E$21*AG896^2+BMILMS!$F$21*AG896+BMILMS!$G$21,IF(AG896&lt;9.5,BMILMS!$D$22*AG896^3+BMILMS!$E$22*AG896^2+BMILMS!$F$22*AG896+BMILMS!$G$22,IF(AG896&lt;26.75,BMILMS!$D$23*AG896^3+BMILMS!$E$23*AG896^2+BMILMS!$F$23*AG896+BMILMS!$G$23,IF(AG896&lt;90,BMILMS!$D$24*AG896^3+BMILMS!$E$24*AG896^2+BMILMS!$F$24*AG896+BMILMS!$G$24,BMILMS!$D$25*AG896^3+BMILMS!$E$25*AG896^2+BMILMS!$F$25*AG896+BMILMS!$G$25))))),(IF(AG896&lt;2.5,BMILMS!$D$27*AG896^3+BMILMS!$E$27*AG896^2+BMILMS!$F$27*AG896+BMILMS!$G$27,IF(AG896&lt;9.5,BMILMS!$D$28*AG896^3+BMILMS!$E$28*AG896^2+BMILMS!$F$28*AG896+BMILMS!$G$28,IF(AG896&lt;26.75,BMILMS!$D$29*AG896^3+BMILMS!$E$29*AG896^2+BMILMS!$F$29*AG896+BMILMS!$G$29,IF(AG896&lt;90,BMILMS!$D$30*AG896^3+BMILMS!$E$30*AG896^2+BMILMS!$F$30*AG896+BMILMS!$G$30,IF(AG896&lt;150,BMILMS!$D$31*AG896^3+BMILMS!$E$31*AG896^2+BMILMS!$F$31*AG896+BMILMS!$G$31,BMILMS!$D$32*AG896^3+BMILMS!$E$32*AG896^2+BMILMS!$F$32*AG896+BMILMS!$G$32)))))))</f>
        <v>12.568967990000001</v>
      </c>
      <c r="AF896" s="24">
        <f>IF(D896="M",(IF(AG896&lt;90,BMILMS!$D$14*AG896^3+BMILMS!$E$14*AG896^2+BMILMS!$F$14*AG896+BMILMS!$G$14,BMILMS!$D$15*AG896^3+BMILMS!$E$15*AG896^2+BMILMS!$F$15*AG896+BMILMS!$G$15)),(IF(AG896&lt;90,BMILMS!$D$17*AG896^3+BMILMS!$E$17*AG896^2+BMILMS!$F$17*AG896+BMILMS!$G$17,BMILMS!$D$18*AG896^3+BMILMS!$E$18*AG896^2+BMILMS!$F$18*AG896+BMILMS!$G$18)))</f>
        <v>8.8969350000000003E-2</v>
      </c>
      <c r="AG896" s="24">
        <f t="shared" si="224"/>
        <v>0</v>
      </c>
      <c r="AI896" s="38">
        <f>IF(D896="M",WeightSDS!P$5*$AG896^7+WeightSDS!Q$5*$AG896^6+WeightSDS!R$5*$AG896^5+WeightSDS!S$5*$AG896^4+WeightSDS!T$5*$AG896^3+WeightSDS!U$5*$AG896^2+WeightSDS!V$5*$AG896+WeightSDS!W$5,IF($AG896&lt;186,WeightSDS!P$8*$AG896^7+WeightSDS!Q$8*$AG896^6+WeightSDS!R$8*$AG896^5+WeightSDS!S$8*$AG896^4+WeightSDS!T$8*$AG896^3+WeightSDS!U$8*$AG896^2+WeightSDS!V$8*$AG896+WeightSDS!W$8,WeightSDS!$U$9-WeightSDS!$V$9*($AG896-WeightSDS!$W$9)))</f>
        <v>0.75407122999999998</v>
      </c>
      <c r="AJ896" s="24">
        <f>IF(D896="M",IF($AG896&lt;45,WeightSDS!M$23*$AG896^10+WeightSDS!N$23*$AG896^9+WeightSDS!O$23*$AG896^8+WeightSDS!P$23*$AG896^7+WeightSDS!Q$23*$AG896^6+WeightSDS!R$23*$AG896^5+WeightSDS!S$23*$AG896^4+WeightSDS!T$23*$AG896^3+WeightSDS!U$23*$AG896^2+WeightSDS!V$23*$AG896+WeightSDS!W$23,IF($AG896&lt;153,WeightSDS!M$25*$AG896^10+WeightSDS!N$25*$AG896^9+WeightSDS!O$25*$AG896^8+WeightSDS!P$25*$AG896^7+WeightSDS!Q$25*$AG896^6+WeightSDS!R$25*$AG896^5+WeightSDS!S$25*$AG896^4+WeightSDS!T$25*$AG896^3+WeightSDS!U$25*$AG896^2+WeightSDS!V$25*$AG896+WeightSDS!W$25,WeightSDS!M$27+WeightSDS!N$27/(1+EXP(WeightSDS!O$27+WeightSDS!P$27*$AG896)))),IF($AG896&lt;43.8,WeightSDS!M$29*$AG896^10+WeightSDS!N$29*$AG896^9+WeightSDS!O$29*$AG896^8+WeightSDS!P$29*$AG896^7+WeightSDS!Q$29*$AG896^6+WeightSDS!R$29*$AG896^5+WeightSDS!S$29*$AG896^4+WeightSDS!T$29*$AG896^3+WeightSDS!U$29*$AG896^2+WeightSDS!V$29*$AG896+WeightSDS!W$29-0.010431*(1-$AG896/210),IF($AG896&lt;123,WeightSDS!M$30*$AG896^10+WeightSDS!N$30*$AG896^9+WeightSDS!O$30*$AG896^8+WeightSDS!P$30*$AG896^7+WeightSDS!Q$30*$AG896^6+WeightSDS!R$30*$AG896^5+WeightSDS!S$30*$AG896^4+WeightSDS!T$30*$AG896^3+WeightSDS!U$30*$AG896^2+WeightSDS!V$30*$AG896+WeightSDS!W$30-0.010431*(1-1/$AG896),WeightSDS!M$32+WeightSDS!N$32/(1+EXP(WeightSDS!O$32+WeightSDS!P$32*$AG896))-0.010431*(1-$AG896/210))))</f>
        <v>2.9500001032655536</v>
      </c>
      <c r="AK896" s="24">
        <f>IF(D896="M",IF($AG896&lt;162,WeightSDS!P$12*$AG896^7+WeightSDS!Q$12*$AG896^6+WeightSDS!R$12*$AG896^5+WeightSDS!S$12*$AG896^4+WeightSDS!T$12*$AG896^3+WeightSDS!U$12*$AG896^2+WeightSDS!V$12*$AG896+WeightSDS!W$12,WeightSDS!P$14*$AG896^7+WeightSDS!Q$14*$AG896^6+WeightSDS!R$14*$AG896^5+WeightSDS!S$14*$AG896^4+WeightSDS!T$14*$AG896^3+WeightSDS!U$14*$AG896^2+WeightSDS!V$14*$AG896+WeightSDS!W$14),IF($AG896&lt;156,WeightSDS!O$17*$AG896^8+WeightSDS!P$17*$AG896^7+WeightSDS!Q$17*$AG896^6+WeightSDS!R$17*$AG896^5+WeightSDS!S$17*$AG896^4+WeightSDS!T$17*$AG896^3+WeightSDS!U$17*$AG896^2+WeightSDS!V$17*$AG896+WeightSDS!W$17,IF($AG896&lt;186,WeightSDS!$U$18+(WeightSDS!$V$18-WeightSDS!$U$18)/24*($AG896-186)+WeightSDS!$W$18*(-$AG896+186)^2-0.005,WeightSDS!$U$18+(WeightSDS!$V$18-WeightSDS!$U$18)/24*($AG896-186)-0.005)))</f>
        <v>0.14604529399999999</v>
      </c>
    </row>
    <row r="897" spans="1:37">
      <c r="A897" s="4"/>
      <c r="B897" s="21"/>
      <c r="C897" s="21"/>
      <c r="D897" s="21"/>
      <c r="E897" s="22"/>
      <c r="F897" s="22"/>
      <c r="G897" s="23"/>
      <c r="H897" s="23"/>
      <c r="I897" s="8" t="str">
        <f t="shared" si="210"/>
        <v/>
      </c>
      <c r="J897" s="2" t="str">
        <f t="shared" si="217"/>
        <v/>
      </c>
      <c r="K897" s="2" t="str">
        <f t="shared" si="211"/>
        <v/>
      </c>
      <c r="L897" s="2" t="str">
        <f t="shared" si="218"/>
        <v/>
      </c>
      <c r="M897" s="2" t="str">
        <f t="shared" si="223"/>
        <v/>
      </c>
      <c r="N897" s="2" t="str">
        <f t="shared" si="219"/>
        <v/>
      </c>
      <c r="O897" s="8" t="str">
        <f t="shared" si="220"/>
        <v/>
      </c>
      <c r="P897" s="8" t="str">
        <f t="shared" si="221"/>
        <v/>
      </c>
      <c r="Q897" s="40" t="str">
        <f t="shared" si="212"/>
        <v/>
      </c>
      <c r="R897" s="48" t="str">
        <f t="shared" si="222"/>
        <v/>
      </c>
      <c r="S897" s="8"/>
      <c r="U897" s="35">
        <f t="shared" si="213"/>
        <v>0</v>
      </c>
      <c r="V897" s="24">
        <f t="shared" si="214"/>
        <v>0</v>
      </c>
      <c r="W897" s="41">
        <f t="shared" si="225"/>
        <v>0</v>
      </c>
      <c r="X897" s="31"/>
      <c r="Y897" s="31"/>
      <c r="Z897" s="31"/>
      <c r="AA897" s="25">
        <f t="shared" si="215"/>
        <v>9.0359999999999996</v>
      </c>
      <c r="AB897" s="25">
        <f t="shared" si="216"/>
        <v>-184.49199999999999</v>
      </c>
      <c r="AD897" s="24">
        <f>IF(D897="M",IF(AG897&lt;78,BMILMS!$D$5*AG897^3+BMILMS!$E$5*AG897^2+BMILMS!$F$5*AG897+BMILMS!$G$5,IF(AG897&lt;150,BMILMS!$D$6*AG897^3+BMILMS!$E$6*AG897^2+BMILMS!$F$6*AG897+BMILMS!$G$6,BMILMS!$D$7*AG897^3+BMILMS!$E$7*AG897^2+BMILMS!$F$7*AG897+BMILMS!$G$7)),IF(AG897&lt;69,BMILMS!$D$9*AG897^3+BMILMS!$E$9*AG897^2+BMILMS!$F$9*AG897+BMILMS!$G$9,IF(AG897&lt;150,BMILMS!$D$10*AG897^3+BMILMS!$E$10*AG897^2+BMILMS!$F$10*AG897+BMILMS!$G$10,BMILMS!$D$11*AG897^3+BMILMS!$E$11*AG897^2+BMILMS!$F$11*AG897+BMILMS!$G$11)))</f>
        <v>0.79584630099999998</v>
      </c>
      <c r="AE897" s="24">
        <f>IF(D897="M",(IF(AG897&lt;2.5,BMILMS!$D$21*AG897^3+BMILMS!$E$21*AG897^2+BMILMS!$F$21*AG897+BMILMS!$G$21,IF(AG897&lt;9.5,BMILMS!$D$22*AG897^3+BMILMS!$E$22*AG897^2+BMILMS!$F$22*AG897+BMILMS!$G$22,IF(AG897&lt;26.75,BMILMS!$D$23*AG897^3+BMILMS!$E$23*AG897^2+BMILMS!$F$23*AG897+BMILMS!$G$23,IF(AG897&lt;90,BMILMS!$D$24*AG897^3+BMILMS!$E$24*AG897^2+BMILMS!$F$24*AG897+BMILMS!$G$24,BMILMS!$D$25*AG897^3+BMILMS!$E$25*AG897^2+BMILMS!$F$25*AG897+BMILMS!$G$25))))),(IF(AG897&lt;2.5,BMILMS!$D$27*AG897^3+BMILMS!$E$27*AG897^2+BMILMS!$F$27*AG897+BMILMS!$G$27,IF(AG897&lt;9.5,BMILMS!$D$28*AG897^3+BMILMS!$E$28*AG897^2+BMILMS!$F$28*AG897+BMILMS!$G$28,IF(AG897&lt;26.75,BMILMS!$D$29*AG897^3+BMILMS!$E$29*AG897^2+BMILMS!$F$29*AG897+BMILMS!$G$29,IF(AG897&lt;90,BMILMS!$D$30*AG897^3+BMILMS!$E$30*AG897^2+BMILMS!$F$30*AG897+BMILMS!$G$30,IF(AG897&lt;150,BMILMS!$D$31*AG897^3+BMILMS!$E$31*AG897^2+BMILMS!$F$31*AG897+BMILMS!$G$31,BMILMS!$D$32*AG897^3+BMILMS!$E$32*AG897^2+BMILMS!$F$32*AG897+BMILMS!$G$32)))))))</f>
        <v>12.568967990000001</v>
      </c>
      <c r="AF897" s="24">
        <f>IF(D897="M",(IF(AG897&lt;90,BMILMS!$D$14*AG897^3+BMILMS!$E$14*AG897^2+BMILMS!$F$14*AG897+BMILMS!$G$14,BMILMS!$D$15*AG897^3+BMILMS!$E$15*AG897^2+BMILMS!$F$15*AG897+BMILMS!$G$15)),(IF(AG897&lt;90,BMILMS!$D$17*AG897^3+BMILMS!$E$17*AG897^2+BMILMS!$F$17*AG897+BMILMS!$G$17,BMILMS!$D$18*AG897^3+BMILMS!$E$18*AG897^2+BMILMS!$F$18*AG897+BMILMS!$G$18)))</f>
        <v>8.8969350000000003E-2</v>
      </c>
      <c r="AG897" s="24">
        <f t="shared" si="224"/>
        <v>0</v>
      </c>
      <c r="AI897" s="38">
        <f>IF(D897="M",WeightSDS!P$5*$AG897^7+WeightSDS!Q$5*$AG897^6+WeightSDS!R$5*$AG897^5+WeightSDS!S$5*$AG897^4+WeightSDS!T$5*$AG897^3+WeightSDS!U$5*$AG897^2+WeightSDS!V$5*$AG897+WeightSDS!W$5,IF($AG897&lt;186,WeightSDS!P$8*$AG897^7+WeightSDS!Q$8*$AG897^6+WeightSDS!R$8*$AG897^5+WeightSDS!S$8*$AG897^4+WeightSDS!T$8*$AG897^3+WeightSDS!U$8*$AG897^2+WeightSDS!V$8*$AG897+WeightSDS!W$8,WeightSDS!$U$9-WeightSDS!$V$9*($AG897-WeightSDS!$W$9)))</f>
        <v>0.75407122999999998</v>
      </c>
      <c r="AJ897" s="24">
        <f>IF(D897="M",IF($AG897&lt;45,WeightSDS!M$23*$AG897^10+WeightSDS!N$23*$AG897^9+WeightSDS!O$23*$AG897^8+WeightSDS!P$23*$AG897^7+WeightSDS!Q$23*$AG897^6+WeightSDS!R$23*$AG897^5+WeightSDS!S$23*$AG897^4+WeightSDS!T$23*$AG897^3+WeightSDS!U$23*$AG897^2+WeightSDS!V$23*$AG897+WeightSDS!W$23,IF($AG897&lt;153,WeightSDS!M$25*$AG897^10+WeightSDS!N$25*$AG897^9+WeightSDS!O$25*$AG897^8+WeightSDS!P$25*$AG897^7+WeightSDS!Q$25*$AG897^6+WeightSDS!R$25*$AG897^5+WeightSDS!S$25*$AG897^4+WeightSDS!T$25*$AG897^3+WeightSDS!U$25*$AG897^2+WeightSDS!V$25*$AG897+WeightSDS!W$25,WeightSDS!M$27+WeightSDS!N$27/(1+EXP(WeightSDS!O$27+WeightSDS!P$27*$AG897)))),IF($AG897&lt;43.8,WeightSDS!M$29*$AG897^10+WeightSDS!N$29*$AG897^9+WeightSDS!O$29*$AG897^8+WeightSDS!P$29*$AG897^7+WeightSDS!Q$29*$AG897^6+WeightSDS!R$29*$AG897^5+WeightSDS!S$29*$AG897^4+WeightSDS!T$29*$AG897^3+WeightSDS!U$29*$AG897^2+WeightSDS!V$29*$AG897+WeightSDS!W$29-0.010431*(1-$AG897/210),IF($AG897&lt;123,WeightSDS!M$30*$AG897^10+WeightSDS!N$30*$AG897^9+WeightSDS!O$30*$AG897^8+WeightSDS!P$30*$AG897^7+WeightSDS!Q$30*$AG897^6+WeightSDS!R$30*$AG897^5+WeightSDS!S$30*$AG897^4+WeightSDS!T$30*$AG897^3+WeightSDS!U$30*$AG897^2+WeightSDS!V$30*$AG897+WeightSDS!W$30-0.010431*(1-1/$AG897),WeightSDS!M$32+WeightSDS!N$32/(1+EXP(WeightSDS!O$32+WeightSDS!P$32*$AG897))-0.010431*(1-$AG897/210))))</f>
        <v>2.9500001032655536</v>
      </c>
      <c r="AK897" s="24">
        <f>IF(D897="M",IF($AG897&lt;162,WeightSDS!P$12*$AG897^7+WeightSDS!Q$12*$AG897^6+WeightSDS!R$12*$AG897^5+WeightSDS!S$12*$AG897^4+WeightSDS!T$12*$AG897^3+WeightSDS!U$12*$AG897^2+WeightSDS!V$12*$AG897+WeightSDS!W$12,WeightSDS!P$14*$AG897^7+WeightSDS!Q$14*$AG897^6+WeightSDS!R$14*$AG897^5+WeightSDS!S$14*$AG897^4+WeightSDS!T$14*$AG897^3+WeightSDS!U$14*$AG897^2+WeightSDS!V$14*$AG897+WeightSDS!W$14),IF($AG897&lt;156,WeightSDS!O$17*$AG897^8+WeightSDS!P$17*$AG897^7+WeightSDS!Q$17*$AG897^6+WeightSDS!R$17*$AG897^5+WeightSDS!S$17*$AG897^4+WeightSDS!T$17*$AG897^3+WeightSDS!U$17*$AG897^2+WeightSDS!V$17*$AG897+WeightSDS!W$17,IF($AG897&lt;186,WeightSDS!$U$18+(WeightSDS!$V$18-WeightSDS!$U$18)/24*($AG897-186)+WeightSDS!$W$18*(-$AG897+186)^2-0.005,WeightSDS!$U$18+(WeightSDS!$V$18-WeightSDS!$U$18)/24*($AG897-186)-0.005)))</f>
        <v>0.14604529399999999</v>
      </c>
    </row>
    <row r="898" spans="1:37">
      <c r="A898" s="4"/>
      <c r="B898" s="21"/>
      <c r="C898" s="21"/>
      <c r="D898" s="21"/>
      <c r="E898" s="22"/>
      <c r="F898" s="22"/>
      <c r="G898" s="23"/>
      <c r="H898" s="23"/>
      <c r="I898" s="8" t="str">
        <f t="shared" si="210"/>
        <v/>
      </c>
      <c r="J898" s="2" t="str">
        <f t="shared" si="217"/>
        <v/>
      </c>
      <c r="K898" s="2" t="str">
        <f t="shared" si="211"/>
        <v/>
      </c>
      <c r="L898" s="2" t="str">
        <f t="shared" si="218"/>
        <v/>
      </c>
      <c r="M898" s="2" t="str">
        <f t="shared" si="223"/>
        <v/>
      </c>
      <c r="N898" s="2" t="str">
        <f t="shared" si="219"/>
        <v/>
      </c>
      <c r="O898" s="8" t="str">
        <f t="shared" si="220"/>
        <v/>
      </c>
      <c r="P898" s="8" t="str">
        <f t="shared" si="221"/>
        <v/>
      </c>
      <c r="Q898" s="40" t="str">
        <f t="shared" si="212"/>
        <v/>
      </c>
      <c r="R898" s="48" t="str">
        <f t="shared" si="222"/>
        <v/>
      </c>
      <c r="S898" s="8"/>
      <c r="U898" s="35">
        <f t="shared" si="213"/>
        <v>0</v>
      </c>
      <c r="V898" s="24">
        <f t="shared" si="214"/>
        <v>0</v>
      </c>
      <c r="W898" s="41">
        <f t="shared" si="225"/>
        <v>0</v>
      </c>
      <c r="X898" s="31"/>
      <c r="Y898" s="31"/>
      <c r="Z898" s="31"/>
      <c r="AA898" s="25">
        <f t="shared" si="215"/>
        <v>9.0359999999999996</v>
      </c>
      <c r="AB898" s="25">
        <f t="shared" si="216"/>
        <v>-184.49199999999999</v>
      </c>
      <c r="AD898" s="24">
        <f>IF(D898="M",IF(AG898&lt;78,BMILMS!$D$5*AG898^3+BMILMS!$E$5*AG898^2+BMILMS!$F$5*AG898+BMILMS!$G$5,IF(AG898&lt;150,BMILMS!$D$6*AG898^3+BMILMS!$E$6*AG898^2+BMILMS!$F$6*AG898+BMILMS!$G$6,BMILMS!$D$7*AG898^3+BMILMS!$E$7*AG898^2+BMILMS!$F$7*AG898+BMILMS!$G$7)),IF(AG898&lt;69,BMILMS!$D$9*AG898^3+BMILMS!$E$9*AG898^2+BMILMS!$F$9*AG898+BMILMS!$G$9,IF(AG898&lt;150,BMILMS!$D$10*AG898^3+BMILMS!$E$10*AG898^2+BMILMS!$F$10*AG898+BMILMS!$G$10,BMILMS!$D$11*AG898^3+BMILMS!$E$11*AG898^2+BMILMS!$F$11*AG898+BMILMS!$G$11)))</f>
        <v>0.79584630099999998</v>
      </c>
      <c r="AE898" s="24">
        <f>IF(D898="M",(IF(AG898&lt;2.5,BMILMS!$D$21*AG898^3+BMILMS!$E$21*AG898^2+BMILMS!$F$21*AG898+BMILMS!$G$21,IF(AG898&lt;9.5,BMILMS!$D$22*AG898^3+BMILMS!$E$22*AG898^2+BMILMS!$F$22*AG898+BMILMS!$G$22,IF(AG898&lt;26.75,BMILMS!$D$23*AG898^3+BMILMS!$E$23*AG898^2+BMILMS!$F$23*AG898+BMILMS!$G$23,IF(AG898&lt;90,BMILMS!$D$24*AG898^3+BMILMS!$E$24*AG898^2+BMILMS!$F$24*AG898+BMILMS!$G$24,BMILMS!$D$25*AG898^3+BMILMS!$E$25*AG898^2+BMILMS!$F$25*AG898+BMILMS!$G$25))))),(IF(AG898&lt;2.5,BMILMS!$D$27*AG898^3+BMILMS!$E$27*AG898^2+BMILMS!$F$27*AG898+BMILMS!$G$27,IF(AG898&lt;9.5,BMILMS!$D$28*AG898^3+BMILMS!$E$28*AG898^2+BMILMS!$F$28*AG898+BMILMS!$G$28,IF(AG898&lt;26.75,BMILMS!$D$29*AG898^3+BMILMS!$E$29*AG898^2+BMILMS!$F$29*AG898+BMILMS!$G$29,IF(AG898&lt;90,BMILMS!$D$30*AG898^3+BMILMS!$E$30*AG898^2+BMILMS!$F$30*AG898+BMILMS!$G$30,IF(AG898&lt;150,BMILMS!$D$31*AG898^3+BMILMS!$E$31*AG898^2+BMILMS!$F$31*AG898+BMILMS!$G$31,BMILMS!$D$32*AG898^3+BMILMS!$E$32*AG898^2+BMILMS!$F$32*AG898+BMILMS!$G$32)))))))</f>
        <v>12.568967990000001</v>
      </c>
      <c r="AF898" s="24">
        <f>IF(D898="M",(IF(AG898&lt;90,BMILMS!$D$14*AG898^3+BMILMS!$E$14*AG898^2+BMILMS!$F$14*AG898+BMILMS!$G$14,BMILMS!$D$15*AG898^3+BMILMS!$E$15*AG898^2+BMILMS!$F$15*AG898+BMILMS!$G$15)),(IF(AG898&lt;90,BMILMS!$D$17*AG898^3+BMILMS!$E$17*AG898^2+BMILMS!$F$17*AG898+BMILMS!$G$17,BMILMS!$D$18*AG898^3+BMILMS!$E$18*AG898^2+BMILMS!$F$18*AG898+BMILMS!$G$18)))</f>
        <v>8.8969350000000003E-2</v>
      </c>
      <c r="AG898" s="24">
        <f t="shared" si="224"/>
        <v>0</v>
      </c>
      <c r="AI898" s="38">
        <f>IF(D898="M",WeightSDS!P$5*$AG898^7+WeightSDS!Q$5*$AG898^6+WeightSDS!R$5*$AG898^5+WeightSDS!S$5*$AG898^4+WeightSDS!T$5*$AG898^3+WeightSDS!U$5*$AG898^2+WeightSDS!V$5*$AG898+WeightSDS!W$5,IF($AG898&lt;186,WeightSDS!P$8*$AG898^7+WeightSDS!Q$8*$AG898^6+WeightSDS!R$8*$AG898^5+WeightSDS!S$8*$AG898^4+WeightSDS!T$8*$AG898^3+WeightSDS!U$8*$AG898^2+WeightSDS!V$8*$AG898+WeightSDS!W$8,WeightSDS!$U$9-WeightSDS!$V$9*($AG898-WeightSDS!$W$9)))</f>
        <v>0.75407122999999998</v>
      </c>
      <c r="AJ898" s="24">
        <f>IF(D898="M",IF($AG898&lt;45,WeightSDS!M$23*$AG898^10+WeightSDS!N$23*$AG898^9+WeightSDS!O$23*$AG898^8+WeightSDS!P$23*$AG898^7+WeightSDS!Q$23*$AG898^6+WeightSDS!R$23*$AG898^5+WeightSDS!S$23*$AG898^4+WeightSDS!T$23*$AG898^3+WeightSDS!U$23*$AG898^2+WeightSDS!V$23*$AG898+WeightSDS!W$23,IF($AG898&lt;153,WeightSDS!M$25*$AG898^10+WeightSDS!N$25*$AG898^9+WeightSDS!O$25*$AG898^8+WeightSDS!P$25*$AG898^7+WeightSDS!Q$25*$AG898^6+WeightSDS!R$25*$AG898^5+WeightSDS!S$25*$AG898^4+WeightSDS!T$25*$AG898^3+WeightSDS!U$25*$AG898^2+WeightSDS!V$25*$AG898+WeightSDS!W$25,WeightSDS!M$27+WeightSDS!N$27/(1+EXP(WeightSDS!O$27+WeightSDS!P$27*$AG898)))),IF($AG898&lt;43.8,WeightSDS!M$29*$AG898^10+WeightSDS!N$29*$AG898^9+WeightSDS!O$29*$AG898^8+WeightSDS!P$29*$AG898^7+WeightSDS!Q$29*$AG898^6+WeightSDS!R$29*$AG898^5+WeightSDS!S$29*$AG898^4+WeightSDS!T$29*$AG898^3+WeightSDS!U$29*$AG898^2+WeightSDS!V$29*$AG898+WeightSDS!W$29-0.010431*(1-$AG898/210),IF($AG898&lt;123,WeightSDS!M$30*$AG898^10+WeightSDS!N$30*$AG898^9+WeightSDS!O$30*$AG898^8+WeightSDS!P$30*$AG898^7+WeightSDS!Q$30*$AG898^6+WeightSDS!R$30*$AG898^5+WeightSDS!S$30*$AG898^4+WeightSDS!T$30*$AG898^3+WeightSDS!U$30*$AG898^2+WeightSDS!V$30*$AG898+WeightSDS!W$30-0.010431*(1-1/$AG898),WeightSDS!M$32+WeightSDS!N$32/(1+EXP(WeightSDS!O$32+WeightSDS!P$32*$AG898))-0.010431*(1-$AG898/210))))</f>
        <v>2.9500001032655536</v>
      </c>
      <c r="AK898" s="24">
        <f>IF(D898="M",IF($AG898&lt;162,WeightSDS!P$12*$AG898^7+WeightSDS!Q$12*$AG898^6+WeightSDS!R$12*$AG898^5+WeightSDS!S$12*$AG898^4+WeightSDS!T$12*$AG898^3+WeightSDS!U$12*$AG898^2+WeightSDS!V$12*$AG898+WeightSDS!W$12,WeightSDS!P$14*$AG898^7+WeightSDS!Q$14*$AG898^6+WeightSDS!R$14*$AG898^5+WeightSDS!S$14*$AG898^4+WeightSDS!T$14*$AG898^3+WeightSDS!U$14*$AG898^2+WeightSDS!V$14*$AG898+WeightSDS!W$14),IF($AG898&lt;156,WeightSDS!O$17*$AG898^8+WeightSDS!P$17*$AG898^7+WeightSDS!Q$17*$AG898^6+WeightSDS!R$17*$AG898^5+WeightSDS!S$17*$AG898^4+WeightSDS!T$17*$AG898^3+WeightSDS!U$17*$AG898^2+WeightSDS!V$17*$AG898+WeightSDS!W$17,IF($AG898&lt;186,WeightSDS!$U$18+(WeightSDS!$V$18-WeightSDS!$U$18)/24*($AG898-186)+WeightSDS!$W$18*(-$AG898+186)^2-0.005,WeightSDS!$U$18+(WeightSDS!$V$18-WeightSDS!$U$18)/24*($AG898-186)-0.005)))</f>
        <v>0.14604529399999999</v>
      </c>
    </row>
    <row r="899" spans="1:37">
      <c r="A899" s="4"/>
      <c r="B899" s="21"/>
      <c r="C899" s="21"/>
      <c r="D899" s="21"/>
      <c r="E899" s="22"/>
      <c r="F899" s="22"/>
      <c r="G899" s="23"/>
      <c r="H899" s="23"/>
      <c r="I899" s="8" t="str">
        <f t="shared" ref="I899:I962" si="226">IF(COUNTA(D899,E899,F899,G899,H899)=5,IF(Q899&gt;17.583,"       *",(G899-(INDEX(IF(D899="F",Hfemalemean,Hmalemean),V899+1,U899+1)))/(INDEX(IF(D899="F",Hfemalesd,Hmalesd),V899+1,U899+1))),"")</f>
        <v/>
      </c>
      <c r="J899" s="2" t="str">
        <f t="shared" si="217"/>
        <v/>
      </c>
      <c r="K899" s="2" t="str">
        <f t="shared" ref="K899:K962" si="227">IF(COUNTA(D899,E899,F899,G899,H899)&lt;5,"",IF(Q899&lt;6,"       *",IF(Q899&gt;=17.583,"       *",(H899-G899*INDEX(IF(D899="F",muratafemale,muratamale),U899-4,1)-INDEX(IF(D899="F",muratafemale,muratamale),U899-4,2))/(G899*INDEX(IF(D899="F",muratafemale,muratamale),U899-4,1)+INDEX(IF(D899="F",muratafemale,muratamale),U899-4,2))*100)))</f>
        <v/>
      </c>
      <c r="L899" s="2" t="str">
        <f t="shared" si="218"/>
        <v/>
      </c>
      <c r="M899" s="2" t="str">
        <f t="shared" si="223"/>
        <v/>
      </c>
      <c r="N899" s="2" t="str">
        <f t="shared" si="219"/>
        <v/>
      </c>
      <c r="O899" s="8" t="str">
        <f t="shared" si="220"/>
        <v/>
      </c>
      <c r="P899" s="8" t="str">
        <f t="shared" si="221"/>
        <v/>
      </c>
      <c r="Q899" s="40" t="str">
        <f t="shared" ref="Q899:Q962" si="228">IF(COUNTA(D899,E899,F899,G899,H899)=5,W899,"")</f>
        <v/>
      </c>
      <c r="R899" s="48" t="str">
        <f t="shared" si="222"/>
        <v/>
      </c>
      <c r="S899" s="8"/>
      <c r="U899" s="35">
        <f t="shared" ref="U899:U963" si="229">DATEDIF(E899,F899,"Y")</f>
        <v>0</v>
      </c>
      <c r="V899" s="24">
        <f t="shared" ref="V899:V965" si="230">DATEDIF(E899,F899,"YM")</f>
        <v>0</v>
      </c>
      <c r="W899" s="41">
        <f t="shared" si="225"/>
        <v>0</v>
      </c>
      <c r="X899" s="31"/>
      <c r="Y899" s="31"/>
      <c r="Z899" s="31"/>
      <c r="AA899" s="25">
        <f t="shared" ref="AA899:AA962" si="231">IF(D899="M",2.06*10^-3*G899^2-0.1166*G899+6.5273,2.49*10^-3*G899^2-0.1858*G899+9.036)</f>
        <v>9.0359999999999996</v>
      </c>
      <c r="AB899" s="25">
        <f t="shared" ref="AB899:AB962" si="232">((G899/100)^3*INDEX(itoOI,IF(D899="M",0,3)+IF(G899&lt;140,1,IF(G899&lt;=149,2,3)),1)+(G899/100)^2*INDEX(itoOI,IF(D899="M",0,3)+IF(G899&lt;140,1,IF(G899&lt;=149,2,3)),2)+(G899/100)*INDEX(itoOI,IF(D899="M",0,3)+IF(G899&lt;140,1,IF(G899&lt;=149,2,3)),3)+INDEX(itoOI,IF(D899="M",0,3)+IF(G899&lt;140,1,IF(G899&lt;=149,2,3)),4))</f>
        <v>-184.49199999999999</v>
      </c>
      <c r="AD899" s="24">
        <f>IF(D899="M",IF(AG899&lt;78,BMILMS!$D$5*AG899^3+BMILMS!$E$5*AG899^2+BMILMS!$F$5*AG899+BMILMS!$G$5,IF(AG899&lt;150,BMILMS!$D$6*AG899^3+BMILMS!$E$6*AG899^2+BMILMS!$F$6*AG899+BMILMS!$G$6,BMILMS!$D$7*AG899^3+BMILMS!$E$7*AG899^2+BMILMS!$F$7*AG899+BMILMS!$G$7)),IF(AG899&lt;69,BMILMS!$D$9*AG899^3+BMILMS!$E$9*AG899^2+BMILMS!$F$9*AG899+BMILMS!$G$9,IF(AG899&lt;150,BMILMS!$D$10*AG899^3+BMILMS!$E$10*AG899^2+BMILMS!$F$10*AG899+BMILMS!$G$10,BMILMS!$D$11*AG899^3+BMILMS!$E$11*AG899^2+BMILMS!$F$11*AG899+BMILMS!$G$11)))</f>
        <v>0.79584630099999998</v>
      </c>
      <c r="AE899" s="24">
        <f>IF(D899="M",(IF(AG899&lt;2.5,BMILMS!$D$21*AG899^3+BMILMS!$E$21*AG899^2+BMILMS!$F$21*AG899+BMILMS!$G$21,IF(AG899&lt;9.5,BMILMS!$D$22*AG899^3+BMILMS!$E$22*AG899^2+BMILMS!$F$22*AG899+BMILMS!$G$22,IF(AG899&lt;26.75,BMILMS!$D$23*AG899^3+BMILMS!$E$23*AG899^2+BMILMS!$F$23*AG899+BMILMS!$G$23,IF(AG899&lt;90,BMILMS!$D$24*AG899^3+BMILMS!$E$24*AG899^2+BMILMS!$F$24*AG899+BMILMS!$G$24,BMILMS!$D$25*AG899^3+BMILMS!$E$25*AG899^2+BMILMS!$F$25*AG899+BMILMS!$G$25))))),(IF(AG899&lt;2.5,BMILMS!$D$27*AG899^3+BMILMS!$E$27*AG899^2+BMILMS!$F$27*AG899+BMILMS!$G$27,IF(AG899&lt;9.5,BMILMS!$D$28*AG899^3+BMILMS!$E$28*AG899^2+BMILMS!$F$28*AG899+BMILMS!$G$28,IF(AG899&lt;26.75,BMILMS!$D$29*AG899^3+BMILMS!$E$29*AG899^2+BMILMS!$F$29*AG899+BMILMS!$G$29,IF(AG899&lt;90,BMILMS!$D$30*AG899^3+BMILMS!$E$30*AG899^2+BMILMS!$F$30*AG899+BMILMS!$G$30,IF(AG899&lt;150,BMILMS!$D$31*AG899^3+BMILMS!$E$31*AG899^2+BMILMS!$F$31*AG899+BMILMS!$G$31,BMILMS!$D$32*AG899^3+BMILMS!$E$32*AG899^2+BMILMS!$F$32*AG899+BMILMS!$G$32)))))))</f>
        <v>12.568967990000001</v>
      </c>
      <c r="AF899" s="24">
        <f>IF(D899="M",(IF(AG899&lt;90,BMILMS!$D$14*AG899^3+BMILMS!$E$14*AG899^2+BMILMS!$F$14*AG899+BMILMS!$G$14,BMILMS!$D$15*AG899^3+BMILMS!$E$15*AG899^2+BMILMS!$F$15*AG899+BMILMS!$G$15)),(IF(AG899&lt;90,BMILMS!$D$17*AG899^3+BMILMS!$E$17*AG899^2+BMILMS!$F$17*AG899+BMILMS!$G$17,BMILMS!$D$18*AG899^3+BMILMS!$E$18*AG899^2+BMILMS!$F$18*AG899+BMILMS!$G$18)))</f>
        <v>8.8969350000000003E-2</v>
      </c>
      <c r="AG899" s="24">
        <f t="shared" si="224"/>
        <v>0</v>
      </c>
      <c r="AI899" s="38">
        <f>IF(D899="M",WeightSDS!P$5*$AG899^7+WeightSDS!Q$5*$AG899^6+WeightSDS!R$5*$AG899^5+WeightSDS!S$5*$AG899^4+WeightSDS!T$5*$AG899^3+WeightSDS!U$5*$AG899^2+WeightSDS!V$5*$AG899+WeightSDS!W$5,IF($AG899&lt;186,WeightSDS!P$8*$AG899^7+WeightSDS!Q$8*$AG899^6+WeightSDS!R$8*$AG899^5+WeightSDS!S$8*$AG899^4+WeightSDS!T$8*$AG899^3+WeightSDS!U$8*$AG899^2+WeightSDS!V$8*$AG899+WeightSDS!W$8,WeightSDS!$U$9-WeightSDS!$V$9*($AG899-WeightSDS!$W$9)))</f>
        <v>0.75407122999999998</v>
      </c>
      <c r="AJ899" s="24">
        <f>IF(D899="M",IF($AG899&lt;45,WeightSDS!M$23*$AG899^10+WeightSDS!N$23*$AG899^9+WeightSDS!O$23*$AG899^8+WeightSDS!P$23*$AG899^7+WeightSDS!Q$23*$AG899^6+WeightSDS!R$23*$AG899^5+WeightSDS!S$23*$AG899^4+WeightSDS!T$23*$AG899^3+WeightSDS!U$23*$AG899^2+WeightSDS!V$23*$AG899+WeightSDS!W$23,IF($AG899&lt;153,WeightSDS!M$25*$AG899^10+WeightSDS!N$25*$AG899^9+WeightSDS!O$25*$AG899^8+WeightSDS!P$25*$AG899^7+WeightSDS!Q$25*$AG899^6+WeightSDS!R$25*$AG899^5+WeightSDS!S$25*$AG899^4+WeightSDS!T$25*$AG899^3+WeightSDS!U$25*$AG899^2+WeightSDS!V$25*$AG899+WeightSDS!W$25,WeightSDS!M$27+WeightSDS!N$27/(1+EXP(WeightSDS!O$27+WeightSDS!P$27*$AG899)))),IF($AG899&lt;43.8,WeightSDS!M$29*$AG899^10+WeightSDS!N$29*$AG899^9+WeightSDS!O$29*$AG899^8+WeightSDS!P$29*$AG899^7+WeightSDS!Q$29*$AG899^6+WeightSDS!R$29*$AG899^5+WeightSDS!S$29*$AG899^4+WeightSDS!T$29*$AG899^3+WeightSDS!U$29*$AG899^2+WeightSDS!V$29*$AG899+WeightSDS!W$29-0.010431*(1-$AG899/210),IF($AG899&lt;123,WeightSDS!M$30*$AG899^10+WeightSDS!N$30*$AG899^9+WeightSDS!O$30*$AG899^8+WeightSDS!P$30*$AG899^7+WeightSDS!Q$30*$AG899^6+WeightSDS!R$30*$AG899^5+WeightSDS!S$30*$AG899^4+WeightSDS!T$30*$AG899^3+WeightSDS!U$30*$AG899^2+WeightSDS!V$30*$AG899+WeightSDS!W$30-0.010431*(1-1/$AG899),WeightSDS!M$32+WeightSDS!N$32/(1+EXP(WeightSDS!O$32+WeightSDS!P$32*$AG899))-0.010431*(1-$AG899/210))))</f>
        <v>2.9500001032655536</v>
      </c>
      <c r="AK899" s="24">
        <f>IF(D899="M",IF($AG899&lt;162,WeightSDS!P$12*$AG899^7+WeightSDS!Q$12*$AG899^6+WeightSDS!R$12*$AG899^5+WeightSDS!S$12*$AG899^4+WeightSDS!T$12*$AG899^3+WeightSDS!U$12*$AG899^2+WeightSDS!V$12*$AG899+WeightSDS!W$12,WeightSDS!P$14*$AG899^7+WeightSDS!Q$14*$AG899^6+WeightSDS!R$14*$AG899^5+WeightSDS!S$14*$AG899^4+WeightSDS!T$14*$AG899^3+WeightSDS!U$14*$AG899^2+WeightSDS!V$14*$AG899+WeightSDS!W$14),IF($AG899&lt;156,WeightSDS!O$17*$AG899^8+WeightSDS!P$17*$AG899^7+WeightSDS!Q$17*$AG899^6+WeightSDS!R$17*$AG899^5+WeightSDS!S$17*$AG899^4+WeightSDS!T$17*$AG899^3+WeightSDS!U$17*$AG899^2+WeightSDS!V$17*$AG899+WeightSDS!W$17,IF($AG899&lt;186,WeightSDS!$U$18+(WeightSDS!$V$18-WeightSDS!$U$18)/24*($AG899-186)+WeightSDS!$W$18*(-$AG899+186)^2-0.005,WeightSDS!$U$18+(WeightSDS!$V$18-WeightSDS!$U$18)/24*($AG899-186)-0.005)))</f>
        <v>0.14604529399999999</v>
      </c>
    </row>
    <row r="900" spans="1:37">
      <c r="A900" s="4"/>
      <c r="B900" s="21"/>
      <c r="C900" s="21"/>
      <c r="D900" s="21"/>
      <c r="E900" s="22"/>
      <c r="F900" s="22"/>
      <c r="G900" s="23"/>
      <c r="H900" s="23"/>
      <c r="I900" s="8" t="str">
        <f t="shared" si="226"/>
        <v/>
      </c>
      <c r="J900" s="2" t="str">
        <f t="shared" ref="J900:J963" si="233">IF(COUNTA(D900,E900,F900,G900,H900)=5,IF(Q900&lt;1,"       *",IF(Q900&gt;=6,"       *",IF(G900&gt;=120,"       *",IF(G900&lt;70,"       *",(H900-AA900)/AA900*100)))),"")</f>
        <v/>
      </c>
      <c r="K900" s="2" t="str">
        <f t="shared" si="227"/>
        <v/>
      </c>
      <c r="L900" s="2" t="str">
        <f t="shared" ref="L900:L963" si="234">IF(COUNTA(D900,E900,F900,G900,H900)=5,IF(G900&gt;=IF(D900="M",181,174),"*",IF(G900&lt;101,"       *",IF(Q900&lt;6,"       *",IF(Q900&gt;=17.583,"*",(H900-AB900)/AB900*100)))),"")</f>
        <v/>
      </c>
      <c r="M900" s="2" t="str">
        <f t="shared" si="223"/>
        <v/>
      </c>
      <c r="N900" s="2" t="str">
        <f t="shared" ref="N900:N963" si="235">IF(COUNTA(D900,E900,F900,G900,H900)=5,IF(Q900&gt;17.583,"   *",NORMSDIST(((M900/AE900)^(AD900)-1)/AD900/AF900)*100),"")</f>
        <v/>
      </c>
      <c r="O900" s="8" t="str">
        <f t="shared" ref="O900:O963" si="236">IF(COUNTA(D900,E900,F900,G900,H900)=5,IF(Q900&gt;17.583,"   *",((M900/AE900)^(AD900)-1)/AD900/AF900),"")</f>
        <v/>
      </c>
      <c r="P900" s="8" t="str">
        <f t="shared" ref="P900:P963" si="237">IF(COUNTA(D900,E900,F900,G900,H900)=5,IF(Q900&gt;17.583,"   *",((H900/AJ900)^(AI900)-1)/AI900/AK900),"")</f>
        <v/>
      </c>
      <c r="Q900" s="40" t="str">
        <f t="shared" si="228"/>
        <v/>
      </c>
      <c r="R900" s="48" t="str">
        <f t="shared" ref="R900:R963" si="238">IF(COUNTA(D900,E900,F900,G900,H900)=5,U900&amp;"歳"&amp;V900&amp;"か月","")</f>
        <v/>
      </c>
      <c r="S900" s="8"/>
      <c r="U900" s="35">
        <f t="shared" si="229"/>
        <v>0</v>
      </c>
      <c r="V900" s="24">
        <f t="shared" si="230"/>
        <v>0</v>
      </c>
      <c r="W900" s="41">
        <f t="shared" si="225"/>
        <v>0</v>
      </c>
      <c r="X900" s="31"/>
      <c r="Y900" s="31"/>
      <c r="Z900" s="31"/>
      <c r="AA900" s="25">
        <f t="shared" si="231"/>
        <v>9.0359999999999996</v>
      </c>
      <c r="AB900" s="25">
        <f t="shared" si="232"/>
        <v>-184.49199999999999</v>
      </c>
      <c r="AD900" s="24">
        <f>IF(D900="M",IF(AG900&lt;78,BMILMS!$D$5*AG900^3+BMILMS!$E$5*AG900^2+BMILMS!$F$5*AG900+BMILMS!$G$5,IF(AG900&lt;150,BMILMS!$D$6*AG900^3+BMILMS!$E$6*AG900^2+BMILMS!$F$6*AG900+BMILMS!$G$6,BMILMS!$D$7*AG900^3+BMILMS!$E$7*AG900^2+BMILMS!$F$7*AG900+BMILMS!$G$7)),IF(AG900&lt;69,BMILMS!$D$9*AG900^3+BMILMS!$E$9*AG900^2+BMILMS!$F$9*AG900+BMILMS!$G$9,IF(AG900&lt;150,BMILMS!$D$10*AG900^3+BMILMS!$E$10*AG900^2+BMILMS!$F$10*AG900+BMILMS!$G$10,BMILMS!$D$11*AG900^3+BMILMS!$E$11*AG900^2+BMILMS!$F$11*AG900+BMILMS!$G$11)))</f>
        <v>0.79584630099999998</v>
      </c>
      <c r="AE900" s="24">
        <f>IF(D900="M",(IF(AG900&lt;2.5,BMILMS!$D$21*AG900^3+BMILMS!$E$21*AG900^2+BMILMS!$F$21*AG900+BMILMS!$G$21,IF(AG900&lt;9.5,BMILMS!$D$22*AG900^3+BMILMS!$E$22*AG900^2+BMILMS!$F$22*AG900+BMILMS!$G$22,IF(AG900&lt;26.75,BMILMS!$D$23*AG900^3+BMILMS!$E$23*AG900^2+BMILMS!$F$23*AG900+BMILMS!$G$23,IF(AG900&lt;90,BMILMS!$D$24*AG900^3+BMILMS!$E$24*AG900^2+BMILMS!$F$24*AG900+BMILMS!$G$24,BMILMS!$D$25*AG900^3+BMILMS!$E$25*AG900^2+BMILMS!$F$25*AG900+BMILMS!$G$25))))),(IF(AG900&lt;2.5,BMILMS!$D$27*AG900^3+BMILMS!$E$27*AG900^2+BMILMS!$F$27*AG900+BMILMS!$G$27,IF(AG900&lt;9.5,BMILMS!$D$28*AG900^3+BMILMS!$E$28*AG900^2+BMILMS!$F$28*AG900+BMILMS!$G$28,IF(AG900&lt;26.75,BMILMS!$D$29*AG900^3+BMILMS!$E$29*AG900^2+BMILMS!$F$29*AG900+BMILMS!$G$29,IF(AG900&lt;90,BMILMS!$D$30*AG900^3+BMILMS!$E$30*AG900^2+BMILMS!$F$30*AG900+BMILMS!$G$30,IF(AG900&lt;150,BMILMS!$D$31*AG900^3+BMILMS!$E$31*AG900^2+BMILMS!$F$31*AG900+BMILMS!$G$31,BMILMS!$D$32*AG900^3+BMILMS!$E$32*AG900^2+BMILMS!$F$32*AG900+BMILMS!$G$32)))))))</f>
        <v>12.568967990000001</v>
      </c>
      <c r="AF900" s="24">
        <f>IF(D900="M",(IF(AG900&lt;90,BMILMS!$D$14*AG900^3+BMILMS!$E$14*AG900^2+BMILMS!$F$14*AG900+BMILMS!$G$14,BMILMS!$D$15*AG900^3+BMILMS!$E$15*AG900^2+BMILMS!$F$15*AG900+BMILMS!$G$15)),(IF(AG900&lt;90,BMILMS!$D$17*AG900^3+BMILMS!$E$17*AG900^2+BMILMS!$F$17*AG900+BMILMS!$G$17,BMILMS!$D$18*AG900^3+BMILMS!$E$18*AG900^2+BMILMS!$F$18*AG900+BMILMS!$G$18)))</f>
        <v>8.8969350000000003E-2</v>
      </c>
      <c r="AG900" s="24">
        <f t="shared" si="224"/>
        <v>0</v>
      </c>
      <c r="AI900" s="38">
        <f>IF(D900="M",WeightSDS!P$5*$AG900^7+WeightSDS!Q$5*$AG900^6+WeightSDS!R$5*$AG900^5+WeightSDS!S$5*$AG900^4+WeightSDS!T$5*$AG900^3+WeightSDS!U$5*$AG900^2+WeightSDS!V$5*$AG900+WeightSDS!W$5,IF($AG900&lt;186,WeightSDS!P$8*$AG900^7+WeightSDS!Q$8*$AG900^6+WeightSDS!R$8*$AG900^5+WeightSDS!S$8*$AG900^4+WeightSDS!T$8*$AG900^3+WeightSDS!U$8*$AG900^2+WeightSDS!V$8*$AG900+WeightSDS!W$8,WeightSDS!$U$9-WeightSDS!$V$9*($AG900-WeightSDS!$W$9)))</f>
        <v>0.75407122999999998</v>
      </c>
      <c r="AJ900" s="24">
        <f>IF(D900="M",IF($AG900&lt;45,WeightSDS!M$23*$AG900^10+WeightSDS!N$23*$AG900^9+WeightSDS!O$23*$AG900^8+WeightSDS!P$23*$AG900^7+WeightSDS!Q$23*$AG900^6+WeightSDS!R$23*$AG900^5+WeightSDS!S$23*$AG900^4+WeightSDS!T$23*$AG900^3+WeightSDS!U$23*$AG900^2+WeightSDS!V$23*$AG900+WeightSDS!W$23,IF($AG900&lt;153,WeightSDS!M$25*$AG900^10+WeightSDS!N$25*$AG900^9+WeightSDS!O$25*$AG900^8+WeightSDS!P$25*$AG900^7+WeightSDS!Q$25*$AG900^6+WeightSDS!R$25*$AG900^5+WeightSDS!S$25*$AG900^4+WeightSDS!T$25*$AG900^3+WeightSDS!U$25*$AG900^2+WeightSDS!V$25*$AG900+WeightSDS!W$25,WeightSDS!M$27+WeightSDS!N$27/(1+EXP(WeightSDS!O$27+WeightSDS!P$27*$AG900)))),IF($AG900&lt;43.8,WeightSDS!M$29*$AG900^10+WeightSDS!N$29*$AG900^9+WeightSDS!O$29*$AG900^8+WeightSDS!P$29*$AG900^7+WeightSDS!Q$29*$AG900^6+WeightSDS!R$29*$AG900^5+WeightSDS!S$29*$AG900^4+WeightSDS!T$29*$AG900^3+WeightSDS!U$29*$AG900^2+WeightSDS!V$29*$AG900+WeightSDS!W$29-0.010431*(1-$AG900/210),IF($AG900&lt;123,WeightSDS!M$30*$AG900^10+WeightSDS!N$30*$AG900^9+WeightSDS!O$30*$AG900^8+WeightSDS!P$30*$AG900^7+WeightSDS!Q$30*$AG900^6+WeightSDS!R$30*$AG900^5+WeightSDS!S$30*$AG900^4+WeightSDS!T$30*$AG900^3+WeightSDS!U$30*$AG900^2+WeightSDS!V$30*$AG900+WeightSDS!W$30-0.010431*(1-1/$AG900),WeightSDS!M$32+WeightSDS!N$32/(1+EXP(WeightSDS!O$32+WeightSDS!P$32*$AG900))-0.010431*(1-$AG900/210))))</f>
        <v>2.9500001032655536</v>
      </c>
      <c r="AK900" s="24">
        <f>IF(D900="M",IF($AG900&lt;162,WeightSDS!P$12*$AG900^7+WeightSDS!Q$12*$AG900^6+WeightSDS!R$12*$AG900^5+WeightSDS!S$12*$AG900^4+WeightSDS!T$12*$AG900^3+WeightSDS!U$12*$AG900^2+WeightSDS!V$12*$AG900+WeightSDS!W$12,WeightSDS!P$14*$AG900^7+WeightSDS!Q$14*$AG900^6+WeightSDS!R$14*$AG900^5+WeightSDS!S$14*$AG900^4+WeightSDS!T$14*$AG900^3+WeightSDS!U$14*$AG900^2+WeightSDS!V$14*$AG900+WeightSDS!W$14),IF($AG900&lt;156,WeightSDS!O$17*$AG900^8+WeightSDS!P$17*$AG900^7+WeightSDS!Q$17*$AG900^6+WeightSDS!R$17*$AG900^5+WeightSDS!S$17*$AG900^4+WeightSDS!T$17*$AG900^3+WeightSDS!U$17*$AG900^2+WeightSDS!V$17*$AG900+WeightSDS!W$17,IF($AG900&lt;186,WeightSDS!$U$18+(WeightSDS!$V$18-WeightSDS!$U$18)/24*($AG900-186)+WeightSDS!$W$18*(-$AG900+186)^2-0.005,WeightSDS!$U$18+(WeightSDS!$V$18-WeightSDS!$U$18)/24*($AG900-186)-0.005)))</f>
        <v>0.14604529399999999</v>
      </c>
    </row>
    <row r="901" spans="1:37">
      <c r="A901" s="4"/>
      <c r="B901" s="21"/>
      <c r="C901" s="21"/>
      <c r="D901" s="21"/>
      <c r="E901" s="22"/>
      <c r="F901" s="22"/>
      <c r="G901" s="23"/>
      <c r="H901" s="23"/>
      <c r="I901" s="8" t="str">
        <f t="shared" si="226"/>
        <v/>
      </c>
      <c r="J901" s="2" t="str">
        <f t="shared" si="233"/>
        <v/>
      </c>
      <c r="K901" s="2" t="str">
        <f t="shared" si="227"/>
        <v/>
      </c>
      <c r="L901" s="2" t="str">
        <f t="shared" si="234"/>
        <v/>
      </c>
      <c r="M901" s="2" t="str">
        <f t="shared" si="223"/>
        <v/>
      </c>
      <c r="N901" s="2" t="str">
        <f t="shared" si="235"/>
        <v/>
      </c>
      <c r="O901" s="8" t="str">
        <f t="shared" si="236"/>
        <v/>
      </c>
      <c r="P901" s="8" t="str">
        <f t="shared" si="237"/>
        <v/>
      </c>
      <c r="Q901" s="40" t="str">
        <f t="shared" si="228"/>
        <v/>
      </c>
      <c r="R901" s="48" t="str">
        <f t="shared" si="238"/>
        <v/>
      </c>
      <c r="S901" s="8"/>
      <c r="U901" s="35">
        <f t="shared" si="229"/>
        <v>0</v>
      </c>
      <c r="V901" s="24">
        <f t="shared" si="230"/>
        <v>0</v>
      </c>
      <c r="W901" s="41">
        <f t="shared" si="225"/>
        <v>0</v>
      </c>
      <c r="X901" s="31"/>
      <c r="Y901" s="31"/>
      <c r="Z901" s="31"/>
      <c r="AA901" s="25">
        <f t="shared" si="231"/>
        <v>9.0359999999999996</v>
      </c>
      <c r="AB901" s="25">
        <f t="shared" si="232"/>
        <v>-184.49199999999999</v>
      </c>
      <c r="AD901" s="24">
        <f>IF(D901="M",IF(AG901&lt;78,BMILMS!$D$5*AG901^3+BMILMS!$E$5*AG901^2+BMILMS!$F$5*AG901+BMILMS!$G$5,IF(AG901&lt;150,BMILMS!$D$6*AG901^3+BMILMS!$E$6*AG901^2+BMILMS!$F$6*AG901+BMILMS!$G$6,BMILMS!$D$7*AG901^3+BMILMS!$E$7*AG901^2+BMILMS!$F$7*AG901+BMILMS!$G$7)),IF(AG901&lt;69,BMILMS!$D$9*AG901^3+BMILMS!$E$9*AG901^2+BMILMS!$F$9*AG901+BMILMS!$G$9,IF(AG901&lt;150,BMILMS!$D$10*AG901^3+BMILMS!$E$10*AG901^2+BMILMS!$F$10*AG901+BMILMS!$G$10,BMILMS!$D$11*AG901^3+BMILMS!$E$11*AG901^2+BMILMS!$F$11*AG901+BMILMS!$G$11)))</f>
        <v>0.79584630099999998</v>
      </c>
      <c r="AE901" s="24">
        <f>IF(D901="M",(IF(AG901&lt;2.5,BMILMS!$D$21*AG901^3+BMILMS!$E$21*AG901^2+BMILMS!$F$21*AG901+BMILMS!$G$21,IF(AG901&lt;9.5,BMILMS!$D$22*AG901^3+BMILMS!$E$22*AG901^2+BMILMS!$F$22*AG901+BMILMS!$G$22,IF(AG901&lt;26.75,BMILMS!$D$23*AG901^3+BMILMS!$E$23*AG901^2+BMILMS!$F$23*AG901+BMILMS!$G$23,IF(AG901&lt;90,BMILMS!$D$24*AG901^3+BMILMS!$E$24*AG901^2+BMILMS!$F$24*AG901+BMILMS!$G$24,BMILMS!$D$25*AG901^3+BMILMS!$E$25*AG901^2+BMILMS!$F$25*AG901+BMILMS!$G$25))))),(IF(AG901&lt;2.5,BMILMS!$D$27*AG901^3+BMILMS!$E$27*AG901^2+BMILMS!$F$27*AG901+BMILMS!$G$27,IF(AG901&lt;9.5,BMILMS!$D$28*AG901^3+BMILMS!$E$28*AG901^2+BMILMS!$F$28*AG901+BMILMS!$G$28,IF(AG901&lt;26.75,BMILMS!$D$29*AG901^3+BMILMS!$E$29*AG901^2+BMILMS!$F$29*AG901+BMILMS!$G$29,IF(AG901&lt;90,BMILMS!$D$30*AG901^3+BMILMS!$E$30*AG901^2+BMILMS!$F$30*AG901+BMILMS!$G$30,IF(AG901&lt;150,BMILMS!$D$31*AG901^3+BMILMS!$E$31*AG901^2+BMILMS!$F$31*AG901+BMILMS!$G$31,BMILMS!$D$32*AG901^3+BMILMS!$E$32*AG901^2+BMILMS!$F$32*AG901+BMILMS!$G$32)))))))</f>
        <v>12.568967990000001</v>
      </c>
      <c r="AF901" s="24">
        <f>IF(D901="M",(IF(AG901&lt;90,BMILMS!$D$14*AG901^3+BMILMS!$E$14*AG901^2+BMILMS!$F$14*AG901+BMILMS!$G$14,BMILMS!$D$15*AG901^3+BMILMS!$E$15*AG901^2+BMILMS!$F$15*AG901+BMILMS!$G$15)),(IF(AG901&lt;90,BMILMS!$D$17*AG901^3+BMILMS!$E$17*AG901^2+BMILMS!$F$17*AG901+BMILMS!$G$17,BMILMS!$D$18*AG901^3+BMILMS!$E$18*AG901^2+BMILMS!$F$18*AG901+BMILMS!$G$18)))</f>
        <v>8.8969350000000003E-2</v>
      </c>
      <c r="AG901" s="24">
        <f t="shared" si="224"/>
        <v>0</v>
      </c>
      <c r="AI901" s="38">
        <f>IF(D901="M",WeightSDS!P$5*$AG901^7+WeightSDS!Q$5*$AG901^6+WeightSDS!R$5*$AG901^5+WeightSDS!S$5*$AG901^4+WeightSDS!T$5*$AG901^3+WeightSDS!U$5*$AG901^2+WeightSDS!V$5*$AG901+WeightSDS!W$5,IF($AG901&lt;186,WeightSDS!P$8*$AG901^7+WeightSDS!Q$8*$AG901^6+WeightSDS!R$8*$AG901^5+WeightSDS!S$8*$AG901^4+WeightSDS!T$8*$AG901^3+WeightSDS!U$8*$AG901^2+WeightSDS!V$8*$AG901+WeightSDS!W$8,WeightSDS!$U$9-WeightSDS!$V$9*($AG901-WeightSDS!$W$9)))</f>
        <v>0.75407122999999998</v>
      </c>
      <c r="AJ901" s="24">
        <f>IF(D901="M",IF($AG901&lt;45,WeightSDS!M$23*$AG901^10+WeightSDS!N$23*$AG901^9+WeightSDS!O$23*$AG901^8+WeightSDS!P$23*$AG901^7+WeightSDS!Q$23*$AG901^6+WeightSDS!R$23*$AG901^5+WeightSDS!S$23*$AG901^4+WeightSDS!T$23*$AG901^3+WeightSDS!U$23*$AG901^2+WeightSDS!V$23*$AG901+WeightSDS!W$23,IF($AG901&lt;153,WeightSDS!M$25*$AG901^10+WeightSDS!N$25*$AG901^9+WeightSDS!O$25*$AG901^8+WeightSDS!P$25*$AG901^7+WeightSDS!Q$25*$AG901^6+WeightSDS!R$25*$AG901^5+WeightSDS!S$25*$AG901^4+WeightSDS!T$25*$AG901^3+WeightSDS!U$25*$AG901^2+WeightSDS!V$25*$AG901+WeightSDS!W$25,WeightSDS!M$27+WeightSDS!N$27/(1+EXP(WeightSDS!O$27+WeightSDS!P$27*$AG901)))),IF($AG901&lt;43.8,WeightSDS!M$29*$AG901^10+WeightSDS!N$29*$AG901^9+WeightSDS!O$29*$AG901^8+WeightSDS!P$29*$AG901^7+WeightSDS!Q$29*$AG901^6+WeightSDS!R$29*$AG901^5+WeightSDS!S$29*$AG901^4+WeightSDS!T$29*$AG901^3+WeightSDS!U$29*$AG901^2+WeightSDS!V$29*$AG901+WeightSDS!W$29-0.010431*(1-$AG901/210),IF($AG901&lt;123,WeightSDS!M$30*$AG901^10+WeightSDS!N$30*$AG901^9+WeightSDS!O$30*$AG901^8+WeightSDS!P$30*$AG901^7+WeightSDS!Q$30*$AG901^6+WeightSDS!R$30*$AG901^5+WeightSDS!S$30*$AG901^4+WeightSDS!T$30*$AG901^3+WeightSDS!U$30*$AG901^2+WeightSDS!V$30*$AG901+WeightSDS!W$30-0.010431*(1-1/$AG901),WeightSDS!M$32+WeightSDS!N$32/(1+EXP(WeightSDS!O$32+WeightSDS!P$32*$AG901))-0.010431*(1-$AG901/210))))</f>
        <v>2.9500001032655536</v>
      </c>
      <c r="AK901" s="24">
        <f>IF(D901="M",IF($AG901&lt;162,WeightSDS!P$12*$AG901^7+WeightSDS!Q$12*$AG901^6+WeightSDS!R$12*$AG901^5+WeightSDS!S$12*$AG901^4+WeightSDS!T$12*$AG901^3+WeightSDS!U$12*$AG901^2+WeightSDS!V$12*$AG901+WeightSDS!W$12,WeightSDS!P$14*$AG901^7+WeightSDS!Q$14*$AG901^6+WeightSDS!R$14*$AG901^5+WeightSDS!S$14*$AG901^4+WeightSDS!T$14*$AG901^3+WeightSDS!U$14*$AG901^2+WeightSDS!V$14*$AG901+WeightSDS!W$14),IF($AG901&lt;156,WeightSDS!O$17*$AG901^8+WeightSDS!P$17*$AG901^7+WeightSDS!Q$17*$AG901^6+WeightSDS!R$17*$AG901^5+WeightSDS!S$17*$AG901^4+WeightSDS!T$17*$AG901^3+WeightSDS!U$17*$AG901^2+WeightSDS!V$17*$AG901+WeightSDS!W$17,IF($AG901&lt;186,WeightSDS!$U$18+(WeightSDS!$V$18-WeightSDS!$U$18)/24*($AG901-186)+WeightSDS!$W$18*(-$AG901+186)^2-0.005,WeightSDS!$U$18+(WeightSDS!$V$18-WeightSDS!$U$18)/24*($AG901-186)-0.005)))</f>
        <v>0.14604529399999999</v>
      </c>
    </row>
    <row r="902" spans="1:37">
      <c r="A902" s="4"/>
      <c r="B902" s="21"/>
      <c r="C902" s="21"/>
      <c r="D902" s="21"/>
      <c r="E902" s="22"/>
      <c r="F902" s="22"/>
      <c r="G902" s="23"/>
      <c r="H902" s="23"/>
      <c r="I902" s="8" t="str">
        <f t="shared" si="226"/>
        <v/>
      </c>
      <c r="J902" s="2" t="str">
        <f t="shared" si="233"/>
        <v/>
      </c>
      <c r="K902" s="2" t="str">
        <f t="shared" si="227"/>
        <v/>
      </c>
      <c r="L902" s="2" t="str">
        <f t="shared" si="234"/>
        <v/>
      </c>
      <c r="M902" s="2" t="str">
        <f t="shared" si="223"/>
        <v/>
      </c>
      <c r="N902" s="2" t="str">
        <f t="shared" si="235"/>
        <v/>
      </c>
      <c r="O902" s="8" t="str">
        <f t="shared" si="236"/>
        <v/>
      </c>
      <c r="P902" s="8" t="str">
        <f t="shared" si="237"/>
        <v/>
      </c>
      <c r="Q902" s="40" t="str">
        <f t="shared" si="228"/>
        <v/>
      </c>
      <c r="R902" s="48" t="str">
        <f t="shared" si="238"/>
        <v/>
      </c>
      <c r="S902" s="8"/>
      <c r="U902" s="35">
        <f t="shared" si="229"/>
        <v>0</v>
      </c>
      <c r="V902" s="24">
        <f t="shared" si="230"/>
        <v>0</v>
      </c>
      <c r="W902" s="41">
        <f t="shared" si="225"/>
        <v>0</v>
      </c>
      <c r="X902" s="31"/>
      <c r="Y902" s="31"/>
      <c r="Z902" s="31"/>
      <c r="AA902" s="25">
        <f t="shared" si="231"/>
        <v>9.0359999999999996</v>
      </c>
      <c r="AB902" s="25">
        <f t="shared" si="232"/>
        <v>-184.49199999999999</v>
      </c>
      <c r="AD902" s="24">
        <f>IF(D902="M",IF(AG902&lt;78,BMILMS!$D$5*AG902^3+BMILMS!$E$5*AG902^2+BMILMS!$F$5*AG902+BMILMS!$G$5,IF(AG902&lt;150,BMILMS!$D$6*AG902^3+BMILMS!$E$6*AG902^2+BMILMS!$F$6*AG902+BMILMS!$G$6,BMILMS!$D$7*AG902^3+BMILMS!$E$7*AG902^2+BMILMS!$F$7*AG902+BMILMS!$G$7)),IF(AG902&lt;69,BMILMS!$D$9*AG902^3+BMILMS!$E$9*AG902^2+BMILMS!$F$9*AG902+BMILMS!$G$9,IF(AG902&lt;150,BMILMS!$D$10*AG902^3+BMILMS!$E$10*AG902^2+BMILMS!$F$10*AG902+BMILMS!$G$10,BMILMS!$D$11*AG902^3+BMILMS!$E$11*AG902^2+BMILMS!$F$11*AG902+BMILMS!$G$11)))</f>
        <v>0.79584630099999998</v>
      </c>
      <c r="AE902" s="24">
        <f>IF(D902="M",(IF(AG902&lt;2.5,BMILMS!$D$21*AG902^3+BMILMS!$E$21*AG902^2+BMILMS!$F$21*AG902+BMILMS!$G$21,IF(AG902&lt;9.5,BMILMS!$D$22*AG902^3+BMILMS!$E$22*AG902^2+BMILMS!$F$22*AG902+BMILMS!$G$22,IF(AG902&lt;26.75,BMILMS!$D$23*AG902^3+BMILMS!$E$23*AG902^2+BMILMS!$F$23*AG902+BMILMS!$G$23,IF(AG902&lt;90,BMILMS!$D$24*AG902^3+BMILMS!$E$24*AG902^2+BMILMS!$F$24*AG902+BMILMS!$G$24,BMILMS!$D$25*AG902^3+BMILMS!$E$25*AG902^2+BMILMS!$F$25*AG902+BMILMS!$G$25))))),(IF(AG902&lt;2.5,BMILMS!$D$27*AG902^3+BMILMS!$E$27*AG902^2+BMILMS!$F$27*AG902+BMILMS!$G$27,IF(AG902&lt;9.5,BMILMS!$D$28*AG902^3+BMILMS!$E$28*AG902^2+BMILMS!$F$28*AG902+BMILMS!$G$28,IF(AG902&lt;26.75,BMILMS!$D$29*AG902^3+BMILMS!$E$29*AG902^2+BMILMS!$F$29*AG902+BMILMS!$G$29,IF(AG902&lt;90,BMILMS!$D$30*AG902^3+BMILMS!$E$30*AG902^2+BMILMS!$F$30*AG902+BMILMS!$G$30,IF(AG902&lt;150,BMILMS!$D$31*AG902^3+BMILMS!$E$31*AG902^2+BMILMS!$F$31*AG902+BMILMS!$G$31,BMILMS!$D$32*AG902^3+BMILMS!$E$32*AG902^2+BMILMS!$F$32*AG902+BMILMS!$G$32)))))))</f>
        <v>12.568967990000001</v>
      </c>
      <c r="AF902" s="24">
        <f>IF(D902="M",(IF(AG902&lt;90,BMILMS!$D$14*AG902^3+BMILMS!$E$14*AG902^2+BMILMS!$F$14*AG902+BMILMS!$G$14,BMILMS!$D$15*AG902^3+BMILMS!$E$15*AG902^2+BMILMS!$F$15*AG902+BMILMS!$G$15)),(IF(AG902&lt;90,BMILMS!$D$17*AG902^3+BMILMS!$E$17*AG902^2+BMILMS!$F$17*AG902+BMILMS!$G$17,BMILMS!$D$18*AG902^3+BMILMS!$E$18*AG902^2+BMILMS!$F$18*AG902+BMILMS!$G$18)))</f>
        <v>8.8969350000000003E-2</v>
      </c>
      <c r="AG902" s="24">
        <f t="shared" si="224"/>
        <v>0</v>
      </c>
      <c r="AI902" s="38">
        <f>IF(D902="M",WeightSDS!P$5*$AG902^7+WeightSDS!Q$5*$AG902^6+WeightSDS!R$5*$AG902^5+WeightSDS!S$5*$AG902^4+WeightSDS!T$5*$AG902^3+WeightSDS!U$5*$AG902^2+WeightSDS!V$5*$AG902+WeightSDS!W$5,IF($AG902&lt;186,WeightSDS!P$8*$AG902^7+WeightSDS!Q$8*$AG902^6+WeightSDS!R$8*$AG902^5+WeightSDS!S$8*$AG902^4+WeightSDS!T$8*$AG902^3+WeightSDS!U$8*$AG902^2+WeightSDS!V$8*$AG902+WeightSDS!W$8,WeightSDS!$U$9-WeightSDS!$V$9*($AG902-WeightSDS!$W$9)))</f>
        <v>0.75407122999999998</v>
      </c>
      <c r="AJ902" s="24">
        <f>IF(D902="M",IF($AG902&lt;45,WeightSDS!M$23*$AG902^10+WeightSDS!N$23*$AG902^9+WeightSDS!O$23*$AG902^8+WeightSDS!P$23*$AG902^7+WeightSDS!Q$23*$AG902^6+WeightSDS!R$23*$AG902^5+WeightSDS!S$23*$AG902^4+WeightSDS!T$23*$AG902^3+WeightSDS!U$23*$AG902^2+WeightSDS!V$23*$AG902+WeightSDS!W$23,IF($AG902&lt;153,WeightSDS!M$25*$AG902^10+WeightSDS!N$25*$AG902^9+WeightSDS!O$25*$AG902^8+WeightSDS!P$25*$AG902^7+WeightSDS!Q$25*$AG902^6+WeightSDS!R$25*$AG902^5+WeightSDS!S$25*$AG902^4+WeightSDS!T$25*$AG902^3+WeightSDS!U$25*$AG902^2+WeightSDS!V$25*$AG902+WeightSDS!W$25,WeightSDS!M$27+WeightSDS!N$27/(1+EXP(WeightSDS!O$27+WeightSDS!P$27*$AG902)))),IF($AG902&lt;43.8,WeightSDS!M$29*$AG902^10+WeightSDS!N$29*$AG902^9+WeightSDS!O$29*$AG902^8+WeightSDS!P$29*$AG902^7+WeightSDS!Q$29*$AG902^6+WeightSDS!R$29*$AG902^5+WeightSDS!S$29*$AG902^4+WeightSDS!T$29*$AG902^3+WeightSDS!U$29*$AG902^2+WeightSDS!V$29*$AG902+WeightSDS!W$29-0.010431*(1-$AG902/210),IF($AG902&lt;123,WeightSDS!M$30*$AG902^10+WeightSDS!N$30*$AG902^9+WeightSDS!O$30*$AG902^8+WeightSDS!P$30*$AG902^7+WeightSDS!Q$30*$AG902^6+WeightSDS!R$30*$AG902^5+WeightSDS!S$30*$AG902^4+WeightSDS!T$30*$AG902^3+WeightSDS!U$30*$AG902^2+WeightSDS!V$30*$AG902+WeightSDS!W$30-0.010431*(1-1/$AG902),WeightSDS!M$32+WeightSDS!N$32/(1+EXP(WeightSDS!O$32+WeightSDS!P$32*$AG902))-0.010431*(1-$AG902/210))))</f>
        <v>2.9500001032655536</v>
      </c>
      <c r="AK902" s="24">
        <f>IF(D902="M",IF($AG902&lt;162,WeightSDS!P$12*$AG902^7+WeightSDS!Q$12*$AG902^6+WeightSDS!R$12*$AG902^5+WeightSDS!S$12*$AG902^4+WeightSDS!T$12*$AG902^3+WeightSDS!U$12*$AG902^2+WeightSDS!V$12*$AG902+WeightSDS!W$12,WeightSDS!P$14*$AG902^7+WeightSDS!Q$14*$AG902^6+WeightSDS!R$14*$AG902^5+WeightSDS!S$14*$AG902^4+WeightSDS!T$14*$AG902^3+WeightSDS!U$14*$AG902^2+WeightSDS!V$14*$AG902+WeightSDS!W$14),IF($AG902&lt;156,WeightSDS!O$17*$AG902^8+WeightSDS!P$17*$AG902^7+WeightSDS!Q$17*$AG902^6+WeightSDS!R$17*$AG902^5+WeightSDS!S$17*$AG902^4+WeightSDS!T$17*$AG902^3+WeightSDS!U$17*$AG902^2+WeightSDS!V$17*$AG902+WeightSDS!W$17,IF($AG902&lt;186,WeightSDS!$U$18+(WeightSDS!$V$18-WeightSDS!$U$18)/24*($AG902-186)+WeightSDS!$W$18*(-$AG902+186)^2-0.005,WeightSDS!$U$18+(WeightSDS!$V$18-WeightSDS!$U$18)/24*($AG902-186)-0.005)))</f>
        <v>0.14604529399999999</v>
      </c>
    </row>
    <row r="903" spans="1:37">
      <c r="A903" s="4"/>
      <c r="B903" s="21"/>
      <c r="C903" s="21"/>
      <c r="D903" s="21"/>
      <c r="E903" s="22"/>
      <c r="F903" s="22"/>
      <c r="G903" s="23"/>
      <c r="H903" s="23"/>
      <c r="I903" s="8" t="str">
        <f t="shared" si="226"/>
        <v/>
      </c>
      <c r="J903" s="2" t="str">
        <f t="shared" si="233"/>
        <v/>
      </c>
      <c r="K903" s="2" t="str">
        <f t="shared" si="227"/>
        <v/>
      </c>
      <c r="L903" s="2" t="str">
        <f t="shared" si="234"/>
        <v/>
      </c>
      <c r="M903" s="2" t="str">
        <f t="shared" si="223"/>
        <v/>
      </c>
      <c r="N903" s="2" t="str">
        <f t="shared" si="235"/>
        <v/>
      </c>
      <c r="O903" s="8" t="str">
        <f t="shared" si="236"/>
        <v/>
      </c>
      <c r="P903" s="8" t="str">
        <f t="shared" si="237"/>
        <v/>
      </c>
      <c r="Q903" s="40" t="str">
        <f t="shared" si="228"/>
        <v/>
      </c>
      <c r="R903" s="48" t="str">
        <f t="shared" si="238"/>
        <v/>
      </c>
      <c r="S903" s="8"/>
      <c r="U903" s="35">
        <f t="shared" si="229"/>
        <v>0</v>
      </c>
      <c r="V903" s="24">
        <f t="shared" si="230"/>
        <v>0</v>
      </c>
      <c r="W903" s="41">
        <f t="shared" si="225"/>
        <v>0</v>
      </c>
      <c r="X903" s="31"/>
      <c r="Y903" s="31"/>
      <c r="Z903" s="31"/>
      <c r="AA903" s="25">
        <f t="shared" si="231"/>
        <v>9.0359999999999996</v>
      </c>
      <c r="AB903" s="25">
        <f t="shared" si="232"/>
        <v>-184.49199999999999</v>
      </c>
      <c r="AD903" s="24">
        <f>IF(D903="M",IF(AG903&lt;78,BMILMS!$D$5*AG903^3+BMILMS!$E$5*AG903^2+BMILMS!$F$5*AG903+BMILMS!$G$5,IF(AG903&lt;150,BMILMS!$D$6*AG903^3+BMILMS!$E$6*AG903^2+BMILMS!$F$6*AG903+BMILMS!$G$6,BMILMS!$D$7*AG903^3+BMILMS!$E$7*AG903^2+BMILMS!$F$7*AG903+BMILMS!$G$7)),IF(AG903&lt;69,BMILMS!$D$9*AG903^3+BMILMS!$E$9*AG903^2+BMILMS!$F$9*AG903+BMILMS!$G$9,IF(AG903&lt;150,BMILMS!$D$10*AG903^3+BMILMS!$E$10*AG903^2+BMILMS!$F$10*AG903+BMILMS!$G$10,BMILMS!$D$11*AG903^3+BMILMS!$E$11*AG903^2+BMILMS!$F$11*AG903+BMILMS!$G$11)))</f>
        <v>0.79584630099999998</v>
      </c>
      <c r="AE903" s="24">
        <f>IF(D903="M",(IF(AG903&lt;2.5,BMILMS!$D$21*AG903^3+BMILMS!$E$21*AG903^2+BMILMS!$F$21*AG903+BMILMS!$G$21,IF(AG903&lt;9.5,BMILMS!$D$22*AG903^3+BMILMS!$E$22*AG903^2+BMILMS!$F$22*AG903+BMILMS!$G$22,IF(AG903&lt;26.75,BMILMS!$D$23*AG903^3+BMILMS!$E$23*AG903^2+BMILMS!$F$23*AG903+BMILMS!$G$23,IF(AG903&lt;90,BMILMS!$D$24*AG903^3+BMILMS!$E$24*AG903^2+BMILMS!$F$24*AG903+BMILMS!$G$24,BMILMS!$D$25*AG903^3+BMILMS!$E$25*AG903^2+BMILMS!$F$25*AG903+BMILMS!$G$25))))),(IF(AG903&lt;2.5,BMILMS!$D$27*AG903^3+BMILMS!$E$27*AG903^2+BMILMS!$F$27*AG903+BMILMS!$G$27,IF(AG903&lt;9.5,BMILMS!$D$28*AG903^3+BMILMS!$E$28*AG903^2+BMILMS!$F$28*AG903+BMILMS!$G$28,IF(AG903&lt;26.75,BMILMS!$D$29*AG903^3+BMILMS!$E$29*AG903^2+BMILMS!$F$29*AG903+BMILMS!$G$29,IF(AG903&lt;90,BMILMS!$D$30*AG903^3+BMILMS!$E$30*AG903^2+BMILMS!$F$30*AG903+BMILMS!$G$30,IF(AG903&lt;150,BMILMS!$D$31*AG903^3+BMILMS!$E$31*AG903^2+BMILMS!$F$31*AG903+BMILMS!$G$31,BMILMS!$D$32*AG903^3+BMILMS!$E$32*AG903^2+BMILMS!$F$32*AG903+BMILMS!$G$32)))))))</f>
        <v>12.568967990000001</v>
      </c>
      <c r="AF903" s="24">
        <f>IF(D903="M",(IF(AG903&lt;90,BMILMS!$D$14*AG903^3+BMILMS!$E$14*AG903^2+BMILMS!$F$14*AG903+BMILMS!$G$14,BMILMS!$D$15*AG903^3+BMILMS!$E$15*AG903^2+BMILMS!$F$15*AG903+BMILMS!$G$15)),(IF(AG903&lt;90,BMILMS!$D$17*AG903^3+BMILMS!$E$17*AG903^2+BMILMS!$F$17*AG903+BMILMS!$G$17,BMILMS!$D$18*AG903^3+BMILMS!$E$18*AG903^2+BMILMS!$F$18*AG903+BMILMS!$G$18)))</f>
        <v>8.8969350000000003E-2</v>
      </c>
      <c r="AG903" s="24">
        <f t="shared" si="224"/>
        <v>0</v>
      </c>
      <c r="AI903" s="38">
        <f>IF(D903="M",WeightSDS!P$5*$AG903^7+WeightSDS!Q$5*$AG903^6+WeightSDS!R$5*$AG903^5+WeightSDS!S$5*$AG903^4+WeightSDS!T$5*$AG903^3+WeightSDS!U$5*$AG903^2+WeightSDS!V$5*$AG903+WeightSDS!W$5,IF($AG903&lt;186,WeightSDS!P$8*$AG903^7+WeightSDS!Q$8*$AG903^6+WeightSDS!R$8*$AG903^5+WeightSDS!S$8*$AG903^4+WeightSDS!T$8*$AG903^3+WeightSDS!U$8*$AG903^2+WeightSDS!V$8*$AG903+WeightSDS!W$8,WeightSDS!$U$9-WeightSDS!$V$9*($AG903-WeightSDS!$W$9)))</f>
        <v>0.75407122999999998</v>
      </c>
      <c r="AJ903" s="24">
        <f>IF(D903="M",IF($AG903&lt;45,WeightSDS!M$23*$AG903^10+WeightSDS!N$23*$AG903^9+WeightSDS!O$23*$AG903^8+WeightSDS!P$23*$AG903^7+WeightSDS!Q$23*$AG903^6+WeightSDS!R$23*$AG903^5+WeightSDS!S$23*$AG903^4+WeightSDS!T$23*$AG903^3+WeightSDS!U$23*$AG903^2+WeightSDS!V$23*$AG903+WeightSDS!W$23,IF($AG903&lt;153,WeightSDS!M$25*$AG903^10+WeightSDS!N$25*$AG903^9+WeightSDS!O$25*$AG903^8+WeightSDS!P$25*$AG903^7+WeightSDS!Q$25*$AG903^6+WeightSDS!R$25*$AG903^5+WeightSDS!S$25*$AG903^4+WeightSDS!T$25*$AG903^3+WeightSDS!U$25*$AG903^2+WeightSDS!V$25*$AG903+WeightSDS!W$25,WeightSDS!M$27+WeightSDS!N$27/(1+EXP(WeightSDS!O$27+WeightSDS!P$27*$AG903)))),IF($AG903&lt;43.8,WeightSDS!M$29*$AG903^10+WeightSDS!N$29*$AG903^9+WeightSDS!O$29*$AG903^8+WeightSDS!P$29*$AG903^7+WeightSDS!Q$29*$AG903^6+WeightSDS!R$29*$AG903^5+WeightSDS!S$29*$AG903^4+WeightSDS!T$29*$AG903^3+WeightSDS!U$29*$AG903^2+WeightSDS!V$29*$AG903+WeightSDS!W$29-0.010431*(1-$AG903/210),IF($AG903&lt;123,WeightSDS!M$30*$AG903^10+WeightSDS!N$30*$AG903^9+WeightSDS!O$30*$AG903^8+WeightSDS!P$30*$AG903^7+WeightSDS!Q$30*$AG903^6+WeightSDS!R$30*$AG903^5+WeightSDS!S$30*$AG903^4+WeightSDS!T$30*$AG903^3+WeightSDS!U$30*$AG903^2+WeightSDS!V$30*$AG903+WeightSDS!W$30-0.010431*(1-1/$AG903),WeightSDS!M$32+WeightSDS!N$32/(1+EXP(WeightSDS!O$32+WeightSDS!P$32*$AG903))-0.010431*(1-$AG903/210))))</f>
        <v>2.9500001032655536</v>
      </c>
      <c r="AK903" s="24">
        <f>IF(D903="M",IF($AG903&lt;162,WeightSDS!P$12*$AG903^7+WeightSDS!Q$12*$AG903^6+WeightSDS!R$12*$AG903^5+WeightSDS!S$12*$AG903^4+WeightSDS!T$12*$AG903^3+WeightSDS!U$12*$AG903^2+WeightSDS!V$12*$AG903+WeightSDS!W$12,WeightSDS!P$14*$AG903^7+WeightSDS!Q$14*$AG903^6+WeightSDS!R$14*$AG903^5+WeightSDS!S$14*$AG903^4+WeightSDS!T$14*$AG903^3+WeightSDS!U$14*$AG903^2+WeightSDS!V$14*$AG903+WeightSDS!W$14),IF($AG903&lt;156,WeightSDS!O$17*$AG903^8+WeightSDS!P$17*$AG903^7+WeightSDS!Q$17*$AG903^6+WeightSDS!R$17*$AG903^5+WeightSDS!S$17*$AG903^4+WeightSDS!T$17*$AG903^3+WeightSDS!U$17*$AG903^2+WeightSDS!V$17*$AG903+WeightSDS!W$17,IF($AG903&lt;186,WeightSDS!$U$18+(WeightSDS!$V$18-WeightSDS!$U$18)/24*($AG903-186)+WeightSDS!$W$18*(-$AG903+186)^2-0.005,WeightSDS!$U$18+(WeightSDS!$V$18-WeightSDS!$U$18)/24*($AG903-186)-0.005)))</f>
        <v>0.14604529399999999</v>
      </c>
    </row>
    <row r="904" spans="1:37">
      <c r="A904" s="4"/>
      <c r="B904" s="21"/>
      <c r="C904" s="21"/>
      <c r="D904" s="21"/>
      <c r="E904" s="22"/>
      <c r="F904" s="22"/>
      <c r="G904" s="23"/>
      <c r="H904" s="23"/>
      <c r="I904" s="8" t="str">
        <f t="shared" si="226"/>
        <v/>
      </c>
      <c r="J904" s="2" t="str">
        <f t="shared" si="233"/>
        <v/>
      </c>
      <c r="K904" s="2" t="str">
        <f t="shared" si="227"/>
        <v/>
      </c>
      <c r="L904" s="2" t="str">
        <f t="shared" si="234"/>
        <v/>
      </c>
      <c r="M904" s="2" t="str">
        <f t="shared" ref="M904:M967" si="239">IF(COUNTA(D904,E904,F904,G904,H904)=5,H904/G904^2*10000,"")</f>
        <v/>
      </c>
      <c r="N904" s="2" t="str">
        <f t="shared" si="235"/>
        <v/>
      </c>
      <c r="O904" s="8" t="str">
        <f t="shared" si="236"/>
        <v/>
      </c>
      <c r="P904" s="8" t="str">
        <f t="shared" si="237"/>
        <v/>
      </c>
      <c r="Q904" s="40" t="str">
        <f t="shared" si="228"/>
        <v/>
      </c>
      <c r="R904" s="48" t="str">
        <f t="shared" si="238"/>
        <v/>
      </c>
      <c r="S904" s="8"/>
      <c r="U904" s="35">
        <f t="shared" si="229"/>
        <v>0</v>
      </c>
      <c r="V904" s="24">
        <f t="shared" si="230"/>
        <v>0</v>
      </c>
      <c r="W904" s="41">
        <f t="shared" si="225"/>
        <v>0</v>
      </c>
      <c r="X904" s="31"/>
      <c r="Y904" s="31"/>
      <c r="Z904" s="31"/>
      <c r="AA904" s="25">
        <f t="shared" si="231"/>
        <v>9.0359999999999996</v>
      </c>
      <c r="AB904" s="25">
        <f t="shared" si="232"/>
        <v>-184.49199999999999</v>
      </c>
      <c r="AD904" s="24">
        <f>IF(D904="M",IF(AG904&lt;78,BMILMS!$D$5*AG904^3+BMILMS!$E$5*AG904^2+BMILMS!$F$5*AG904+BMILMS!$G$5,IF(AG904&lt;150,BMILMS!$D$6*AG904^3+BMILMS!$E$6*AG904^2+BMILMS!$F$6*AG904+BMILMS!$G$6,BMILMS!$D$7*AG904^3+BMILMS!$E$7*AG904^2+BMILMS!$F$7*AG904+BMILMS!$G$7)),IF(AG904&lt;69,BMILMS!$D$9*AG904^3+BMILMS!$E$9*AG904^2+BMILMS!$F$9*AG904+BMILMS!$G$9,IF(AG904&lt;150,BMILMS!$D$10*AG904^3+BMILMS!$E$10*AG904^2+BMILMS!$F$10*AG904+BMILMS!$G$10,BMILMS!$D$11*AG904^3+BMILMS!$E$11*AG904^2+BMILMS!$F$11*AG904+BMILMS!$G$11)))</f>
        <v>0.79584630099999998</v>
      </c>
      <c r="AE904" s="24">
        <f>IF(D904="M",(IF(AG904&lt;2.5,BMILMS!$D$21*AG904^3+BMILMS!$E$21*AG904^2+BMILMS!$F$21*AG904+BMILMS!$G$21,IF(AG904&lt;9.5,BMILMS!$D$22*AG904^3+BMILMS!$E$22*AG904^2+BMILMS!$F$22*AG904+BMILMS!$G$22,IF(AG904&lt;26.75,BMILMS!$D$23*AG904^3+BMILMS!$E$23*AG904^2+BMILMS!$F$23*AG904+BMILMS!$G$23,IF(AG904&lt;90,BMILMS!$D$24*AG904^3+BMILMS!$E$24*AG904^2+BMILMS!$F$24*AG904+BMILMS!$G$24,BMILMS!$D$25*AG904^3+BMILMS!$E$25*AG904^2+BMILMS!$F$25*AG904+BMILMS!$G$25))))),(IF(AG904&lt;2.5,BMILMS!$D$27*AG904^3+BMILMS!$E$27*AG904^2+BMILMS!$F$27*AG904+BMILMS!$G$27,IF(AG904&lt;9.5,BMILMS!$D$28*AG904^3+BMILMS!$E$28*AG904^2+BMILMS!$F$28*AG904+BMILMS!$G$28,IF(AG904&lt;26.75,BMILMS!$D$29*AG904^3+BMILMS!$E$29*AG904^2+BMILMS!$F$29*AG904+BMILMS!$G$29,IF(AG904&lt;90,BMILMS!$D$30*AG904^3+BMILMS!$E$30*AG904^2+BMILMS!$F$30*AG904+BMILMS!$G$30,IF(AG904&lt;150,BMILMS!$D$31*AG904^3+BMILMS!$E$31*AG904^2+BMILMS!$F$31*AG904+BMILMS!$G$31,BMILMS!$D$32*AG904^3+BMILMS!$E$32*AG904^2+BMILMS!$F$32*AG904+BMILMS!$G$32)))))))</f>
        <v>12.568967990000001</v>
      </c>
      <c r="AF904" s="24">
        <f>IF(D904="M",(IF(AG904&lt;90,BMILMS!$D$14*AG904^3+BMILMS!$E$14*AG904^2+BMILMS!$F$14*AG904+BMILMS!$G$14,BMILMS!$D$15*AG904^3+BMILMS!$E$15*AG904^2+BMILMS!$F$15*AG904+BMILMS!$G$15)),(IF(AG904&lt;90,BMILMS!$D$17*AG904^3+BMILMS!$E$17*AG904^2+BMILMS!$F$17*AG904+BMILMS!$G$17,BMILMS!$D$18*AG904^3+BMILMS!$E$18*AG904^2+BMILMS!$F$18*AG904+BMILMS!$G$18)))</f>
        <v>8.8969350000000003E-2</v>
      </c>
      <c r="AG904" s="24">
        <f t="shared" ref="AG904:AG967" si="240">U904*12+V904</f>
        <v>0</v>
      </c>
      <c r="AI904" s="38">
        <f>IF(D904="M",WeightSDS!P$5*$AG904^7+WeightSDS!Q$5*$AG904^6+WeightSDS!R$5*$AG904^5+WeightSDS!S$5*$AG904^4+WeightSDS!T$5*$AG904^3+WeightSDS!U$5*$AG904^2+WeightSDS!V$5*$AG904+WeightSDS!W$5,IF($AG904&lt;186,WeightSDS!P$8*$AG904^7+WeightSDS!Q$8*$AG904^6+WeightSDS!R$8*$AG904^5+WeightSDS!S$8*$AG904^4+WeightSDS!T$8*$AG904^3+WeightSDS!U$8*$AG904^2+WeightSDS!V$8*$AG904+WeightSDS!W$8,WeightSDS!$U$9-WeightSDS!$V$9*($AG904-WeightSDS!$W$9)))</f>
        <v>0.75407122999999998</v>
      </c>
      <c r="AJ904" s="24">
        <f>IF(D904="M",IF($AG904&lt;45,WeightSDS!M$23*$AG904^10+WeightSDS!N$23*$AG904^9+WeightSDS!O$23*$AG904^8+WeightSDS!P$23*$AG904^7+WeightSDS!Q$23*$AG904^6+WeightSDS!R$23*$AG904^5+WeightSDS!S$23*$AG904^4+WeightSDS!T$23*$AG904^3+WeightSDS!U$23*$AG904^2+WeightSDS!V$23*$AG904+WeightSDS!W$23,IF($AG904&lt;153,WeightSDS!M$25*$AG904^10+WeightSDS!N$25*$AG904^9+WeightSDS!O$25*$AG904^8+WeightSDS!P$25*$AG904^7+WeightSDS!Q$25*$AG904^6+WeightSDS!R$25*$AG904^5+WeightSDS!S$25*$AG904^4+WeightSDS!T$25*$AG904^3+WeightSDS!U$25*$AG904^2+WeightSDS!V$25*$AG904+WeightSDS!W$25,WeightSDS!M$27+WeightSDS!N$27/(1+EXP(WeightSDS!O$27+WeightSDS!P$27*$AG904)))),IF($AG904&lt;43.8,WeightSDS!M$29*$AG904^10+WeightSDS!N$29*$AG904^9+WeightSDS!O$29*$AG904^8+WeightSDS!P$29*$AG904^7+WeightSDS!Q$29*$AG904^6+WeightSDS!R$29*$AG904^5+WeightSDS!S$29*$AG904^4+WeightSDS!T$29*$AG904^3+WeightSDS!U$29*$AG904^2+WeightSDS!V$29*$AG904+WeightSDS!W$29-0.010431*(1-$AG904/210),IF($AG904&lt;123,WeightSDS!M$30*$AG904^10+WeightSDS!N$30*$AG904^9+WeightSDS!O$30*$AG904^8+WeightSDS!P$30*$AG904^7+WeightSDS!Q$30*$AG904^6+WeightSDS!R$30*$AG904^5+WeightSDS!S$30*$AG904^4+WeightSDS!T$30*$AG904^3+WeightSDS!U$30*$AG904^2+WeightSDS!V$30*$AG904+WeightSDS!W$30-0.010431*(1-1/$AG904),WeightSDS!M$32+WeightSDS!N$32/(1+EXP(WeightSDS!O$32+WeightSDS!P$32*$AG904))-0.010431*(1-$AG904/210))))</f>
        <v>2.9500001032655536</v>
      </c>
      <c r="AK904" s="24">
        <f>IF(D904="M",IF($AG904&lt;162,WeightSDS!P$12*$AG904^7+WeightSDS!Q$12*$AG904^6+WeightSDS!R$12*$AG904^5+WeightSDS!S$12*$AG904^4+WeightSDS!T$12*$AG904^3+WeightSDS!U$12*$AG904^2+WeightSDS!V$12*$AG904+WeightSDS!W$12,WeightSDS!P$14*$AG904^7+WeightSDS!Q$14*$AG904^6+WeightSDS!R$14*$AG904^5+WeightSDS!S$14*$AG904^4+WeightSDS!T$14*$AG904^3+WeightSDS!U$14*$AG904^2+WeightSDS!V$14*$AG904+WeightSDS!W$14),IF($AG904&lt;156,WeightSDS!O$17*$AG904^8+WeightSDS!P$17*$AG904^7+WeightSDS!Q$17*$AG904^6+WeightSDS!R$17*$AG904^5+WeightSDS!S$17*$AG904^4+WeightSDS!T$17*$AG904^3+WeightSDS!U$17*$AG904^2+WeightSDS!V$17*$AG904+WeightSDS!W$17,IF($AG904&lt;186,WeightSDS!$U$18+(WeightSDS!$V$18-WeightSDS!$U$18)/24*($AG904-186)+WeightSDS!$W$18*(-$AG904+186)^2-0.005,WeightSDS!$U$18+(WeightSDS!$V$18-WeightSDS!$U$18)/24*($AG904-186)-0.005)))</f>
        <v>0.14604529399999999</v>
      </c>
    </row>
    <row r="905" spans="1:37">
      <c r="A905" s="4"/>
      <c r="B905" s="21"/>
      <c r="C905" s="21"/>
      <c r="D905" s="21"/>
      <c r="E905" s="22"/>
      <c r="F905" s="22"/>
      <c r="G905" s="23"/>
      <c r="H905" s="23"/>
      <c r="I905" s="8" t="str">
        <f t="shared" si="226"/>
        <v/>
      </c>
      <c r="J905" s="2" t="str">
        <f t="shared" si="233"/>
        <v/>
      </c>
      <c r="K905" s="2" t="str">
        <f t="shared" si="227"/>
        <v/>
      </c>
      <c r="L905" s="2" t="str">
        <f t="shared" si="234"/>
        <v/>
      </c>
      <c r="M905" s="2" t="str">
        <f t="shared" si="239"/>
        <v/>
      </c>
      <c r="N905" s="2" t="str">
        <f t="shared" si="235"/>
        <v/>
      </c>
      <c r="O905" s="8" t="str">
        <f t="shared" si="236"/>
        <v/>
      </c>
      <c r="P905" s="8" t="str">
        <f t="shared" si="237"/>
        <v/>
      </c>
      <c r="Q905" s="40" t="str">
        <f t="shared" si="228"/>
        <v/>
      </c>
      <c r="R905" s="48" t="str">
        <f t="shared" si="238"/>
        <v/>
      </c>
      <c r="S905" s="8"/>
      <c r="U905" s="35">
        <f t="shared" si="229"/>
        <v>0</v>
      </c>
      <c r="V905" s="24">
        <f t="shared" si="230"/>
        <v>0</v>
      </c>
      <c r="W905" s="41">
        <f t="shared" si="225"/>
        <v>0</v>
      </c>
      <c r="X905" s="31"/>
      <c r="Y905" s="31"/>
      <c r="Z905" s="31"/>
      <c r="AA905" s="25">
        <f t="shared" si="231"/>
        <v>9.0359999999999996</v>
      </c>
      <c r="AB905" s="25">
        <f t="shared" si="232"/>
        <v>-184.49199999999999</v>
      </c>
      <c r="AD905" s="24">
        <f>IF(D905="M",IF(AG905&lt;78,BMILMS!$D$5*AG905^3+BMILMS!$E$5*AG905^2+BMILMS!$F$5*AG905+BMILMS!$G$5,IF(AG905&lt;150,BMILMS!$D$6*AG905^3+BMILMS!$E$6*AG905^2+BMILMS!$F$6*AG905+BMILMS!$G$6,BMILMS!$D$7*AG905^3+BMILMS!$E$7*AG905^2+BMILMS!$F$7*AG905+BMILMS!$G$7)),IF(AG905&lt;69,BMILMS!$D$9*AG905^3+BMILMS!$E$9*AG905^2+BMILMS!$F$9*AG905+BMILMS!$G$9,IF(AG905&lt;150,BMILMS!$D$10*AG905^3+BMILMS!$E$10*AG905^2+BMILMS!$F$10*AG905+BMILMS!$G$10,BMILMS!$D$11*AG905^3+BMILMS!$E$11*AG905^2+BMILMS!$F$11*AG905+BMILMS!$G$11)))</f>
        <v>0.79584630099999998</v>
      </c>
      <c r="AE905" s="24">
        <f>IF(D905="M",(IF(AG905&lt;2.5,BMILMS!$D$21*AG905^3+BMILMS!$E$21*AG905^2+BMILMS!$F$21*AG905+BMILMS!$G$21,IF(AG905&lt;9.5,BMILMS!$D$22*AG905^3+BMILMS!$E$22*AG905^2+BMILMS!$F$22*AG905+BMILMS!$G$22,IF(AG905&lt;26.75,BMILMS!$D$23*AG905^3+BMILMS!$E$23*AG905^2+BMILMS!$F$23*AG905+BMILMS!$G$23,IF(AG905&lt;90,BMILMS!$D$24*AG905^3+BMILMS!$E$24*AG905^2+BMILMS!$F$24*AG905+BMILMS!$G$24,BMILMS!$D$25*AG905^3+BMILMS!$E$25*AG905^2+BMILMS!$F$25*AG905+BMILMS!$G$25))))),(IF(AG905&lt;2.5,BMILMS!$D$27*AG905^3+BMILMS!$E$27*AG905^2+BMILMS!$F$27*AG905+BMILMS!$G$27,IF(AG905&lt;9.5,BMILMS!$D$28*AG905^3+BMILMS!$E$28*AG905^2+BMILMS!$F$28*AG905+BMILMS!$G$28,IF(AG905&lt;26.75,BMILMS!$D$29*AG905^3+BMILMS!$E$29*AG905^2+BMILMS!$F$29*AG905+BMILMS!$G$29,IF(AG905&lt;90,BMILMS!$D$30*AG905^3+BMILMS!$E$30*AG905^2+BMILMS!$F$30*AG905+BMILMS!$G$30,IF(AG905&lt;150,BMILMS!$D$31*AG905^3+BMILMS!$E$31*AG905^2+BMILMS!$F$31*AG905+BMILMS!$G$31,BMILMS!$D$32*AG905^3+BMILMS!$E$32*AG905^2+BMILMS!$F$32*AG905+BMILMS!$G$32)))))))</f>
        <v>12.568967990000001</v>
      </c>
      <c r="AF905" s="24">
        <f>IF(D905="M",(IF(AG905&lt;90,BMILMS!$D$14*AG905^3+BMILMS!$E$14*AG905^2+BMILMS!$F$14*AG905+BMILMS!$G$14,BMILMS!$D$15*AG905^3+BMILMS!$E$15*AG905^2+BMILMS!$F$15*AG905+BMILMS!$G$15)),(IF(AG905&lt;90,BMILMS!$D$17*AG905^3+BMILMS!$E$17*AG905^2+BMILMS!$F$17*AG905+BMILMS!$G$17,BMILMS!$D$18*AG905^3+BMILMS!$E$18*AG905^2+BMILMS!$F$18*AG905+BMILMS!$G$18)))</f>
        <v>8.8969350000000003E-2</v>
      </c>
      <c r="AG905" s="24">
        <f t="shared" si="240"/>
        <v>0</v>
      </c>
      <c r="AI905" s="38">
        <f>IF(D905="M",WeightSDS!P$5*$AG905^7+WeightSDS!Q$5*$AG905^6+WeightSDS!R$5*$AG905^5+WeightSDS!S$5*$AG905^4+WeightSDS!T$5*$AG905^3+WeightSDS!U$5*$AG905^2+WeightSDS!V$5*$AG905+WeightSDS!W$5,IF($AG905&lt;186,WeightSDS!P$8*$AG905^7+WeightSDS!Q$8*$AG905^6+WeightSDS!R$8*$AG905^5+WeightSDS!S$8*$AG905^4+WeightSDS!T$8*$AG905^3+WeightSDS!U$8*$AG905^2+WeightSDS!V$8*$AG905+WeightSDS!W$8,WeightSDS!$U$9-WeightSDS!$V$9*($AG905-WeightSDS!$W$9)))</f>
        <v>0.75407122999999998</v>
      </c>
      <c r="AJ905" s="24">
        <f>IF(D905="M",IF($AG905&lt;45,WeightSDS!M$23*$AG905^10+WeightSDS!N$23*$AG905^9+WeightSDS!O$23*$AG905^8+WeightSDS!P$23*$AG905^7+WeightSDS!Q$23*$AG905^6+WeightSDS!R$23*$AG905^5+WeightSDS!S$23*$AG905^4+WeightSDS!T$23*$AG905^3+WeightSDS!U$23*$AG905^2+WeightSDS!V$23*$AG905+WeightSDS!W$23,IF($AG905&lt;153,WeightSDS!M$25*$AG905^10+WeightSDS!N$25*$AG905^9+WeightSDS!O$25*$AG905^8+WeightSDS!P$25*$AG905^7+WeightSDS!Q$25*$AG905^6+WeightSDS!R$25*$AG905^5+WeightSDS!S$25*$AG905^4+WeightSDS!T$25*$AG905^3+WeightSDS!U$25*$AG905^2+WeightSDS!V$25*$AG905+WeightSDS!W$25,WeightSDS!M$27+WeightSDS!N$27/(1+EXP(WeightSDS!O$27+WeightSDS!P$27*$AG905)))),IF($AG905&lt;43.8,WeightSDS!M$29*$AG905^10+WeightSDS!N$29*$AG905^9+WeightSDS!O$29*$AG905^8+WeightSDS!P$29*$AG905^7+WeightSDS!Q$29*$AG905^6+WeightSDS!R$29*$AG905^5+WeightSDS!S$29*$AG905^4+WeightSDS!T$29*$AG905^3+WeightSDS!U$29*$AG905^2+WeightSDS!V$29*$AG905+WeightSDS!W$29-0.010431*(1-$AG905/210),IF($AG905&lt;123,WeightSDS!M$30*$AG905^10+WeightSDS!N$30*$AG905^9+WeightSDS!O$30*$AG905^8+WeightSDS!P$30*$AG905^7+WeightSDS!Q$30*$AG905^6+WeightSDS!R$30*$AG905^5+WeightSDS!S$30*$AG905^4+WeightSDS!T$30*$AG905^3+WeightSDS!U$30*$AG905^2+WeightSDS!V$30*$AG905+WeightSDS!W$30-0.010431*(1-1/$AG905),WeightSDS!M$32+WeightSDS!N$32/(1+EXP(WeightSDS!O$32+WeightSDS!P$32*$AG905))-0.010431*(1-$AG905/210))))</f>
        <v>2.9500001032655536</v>
      </c>
      <c r="AK905" s="24">
        <f>IF(D905="M",IF($AG905&lt;162,WeightSDS!P$12*$AG905^7+WeightSDS!Q$12*$AG905^6+WeightSDS!R$12*$AG905^5+WeightSDS!S$12*$AG905^4+WeightSDS!T$12*$AG905^3+WeightSDS!U$12*$AG905^2+WeightSDS!V$12*$AG905+WeightSDS!W$12,WeightSDS!P$14*$AG905^7+WeightSDS!Q$14*$AG905^6+WeightSDS!R$14*$AG905^5+WeightSDS!S$14*$AG905^4+WeightSDS!T$14*$AG905^3+WeightSDS!U$14*$AG905^2+WeightSDS!V$14*$AG905+WeightSDS!W$14),IF($AG905&lt;156,WeightSDS!O$17*$AG905^8+WeightSDS!P$17*$AG905^7+WeightSDS!Q$17*$AG905^6+WeightSDS!R$17*$AG905^5+WeightSDS!S$17*$AG905^4+WeightSDS!T$17*$AG905^3+WeightSDS!U$17*$AG905^2+WeightSDS!V$17*$AG905+WeightSDS!W$17,IF($AG905&lt;186,WeightSDS!$U$18+(WeightSDS!$V$18-WeightSDS!$U$18)/24*($AG905-186)+WeightSDS!$W$18*(-$AG905+186)^2-0.005,WeightSDS!$U$18+(WeightSDS!$V$18-WeightSDS!$U$18)/24*($AG905-186)-0.005)))</f>
        <v>0.14604529399999999</v>
      </c>
    </row>
    <row r="906" spans="1:37">
      <c r="A906" s="4"/>
      <c r="B906" s="21"/>
      <c r="C906" s="21"/>
      <c r="D906" s="21"/>
      <c r="E906" s="22"/>
      <c r="F906" s="22"/>
      <c r="G906" s="23"/>
      <c r="H906" s="23"/>
      <c r="I906" s="8" t="str">
        <f t="shared" si="226"/>
        <v/>
      </c>
      <c r="J906" s="2" t="str">
        <f t="shared" si="233"/>
        <v/>
      </c>
      <c r="K906" s="2" t="str">
        <f t="shared" si="227"/>
        <v/>
      </c>
      <c r="L906" s="2" t="str">
        <f t="shared" si="234"/>
        <v/>
      </c>
      <c r="M906" s="2" t="str">
        <f t="shared" si="239"/>
        <v/>
      </c>
      <c r="N906" s="2" t="str">
        <f t="shared" si="235"/>
        <v/>
      </c>
      <c r="O906" s="8" t="str">
        <f t="shared" si="236"/>
        <v/>
      </c>
      <c r="P906" s="8" t="str">
        <f t="shared" si="237"/>
        <v/>
      </c>
      <c r="Q906" s="40" t="str">
        <f t="shared" si="228"/>
        <v/>
      </c>
      <c r="R906" s="48" t="str">
        <f t="shared" si="238"/>
        <v/>
      </c>
      <c r="S906" s="8"/>
      <c r="U906" s="35">
        <f t="shared" si="229"/>
        <v>0</v>
      </c>
      <c r="V906" s="24">
        <f t="shared" si="230"/>
        <v>0</v>
      </c>
      <c r="W906" s="41">
        <f t="shared" si="225"/>
        <v>0</v>
      </c>
      <c r="X906" s="31"/>
      <c r="Y906" s="31"/>
      <c r="Z906" s="31"/>
      <c r="AA906" s="25">
        <f t="shared" si="231"/>
        <v>9.0359999999999996</v>
      </c>
      <c r="AB906" s="25">
        <f t="shared" si="232"/>
        <v>-184.49199999999999</v>
      </c>
      <c r="AD906" s="24">
        <f>IF(D906="M",IF(AG906&lt;78,BMILMS!$D$5*AG906^3+BMILMS!$E$5*AG906^2+BMILMS!$F$5*AG906+BMILMS!$G$5,IF(AG906&lt;150,BMILMS!$D$6*AG906^3+BMILMS!$E$6*AG906^2+BMILMS!$F$6*AG906+BMILMS!$G$6,BMILMS!$D$7*AG906^3+BMILMS!$E$7*AG906^2+BMILMS!$F$7*AG906+BMILMS!$G$7)),IF(AG906&lt;69,BMILMS!$D$9*AG906^3+BMILMS!$E$9*AG906^2+BMILMS!$F$9*AG906+BMILMS!$G$9,IF(AG906&lt;150,BMILMS!$D$10*AG906^3+BMILMS!$E$10*AG906^2+BMILMS!$F$10*AG906+BMILMS!$G$10,BMILMS!$D$11*AG906^3+BMILMS!$E$11*AG906^2+BMILMS!$F$11*AG906+BMILMS!$G$11)))</f>
        <v>0.79584630099999998</v>
      </c>
      <c r="AE906" s="24">
        <f>IF(D906="M",(IF(AG906&lt;2.5,BMILMS!$D$21*AG906^3+BMILMS!$E$21*AG906^2+BMILMS!$F$21*AG906+BMILMS!$G$21,IF(AG906&lt;9.5,BMILMS!$D$22*AG906^3+BMILMS!$E$22*AG906^2+BMILMS!$F$22*AG906+BMILMS!$G$22,IF(AG906&lt;26.75,BMILMS!$D$23*AG906^3+BMILMS!$E$23*AG906^2+BMILMS!$F$23*AG906+BMILMS!$G$23,IF(AG906&lt;90,BMILMS!$D$24*AG906^3+BMILMS!$E$24*AG906^2+BMILMS!$F$24*AG906+BMILMS!$G$24,BMILMS!$D$25*AG906^3+BMILMS!$E$25*AG906^2+BMILMS!$F$25*AG906+BMILMS!$G$25))))),(IF(AG906&lt;2.5,BMILMS!$D$27*AG906^3+BMILMS!$E$27*AG906^2+BMILMS!$F$27*AG906+BMILMS!$G$27,IF(AG906&lt;9.5,BMILMS!$D$28*AG906^3+BMILMS!$E$28*AG906^2+BMILMS!$F$28*AG906+BMILMS!$G$28,IF(AG906&lt;26.75,BMILMS!$D$29*AG906^3+BMILMS!$E$29*AG906^2+BMILMS!$F$29*AG906+BMILMS!$G$29,IF(AG906&lt;90,BMILMS!$D$30*AG906^3+BMILMS!$E$30*AG906^2+BMILMS!$F$30*AG906+BMILMS!$G$30,IF(AG906&lt;150,BMILMS!$D$31*AG906^3+BMILMS!$E$31*AG906^2+BMILMS!$F$31*AG906+BMILMS!$G$31,BMILMS!$D$32*AG906^3+BMILMS!$E$32*AG906^2+BMILMS!$F$32*AG906+BMILMS!$G$32)))))))</f>
        <v>12.568967990000001</v>
      </c>
      <c r="AF906" s="24">
        <f>IF(D906="M",(IF(AG906&lt;90,BMILMS!$D$14*AG906^3+BMILMS!$E$14*AG906^2+BMILMS!$F$14*AG906+BMILMS!$G$14,BMILMS!$D$15*AG906^3+BMILMS!$E$15*AG906^2+BMILMS!$F$15*AG906+BMILMS!$G$15)),(IF(AG906&lt;90,BMILMS!$D$17*AG906^3+BMILMS!$E$17*AG906^2+BMILMS!$F$17*AG906+BMILMS!$G$17,BMILMS!$D$18*AG906^3+BMILMS!$E$18*AG906^2+BMILMS!$F$18*AG906+BMILMS!$G$18)))</f>
        <v>8.8969350000000003E-2</v>
      </c>
      <c r="AG906" s="24">
        <f t="shared" si="240"/>
        <v>0</v>
      </c>
      <c r="AI906" s="38">
        <f>IF(D906="M",WeightSDS!P$5*$AG906^7+WeightSDS!Q$5*$AG906^6+WeightSDS!R$5*$AG906^5+WeightSDS!S$5*$AG906^4+WeightSDS!T$5*$AG906^3+WeightSDS!U$5*$AG906^2+WeightSDS!V$5*$AG906+WeightSDS!W$5,IF($AG906&lt;186,WeightSDS!P$8*$AG906^7+WeightSDS!Q$8*$AG906^6+WeightSDS!R$8*$AG906^5+WeightSDS!S$8*$AG906^4+WeightSDS!T$8*$AG906^3+WeightSDS!U$8*$AG906^2+WeightSDS!V$8*$AG906+WeightSDS!W$8,WeightSDS!$U$9-WeightSDS!$V$9*($AG906-WeightSDS!$W$9)))</f>
        <v>0.75407122999999998</v>
      </c>
      <c r="AJ906" s="24">
        <f>IF(D906="M",IF($AG906&lt;45,WeightSDS!M$23*$AG906^10+WeightSDS!N$23*$AG906^9+WeightSDS!O$23*$AG906^8+WeightSDS!P$23*$AG906^7+WeightSDS!Q$23*$AG906^6+WeightSDS!R$23*$AG906^5+WeightSDS!S$23*$AG906^4+WeightSDS!T$23*$AG906^3+WeightSDS!U$23*$AG906^2+WeightSDS!V$23*$AG906+WeightSDS!W$23,IF($AG906&lt;153,WeightSDS!M$25*$AG906^10+WeightSDS!N$25*$AG906^9+WeightSDS!O$25*$AG906^8+WeightSDS!P$25*$AG906^7+WeightSDS!Q$25*$AG906^6+WeightSDS!R$25*$AG906^5+WeightSDS!S$25*$AG906^4+WeightSDS!T$25*$AG906^3+WeightSDS!U$25*$AG906^2+WeightSDS!V$25*$AG906+WeightSDS!W$25,WeightSDS!M$27+WeightSDS!N$27/(1+EXP(WeightSDS!O$27+WeightSDS!P$27*$AG906)))),IF($AG906&lt;43.8,WeightSDS!M$29*$AG906^10+WeightSDS!N$29*$AG906^9+WeightSDS!O$29*$AG906^8+WeightSDS!P$29*$AG906^7+WeightSDS!Q$29*$AG906^6+WeightSDS!R$29*$AG906^5+WeightSDS!S$29*$AG906^4+WeightSDS!T$29*$AG906^3+WeightSDS!U$29*$AG906^2+WeightSDS!V$29*$AG906+WeightSDS!W$29-0.010431*(1-$AG906/210),IF($AG906&lt;123,WeightSDS!M$30*$AG906^10+WeightSDS!N$30*$AG906^9+WeightSDS!O$30*$AG906^8+WeightSDS!P$30*$AG906^7+WeightSDS!Q$30*$AG906^6+WeightSDS!R$30*$AG906^5+WeightSDS!S$30*$AG906^4+WeightSDS!T$30*$AG906^3+WeightSDS!U$30*$AG906^2+WeightSDS!V$30*$AG906+WeightSDS!W$30-0.010431*(1-1/$AG906),WeightSDS!M$32+WeightSDS!N$32/(1+EXP(WeightSDS!O$32+WeightSDS!P$32*$AG906))-0.010431*(1-$AG906/210))))</f>
        <v>2.9500001032655536</v>
      </c>
      <c r="AK906" s="24">
        <f>IF(D906="M",IF($AG906&lt;162,WeightSDS!P$12*$AG906^7+WeightSDS!Q$12*$AG906^6+WeightSDS!R$12*$AG906^5+WeightSDS!S$12*$AG906^4+WeightSDS!T$12*$AG906^3+WeightSDS!U$12*$AG906^2+WeightSDS!V$12*$AG906+WeightSDS!W$12,WeightSDS!P$14*$AG906^7+WeightSDS!Q$14*$AG906^6+WeightSDS!R$14*$AG906^5+WeightSDS!S$14*$AG906^4+WeightSDS!T$14*$AG906^3+WeightSDS!U$14*$AG906^2+WeightSDS!V$14*$AG906+WeightSDS!W$14),IF($AG906&lt;156,WeightSDS!O$17*$AG906^8+WeightSDS!P$17*$AG906^7+WeightSDS!Q$17*$AG906^6+WeightSDS!R$17*$AG906^5+WeightSDS!S$17*$AG906^4+WeightSDS!T$17*$AG906^3+WeightSDS!U$17*$AG906^2+WeightSDS!V$17*$AG906+WeightSDS!W$17,IF($AG906&lt;186,WeightSDS!$U$18+(WeightSDS!$V$18-WeightSDS!$U$18)/24*($AG906-186)+WeightSDS!$W$18*(-$AG906+186)^2-0.005,WeightSDS!$U$18+(WeightSDS!$V$18-WeightSDS!$U$18)/24*($AG906-186)-0.005)))</f>
        <v>0.14604529399999999</v>
      </c>
    </row>
    <row r="907" spans="1:37">
      <c r="A907" s="4"/>
      <c r="B907" s="21"/>
      <c r="C907" s="21"/>
      <c r="D907" s="21"/>
      <c r="E907" s="22"/>
      <c r="F907" s="22"/>
      <c r="G907" s="23"/>
      <c r="H907" s="23"/>
      <c r="I907" s="8" t="str">
        <f t="shared" si="226"/>
        <v/>
      </c>
      <c r="J907" s="2" t="str">
        <f t="shared" si="233"/>
        <v/>
      </c>
      <c r="K907" s="2" t="str">
        <f t="shared" si="227"/>
        <v/>
      </c>
      <c r="L907" s="2" t="str">
        <f t="shared" si="234"/>
        <v/>
      </c>
      <c r="M907" s="2" t="str">
        <f t="shared" si="239"/>
        <v/>
      </c>
      <c r="N907" s="2" t="str">
        <f t="shared" si="235"/>
        <v/>
      </c>
      <c r="O907" s="8" t="str">
        <f t="shared" si="236"/>
        <v/>
      </c>
      <c r="P907" s="8" t="str">
        <f t="shared" si="237"/>
        <v/>
      </c>
      <c r="Q907" s="40" t="str">
        <f t="shared" si="228"/>
        <v/>
      </c>
      <c r="R907" s="48" t="str">
        <f t="shared" si="238"/>
        <v/>
      </c>
      <c r="S907" s="8"/>
      <c r="U907" s="35">
        <f t="shared" si="229"/>
        <v>0</v>
      </c>
      <c r="V907" s="24">
        <f t="shared" si="230"/>
        <v>0</v>
      </c>
      <c r="W907" s="41">
        <f t="shared" si="225"/>
        <v>0</v>
      </c>
      <c r="X907" s="31"/>
      <c r="Y907" s="31"/>
      <c r="Z907" s="31"/>
      <c r="AA907" s="25">
        <f t="shared" si="231"/>
        <v>9.0359999999999996</v>
      </c>
      <c r="AB907" s="25">
        <f t="shared" si="232"/>
        <v>-184.49199999999999</v>
      </c>
      <c r="AD907" s="24">
        <f>IF(D907="M",IF(AG907&lt;78,BMILMS!$D$5*AG907^3+BMILMS!$E$5*AG907^2+BMILMS!$F$5*AG907+BMILMS!$G$5,IF(AG907&lt;150,BMILMS!$D$6*AG907^3+BMILMS!$E$6*AG907^2+BMILMS!$F$6*AG907+BMILMS!$G$6,BMILMS!$D$7*AG907^3+BMILMS!$E$7*AG907^2+BMILMS!$F$7*AG907+BMILMS!$G$7)),IF(AG907&lt;69,BMILMS!$D$9*AG907^3+BMILMS!$E$9*AG907^2+BMILMS!$F$9*AG907+BMILMS!$G$9,IF(AG907&lt;150,BMILMS!$D$10*AG907^3+BMILMS!$E$10*AG907^2+BMILMS!$F$10*AG907+BMILMS!$G$10,BMILMS!$D$11*AG907^3+BMILMS!$E$11*AG907^2+BMILMS!$F$11*AG907+BMILMS!$G$11)))</f>
        <v>0.79584630099999998</v>
      </c>
      <c r="AE907" s="24">
        <f>IF(D907="M",(IF(AG907&lt;2.5,BMILMS!$D$21*AG907^3+BMILMS!$E$21*AG907^2+BMILMS!$F$21*AG907+BMILMS!$G$21,IF(AG907&lt;9.5,BMILMS!$D$22*AG907^3+BMILMS!$E$22*AG907^2+BMILMS!$F$22*AG907+BMILMS!$G$22,IF(AG907&lt;26.75,BMILMS!$D$23*AG907^3+BMILMS!$E$23*AG907^2+BMILMS!$F$23*AG907+BMILMS!$G$23,IF(AG907&lt;90,BMILMS!$D$24*AG907^3+BMILMS!$E$24*AG907^2+BMILMS!$F$24*AG907+BMILMS!$G$24,BMILMS!$D$25*AG907^3+BMILMS!$E$25*AG907^2+BMILMS!$F$25*AG907+BMILMS!$G$25))))),(IF(AG907&lt;2.5,BMILMS!$D$27*AG907^3+BMILMS!$E$27*AG907^2+BMILMS!$F$27*AG907+BMILMS!$G$27,IF(AG907&lt;9.5,BMILMS!$D$28*AG907^3+BMILMS!$E$28*AG907^2+BMILMS!$F$28*AG907+BMILMS!$G$28,IF(AG907&lt;26.75,BMILMS!$D$29*AG907^3+BMILMS!$E$29*AG907^2+BMILMS!$F$29*AG907+BMILMS!$G$29,IF(AG907&lt;90,BMILMS!$D$30*AG907^3+BMILMS!$E$30*AG907^2+BMILMS!$F$30*AG907+BMILMS!$G$30,IF(AG907&lt;150,BMILMS!$D$31*AG907^3+BMILMS!$E$31*AG907^2+BMILMS!$F$31*AG907+BMILMS!$G$31,BMILMS!$D$32*AG907^3+BMILMS!$E$32*AG907^2+BMILMS!$F$32*AG907+BMILMS!$G$32)))))))</f>
        <v>12.568967990000001</v>
      </c>
      <c r="AF907" s="24">
        <f>IF(D907="M",(IF(AG907&lt;90,BMILMS!$D$14*AG907^3+BMILMS!$E$14*AG907^2+BMILMS!$F$14*AG907+BMILMS!$G$14,BMILMS!$D$15*AG907^3+BMILMS!$E$15*AG907^2+BMILMS!$F$15*AG907+BMILMS!$G$15)),(IF(AG907&lt;90,BMILMS!$D$17*AG907^3+BMILMS!$E$17*AG907^2+BMILMS!$F$17*AG907+BMILMS!$G$17,BMILMS!$D$18*AG907^3+BMILMS!$E$18*AG907^2+BMILMS!$F$18*AG907+BMILMS!$G$18)))</f>
        <v>8.8969350000000003E-2</v>
      </c>
      <c r="AG907" s="24">
        <f t="shared" si="240"/>
        <v>0</v>
      </c>
      <c r="AI907" s="38">
        <f>IF(D907="M",WeightSDS!P$5*$AG907^7+WeightSDS!Q$5*$AG907^6+WeightSDS!R$5*$AG907^5+WeightSDS!S$5*$AG907^4+WeightSDS!T$5*$AG907^3+WeightSDS!U$5*$AG907^2+WeightSDS!V$5*$AG907+WeightSDS!W$5,IF($AG907&lt;186,WeightSDS!P$8*$AG907^7+WeightSDS!Q$8*$AG907^6+WeightSDS!R$8*$AG907^5+WeightSDS!S$8*$AG907^4+WeightSDS!T$8*$AG907^3+WeightSDS!U$8*$AG907^2+WeightSDS!V$8*$AG907+WeightSDS!W$8,WeightSDS!$U$9-WeightSDS!$V$9*($AG907-WeightSDS!$W$9)))</f>
        <v>0.75407122999999998</v>
      </c>
      <c r="AJ907" s="24">
        <f>IF(D907="M",IF($AG907&lt;45,WeightSDS!M$23*$AG907^10+WeightSDS!N$23*$AG907^9+WeightSDS!O$23*$AG907^8+WeightSDS!P$23*$AG907^7+WeightSDS!Q$23*$AG907^6+WeightSDS!R$23*$AG907^5+WeightSDS!S$23*$AG907^4+WeightSDS!T$23*$AG907^3+WeightSDS!U$23*$AG907^2+WeightSDS!V$23*$AG907+WeightSDS!W$23,IF($AG907&lt;153,WeightSDS!M$25*$AG907^10+WeightSDS!N$25*$AG907^9+WeightSDS!O$25*$AG907^8+WeightSDS!P$25*$AG907^7+WeightSDS!Q$25*$AG907^6+WeightSDS!R$25*$AG907^5+WeightSDS!S$25*$AG907^4+WeightSDS!T$25*$AG907^3+WeightSDS!U$25*$AG907^2+WeightSDS!V$25*$AG907+WeightSDS!W$25,WeightSDS!M$27+WeightSDS!N$27/(1+EXP(WeightSDS!O$27+WeightSDS!P$27*$AG907)))),IF($AG907&lt;43.8,WeightSDS!M$29*$AG907^10+WeightSDS!N$29*$AG907^9+WeightSDS!O$29*$AG907^8+WeightSDS!P$29*$AG907^7+WeightSDS!Q$29*$AG907^6+WeightSDS!R$29*$AG907^5+WeightSDS!S$29*$AG907^4+WeightSDS!T$29*$AG907^3+WeightSDS!U$29*$AG907^2+WeightSDS!V$29*$AG907+WeightSDS!W$29-0.010431*(1-$AG907/210),IF($AG907&lt;123,WeightSDS!M$30*$AG907^10+WeightSDS!N$30*$AG907^9+WeightSDS!O$30*$AG907^8+WeightSDS!P$30*$AG907^7+WeightSDS!Q$30*$AG907^6+WeightSDS!R$30*$AG907^5+WeightSDS!S$30*$AG907^4+WeightSDS!T$30*$AG907^3+WeightSDS!U$30*$AG907^2+WeightSDS!V$30*$AG907+WeightSDS!W$30-0.010431*(1-1/$AG907),WeightSDS!M$32+WeightSDS!N$32/(1+EXP(WeightSDS!O$32+WeightSDS!P$32*$AG907))-0.010431*(1-$AG907/210))))</f>
        <v>2.9500001032655536</v>
      </c>
      <c r="AK907" s="24">
        <f>IF(D907="M",IF($AG907&lt;162,WeightSDS!P$12*$AG907^7+WeightSDS!Q$12*$AG907^6+WeightSDS!R$12*$AG907^5+WeightSDS!S$12*$AG907^4+WeightSDS!T$12*$AG907^3+WeightSDS!U$12*$AG907^2+WeightSDS!V$12*$AG907+WeightSDS!W$12,WeightSDS!P$14*$AG907^7+WeightSDS!Q$14*$AG907^6+WeightSDS!R$14*$AG907^5+WeightSDS!S$14*$AG907^4+WeightSDS!T$14*$AG907^3+WeightSDS!U$14*$AG907^2+WeightSDS!V$14*$AG907+WeightSDS!W$14),IF($AG907&lt;156,WeightSDS!O$17*$AG907^8+WeightSDS!P$17*$AG907^7+WeightSDS!Q$17*$AG907^6+WeightSDS!R$17*$AG907^5+WeightSDS!S$17*$AG907^4+WeightSDS!T$17*$AG907^3+WeightSDS!U$17*$AG907^2+WeightSDS!V$17*$AG907+WeightSDS!W$17,IF($AG907&lt;186,WeightSDS!$U$18+(WeightSDS!$V$18-WeightSDS!$U$18)/24*($AG907-186)+WeightSDS!$W$18*(-$AG907+186)^2-0.005,WeightSDS!$U$18+(WeightSDS!$V$18-WeightSDS!$U$18)/24*($AG907-186)-0.005)))</f>
        <v>0.14604529399999999</v>
      </c>
    </row>
    <row r="908" spans="1:37">
      <c r="A908" s="4"/>
      <c r="B908" s="21"/>
      <c r="C908" s="21"/>
      <c r="D908" s="21"/>
      <c r="E908" s="22"/>
      <c r="F908" s="22"/>
      <c r="G908" s="23"/>
      <c r="H908" s="23"/>
      <c r="I908" s="8" t="str">
        <f t="shared" si="226"/>
        <v/>
      </c>
      <c r="J908" s="2" t="str">
        <f t="shared" si="233"/>
        <v/>
      </c>
      <c r="K908" s="2" t="str">
        <f t="shared" si="227"/>
        <v/>
      </c>
      <c r="L908" s="2" t="str">
        <f t="shared" si="234"/>
        <v/>
      </c>
      <c r="M908" s="2" t="str">
        <f t="shared" si="239"/>
        <v/>
      </c>
      <c r="N908" s="2" t="str">
        <f t="shared" si="235"/>
        <v/>
      </c>
      <c r="O908" s="8" t="str">
        <f t="shared" si="236"/>
        <v/>
      </c>
      <c r="P908" s="8" t="str">
        <f t="shared" si="237"/>
        <v/>
      </c>
      <c r="Q908" s="40" t="str">
        <f t="shared" si="228"/>
        <v/>
      </c>
      <c r="R908" s="48" t="str">
        <f t="shared" si="238"/>
        <v/>
      </c>
      <c r="S908" s="8"/>
      <c r="U908" s="35">
        <f t="shared" si="229"/>
        <v>0</v>
      </c>
      <c r="V908" s="24">
        <f t="shared" si="230"/>
        <v>0</v>
      </c>
      <c r="W908" s="41">
        <f t="shared" si="225"/>
        <v>0</v>
      </c>
      <c r="X908" s="31"/>
      <c r="Y908" s="31"/>
      <c r="Z908" s="31"/>
      <c r="AA908" s="25">
        <f t="shared" si="231"/>
        <v>9.0359999999999996</v>
      </c>
      <c r="AB908" s="25">
        <f t="shared" si="232"/>
        <v>-184.49199999999999</v>
      </c>
      <c r="AD908" s="24">
        <f>IF(D908="M",IF(AG908&lt;78,BMILMS!$D$5*AG908^3+BMILMS!$E$5*AG908^2+BMILMS!$F$5*AG908+BMILMS!$G$5,IF(AG908&lt;150,BMILMS!$D$6*AG908^3+BMILMS!$E$6*AG908^2+BMILMS!$F$6*AG908+BMILMS!$G$6,BMILMS!$D$7*AG908^3+BMILMS!$E$7*AG908^2+BMILMS!$F$7*AG908+BMILMS!$G$7)),IF(AG908&lt;69,BMILMS!$D$9*AG908^3+BMILMS!$E$9*AG908^2+BMILMS!$F$9*AG908+BMILMS!$G$9,IF(AG908&lt;150,BMILMS!$D$10*AG908^3+BMILMS!$E$10*AG908^2+BMILMS!$F$10*AG908+BMILMS!$G$10,BMILMS!$D$11*AG908^3+BMILMS!$E$11*AG908^2+BMILMS!$F$11*AG908+BMILMS!$G$11)))</f>
        <v>0.79584630099999998</v>
      </c>
      <c r="AE908" s="24">
        <f>IF(D908="M",(IF(AG908&lt;2.5,BMILMS!$D$21*AG908^3+BMILMS!$E$21*AG908^2+BMILMS!$F$21*AG908+BMILMS!$G$21,IF(AG908&lt;9.5,BMILMS!$D$22*AG908^3+BMILMS!$E$22*AG908^2+BMILMS!$F$22*AG908+BMILMS!$G$22,IF(AG908&lt;26.75,BMILMS!$D$23*AG908^3+BMILMS!$E$23*AG908^2+BMILMS!$F$23*AG908+BMILMS!$G$23,IF(AG908&lt;90,BMILMS!$D$24*AG908^3+BMILMS!$E$24*AG908^2+BMILMS!$F$24*AG908+BMILMS!$G$24,BMILMS!$D$25*AG908^3+BMILMS!$E$25*AG908^2+BMILMS!$F$25*AG908+BMILMS!$G$25))))),(IF(AG908&lt;2.5,BMILMS!$D$27*AG908^3+BMILMS!$E$27*AG908^2+BMILMS!$F$27*AG908+BMILMS!$G$27,IF(AG908&lt;9.5,BMILMS!$D$28*AG908^3+BMILMS!$E$28*AG908^2+BMILMS!$F$28*AG908+BMILMS!$G$28,IF(AG908&lt;26.75,BMILMS!$D$29*AG908^3+BMILMS!$E$29*AG908^2+BMILMS!$F$29*AG908+BMILMS!$G$29,IF(AG908&lt;90,BMILMS!$D$30*AG908^3+BMILMS!$E$30*AG908^2+BMILMS!$F$30*AG908+BMILMS!$G$30,IF(AG908&lt;150,BMILMS!$D$31*AG908^3+BMILMS!$E$31*AG908^2+BMILMS!$F$31*AG908+BMILMS!$G$31,BMILMS!$D$32*AG908^3+BMILMS!$E$32*AG908^2+BMILMS!$F$32*AG908+BMILMS!$G$32)))))))</f>
        <v>12.568967990000001</v>
      </c>
      <c r="AF908" s="24">
        <f>IF(D908="M",(IF(AG908&lt;90,BMILMS!$D$14*AG908^3+BMILMS!$E$14*AG908^2+BMILMS!$F$14*AG908+BMILMS!$G$14,BMILMS!$D$15*AG908^3+BMILMS!$E$15*AG908^2+BMILMS!$F$15*AG908+BMILMS!$G$15)),(IF(AG908&lt;90,BMILMS!$D$17*AG908^3+BMILMS!$E$17*AG908^2+BMILMS!$F$17*AG908+BMILMS!$G$17,BMILMS!$D$18*AG908^3+BMILMS!$E$18*AG908^2+BMILMS!$F$18*AG908+BMILMS!$G$18)))</f>
        <v>8.8969350000000003E-2</v>
      </c>
      <c r="AG908" s="24">
        <f t="shared" si="240"/>
        <v>0</v>
      </c>
      <c r="AI908" s="38">
        <f>IF(D908="M",WeightSDS!P$5*$AG908^7+WeightSDS!Q$5*$AG908^6+WeightSDS!R$5*$AG908^5+WeightSDS!S$5*$AG908^4+WeightSDS!T$5*$AG908^3+WeightSDS!U$5*$AG908^2+WeightSDS!V$5*$AG908+WeightSDS!W$5,IF($AG908&lt;186,WeightSDS!P$8*$AG908^7+WeightSDS!Q$8*$AG908^6+WeightSDS!R$8*$AG908^5+WeightSDS!S$8*$AG908^4+WeightSDS!T$8*$AG908^3+WeightSDS!U$8*$AG908^2+WeightSDS!V$8*$AG908+WeightSDS!W$8,WeightSDS!$U$9-WeightSDS!$V$9*($AG908-WeightSDS!$W$9)))</f>
        <v>0.75407122999999998</v>
      </c>
      <c r="AJ908" s="24">
        <f>IF(D908="M",IF($AG908&lt;45,WeightSDS!M$23*$AG908^10+WeightSDS!N$23*$AG908^9+WeightSDS!O$23*$AG908^8+WeightSDS!P$23*$AG908^7+WeightSDS!Q$23*$AG908^6+WeightSDS!R$23*$AG908^5+WeightSDS!S$23*$AG908^4+WeightSDS!T$23*$AG908^3+WeightSDS!U$23*$AG908^2+WeightSDS!V$23*$AG908+WeightSDS!W$23,IF($AG908&lt;153,WeightSDS!M$25*$AG908^10+WeightSDS!N$25*$AG908^9+WeightSDS!O$25*$AG908^8+WeightSDS!P$25*$AG908^7+WeightSDS!Q$25*$AG908^6+WeightSDS!R$25*$AG908^5+WeightSDS!S$25*$AG908^4+WeightSDS!T$25*$AG908^3+WeightSDS!U$25*$AG908^2+WeightSDS!V$25*$AG908+WeightSDS!W$25,WeightSDS!M$27+WeightSDS!N$27/(1+EXP(WeightSDS!O$27+WeightSDS!P$27*$AG908)))),IF($AG908&lt;43.8,WeightSDS!M$29*$AG908^10+WeightSDS!N$29*$AG908^9+WeightSDS!O$29*$AG908^8+WeightSDS!P$29*$AG908^7+WeightSDS!Q$29*$AG908^6+WeightSDS!R$29*$AG908^5+WeightSDS!S$29*$AG908^4+WeightSDS!T$29*$AG908^3+WeightSDS!U$29*$AG908^2+WeightSDS!V$29*$AG908+WeightSDS!W$29-0.010431*(1-$AG908/210),IF($AG908&lt;123,WeightSDS!M$30*$AG908^10+WeightSDS!N$30*$AG908^9+WeightSDS!O$30*$AG908^8+WeightSDS!P$30*$AG908^7+WeightSDS!Q$30*$AG908^6+WeightSDS!R$30*$AG908^5+WeightSDS!S$30*$AG908^4+WeightSDS!T$30*$AG908^3+WeightSDS!U$30*$AG908^2+WeightSDS!V$30*$AG908+WeightSDS!W$30-0.010431*(1-1/$AG908),WeightSDS!M$32+WeightSDS!N$32/(1+EXP(WeightSDS!O$32+WeightSDS!P$32*$AG908))-0.010431*(1-$AG908/210))))</f>
        <v>2.9500001032655536</v>
      </c>
      <c r="AK908" s="24">
        <f>IF(D908="M",IF($AG908&lt;162,WeightSDS!P$12*$AG908^7+WeightSDS!Q$12*$AG908^6+WeightSDS!R$12*$AG908^5+WeightSDS!S$12*$AG908^4+WeightSDS!T$12*$AG908^3+WeightSDS!U$12*$AG908^2+WeightSDS!V$12*$AG908+WeightSDS!W$12,WeightSDS!P$14*$AG908^7+WeightSDS!Q$14*$AG908^6+WeightSDS!R$14*$AG908^5+WeightSDS!S$14*$AG908^4+WeightSDS!T$14*$AG908^3+WeightSDS!U$14*$AG908^2+WeightSDS!V$14*$AG908+WeightSDS!W$14),IF($AG908&lt;156,WeightSDS!O$17*$AG908^8+WeightSDS!P$17*$AG908^7+WeightSDS!Q$17*$AG908^6+WeightSDS!R$17*$AG908^5+WeightSDS!S$17*$AG908^4+WeightSDS!T$17*$AG908^3+WeightSDS!U$17*$AG908^2+WeightSDS!V$17*$AG908+WeightSDS!W$17,IF($AG908&lt;186,WeightSDS!$U$18+(WeightSDS!$V$18-WeightSDS!$U$18)/24*($AG908-186)+WeightSDS!$W$18*(-$AG908+186)^2-0.005,WeightSDS!$U$18+(WeightSDS!$V$18-WeightSDS!$U$18)/24*($AG908-186)-0.005)))</f>
        <v>0.14604529399999999</v>
      </c>
    </row>
    <row r="909" spans="1:37">
      <c r="A909" s="4"/>
      <c r="B909" s="21"/>
      <c r="C909" s="21"/>
      <c r="D909" s="21"/>
      <c r="E909" s="22"/>
      <c r="F909" s="22"/>
      <c r="G909" s="23"/>
      <c r="H909" s="23"/>
      <c r="I909" s="8" t="str">
        <f t="shared" si="226"/>
        <v/>
      </c>
      <c r="J909" s="2" t="str">
        <f t="shared" si="233"/>
        <v/>
      </c>
      <c r="K909" s="2" t="str">
        <f t="shared" si="227"/>
        <v/>
      </c>
      <c r="L909" s="2" t="str">
        <f t="shared" si="234"/>
        <v/>
      </c>
      <c r="M909" s="2" t="str">
        <f t="shared" si="239"/>
        <v/>
      </c>
      <c r="N909" s="2" t="str">
        <f t="shared" si="235"/>
        <v/>
      </c>
      <c r="O909" s="8" t="str">
        <f t="shared" si="236"/>
        <v/>
      </c>
      <c r="P909" s="8" t="str">
        <f t="shared" si="237"/>
        <v/>
      </c>
      <c r="Q909" s="40" t="str">
        <f t="shared" si="228"/>
        <v/>
      </c>
      <c r="R909" s="48" t="str">
        <f t="shared" si="238"/>
        <v/>
      </c>
      <c r="S909" s="8"/>
      <c r="U909" s="35">
        <f t="shared" si="229"/>
        <v>0</v>
      </c>
      <c r="V909" s="24">
        <f t="shared" si="230"/>
        <v>0</v>
      </c>
      <c r="W909" s="41">
        <f t="shared" si="225"/>
        <v>0</v>
      </c>
      <c r="X909" s="31"/>
      <c r="Y909" s="31"/>
      <c r="Z909" s="31"/>
      <c r="AA909" s="25">
        <f t="shared" si="231"/>
        <v>9.0359999999999996</v>
      </c>
      <c r="AB909" s="25">
        <f t="shared" si="232"/>
        <v>-184.49199999999999</v>
      </c>
      <c r="AD909" s="24">
        <f>IF(D909="M",IF(AG909&lt;78,BMILMS!$D$5*AG909^3+BMILMS!$E$5*AG909^2+BMILMS!$F$5*AG909+BMILMS!$G$5,IF(AG909&lt;150,BMILMS!$D$6*AG909^3+BMILMS!$E$6*AG909^2+BMILMS!$F$6*AG909+BMILMS!$G$6,BMILMS!$D$7*AG909^3+BMILMS!$E$7*AG909^2+BMILMS!$F$7*AG909+BMILMS!$G$7)),IF(AG909&lt;69,BMILMS!$D$9*AG909^3+BMILMS!$E$9*AG909^2+BMILMS!$F$9*AG909+BMILMS!$G$9,IF(AG909&lt;150,BMILMS!$D$10*AG909^3+BMILMS!$E$10*AG909^2+BMILMS!$F$10*AG909+BMILMS!$G$10,BMILMS!$D$11*AG909^3+BMILMS!$E$11*AG909^2+BMILMS!$F$11*AG909+BMILMS!$G$11)))</f>
        <v>0.79584630099999998</v>
      </c>
      <c r="AE909" s="24">
        <f>IF(D909="M",(IF(AG909&lt;2.5,BMILMS!$D$21*AG909^3+BMILMS!$E$21*AG909^2+BMILMS!$F$21*AG909+BMILMS!$G$21,IF(AG909&lt;9.5,BMILMS!$D$22*AG909^3+BMILMS!$E$22*AG909^2+BMILMS!$F$22*AG909+BMILMS!$G$22,IF(AG909&lt;26.75,BMILMS!$D$23*AG909^3+BMILMS!$E$23*AG909^2+BMILMS!$F$23*AG909+BMILMS!$G$23,IF(AG909&lt;90,BMILMS!$D$24*AG909^3+BMILMS!$E$24*AG909^2+BMILMS!$F$24*AG909+BMILMS!$G$24,BMILMS!$D$25*AG909^3+BMILMS!$E$25*AG909^2+BMILMS!$F$25*AG909+BMILMS!$G$25))))),(IF(AG909&lt;2.5,BMILMS!$D$27*AG909^3+BMILMS!$E$27*AG909^2+BMILMS!$F$27*AG909+BMILMS!$G$27,IF(AG909&lt;9.5,BMILMS!$D$28*AG909^3+BMILMS!$E$28*AG909^2+BMILMS!$F$28*AG909+BMILMS!$G$28,IF(AG909&lt;26.75,BMILMS!$D$29*AG909^3+BMILMS!$E$29*AG909^2+BMILMS!$F$29*AG909+BMILMS!$G$29,IF(AG909&lt;90,BMILMS!$D$30*AG909^3+BMILMS!$E$30*AG909^2+BMILMS!$F$30*AG909+BMILMS!$G$30,IF(AG909&lt;150,BMILMS!$D$31*AG909^3+BMILMS!$E$31*AG909^2+BMILMS!$F$31*AG909+BMILMS!$G$31,BMILMS!$D$32*AG909^3+BMILMS!$E$32*AG909^2+BMILMS!$F$32*AG909+BMILMS!$G$32)))))))</f>
        <v>12.568967990000001</v>
      </c>
      <c r="AF909" s="24">
        <f>IF(D909="M",(IF(AG909&lt;90,BMILMS!$D$14*AG909^3+BMILMS!$E$14*AG909^2+BMILMS!$F$14*AG909+BMILMS!$G$14,BMILMS!$D$15*AG909^3+BMILMS!$E$15*AG909^2+BMILMS!$F$15*AG909+BMILMS!$G$15)),(IF(AG909&lt;90,BMILMS!$D$17*AG909^3+BMILMS!$E$17*AG909^2+BMILMS!$F$17*AG909+BMILMS!$G$17,BMILMS!$D$18*AG909^3+BMILMS!$E$18*AG909^2+BMILMS!$F$18*AG909+BMILMS!$G$18)))</f>
        <v>8.8969350000000003E-2</v>
      </c>
      <c r="AG909" s="24">
        <f t="shared" si="240"/>
        <v>0</v>
      </c>
      <c r="AI909" s="38">
        <f>IF(D909="M",WeightSDS!P$5*$AG909^7+WeightSDS!Q$5*$AG909^6+WeightSDS!R$5*$AG909^5+WeightSDS!S$5*$AG909^4+WeightSDS!T$5*$AG909^3+WeightSDS!U$5*$AG909^2+WeightSDS!V$5*$AG909+WeightSDS!W$5,IF($AG909&lt;186,WeightSDS!P$8*$AG909^7+WeightSDS!Q$8*$AG909^6+WeightSDS!R$8*$AG909^5+WeightSDS!S$8*$AG909^4+WeightSDS!T$8*$AG909^3+WeightSDS!U$8*$AG909^2+WeightSDS!V$8*$AG909+WeightSDS!W$8,WeightSDS!$U$9-WeightSDS!$V$9*($AG909-WeightSDS!$W$9)))</f>
        <v>0.75407122999999998</v>
      </c>
      <c r="AJ909" s="24">
        <f>IF(D909="M",IF($AG909&lt;45,WeightSDS!M$23*$AG909^10+WeightSDS!N$23*$AG909^9+WeightSDS!O$23*$AG909^8+WeightSDS!P$23*$AG909^7+WeightSDS!Q$23*$AG909^6+WeightSDS!R$23*$AG909^5+WeightSDS!S$23*$AG909^4+WeightSDS!T$23*$AG909^3+WeightSDS!U$23*$AG909^2+WeightSDS!V$23*$AG909+WeightSDS!W$23,IF($AG909&lt;153,WeightSDS!M$25*$AG909^10+WeightSDS!N$25*$AG909^9+WeightSDS!O$25*$AG909^8+WeightSDS!P$25*$AG909^7+WeightSDS!Q$25*$AG909^6+WeightSDS!R$25*$AG909^5+WeightSDS!S$25*$AG909^4+WeightSDS!T$25*$AG909^3+WeightSDS!U$25*$AG909^2+WeightSDS!V$25*$AG909+WeightSDS!W$25,WeightSDS!M$27+WeightSDS!N$27/(1+EXP(WeightSDS!O$27+WeightSDS!P$27*$AG909)))),IF($AG909&lt;43.8,WeightSDS!M$29*$AG909^10+WeightSDS!N$29*$AG909^9+WeightSDS!O$29*$AG909^8+WeightSDS!P$29*$AG909^7+WeightSDS!Q$29*$AG909^6+WeightSDS!R$29*$AG909^5+WeightSDS!S$29*$AG909^4+WeightSDS!T$29*$AG909^3+WeightSDS!U$29*$AG909^2+WeightSDS!V$29*$AG909+WeightSDS!W$29-0.010431*(1-$AG909/210),IF($AG909&lt;123,WeightSDS!M$30*$AG909^10+WeightSDS!N$30*$AG909^9+WeightSDS!O$30*$AG909^8+WeightSDS!P$30*$AG909^7+WeightSDS!Q$30*$AG909^6+WeightSDS!R$30*$AG909^5+WeightSDS!S$30*$AG909^4+WeightSDS!T$30*$AG909^3+WeightSDS!U$30*$AG909^2+WeightSDS!V$30*$AG909+WeightSDS!W$30-0.010431*(1-1/$AG909),WeightSDS!M$32+WeightSDS!N$32/(1+EXP(WeightSDS!O$32+WeightSDS!P$32*$AG909))-0.010431*(1-$AG909/210))))</f>
        <v>2.9500001032655536</v>
      </c>
      <c r="AK909" s="24">
        <f>IF(D909="M",IF($AG909&lt;162,WeightSDS!P$12*$AG909^7+WeightSDS!Q$12*$AG909^6+WeightSDS!R$12*$AG909^5+WeightSDS!S$12*$AG909^4+WeightSDS!T$12*$AG909^3+WeightSDS!U$12*$AG909^2+WeightSDS!V$12*$AG909+WeightSDS!W$12,WeightSDS!P$14*$AG909^7+WeightSDS!Q$14*$AG909^6+WeightSDS!R$14*$AG909^5+WeightSDS!S$14*$AG909^4+WeightSDS!T$14*$AG909^3+WeightSDS!U$14*$AG909^2+WeightSDS!V$14*$AG909+WeightSDS!W$14),IF($AG909&lt;156,WeightSDS!O$17*$AG909^8+WeightSDS!P$17*$AG909^7+WeightSDS!Q$17*$AG909^6+WeightSDS!R$17*$AG909^5+WeightSDS!S$17*$AG909^4+WeightSDS!T$17*$AG909^3+WeightSDS!U$17*$AG909^2+WeightSDS!V$17*$AG909+WeightSDS!W$17,IF($AG909&lt;186,WeightSDS!$U$18+(WeightSDS!$V$18-WeightSDS!$U$18)/24*($AG909-186)+WeightSDS!$W$18*(-$AG909+186)^2-0.005,WeightSDS!$U$18+(WeightSDS!$V$18-WeightSDS!$U$18)/24*($AG909-186)-0.005)))</f>
        <v>0.14604529399999999</v>
      </c>
    </row>
    <row r="910" spans="1:37">
      <c r="A910" s="4"/>
      <c r="B910" s="21"/>
      <c r="C910" s="21"/>
      <c r="D910" s="21"/>
      <c r="E910" s="22"/>
      <c r="F910" s="22"/>
      <c r="G910" s="23"/>
      <c r="H910" s="23"/>
      <c r="I910" s="8" t="str">
        <f t="shared" si="226"/>
        <v/>
      </c>
      <c r="J910" s="2" t="str">
        <f t="shared" si="233"/>
        <v/>
      </c>
      <c r="K910" s="2" t="str">
        <f t="shared" si="227"/>
        <v/>
      </c>
      <c r="L910" s="2" t="str">
        <f t="shared" si="234"/>
        <v/>
      </c>
      <c r="M910" s="2" t="str">
        <f t="shared" si="239"/>
        <v/>
      </c>
      <c r="N910" s="2" t="str">
        <f t="shared" si="235"/>
        <v/>
      </c>
      <c r="O910" s="8" t="str">
        <f t="shared" si="236"/>
        <v/>
      </c>
      <c r="P910" s="8" t="str">
        <f t="shared" si="237"/>
        <v/>
      </c>
      <c r="Q910" s="40" t="str">
        <f t="shared" si="228"/>
        <v/>
      </c>
      <c r="R910" s="48" t="str">
        <f t="shared" si="238"/>
        <v/>
      </c>
      <c r="S910" s="8"/>
      <c r="U910" s="35">
        <f t="shared" si="229"/>
        <v>0</v>
      </c>
      <c r="V910" s="24">
        <f t="shared" si="230"/>
        <v>0</v>
      </c>
      <c r="W910" s="41">
        <f t="shared" si="225"/>
        <v>0</v>
      </c>
      <c r="X910" s="31"/>
      <c r="Y910" s="31"/>
      <c r="Z910" s="31"/>
      <c r="AA910" s="25">
        <f t="shared" si="231"/>
        <v>9.0359999999999996</v>
      </c>
      <c r="AB910" s="25">
        <f t="shared" si="232"/>
        <v>-184.49199999999999</v>
      </c>
      <c r="AD910" s="24">
        <f>IF(D910="M",IF(AG910&lt;78,BMILMS!$D$5*AG910^3+BMILMS!$E$5*AG910^2+BMILMS!$F$5*AG910+BMILMS!$G$5,IF(AG910&lt;150,BMILMS!$D$6*AG910^3+BMILMS!$E$6*AG910^2+BMILMS!$F$6*AG910+BMILMS!$G$6,BMILMS!$D$7*AG910^3+BMILMS!$E$7*AG910^2+BMILMS!$F$7*AG910+BMILMS!$G$7)),IF(AG910&lt;69,BMILMS!$D$9*AG910^3+BMILMS!$E$9*AG910^2+BMILMS!$F$9*AG910+BMILMS!$G$9,IF(AG910&lt;150,BMILMS!$D$10*AG910^3+BMILMS!$E$10*AG910^2+BMILMS!$F$10*AG910+BMILMS!$G$10,BMILMS!$D$11*AG910^3+BMILMS!$E$11*AG910^2+BMILMS!$F$11*AG910+BMILMS!$G$11)))</f>
        <v>0.79584630099999998</v>
      </c>
      <c r="AE910" s="24">
        <f>IF(D910="M",(IF(AG910&lt;2.5,BMILMS!$D$21*AG910^3+BMILMS!$E$21*AG910^2+BMILMS!$F$21*AG910+BMILMS!$G$21,IF(AG910&lt;9.5,BMILMS!$D$22*AG910^3+BMILMS!$E$22*AG910^2+BMILMS!$F$22*AG910+BMILMS!$G$22,IF(AG910&lt;26.75,BMILMS!$D$23*AG910^3+BMILMS!$E$23*AG910^2+BMILMS!$F$23*AG910+BMILMS!$G$23,IF(AG910&lt;90,BMILMS!$D$24*AG910^3+BMILMS!$E$24*AG910^2+BMILMS!$F$24*AG910+BMILMS!$G$24,BMILMS!$D$25*AG910^3+BMILMS!$E$25*AG910^2+BMILMS!$F$25*AG910+BMILMS!$G$25))))),(IF(AG910&lt;2.5,BMILMS!$D$27*AG910^3+BMILMS!$E$27*AG910^2+BMILMS!$F$27*AG910+BMILMS!$G$27,IF(AG910&lt;9.5,BMILMS!$D$28*AG910^3+BMILMS!$E$28*AG910^2+BMILMS!$F$28*AG910+BMILMS!$G$28,IF(AG910&lt;26.75,BMILMS!$D$29*AG910^3+BMILMS!$E$29*AG910^2+BMILMS!$F$29*AG910+BMILMS!$G$29,IF(AG910&lt;90,BMILMS!$D$30*AG910^3+BMILMS!$E$30*AG910^2+BMILMS!$F$30*AG910+BMILMS!$G$30,IF(AG910&lt;150,BMILMS!$D$31*AG910^3+BMILMS!$E$31*AG910^2+BMILMS!$F$31*AG910+BMILMS!$G$31,BMILMS!$D$32*AG910^3+BMILMS!$E$32*AG910^2+BMILMS!$F$32*AG910+BMILMS!$G$32)))))))</f>
        <v>12.568967990000001</v>
      </c>
      <c r="AF910" s="24">
        <f>IF(D910="M",(IF(AG910&lt;90,BMILMS!$D$14*AG910^3+BMILMS!$E$14*AG910^2+BMILMS!$F$14*AG910+BMILMS!$G$14,BMILMS!$D$15*AG910^3+BMILMS!$E$15*AG910^2+BMILMS!$F$15*AG910+BMILMS!$G$15)),(IF(AG910&lt;90,BMILMS!$D$17*AG910^3+BMILMS!$E$17*AG910^2+BMILMS!$F$17*AG910+BMILMS!$G$17,BMILMS!$D$18*AG910^3+BMILMS!$E$18*AG910^2+BMILMS!$F$18*AG910+BMILMS!$G$18)))</f>
        <v>8.8969350000000003E-2</v>
      </c>
      <c r="AG910" s="24">
        <f t="shared" si="240"/>
        <v>0</v>
      </c>
      <c r="AI910" s="38">
        <f>IF(D910="M",WeightSDS!P$5*$AG910^7+WeightSDS!Q$5*$AG910^6+WeightSDS!R$5*$AG910^5+WeightSDS!S$5*$AG910^4+WeightSDS!T$5*$AG910^3+WeightSDS!U$5*$AG910^2+WeightSDS!V$5*$AG910+WeightSDS!W$5,IF($AG910&lt;186,WeightSDS!P$8*$AG910^7+WeightSDS!Q$8*$AG910^6+WeightSDS!R$8*$AG910^5+WeightSDS!S$8*$AG910^4+WeightSDS!T$8*$AG910^3+WeightSDS!U$8*$AG910^2+WeightSDS!V$8*$AG910+WeightSDS!W$8,WeightSDS!$U$9-WeightSDS!$V$9*($AG910-WeightSDS!$W$9)))</f>
        <v>0.75407122999999998</v>
      </c>
      <c r="AJ910" s="24">
        <f>IF(D910="M",IF($AG910&lt;45,WeightSDS!M$23*$AG910^10+WeightSDS!N$23*$AG910^9+WeightSDS!O$23*$AG910^8+WeightSDS!P$23*$AG910^7+WeightSDS!Q$23*$AG910^6+WeightSDS!R$23*$AG910^5+WeightSDS!S$23*$AG910^4+WeightSDS!T$23*$AG910^3+WeightSDS!U$23*$AG910^2+WeightSDS!V$23*$AG910+WeightSDS!W$23,IF($AG910&lt;153,WeightSDS!M$25*$AG910^10+WeightSDS!N$25*$AG910^9+WeightSDS!O$25*$AG910^8+WeightSDS!P$25*$AG910^7+WeightSDS!Q$25*$AG910^6+WeightSDS!R$25*$AG910^5+WeightSDS!S$25*$AG910^4+WeightSDS!T$25*$AG910^3+WeightSDS!U$25*$AG910^2+WeightSDS!V$25*$AG910+WeightSDS!W$25,WeightSDS!M$27+WeightSDS!N$27/(1+EXP(WeightSDS!O$27+WeightSDS!P$27*$AG910)))),IF($AG910&lt;43.8,WeightSDS!M$29*$AG910^10+WeightSDS!N$29*$AG910^9+WeightSDS!O$29*$AG910^8+WeightSDS!P$29*$AG910^7+WeightSDS!Q$29*$AG910^6+WeightSDS!R$29*$AG910^5+WeightSDS!S$29*$AG910^4+WeightSDS!T$29*$AG910^3+WeightSDS!U$29*$AG910^2+WeightSDS!V$29*$AG910+WeightSDS!W$29-0.010431*(1-$AG910/210),IF($AG910&lt;123,WeightSDS!M$30*$AG910^10+WeightSDS!N$30*$AG910^9+WeightSDS!O$30*$AG910^8+WeightSDS!P$30*$AG910^7+WeightSDS!Q$30*$AG910^6+WeightSDS!R$30*$AG910^5+WeightSDS!S$30*$AG910^4+WeightSDS!T$30*$AG910^3+WeightSDS!U$30*$AG910^2+WeightSDS!V$30*$AG910+WeightSDS!W$30-0.010431*(1-1/$AG910),WeightSDS!M$32+WeightSDS!N$32/(1+EXP(WeightSDS!O$32+WeightSDS!P$32*$AG910))-0.010431*(1-$AG910/210))))</f>
        <v>2.9500001032655536</v>
      </c>
      <c r="AK910" s="24">
        <f>IF(D910="M",IF($AG910&lt;162,WeightSDS!P$12*$AG910^7+WeightSDS!Q$12*$AG910^6+WeightSDS!R$12*$AG910^5+WeightSDS!S$12*$AG910^4+WeightSDS!T$12*$AG910^3+WeightSDS!U$12*$AG910^2+WeightSDS!V$12*$AG910+WeightSDS!W$12,WeightSDS!P$14*$AG910^7+WeightSDS!Q$14*$AG910^6+WeightSDS!R$14*$AG910^5+WeightSDS!S$14*$AG910^4+WeightSDS!T$14*$AG910^3+WeightSDS!U$14*$AG910^2+WeightSDS!V$14*$AG910+WeightSDS!W$14),IF($AG910&lt;156,WeightSDS!O$17*$AG910^8+WeightSDS!P$17*$AG910^7+WeightSDS!Q$17*$AG910^6+WeightSDS!R$17*$AG910^5+WeightSDS!S$17*$AG910^4+WeightSDS!T$17*$AG910^3+WeightSDS!U$17*$AG910^2+WeightSDS!V$17*$AG910+WeightSDS!W$17,IF($AG910&lt;186,WeightSDS!$U$18+(WeightSDS!$V$18-WeightSDS!$U$18)/24*($AG910-186)+WeightSDS!$W$18*(-$AG910+186)^2-0.005,WeightSDS!$U$18+(WeightSDS!$V$18-WeightSDS!$U$18)/24*($AG910-186)-0.005)))</f>
        <v>0.14604529399999999</v>
      </c>
    </row>
    <row r="911" spans="1:37">
      <c r="A911" s="4"/>
      <c r="B911" s="21"/>
      <c r="C911" s="21"/>
      <c r="D911" s="21"/>
      <c r="E911" s="22"/>
      <c r="F911" s="22"/>
      <c r="G911" s="23"/>
      <c r="H911" s="23"/>
      <c r="I911" s="8" t="str">
        <f t="shared" si="226"/>
        <v/>
      </c>
      <c r="J911" s="2" t="str">
        <f t="shared" si="233"/>
        <v/>
      </c>
      <c r="K911" s="2" t="str">
        <f t="shared" si="227"/>
        <v/>
      </c>
      <c r="L911" s="2" t="str">
        <f t="shared" si="234"/>
        <v/>
      </c>
      <c r="M911" s="2" t="str">
        <f t="shared" si="239"/>
        <v/>
      </c>
      <c r="N911" s="2" t="str">
        <f t="shared" si="235"/>
        <v/>
      </c>
      <c r="O911" s="8" t="str">
        <f t="shared" si="236"/>
        <v/>
      </c>
      <c r="P911" s="8" t="str">
        <f t="shared" si="237"/>
        <v/>
      </c>
      <c r="Q911" s="40" t="str">
        <f t="shared" si="228"/>
        <v/>
      </c>
      <c r="R911" s="48" t="str">
        <f t="shared" si="238"/>
        <v/>
      </c>
      <c r="S911" s="8"/>
      <c r="U911" s="35">
        <f t="shared" si="229"/>
        <v>0</v>
      </c>
      <c r="V911" s="24">
        <f t="shared" si="230"/>
        <v>0</v>
      </c>
      <c r="W911" s="41">
        <f t="shared" si="225"/>
        <v>0</v>
      </c>
      <c r="X911" s="31"/>
      <c r="Y911" s="31"/>
      <c r="Z911" s="31"/>
      <c r="AA911" s="25">
        <f t="shared" si="231"/>
        <v>9.0359999999999996</v>
      </c>
      <c r="AB911" s="25">
        <f t="shared" si="232"/>
        <v>-184.49199999999999</v>
      </c>
      <c r="AD911" s="24">
        <f>IF(D911="M",IF(AG911&lt;78,BMILMS!$D$5*AG911^3+BMILMS!$E$5*AG911^2+BMILMS!$F$5*AG911+BMILMS!$G$5,IF(AG911&lt;150,BMILMS!$D$6*AG911^3+BMILMS!$E$6*AG911^2+BMILMS!$F$6*AG911+BMILMS!$G$6,BMILMS!$D$7*AG911^3+BMILMS!$E$7*AG911^2+BMILMS!$F$7*AG911+BMILMS!$G$7)),IF(AG911&lt;69,BMILMS!$D$9*AG911^3+BMILMS!$E$9*AG911^2+BMILMS!$F$9*AG911+BMILMS!$G$9,IF(AG911&lt;150,BMILMS!$D$10*AG911^3+BMILMS!$E$10*AG911^2+BMILMS!$F$10*AG911+BMILMS!$G$10,BMILMS!$D$11*AG911^3+BMILMS!$E$11*AG911^2+BMILMS!$F$11*AG911+BMILMS!$G$11)))</f>
        <v>0.79584630099999998</v>
      </c>
      <c r="AE911" s="24">
        <f>IF(D911="M",(IF(AG911&lt;2.5,BMILMS!$D$21*AG911^3+BMILMS!$E$21*AG911^2+BMILMS!$F$21*AG911+BMILMS!$G$21,IF(AG911&lt;9.5,BMILMS!$D$22*AG911^3+BMILMS!$E$22*AG911^2+BMILMS!$F$22*AG911+BMILMS!$G$22,IF(AG911&lt;26.75,BMILMS!$D$23*AG911^3+BMILMS!$E$23*AG911^2+BMILMS!$F$23*AG911+BMILMS!$G$23,IF(AG911&lt;90,BMILMS!$D$24*AG911^3+BMILMS!$E$24*AG911^2+BMILMS!$F$24*AG911+BMILMS!$G$24,BMILMS!$D$25*AG911^3+BMILMS!$E$25*AG911^2+BMILMS!$F$25*AG911+BMILMS!$G$25))))),(IF(AG911&lt;2.5,BMILMS!$D$27*AG911^3+BMILMS!$E$27*AG911^2+BMILMS!$F$27*AG911+BMILMS!$G$27,IF(AG911&lt;9.5,BMILMS!$D$28*AG911^3+BMILMS!$E$28*AG911^2+BMILMS!$F$28*AG911+BMILMS!$G$28,IF(AG911&lt;26.75,BMILMS!$D$29*AG911^3+BMILMS!$E$29*AG911^2+BMILMS!$F$29*AG911+BMILMS!$G$29,IF(AG911&lt;90,BMILMS!$D$30*AG911^3+BMILMS!$E$30*AG911^2+BMILMS!$F$30*AG911+BMILMS!$G$30,IF(AG911&lt;150,BMILMS!$D$31*AG911^3+BMILMS!$E$31*AG911^2+BMILMS!$F$31*AG911+BMILMS!$G$31,BMILMS!$D$32*AG911^3+BMILMS!$E$32*AG911^2+BMILMS!$F$32*AG911+BMILMS!$G$32)))))))</f>
        <v>12.568967990000001</v>
      </c>
      <c r="AF911" s="24">
        <f>IF(D911="M",(IF(AG911&lt;90,BMILMS!$D$14*AG911^3+BMILMS!$E$14*AG911^2+BMILMS!$F$14*AG911+BMILMS!$G$14,BMILMS!$D$15*AG911^3+BMILMS!$E$15*AG911^2+BMILMS!$F$15*AG911+BMILMS!$G$15)),(IF(AG911&lt;90,BMILMS!$D$17*AG911^3+BMILMS!$E$17*AG911^2+BMILMS!$F$17*AG911+BMILMS!$G$17,BMILMS!$D$18*AG911^3+BMILMS!$E$18*AG911^2+BMILMS!$F$18*AG911+BMILMS!$G$18)))</f>
        <v>8.8969350000000003E-2</v>
      </c>
      <c r="AG911" s="24">
        <f t="shared" si="240"/>
        <v>0</v>
      </c>
      <c r="AI911" s="38">
        <f>IF(D911="M",WeightSDS!P$5*$AG911^7+WeightSDS!Q$5*$AG911^6+WeightSDS!R$5*$AG911^5+WeightSDS!S$5*$AG911^4+WeightSDS!T$5*$AG911^3+WeightSDS!U$5*$AG911^2+WeightSDS!V$5*$AG911+WeightSDS!W$5,IF($AG911&lt;186,WeightSDS!P$8*$AG911^7+WeightSDS!Q$8*$AG911^6+WeightSDS!R$8*$AG911^5+WeightSDS!S$8*$AG911^4+WeightSDS!T$8*$AG911^3+WeightSDS!U$8*$AG911^2+WeightSDS!V$8*$AG911+WeightSDS!W$8,WeightSDS!$U$9-WeightSDS!$V$9*($AG911-WeightSDS!$W$9)))</f>
        <v>0.75407122999999998</v>
      </c>
      <c r="AJ911" s="24">
        <f>IF(D911="M",IF($AG911&lt;45,WeightSDS!M$23*$AG911^10+WeightSDS!N$23*$AG911^9+WeightSDS!O$23*$AG911^8+WeightSDS!P$23*$AG911^7+WeightSDS!Q$23*$AG911^6+WeightSDS!R$23*$AG911^5+WeightSDS!S$23*$AG911^4+WeightSDS!T$23*$AG911^3+WeightSDS!U$23*$AG911^2+WeightSDS!V$23*$AG911+WeightSDS!W$23,IF($AG911&lt;153,WeightSDS!M$25*$AG911^10+WeightSDS!N$25*$AG911^9+WeightSDS!O$25*$AG911^8+WeightSDS!P$25*$AG911^7+WeightSDS!Q$25*$AG911^6+WeightSDS!R$25*$AG911^5+WeightSDS!S$25*$AG911^4+WeightSDS!T$25*$AG911^3+WeightSDS!U$25*$AG911^2+WeightSDS!V$25*$AG911+WeightSDS!W$25,WeightSDS!M$27+WeightSDS!N$27/(1+EXP(WeightSDS!O$27+WeightSDS!P$27*$AG911)))),IF($AG911&lt;43.8,WeightSDS!M$29*$AG911^10+WeightSDS!N$29*$AG911^9+WeightSDS!O$29*$AG911^8+WeightSDS!P$29*$AG911^7+WeightSDS!Q$29*$AG911^6+WeightSDS!R$29*$AG911^5+WeightSDS!S$29*$AG911^4+WeightSDS!T$29*$AG911^3+WeightSDS!U$29*$AG911^2+WeightSDS!V$29*$AG911+WeightSDS!W$29-0.010431*(1-$AG911/210),IF($AG911&lt;123,WeightSDS!M$30*$AG911^10+WeightSDS!N$30*$AG911^9+WeightSDS!O$30*$AG911^8+WeightSDS!P$30*$AG911^7+WeightSDS!Q$30*$AG911^6+WeightSDS!R$30*$AG911^5+WeightSDS!S$30*$AG911^4+WeightSDS!T$30*$AG911^3+WeightSDS!U$30*$AG911^2+WeightSDS!V$30*$AG911+WeightSDS!W$30-0.010431*(1-1/$AG911),WeightSDS!M$32+WeightSDS!N$32/(1+EXP(WeightSDS!O$32+WeightSDS!P$32*$AG911))-0.010431*(1-$AG911/210))))</f>
        <v>2.9500001032655536</v>
      </c>
      <c r="AK911" s="24">
        <f>IF(D911="M",IF($AG911&lt;162,WeightSDS!P$12*$AG911^7+WeightSDS!Q$12*$AG911^6+WeightSDS!R$12*$AG911^5+WeightSDS!S$12*$AG911^4+WeightSDS!T$12*$AG911^3+WeightSDS!U$12*$AG911^2+WeightSDS!V$12*$AG911+WeightSDS!W$12,WeightSDS!P$14*$AG911^7+WeightSDS!Q$14*$AG911^6+WeightSDS!R$14*$AG911^5+WeightSDS!S$14*$AG911^4+WeightSDS!T$14*$AG911^3+WeightSDS!U$14*$AG911^2+WeightSDS!V$14*$AG911+WeightSDS!W$14),IF($AG911&lt;156,WeightSDS!O$17*$AG911^8+WeightSDS!P$17*$AG911^7+WeightSDS!Q$17*$AG911^6+WeightSDS!R$17*$AG911^5+WeightSDS!S$17*$AG911^4+WeightSDS!T$17*$AG911^3+WeightSDS!U$17*$AG911^2+WeightSDS!V$17*$AG911+WeightSDS!W$17,IF($AG911&lt;186,WeightSDS!$U$18+(WeightSDS!$V$18-WeightSDS!$U$18)/24*($AG911-186)+WeightSDS!$W$18*(-$AG911+186)^2-0.005,WeightSDS!$U$18+(WeightSDS!$V$18-WeightSDS!$U$18)/24*($AG911-186)-0.005)))</f>
        <v>0.14604529399999999</v>
      </c>
    </row>
    <row r="912" spans="1:37">
      <c r="A912" s="4"/>
      <c r="B912" s="21"/>
      <c r="C912" s="21"/>
      <c r="D912" s="21"/>
      <c r="E912" s="22"/>
      <c r="F912" s="22"/>
      <c r="G912" s="23"/>
      <c r="H912" s="23"/>
      <c r="I912" s="8" t="str">
        <f t="shared" si="226"/>
        <v/>
      </c>
      <c r="J912" s="2" t="str">
        <f t="shared" si="233"/>
        <v/>
      </c>
      <c r="K912" s="2" t="str">
        <f t="shared" si="227"/>
        <v/>
      </c>
      <c r="L912" s="2" t="str">
        <f t="shared" si="234"/>
        <v/>
      </c>
      <c r="M912" s="2" t="str">
        <f t="shared" si="239"/>
        <v/>
      </c>
      <c r="N912" s="2" t="str">
        <f t="shared" si="235"/>
        <v/>
      </c>
      <c r="O912" s="8" t="str">
        <f t="shared" si="236"/>
        <v/>
      </c>
      <c r="P912" s="8" t="str">
        <f t="shared" si="237"/>
        <v/>
      </c>
      <c r="Q912" s="40" t="str">
        <f t="shared" si="228"/>
        <v/>
      </c>
      <c r="R912" s="48" t="str">
        <f t="shared" si="238"/>
        <v/>
      </c>
      <c r="S912" s="8"/>
      <c r="U912" s="35">
        <f t="shared" si="229"/>
        <v>0</v>
      </c>
      <c r="V912" s="24">
        <f t="shared" si="230"/>
        <v>0</v>
      </c>
      <c r="W912" s="41">
        <f t="shared" si="225"/>
        <v>0</v>
      </c>
      <c r="X912" s="31"/>
      <c r="Y912" s="31"/>
      <c r="Z912" s="31"/>
      <c r="AA912" s="25">
        <f t="shared" si="231"/>
        <v>9.0359999999999996</v>
      </c>
      <c r="AB912" s="25">
        <f t="shared" si="232"/>
        <v>-184.49199999999999</v>
      </c>
      <c r="AD912" s="24">
        <f>IF(D912="M",IF(AG912&lt;78,BMILMS!$D$5*AG912^3+BMILMS!$E$5*AG912^2+BMILMS!$F$5*AG912+BMILMS!$G$5,IF(AG912&lt;150,BMILMS!$D$6*AG912^3+BMILMS!$E$6*AG912^2+BMILMS!$F$6*AG912+BMILMS!$G$6,BMILMS!$D$7*AG912^3+BMILMS!$E$7*AG912^2+BMILMS!$F$7*AG912+BMILMS!$G$7)),IF(AG912&lt;69,BMILMS!$D$9*AG912^3+BMILMS!$E$9*AG912^2+BMILMS!$F$9*AG912+BMILMS!$G$9,IF(AG912&lt;150,BMILMS!$D$10*AG912^3+BMILMS!$E$10*AG912^2+BMILMS!$F$10*AG912+BMILMS!$G$10,BMILMS!$D$11*AG912^3+BMILMS!$E$11*AG912^2+BMILMS!$F$11*AG912+BMILMS!$G$11)))</f>
        <v>0.79584630099999998</v>
      </c>
      <c r="AE912" s="24">
        <f>IF(D912="M",(IF(AG912&lt;2.5,BMILMS!$D$21*AG912^3+BMILMS!$E$21*AG912^2+BMILMS!$F$21*AG912+BMILMS!$G$21,IF(AG912&lt;9.5,BMILMS!$D$22*AG912^3+BMILMS!$E$22*AG912^2+BMILMS!$F$22*AG912+BMILMS!$G$22,IF(AG912&lt;26.75,BMILMS!$D$23*AG912^3+BMILMS!$E$23*AG912^2+BMILMS!$F$23*AG912+BMILMS!$G$23,IF(AG912&lt;90,BMILMS!$D$24*AG912^3+BMILMS!$E$24*AG912^2+BMILMS!$F$24*AG912+BMILMS!$G$24,BMILMS!$D$25*AG912^3+BMILMS!$E$25*AG912^2+BMILMS!$F$25*AG912+BMILMS!$G$25))))),(IF(AG912&lt;2.5,BMILMS!$D$27*AG912^3+BMILMS!$E$27*AG912^2+BMILMS!$F$27*AG912+BMILMS!$G$27,IF(AG912&lt;9.5,BMILMS!$D$28*AG912^3+BMILMS!$E$28*AG912^2+BMILMS!$F$28*AG912+BMILMS!$G$28,IF(AG912&lt;26.75,BMILMS!$D$29*AG912^3+BMILMS!$E$29*AG912^2+BMILMS!$F$29*AG912+BMILMS!$G$29,IF(AG912&lt;90,BMILMS!$D$30*AG912^3+BMILMS!$E$30*AG912^2+BMILMS!$F$30*AG912+BMILMS!$G$30,IF(AG912&lt;150,BMILMS!$D$31*AG912^3+BMILMS!$E$31*AG912^2+BMILMS!$F$31*AG912+BMILMS!$G$31,BMILMS!$D$32*AG912^3+BMILMS!$E$32*AG912^2+BMILMS!$F$32*AG912+BMILMS!$G$32)))))))</f>
        <v>12.568967990000001</v>
      </c>
      <c r="AF912" s="24">
        <f>IF(D912="M",(IF(AG912&lt;90,BMILMS!$D$14*AG912^3+BMILMS!$E$14*AG912^2+BMILMS!$F$14*AG912+BMILMS!$G$14,BMILMS!$D$15*AG912^3+BMILMS!$E$15*AG912^2+BMILMS!$F$15*AG912+BMILMS!$G$15)),(IF(AG912&lt;90,BMILMS!$D$17*AG912^3+BMILMS!$E$17*AG912^2+BMILMS!$F$17*AG912+BMILMS!$G$17,BMILMS!$D$18*AG912^3+BMILMS!$E$18*AG912^2+BMILMS!$F$18*AG912+BMILMS!$G$18)))</f>
        <v>8.8969350000000003E-2</v>
      </c>
      <c r="AG912" s="24">
        <f t="shared" si="240"/>
        <v>0</v>
      </c>
      <c r="AI912" s="38">
        <f>IF(D912="M",WeightSDS!P$5*$AG912^7+WeightSDS!Q$5*$AG912^6+WeightSDS!R$5*$AG912^5+WeightSDS!S$5*$AG912^4+WeightSDS!T$5*$AG912^3+WeightSDS!U$5*$AG912^2+WeightSDS!V$5*$AG912+WeightSDS!W$5,IF($AG912&lt;186,WeightSDS!P$8*$AG912^7+WeightSDS!Q$8*$AG912^6+WeightSDS!R$8*$AG912^5+WeightSDS!S$8*$AG912^4+WeightSDS!T$8*$AG912^3+WeightSDS!U$8*$AG912^2+WeightSDS!V$8*$AG912+WeightSDS!W$8,WeightSDS!$U$9-WeightSDS!$V$9*($AG912-WeightSDS!$W$9)))</f>
        <v>0.75407122999999998</v>
      </c>
      <c r="AJ912" s="24">
        <f>IF(D912="M",IF($AG912&lt;45,WeightSDS!M$23*$AG912^10+WeightSDS!N$23*$AG912^9+WeightSDS!O$23*$AG912^8+WeightSDS!P$23*$AG912^7+WeightSDS!Q$23*$AG912^6+WeightSDS!R$23*$AG912^5+WeightSDS!S$23*$AG912^4+WeightSDS!T$23*$AG912^3+WeightSDS!U$23*$AG912^2+WeightSDS!V$23*$AG912+WeightSDS!W$23,IF($AG912&lt;153,WeightSDS!M$25*$AG912^10+WeightSDS!N$25*$AG912^9+WeightSDS!O$25*$AG912^8+WeightSDS!P$25*$AG912^7+WeightSDS!Q$25*$AG912^6+WeightSDS!R$25*$AG912^5+WeightSDS!S$25*$AG912^4+WeightSDS!T$25*$AG912^3+WeightSDS!U$25*$AG912^2+WeightSDS!V$25*$AG912+WeightSDS!W$25,WeightSDS!M$27+WeightSDS!N$27/(1+EXP(WeightSDS!O$27+WeightSDS!P$27*$AG912)))),IF($AG912&lt;43.8,WeightSDS!M$29*$AG912^10+WeightSDS!N$29*$AG912^9+WeightSDS!O$29*$AG912^8+WeightSDS!P$29*$AG912^7+WeightSDS!Q$29*$AG912^6+WeightSDS!R$29*$AG912^5+WeightSDS!S$29*$AG912^4+WeightSDS!T$29*$AG912^3+WeightSDS!U$29*$AG912^2+WeightSDS!V$29*$AG912+WeightSDS!W$29-0.010431*(1-$AG912/210),IF($AG912&lt;123,WeightSDS!M$30*$AG912^10+WeightSDS!N$30*$AG912^9+WeightSDS!O$30*$AG912^8+WeightSDS!P$30*$AG912^7+WeightSDS!Q$30*$AG912^6+WeightSDS!R$30*$AG912^5+WeightSDS!S$30*$AG912^4+WeightSDS!T$30*$AG912^3+WeightSDS!U$30*$AG912^2+WeightSDS!V$30*$AG912+WeightSDS!W$30-0.010431*(1-1/$AG912),WeightSDS!M$32+WeightSDS!N$32/(1+EXP(WeightSDS!O$32+WeightSDS!P$32*$AG912))-0.010431*(1-$AG912/210))))</f>
        <v>2.9500001032655536</v>
      </c>
      <c r="AK912" s="24">
        <f>IF(D912="M",IF($AG912&lt;162,WeightSDS!P$12*$AG912^7+WeightSDS!Q$12*$AG912^6+WeightSDS!R$12*$AG912^5+WeightSDS!S$12*$AG912^4+WeightSDS!T$12*$AG912^3+WeightSDS!U$12*$AG912^2+WeightSDS!V$12*$AG912+WeightSDS!W$12,WeightSDS!P$14*$AG912^7+WeightSDS!Q$14*$AG912^6+WeightSDS!R$14*$AG912^5+WeightSDS!S$14*$AG912^4+WeightSDS!T$14*$AG912^3+WeightSDS!U$14*$AG912^2+WeightSDS!V$14*$AG912+WeightSDS!W$14),IF($AG912&lt;156,WeightSDS!O$17*$AG912^8+WeightSDS!P$17*$AG912^7+WeightSDS!Q$17*$AG912^6+WeightSDS!R$17*$AG912^5+WeightSDS!S$17*$AG912^4+WeightSDS!T$17*$AG912^3+WeightSDS!U$17*$AG912^2+WeightSDS!V$17*$AG912+WeightSDS!W$17,IF($AG912&lt;186,WeightSDS!$U$18+(WeightSDS!$V$18-WeightSDS!$U$18)/24*($AG912-186)+WeightSDS!$W$18*(-$AG912+186)^2-0.005,WeightSDS!$U$18+(WeightSDS!$V$18-WeightSDS!$U$18)/24*($AG912-186)-0.005)))</f>
        <v>0.14604529399999999</v>
      </c>
    </row>
    <row r="913" spans="1:37">
      <c r="A913" s="4"/>
      <c r="B913" s="21"/>
      <c r="C913" s="21"/>
      <c r="D913" s="21"/>
      <c r="E913" s="22"/>
      <c r="F913" s="22"/>
      <c r="G913" s="23"/>
      <c r="H913" s="23"/>
      <c r="I913" s="8" t="str">
        <f t="shared" si="226"/>
        <v/>
      </c>
      <c r="J913" s="2" t="str">
        <f t="shared" si="233"/>
        <v/>
      </c>
      <c r="K913" s="2" t="str">
        <f t="shared" si="227"/>
        <v/>
      </c>
      <c r="L913" s="2" t="str">
        <f t="shared" si="234"/>
        <v/>
      </c>
      <c r="M913" s="2" t="str">
        <f t="shared" si="239"/>
        <v/>
      </c>
      <c r="N913" s="2" t="str">
        <f t="shared" si="235"/>
        <v/>
      </c>
      <c r="O913" s="8" t="str">
        <f t="shared" si="236"/>
        <v/>
      </c>
      <c r="P913" s="8" t="str">
        <f t="shared" si="237"/>
        <v/>
      </c>
      <c r="Q913" s="40" t="str">
        <f t="shared" si="228"/>
        <v/>
      </c>
      <c r="R913" s="48" t="str">
        <f t="shared" si="238"/>
        <v/>
      </c>
      <c r="S913" s="8"/>
      <c r="U913" s="35">
        <f t="shared" si="229"/>
        <v>0</v>
      </c>
      <c r="V913" s="24">
        <f t="shared" si="230"/>
        <v>0</v>
      </c>
      <c r="W913" s="41">
        <f t="shared" si="225"/>
        <v>0</v>
      </c>
      <c r="X913" s="31"/>
      <c r="Y913" s="31"/>
      <c r="Z913" s="31"/>
      <c r="AA913" s="25">
        <f t="shared" si="231"/>
        <v>9.0359999999999996</v>
      </c>
      <c r="AB913" s="25">
        <f t="shared" si="232"/>
        <v>-184.49199999999999</v>
      </c>
      <c r="AD913" s="24">
        <f>IF(D913="M",IF(AG913&lt;78,BMILMS!$D$5*AG913^3+BMILMS!$E$5*AG913^2+BMILMS!$F$5*AG913+BMILMS!$G$5,IF(AG913&lt;150,BMILMS!$D$6*AG913^3+BMILMS!$E$6*AG913^2+BMILMS!$F$6*AG913+BMILMS!$G$6,BMILMS!$D$7*AG913^3+BMILMS!$E$7*AG913^2+BMILMS!$F$7*AG913+BMILMS!$G$7)),IF(AG913&lt;69,BMILMS!$D$9*AG913^3+BMILMS!$E$9*AG913^2+BMILMS!$F$9*AG913+BMILMS!$G$9,IF(AG913&lt;150,BMILMS!$D$10*AG913^3+BMILMS!$E$10*AG913^2+BMILMS!$F$10*AG913+BMILMS!$G$10,BMILMS!$D$11*AG913^3+BMILMS!$E$11*AG913^2+BMILMS!$F$11*AG913+BMILMS!$G$11)))</f>
        <v>0.79584630099999998</v>
      </c>
      <c r="AE913" s="24">
        <f>IF(D913="M",(IF(AG913&lt;2.5,BMILMS!$D$21*AG913^3+BMILMS!$E$21*AG913^2+BMILMS!$F$21*AG913+BMILMS!$G$21,IF(AG913&lt;9.5,BMILMS!$D$22*AG913^3+BMILMS!$E$22*AG913^2+BMILMS!$F$22*AG913+BMILMS!$G$22,IF(AG913&lt;26.75,BMILMS!$D$23*AG913^3+BMILMS!$E$23*AG913^2+BMILMS!$F$23*AG913+BMILMS!$G$23,IF(AG913&lt;90,BMILMS!$D$24*AG913^3+BMILMS!$E$24*AG913^2+BMILMS!$F$24*AG913+BMILMS!$G$24,BMILMS!$D$25*AG913^3+BMILMS!$E$25*AG913^2+BMILMS!$F$25*AG913+BMILMS!$G$25))))),(IF(AG913&lt;2.5,BMILMS!$D$27*AG913^3+BMILMS!$E$27*AG913^2+BMILMS!$F$27*AG913+BMILMS!$G$27,IF(AG913&lt;9.5,BMILMS!$D$28*AG913^3+BMILMS!$E$28*AG913^2+BMILMS!$F$28*AG913+BMILMS!$G$28,IF(AG913&lt;26.75,BMILMS!$D$29*AG913^3+BMILMS!$E$29*AG913^2+BMILMS!$F$29*AG913+BMILMS!$G$29,IF(AG913&lt;90,BMILMS!$D$30*AG913^3+BMILMS!$E$30*AG913^2+BMILMS!$F$30*AG913+BMILMS!$G$30,IF(AG913&lt;150,BMILMS!$D$31*AG913^3+BMILMS!$E$31*AG913^2+BMILMS!$F$31*AG913+BMILMS!$G$31,BMILMS!$D$32*AG913^3+BMILMS!$E$32*AG913^2+BMILMS!$F$32*AG913+BMILMS!$G$32)))))))</f>
        <v>12.568967990000001</v>
      </c>
      <c r="AF913" s="24">
        <f>IF(D913="M",(IF(AG913&lt;90,BMILMS!$D$14*AG913^3+BMILMS!$E$14*AG913^2+BMILMS!$F$14*AG913+BMILMS!$G$14,BMILMS!$D$15*AG913^3+BMILMS!$E$15*AG913^2+BMILMS!$F$15*AG913+BMILMS!$G$15)),(IF(AG913&lt;90,BMILMS!$D$17*AG913^3+BMILMS!$E$17*AG913^2+BMILMS!$F$17*AG913+BMILMS!$G$17,BMILMS!$D$18*AG913^3+BMILMS!$E$18*AG913^2+BMILMS!$F$18*AG913+BMILMS!$G$18)))</f>
        <v>8.8969350000000003E-2</v>
      </c>
      <c r="AG913" s="24">
        <f t="shared" si="240"/>
        <v>0</v>
      </c>
      <c r="AI913" s="38">
        <f>IF(D913="M",WeightSDS!P$5*$AG913^7+WeightSDS!Q$5*$AG913^6+WeightSDS!R$5*$AG913^5+WeightSDS!S$5*$AG913^4+WeightSDS!T$5*$AG913^3+WeightSDS!U$5*$AG913^2+WeightSDS!V$5*$AG913+WeightSDS!W$5,IF($AG913&lt;186,WeightSDS!P$8*$AG913^7+WeightSDS!Q$8*$AG913^6+WeightSDS!R$8*$AG913^5+WeightSDS!S$8*$AG913^4+WeightSDS!T$8*$AG913^3+WeightSDS!U$8*$AG913^2+WeightSDS!V$8*$AG913+WeightSDS!W$8,WeightSDS!$U$9-WeightSDS!$V$9*($AG913-WeightSDS!$W$9)))</f>
        <v>0.75407122999999998</v>
      </c>
      <c r="AJ913" s="24">
        <f>IF(D913="M",IF($AG913&lt;45,WeightSDS!M$23*$AG913^10+WeightSDS!N$23*$AG913^9+WeightSDS!O$23*$AG913^8+WeightSDS!P$23*$AG913^7+WeightSDS!Q$23*$AG913^6+WeightSDS!R$23*$AG913^5+WeightSDS!S$23*$AG913^4+WeightSDS!T$23*$AG913^3+WeightSDS!U$23*$AG913^2+WeightSDS!V$23*$AG913+WeightSDS!W$23,IF($AG913&lt;153,WeightSDS!M$25*$AG913^10+WeightSDS!N$25*$AG913^9+WeightSDS!O$25*$AG913^8+WeightSDS!P$25*$AG913^7+WeightSDS!Q$25*$AG913^6+WeightSDS!R$25*$AG913^5+WeightSDS!S$25*$AG913^4+WeightSDS!T$25*$AG913^3+WeightSDS!U$25*$AG913^2+WeightSDS!V$25*$AG913+WeightSDS!W$25,WeightSDS!M$27+WeightSDS!N$27/(1+EXP(WeightSDS!O$27+WeightSDS!P$27*$AG913)))),IF($AG913&lt;43.8,WeightSDS!M$29*$AG913^10+WeightSDS!N$29*$AG913^9+WeightSDS!O$29*$AG913^8+WeightSDS!P$29*$AG913^7+WeightSDS!Q$29*$AG913^6+WeightSDS!R$29*$AG913^5+WeightSDS!S$29*$AG913^4+WeightSDS!T$29*$AG913^3+WeightSDS!U$29*$AG913^2+WeightSDS!V$29*$AG913+WeightSDS!W$29-0.010431*(1-$AG913/210),IF($AG913&lt;123,WeightSDS!M$30*$AG913^10+WeightSDS!N$30*$AG913^9+WeightSDS!O$30*$AG913^8+WeightSDS!P$30*$AG913^7+WeightSDS!Q$30*$AG913^6+WeightSDS!R$30*$AG913^5+WeightSDS!S$30*$AG913^4+WeightSDS!T$30*$AG913^3+WeightSDS!U$30*$AG913^2+WeightSDS!V$30*$AG913+WeightSDS!W$30-0.010431*(1-1/$AG913),WeightSDS!M$32+WeightSDS!N$32/(1+EXP(WeightSDS!O$32+WeightSDS!P$32*$AG913))-0.010431*(1-$AG913/210))))</f>
        <v>2.9500001032655536</v>
      </c>
      <c r="AK913" s="24">
        <f>IF(D913="M",IF($AG913&lt;162,WeightSDS!P$12*$AG913^7+WeightSDS!Q$12*$AG913^6+WeightSDS!R$12*$AG913^5+WeightSDS!S$12*$AG913^4+WeightSDS!T$12*$AG913^3+WeightSDS!U$12*$AG913^2+WeightSDS!V$12*$AG913+WeightSDS!W$12,WeightSDS!P$14*$AG913^7+WeightSDS!Q$14*$AG913^6+WeightSDS!R$14*$AG913^5+WeightSDS!S$14*$AG913^4+WeightSDS!T$14*$AG913^3+WeightSDS!U$14*$AG913^2+WeightSDS!V$14*$AG913+WeightSDS!W$14),IF($AG913&lt;156,WeightSDS!O$17*$AG913^8+WeightSDS!P$17*$AG913^7+WeightSDS!Q$17*$AG913^6+WeightSDS!R$17*$AG913^5+WeightSDS!S$17*$AG913^4+WeightSDS!T$17*$AG913^3+WeightSDS!U$17*$AG913^2+WeightSDS!V$17*$AG913+WeightSDS!W$17,IF($AG913&lt;186,WeightSDS!$U$18+(WeightSDS!$V$18-WeightSDS!$U$18)/24*($AG913-186)+WeightSDS!$W$18*(-$AG913+186)^2-0.005,WeightSDS!$U$18+(WeightSDS!$V$18-WeightSDS!$U$18)/24*($AG913-186)-0.005)))</f>
        <v>0.14604529399999999</v>
      </c>
    </row>
    <row r="914" spans="1:37">
      <c r="A914" s="4"/>
      <c r="B914" s="21"/>
      <c r="C914" s="21"/>
      <c r="D914" s="21"/>
      <c r="E914" s="22"/>
      <c r="F914" s="22"/>
      <c r="G914" s="23"/>
      <c r="H914" s="23"/>
      <c r="I914" s="8" t="str">
        <f t="shared" si="226"/>
        <v/>
      </c>
      <c r="J914" s="2" t="str">
        <f t="shared" si="233"/>
        <v/>
      </c>
      <c r="K914" s="2" t="str">
        <f t="shared" si="227"/>
        <v/>
      </c>
      <c r="L914" s="2" t="str">
        <f t="shared" si="234"/>
        <v/>
      </c>
      <c r="M914" s="2" t="str">
        <f t="shared" si="239"/>
        <v/>
      </c>
      <c r="N914" s="2" t="str">
        <f t="shared" si="235"/>
        <v/>
      </c>
      <c r="O914" s="8" t="str">
        <f t="shared" si="236"/>
        <v/>
      </c>
      <c r="P914" s="8" t="str">
        <f t="shared" si="237"/>
        <v/>
      </c>
      <c r="Q914" s="40" t="str">
        <f t="shared" si="228"/>
        <v/>
      </c>
      <c r="R914" s="48" t="str">
        <f t="shared" si="238"/>
        <v/>
      </c>
      <c r="S914" s="8"/>
      <c r="U914" s="35">
        <f t="shared" si="229"/>
        <v>0</v>
      </c>
      <c r="V914" s="24">
        <f t="shared" si="230"/>
        <v>0</v>
      </c>
      <c r="W914" s="41">
        <f t="shared" si="225"/>
        <v>0</v>
      </c>
      <c r="X914" s="31"/>
      <c r="Y914" s="31"/>
      <c r="Z914" s="31"/>
      <c r="AA914" s="25">
        <f t="shared" si="231"/>
        <v>9.0359999999999996</v>
      </c>
      <c r="AB914" s="25">
        <f t="shared" si="232"/>
        <v>-184.49199999999999</v>
      </c>
      <c r="AD914" s="24">
        <f>IF(D914="M",IF(AG914&lt;78,BMILMS!$D$5*AG914^3+BMILMS!$E$5*AG914^2+BMILMS!$F$5*AG914+BMILMS!$G$5,IF(AG914&lt;150,BMILMS!$D$6*AG914^3+BMILMS!$E$6*AG914^2+BMILMS!$F$6*AG914+BMILMS!$G$6,BMILMS!$D$7*AG914^3+BMILMS!$E$7*AG914^2+BMILMS!$F$7*AG914+BMILMS!$G$7)),IF(AG914&lt;69,BMILMS!$D$9*AG914^3+BMILMS!$E$9*AG914^2+BMILMS!$F$9*AG914+BMILMS!$G$9,IF(AG914&lt;150,BMILMS!$D$10*AG914^3+BMILMS!$E$10*AG914^2+BMILMS!$F$10*AG914+BMILMS!$G$10,BMILMS!$D$11*AG914^3+BMILMS!$E$11*AG914^2+BMILMS!$F$11*AG914+BMILMS!$G$11)))</f>
        <v>0.79584630099999998</v>
      </c>
      <c r="AE914" s="24">
        <f>IF(D914="M",(IF(AG914&lt;2.5,BMILMS!$D$21*AG914^3+BMILMS!$E$21*AG914^2+BMILMS!$F$21*AG914+BMILMS!$G$21,IF(AG914&lt;9.5,BMILMS!$D$22*AG914^3+BMILMS!$E$22*AG914^2+BMILMS!$F$22*AG914+BMILMS!$G$22,IF(AG914&lt;26.75,BMILMS!$D$23*AG914^3+BMILMS!$E$23*AG914^2+BMILMS!$F$23*AG914+BMILMS!$G$23,IF(AG914&lt;90,BMILMS!$D$24*AG914^3+BMILMS!$E$24*AG914^2+BMILMS!$F$24*AG914+BMILMS!$G$24,BMILMS!$D$25*AG914^3+BMILMS!$E$25*AG914^2+BMILMS!$F$25*AG914+BMILMS!$G$25))))),(IF(AG914&lt;2.5,BMILMS!$D$27*AG914^3+BMILMS!$E$27*AG914^2+BMILMS!$F$27*AG914+BMILMS!$G$27,IF(AG914&lt;9.5,BMILMS!$D$28*AG914^3+BMILMS!$E$28*AG914^2+BMILMS!$F$28*AG914+BMILMS!$G$28,IF(AG914&lt;26.75,BMILMS!$D$29*AG914^3+BMILMS!$E$29*AG914^2+BMILMS!$F$29*AG914+BMILMS!$G$29,IF(AG914&lt;90,BMILMS!$D$30*AG914^3+BMILMS!$E$30*AG914^2+BMILMS!$F$30*AG914+BMILMS!$G$30,IF(AG914&lt;150,BMILMS!$D$31*AG914^3+BMILMS!$E$31*AG914^2+BMILMS!$F$31*AG914+BMILMS!$G$31,BMILMS!$D$32*AG914^3+BMILMS!$E$32*AG914^2+BMILMS!$F$32*AG914+BMILMS!$G$32)))))))</f>
        <v>12.568967990000001</v>
      </c>
      <c r="AF914" s="24">
        <f>IF(D914="M",(IF(AG914&lt;90,BMILMS!$D$14*AG914^3+BMILMS!$E$14*AG914^2+BMILMS!$F$14*AG914+BMILMS!$G$14,BMILMS!$D$15*AG914^3+BMILMS!$E$15*AG914^2+BMILMS!$F$15*AG914+BMILMS!$G$15)),(IF(AG914&lt;90,BMILMS!$D$17*AG914^3+BMILMS!$E$17*AG914^2+BMILMS!$F$17*AG914+BMILMS!$G$17,BMILMS!$D$18*AG914^3+BMILMS!$E$18*AG914^2+BMILMS!$F$18*AG914+BMILMS!$G$18)))</f>
        <v>8.8969350000000003E-2</v>
      </c>
      <c r="AG914" s="24">
        <f t="shared" si="240"/>
        <v>0</v>
      </c>
      <c r="AI914" s="38">
        <f>IF(D914="M",WeightSDS!P$5*$AG914^7+WeightSDS!Q$5*$AG914^6+WeightSDS!R$5*$AG914^5+WeightSDS!S$5*$AG914^4+WeightSDS!T$5*$AG914^3+WeightSDS!U$5*$AG914^2+WeightSDS!V$5*$AG914+WeightSDS!W$5,IF($AG914&lt;186,WeightSDS!P$8*$AG914^7+WeightSDS!Q$8*$AG914^6+WeightSDS!R$8*$AG914^5+WeightSDS!S$8*$AG914^4+WeightSDS!T$8*$AG914^3+WeightSDS!U$8*$AG914^2+WeightSDS!V$8*$AG914+WeightSDS!W$8,WeightSDS!$U$9-WeightSDS!$V$9*($AG914-WeightSDS!$W$9)))</f>
        <v>0.75407122999999998</v>
      </c>
      <c r="AJ914" s="24">
        <f>IF(D914="M",IF($AG914&lt;45,WeightSDS!M$23*$AG914^10+WeightSDS!N$23*$AG914^9+WeightSDS!O$23*$AG914^8+WeightSDS!P$23*$AG914^7+WeightSDS!Q$23*$AG914^6+WeightSDS!R$23*$AG914^5+WeightSDS!S$23*$AG914^4+WeightSDS!T$23*$AG914^3+WeightSDS!U$23*$AG914^2+WeightSDS!V$23*$AG914+WeightSDS!W$23,IF($AG914&lt;153,WeightSDS!M$25*$AG914^10+WeightSDS!N$25*$AG914^9+WeightSDS!O$25*$AG914^8+WeightSDS!P$25*$AG914^7+WeightSDS!Q$25*$AG914^6+WeightSDS!R$25*$AG914^5+WeightSDS!S$25*$AG914^4+WeightSDS!T$25*$AG914^3+WeightSDS!U$25*$AG914^2+WeightSDS!V$25*$AG914+WeightSDS!W$25,WeightSDS!M$27+WeightSDS!N$27/(1+EXP(WeightSDS!O$27+WeightSDS!P$27*$AG914)))),IF($AG914&lt;43.8,WeightSDS!M$29*$AG914^10+WeightSDS!N$29*$AG914^9+WeightSDS!O$29*$AG914^8+WeightSDS!P$29*$AG914^7+WeightSDS!Q$29*$AG914^6+WeightSDS!R$29*$AG914^5+WeightSDS!S$29*$AG914^4+WeightSDS!T$29*$AG914^3+WeightSDS!U$29*$AG914^2+WeightSDS!V$29*$AG914+WeightSDS!W$29-0.010431*(1-$AG914/210),IF($AG914&lt;123,WeightSDS!M$30*$AG914^10+WeightSDS!N$30*$AG914^9+WeightSDS!O$30*$AG914^8+WeightSDS!P$30*$AG914^7+WeightSDS!Q$30*$AG914^6+WeightSDS!R$30*$AG914^5+WeightSDS!S$30*$AG914^4+WeightSDS!T$30*$AG914^3+WeightSDS!U$30*$AG914^2+WeightSDS!V$30*$AG914+WeightSDS!W$30-0.010431*(1-1/$AG914),WeightSDS!M$32+WeightSDS!N$32/(1+EXP(WeightSDS!O$32+WeightSDS!P$32*$AG914))-0.010431*(1-$AG914/210))))</f>
        <v>2.9500001032655536</v>
      </c>
      <c r="AK914" s="24">
        <f>IF(D914="M",IF($AG914&lt;162,WeightSDS!P$12*$AG914^7+WeightSDS!Q$12*$AG914^6+WeightSDS!R$12*$AG914^5+WeightSDS!S$12*$AG914^4+WeightSDS!T$12*$AG914^3+WeightSDS!U$12*$AG914^2+WeightSDS!V$12*$AG914+WeightSDS!W$12,WeightSDS!P$14*$AG914^7+WeightSDS!Q$14*$AG914^6+WeightSDS!R$14*$AG914^5+WeightSDS!S$14*$AG914^4+WeightSDS!T$14*$AG914^3+WeightSDS!U$14*$AG914^2+WeightSDS!V$14*$AG914+WeightSDS!W$14),IF($AG914&lt;156,WeightSDS!O$17*$AG914^8+WeightSDS!P$17*$AG914^7+WeightSDS!Q$17*$AG914^6+WeightSDS!R$17*$AG914^5+WeightSDS!S$17*$AG914^4+WeightSDS!T$17*$AG914^3+WeightSDS!U$17*$AG914^2+WeightSDS!V$17*$AG914+WeightSDS!W$17,IF($AG914&lt;186,WeightSDS!$U$18+(WeightSDS!$V$18-WeightSDS!$U$18)/24*($AG914-186)+WeightSDS!$W$18*(-$AG914+186)^2-0.005,WeightSDS!$U$18+(WeightSDS!$V$18-WeightSDS!$U$18)/24*($AG914-186)-0.005)))</f>
        <v>0.14604529399999999</v>
      </c>
    </row>
    <row r="915" spans="1:37">
      <c r="A915" s="4"/>
      <c r="B915" s="21"/>
      <c r="C915" s="21"/>
      <c r="D915" s="21"/>
      <c r="E915" s="22"/>
      <c r="F915" s="22"/>
      <c r="G915" s="23"/>
      <c r="H915" s="23"/>
      <c r="I915" s="8" t="str">
        <f t="shared" si="226"/>
        <v/>
      </c>
      <c r="J915" s="2" t="str">
        <f t="shared" si="233"/>
        <v/>
      </c>
      <c r="K915" s="2" t="str">
        <f t="shared" si="227"/>
        <v/>
      </c>
      <c r="L915" s="2" t="str">
        <f t="shared" si="234"/>
        <v/>
      </c>
      <c r="M915" s="2" t="str">
        <f t="shared" si="239"/>
        <v/>
      </c>
      <c r="N915" s="2" t="str">
        <f t="shared" si="235"/>
        <v/>
      </c>
      <c r="O915" s="8" t="str">
        <f t="shared" si="236"/>
        <v/>
      </c>
      <c r="P915" s="8" t="str">
        <f t="shared" si="237"/>
        <v/>
      </c>
      <c r="Q915" s="40" t="str">
        <f t="shared" si="228"/>
        <v/>
      </c>
      <c r="R915" s="48" t="str">
        <f t="shared" si="238"/>
        <v/>
      </c>
      <c r="S915" s="8"/>
      <c r="U915" s="35">
        <f t="shared" si="229"/>
        <v>0</v>
      </c>
      <c r="V915" s="24">
        <f t="shared" si="230"/>
        <v>0</v>
      </c>
      <c r="W915" s="41">
        <f t="shared" si="225"/>
        <v>0</v>
      </c>
      <c r="X915" s="31"/>
      <c r="Y915" s="31"/>
      <c r="Z915" s="31"/>
      <c r="AA915" s="25">
        <f t="shared" si="231"/>
        <v>9.0359999999999996</v>
      </c>
      <c r="AB915" s="25">
        <f t="shared" si="232"/>
        <v>-184.49199999999999</v>
      </c>
      <c r="AD915" s="24">
        <f>IF(D915="M",IF(AG915&lt;78,BMILMS!$D$5*AG915^3+BMILMS!$E$5*AG915^2+BMILMS!$F$5*AG915+BMILMS!$G$5,IF(AG915&lt;150,BMILMS!$D$6*AG915^3+BMILMS!$E$6*AG915^2+BMILMS!$F$6*AG915+BMILMS!$G$6,BMILMS!$D$7*AG915^3+BMILMS!$E$7*AG915^2+BMILMS!$F$7*AG915+BMILMS!$G$7)),IF(AG915&lt;69,BMILMS!$D$9*AG915^3+BMILMS!$E$9*AG915^2+BMILMS!$F$9*AG915+BMILMS!$G$9,IF(AG915&lt;150,BMILMS!$D$10*AG915^3+BMILMS!$E$10*AG915^2+BMILMS!$F$10*AG915+BMILMS!$G$10,BMILMS!$D$11*AG915^3+BMILMS!$E$11*AG915^2+BMILMS!$F$11*AG915+BMILMS!$G$11)))</f>
        <v>0.79584630099999998</v>
      </c>
      <c r="AE915" s="24">
        <f>IF(D915="M",(IF(AG915&lt;2.5,BMILMS!$D$21*AG915^3+BMILMS!$E$21*AG915^2+BMILMS!$F$21*AG915+BMILMS!$G$21,IF(AG915&lt;9.5,BMILMS!$D$22*AG915^3+BMILMS!$E$22*AG915^2+BMILMS!$F$22*AG915+BMILMS!$G$22,IF(AG915&lt;26.75,BMILMS!$D$23*AG915^3+BMILMS!$E$23*AG915^2+BMILMS!$F$23*AG915+BMILMS!$G$23,IF(AG915&lt;90,BMILMS!$D$24*AG915^3+BMILMS!$E$24*AG915^2+BMILMS!$F$24*AG915+BMILMS!$G$24,BMILMS!$D$25*AG915^3+BMILMS!$E$25*AG915^2+BMILMS!$F$25*AG915+BMILMS!$G$25))))),(IF(AG915&lt;2.5,BMILMS!$D$27*AG915^3+BMILMS!$E$27*AG915^2+BMILMS!$F$27*AG915+BMILMS!$G$27,IF(AG915&lt;9.5,BMILMS!$D$28*AG915^3+BMILMS!$E$28*AG915^2+BMILMS!$F$28*AG915+BMILMS!$G$28,IF(AG915&lt;26.75,BMILMS!$D$29*AG915^3+BMILMS!$E$29*AG915^2+BMILMS!$F$29*AG915+BMILMS!$G$29,IF(AG915&lt;90,BMILMS!$D$30*AG915^3+BMILMS!$E$30*AG915^2+BMILMS!$F$30*AG915+BMILMS!$G$30,IF(AG915&lt;150,BMILMS!$D$31*AG915^3+BMILMS!$E$31*AG915^2+BMILMS!$F$31*AG915+BMILMS!$G$31,BMILMS!$D$32*AG915^3+BMILMS!$E$32*AG915^2+BMILMS!$F$32*AG915+BMILMS!$G$32)))))))</f>
        <v>12.568967990000001</v>
      </c>
      <c r="AF915" s="24">
        <f>IF(D915="M",(IF(AG915&lt;90,BMILMS!$D$14*AG915^3+BMILMS!$E$14*AG915^2+BMILMS!$F$14*AG915+BMILMS!$G$14,BMILMS!$D$15*AG915^3+BMILMS!$E$15*AG915^2+BMILMS!$F$15*AG915+BMILMS!$G$15)),(IF(AG915&lt;90,BMILMS!$D$17*AG915^3+BMILMS!$E$17*AG915^2+BMILMS!$F$17*AG915+BMILMS!$G$17,BMILMS!$D$18*AG915^3+BMILMS!$E$18*AG915^2+BMILMS!$F$18*AG915+BMILMS!$G$18)))</f>
        <v>8.8969350000000003E-2</v>
      </c>
      <c r="AG915" s="24">
        <f t="shared" si="240"/>
        <v>0</v>
      </c>
      <c r="AI915" s="38">
        <f>IF(D915="M",WeightSDS!P$5*$AG915^7+WeightSDS!Q$5*$AG915^6+WeightSDS!R$5*$AG915^5+WeightSDS!S$5*$AG915^4+WeightSDS!T$5*$AG915^3+WeightSDS!U$5*$AG915^2+WeightSDS!V$5*$AG915+WeightSDS!W$5,IF($AG915&lt;186,WeightSDS!P$8*$AG915^7+WeightSDS!Q$8*$AG915^6+WeightSDS!R$8*$AG915^5+WeightSDS!S$8*$AG915^4+WeightSDS!T$8*$AG915^3+WeightSDS!U$8*$AG915^2+WeightSDS!V$8*$AG915+WeightSDS!W$8,WeightSDS!$U$9-WeightSDS!$V$9*($AG915-WeightSDS!$W$9)))</f>
        <v>0.75407122999999998</v>
      </c>
      <c r="AJ915" s="24">
        <f>IF(D915="M",IF($AG915&lt;45,WeightSDS!M$23*$AG915^10+WeightSDS!N$23*$AG915^9+WeightSDS!O$23*$AG915^8+WeightSDS!P$23*$AG915^7+WeightSDS!Q$23*$AG915^6+WeightSDS!R$23*$AG915^5+WeightSDS!S$23*$AG915^4+WeightSDS!T$23*$AG915^3+WeightSDS!U$23*$AG915^2+WeightSDS!V$23*$AG915+WeightSDS!W$23,IF($AG915&lt;153,WeightSDS!M$25*$AG915^10+WeightSDS!N$25*$AG915^9+WeightSDS!O$25*$AG915^8+WeightSDS!P$25*$AG915^7+WeightSDS!Q$25*$AG915^6+WeightSDS!R$25*$AG915^5+WeightSDS!S$25*$AG915^4+WeightSDS!T$25*$AG915^3+WeightSDS!U$25*$AG915^2+WeightSDS!V$25*$AG915+WeightSDS!W$25,WeightSDS!M$27+WeightSDS!N$27/(1+EXP(WeightSDS!O$27+WeightSDS!P$27*$AG915)))),IF($AG915&lt;43.8,WeightSDS!M$29*$AG915^10+WeightSDS!N$29*$AG915^9+WeightSDS!O$29*$AG915^8+WeightSDS!P$29*$AG915^7+WeightSDS!Q$29*$AG915^6+WeightSDS!R$29*$AG915^5+WeightSDS!S$29*$AG915^4+WeightSDS!T$29*$AG915^3+WeightSDS!U$29*$AG915^2+WeightSDS!V$29*$AG915+WeightSDS!W$29-0.010431*(1-$AG915/210),IF($AG915&lt;123,WeightSDS!M$30*$AG915^10+WeightSDS!N$30*$AG915^9+WeightSDS!O$30*$AG915^8+WeightSDS!P$30*$AG915^7+WeightSDS!Q$30*$AG915^6+WeightSDS!R$30*$AG915^5+WeightSDS!S$30*$AG915^4+WeightSDS!T$30*$AG915^3+WeightSDS!U$30*$AG915^2+WeightSDS!V$30*$AG915+WeightSDS!W$30-0.010431*(1-1/$AG915),WeightSDS!M$32+WeightSDS!N$32/(1+EXP(WeightSDS!O$32+WeightSDS!P$32*$AG915))-0.010431*(1-$AG915/210))))</f>
        <v>2.9500001032655536</v>
      </c>
      <c r="AK915" s="24">
        <f>IF(D915="M",IF($AG915&lt;162,WeightSDS!P$12*$AG915^7+WeightSDS!Q$12*$AG915^6+WeightSDS!R$12*$AG915^5+WeightSDS!S$12*$AG915^4+WeightSDS!T$12*$AG915^3+WeightSDS!U$12*$AG915^2+WeightSDS!V$12*$AG915+WeightSDS!W$12,WeightSDS!P$14*$AG915^7+WeightSDS!Q$14*$AG915^6+WeightSDS!R$14*$AG915^5+WeightSDS!S$14*$AG915^4+WeightSDS!T$14*$AG915^3+WeightSDS!U$14*$AG915^2+WeightSDS!V$14*$AG915+WeightSDS!W$14),IF($AG915&lt;156,WeightSDS!O$17*$AG915^8+WeightSDS!P$17*$AG915^7+WeightSDS!Q$17*$AG915^6+WeightSDS!R$17*$AG915^5+WeightSDS!S$17*$AG915^4+WeightSDS!T$17*$AG915^3+WeightSDS!U$17*$AG915^2+WeightSDS!V$17*$AG915+WeightSDS!W$17,IF($AG915&lt;186,WeightSDS!$U$18+(WeightSDS!$V$18-WeightSDS!$U$18)/24*($AG915-186)+WeightSDS!$W$18*(-$AG915+186)^2-0.005,WeightSDS!$U$18+(WeightSDS!$V$18-WeightSDS!$U$18)/24*($AG915-186)-0.005)))</f>
        <v>0.14604529399999999</v>
      </c>
    </row>
    <row r="916" spans="1:37">
      <c r="A916" s="4"/>
      <c r="B916" s="21"/>
      <c r="C916" s="21"/>
      <c r="D916" s="21"/>
      <c r="E916" s="22"/>
      <c r="F916" s="22"/>
      <c r="G916" s="23"/>
      <c r="H916" s="23"/>
      <c r="I916" s="8" t="str">
        <f t="shared" si="226"/>
        <v/>
      </c>
      <c r="J916" s="2" t="str">
        <f t="shared" si="233"/>
        <v/>
      </c>
      <c r="K916" s="2" t="str">
        <f t="shared" si="227"/>
        <v/>
      </c>
      <c r="L916" s="2" t="str">
        <f t="shared" si="234"/>
        <v/>
      </c>
      <c r="M916" s="2" t="str">
        <f t="shared" si="239"/>
        <v/>
      </c>
      <c r="N916" s="2" t="str">
        <f t="shared" si="235"/>
        <v/>
      </c>
      <c r="O916" s="8" t="str">
        <f t="shared" si="236"/>
        <v/>
      </c>
      <c r="P916" s="8" t="str">
        <f t="shared" si="237"/>
        <v/>
      </c>
      <c r="Q916" s="40" t="str">
        <f t="shared" si="228"/>
        <v/>
      </c>
      <c r="R916" s="48" t="str">
        <f t="shared" si="238"/>
        <v/>
      </c>
      <c r="S916" s="8"/>
      <c r="U916" s="35">
        <f t="shared" si="229"/>
        <v>0</v>
      </c>
      <c r="V916" s="24">
        <f t="shared" si="230"/>
        <v>0</v>
      </c>
      <c r="W916" s="41">
        <f t="shared" si="225"/>
        <v>0</v>
      </c>
      <c r="X916" s="31"/>
      <c r="Y916" s="31"/>
      <c r="Z916" s="31"/>
      <c r="AA916" s="25">
        <f t="shared" si="231"/>
        <v>9.0359999999999996</v>
      </c>
      <c r="AB916" s="25">
        <f t="shared" si="232"/>
        <v>-184.49199999999999</v>
      </c>
      <c r="AD916" s="24">
        <f>IF(D916="M",IF(AG916&lt;78,BMILMS!$D$5*AG916^3+BMILMS!$E$5*AG916^2+BMILMS!$F$5*AG916+BMILMS!$G$5,IF(AG916&lt;150,BMILMS!$D$6*AG916^3+BMILMS!$E$6*AG916^2+BMILMS!$F$6*AG916+BMILMS!$G$6,BMILMS!$D$7*AG916^3+BMILMS!$E$7*AG916^2+BMILMS!$F$7*AG916+BMILMS!$G$7)),IF(AG916&lt;69,BMILMS!$D$9*AG916^3+BMILMS!$E$9*AG916^2+BMILMS!$F$9*AG916+BMILMS!$G$9,IF(AG916&lt;150,BMILMS!$D$10*AG916^3+BMILMS!$E$10*AG916^2+BMILMS!$F$10*AG916+BMILMS!$G$10,BMILMS!$D$11*AG916^3+BMILMS!$E$11*AG916^2+BMILMS!$F$11*AG916+BMILMS!$G$11)))</f>
        <v>0.79584630099999998</v>
      </c>
      <c r="AE916" s="24">
        <f>IF(D916="M",(IF(AG916&lt;2.5,BMILMS!$D$21*AG916^3+BMILMS!$E$21*AG916^2+BMILMS!$F$21*AG916+BMILMS!$G$21,IF(AG916&lt;9.5,BMILMS!$D$22*AG916^3+BMILMS!$E$22*AG916^2+BMILMS!$F$22*AG916+BMILMS!$G$22,IF(AG916&lt;26.75,BMILMS!$D$23*AG916^3+BMILMS!$E$23*AG916^2+BMILMS!$F$23*AG916+BMILMS!$G$23,IF(AG916&lt;90,BMILMS!$D$24*AG916^3+BMILMS!$E$24*AG916^2+BMILMS!$F$24*AG916+BMILMS!$G$24,BMILMS!$D$25*AG916^3+BMILMS!$E$25*AG916^2+BMILMS!$F$25*AG916+BMILMS!$G$25))))),(IF(AG916&lt;2.5,BMILMS!$D$27*AG916^3+BMILMS!$E$27*AG916^2+BMILMS!$F$27*AG916+BMILMS!$G$27,IF(AG916&lt;9.5,BMILMS!$D$28*AG916^3+BMILMS!$E$28*AG916^2+BMILMS!$F$28*AG916+BMILMS!$G$28,IF(AG916&lt;26.75,BMILMS!$D$29*AG916^3+BMILMS!$E$29*AG916^2+BMILMS!$F$29*AG916+BMILMS!$G$29,IF(AG916&lt;90,BMILMS!$D$30*AG916^3+BMILMS!$E$30*AG916^2+BMILMS!$F$30*AG916+BMILMS!$G$30,IF(AG916&lt;150,BMILMS!$D$31*AG916^3+BMILMS!$E$31*AG916^2+BMILMS!$F$31*AG916+BMILMS!$G$31,BMILMS!$D$32*AG916^3+BMILMS!$E$32*AG916^2+BMILMS!$F$32*AG916+BMILMS!$G$32)))))))</f>
        <v>12.568967990000001</v>
      </c>
      <c r="AF916" s="24">
        <f>IF(D916="M",(IF(AG916&lt;90,BMILMS!$D$14*AG916^3+BMILMS!$E$14*AG916^2+BMILMS!$F$14*AG916+BMILMS!$G$14,BMILMS!$D$15*AG916^3+BMILMS!$E$15*AG916^2+BMILMS!$F$15*AG916+BMILMS!$G$15)),(IF(AG916&lt;90,BMILMS!$D$17*AG916^3+BMILMS!$E$17*AG916^2+BMILMS!$F$17*AG916+BMILMS!$G$17,BMILMS!$D$18*AG916^3+BMILMS!$E$18*AG916^2+BMILMS!$F$18*AG916+BMILMS!$G$18)))</f>
        <v>8.8969350000000003E-2</v>
      </c>
      <c r="AG916" s="24">
        <f t="shared" si="240"/>
        <v>0</v>
      </c>
      <c r="AI916" s="38">
        <f>IF(D916="M",WeightSDS!P$5*$AG916^7+WeightSDS!Q$5*$AG916^6+WeightSDS!R$5*$AG916^5+WeightSDS!S$5*$AG916^4+WeightSDS!T$5*$AG916^3+WeightSDS!U$5*$AG916^2+WeightSDS!V$5*$AG916+WeightSDS!W$5,IF($AG916&lt;186,WeightSDS!P$8*$AG916^7+WeightSDS!Q$8*$AG916^6+WeightSDS!R$8*$AG916^5+WeightSDS!S$8*$AG916^4+WeightSDS!T$8*$AG916^3+WeightSDS!U$8*$AG916^2+WeightSDS!V$8*$AG916+WeightSDS!W$8,WeightSDS!$U$9-WeightSDS!$V$9*($AG916-WeightSDS!$W$9)))</f>
        <v>0.75407122999999998</v>
      </c>
      <c r="AJ916" s="24">
        <f>IF(D916="M",IF($AG916&lt;45,WeightSDS!M$23*$AG916^10+WeightSDS!N$23*$AG916^9+WeightSDS!O$23*$AG916^8+WeightSDS!P$23*$AG916^7+WeightSDS!Q$23*$AG916^6+WeightSDS!R$23*$AG916^5+WeightSDS!S$23*$AG916^4+WeightSDS!T$23*$AG916^3+WeightSDS!U$23*$AG916^2+WeightSDS!V$23*$AG916+WeightSDS!W$23,IF($AG916&lt;153,WeightSDS!M$25*$AG916^10+WeightSDS!N$25*$AG916^9+WeightSDS!O$25*$AG916^8+WeightSDS!P$25*$AG916^7+WeightSDS!Q$25*$AG916^6+WeightSDS!R$25*$AG916^5+WeightSDS!S$25*$AG916^4+WeightSDS!T$25*$AG916^3+WeightSDS!U$25*$AG916^2+WeightSDS!V$25*$AG916+WeightSDS!W$25,WeightSDS!M$27+WeightSDS!N$27/(1+EXP(WeightSDS!O$27+WeightSDS!P$27*$AG916)))),IF($AG916&lt;43.8,WeightSDS!M$29*$AG916^10+WeightSDS!N$29*$AG916^9+WeightSDS!O$29*$AG916^8+WeightSDS!P$29*$AG916^7+WeightSDS!Q$29*$AG916^6+WeightSDS!R$29*$AG916^5+WeightSDS!S$29*$AG916^4+WeightSDS!T$29*$AG916^3+WeightSDS!U$29*$AG916^2+WeightSDS!V$29*$AG916+WeightSDS!W$29-0.010431*(1-$AG916/210),IF($AG916&lt;123,WeightSDS!M$30*$AG916^10+WeightSDS!N$30*$AG916^9+WeightSDS!O$30*$AG916^8+WeightSDS!P$30*$AG916^7+WeightSDS!Q$30*$AG916^6+WeightSDS!R$30*$AG916^5+WeightSDS!S$30*$AG916^4+WeightSDS!T$30*$AG916^3+WeightSDS!U$30*$AG916^2+WeightSDS!V$30*$AG916+WeightSDS!W$30-0.010431*(1-1/$AG916),WeightSDS!M$32+WeightSDS!N$32/(1+EXP(WeightSDS!O$32+WeightSDS!P$32*$AG916))-0.010431*(1-$AG916/210))))</f>
        <v>2.9500001032655536</v>
      </c>
      <c r="AK916" s="24">
        <f>IF(D916="M",IF($AG916&lt;162,WeightSDS!P$12*$AG916^7+WeightSDS!Q$12*$AG916^6+WeightSDS!R$12*$AG916^5+WeightSDS!S$12*$AG916^4+WeightSDS!T$12*$AG916^3+WeightSDS!U$12*$AG916^2+WeightSDS!V$12*$AG916+WeightSDS!W$12,WeightSDS!P$14*$AG916^7+WeightSDS!Q$14*$AG916^6+WeightSDS!R$14*$AG916^5+WeightSDS!S$14*$AG916^4+WeightSDS!T$14*$AG916^3+WeightSDS!U$14*$AG916^2+WeightSDS!V$14*$AG916+WeightSDS!W$14),IF($AG916&lt;156,WeightSDS!O$17*$AG916^8+WeightSDS!P$17*$AG916^7+WeightSDS!Q$17*$AG916^6+WeightSDS!R$17*$AG916^5+WeightSDS!S$17*$AG916^4+WeightSDS!T$17*$AG916^3+WeightSDS!U$17*$AG916^2+WeightSDS!V$17*$AG916+WeightSDS!W$17,IF($AG916&lt;186,WeightSDS!$U$18+(WeightSDS!$V$18-WeightSDS!$U$18)/24*($AG916-186)+WeightSDS!$W$18*(-$AG916+186)^2-0.005,WeightSDS!$U$18+(WeightSDS!$V$18-WeightSDS!$U$18)/24*($AG916-186)-0.005)))</f>
        <v>0.14604529399999999</v>
      </c>
    </row>
    <row r="917" spans="1:37">
      <c r="A917" s="4"/>
      <c r="B917" s="21"/>
      <c r="C917" s="21"/>
      <c r="D917" s="21"/>
      <c r="E917" s="22"/>
      <c r="F917" s="22"/>
      <c r="G917" s="23"/>
      <c r="H917" s="23"/>
      <c r="I917" s="8" t="str">
        <f t="shared" si="226"/>
        <v/>
      </c>
      <c r="J917" s="2" t="str">
        <f t="shared" si="233"/>
        <v/>
      </c>
      <c r="K917" s="2" t="str">
        <f t="shared" si="227"/>
        <v/>
      </c>
      <c r="L917" s="2" t="str">
        <f t="shared" si="234"/>
        <v/>
      </c>
      <c r="M917" s="2" t="str">
        <f t="shared" si="239"/>
        <v/>
      </c>
      <c r="N917" s="2" t="str">
        <f t="shared" si="235"/>
        <v/>
      </c>
      <c r="O917" s="8" t="str">
        <f t="shared" si="236"/>
        <v/>
      </c>
      <c r="P917" s="8" t="str">
        <f t="shared" si="237"/>
        <v/>
      </c>
      <c r="Q917" s="40" t="str">
        <f t="shared" si="228"/>
        <v/>
      </c>
      <c r="R917" s="48" t="str">
        <f t="shared" si="238"/>
        <v/>
      </c>
      <c r="S917" s="8"/>
      <c r="U917" s="35">
        <f t="shared" si="229"/>
        <v>0</v>
      </c>
      <c r="V917" s="24">
        <f t="shared" si="230"/>
        <v>0</v>
      </c>
      <c r="W917" s="41">
        <f t="shared" si="225"/>
        <v>0</v>
      </c>
      <c r="X917" s="31"/>
      <c r="Y917" s="31"/>
      <c r="Z917" s="31"/>
      <c r="AA917" s="25">
        <f t="shared" si="231"/>
        <v>9.0359999999999996</v>
      </c>
      <c r="AB917" s="25">
        <f t="shared" si="232"/>
        <v>-184.49199999999999</v>
      </c>
      <c r="AD917" s="24">
        <f>IF(D917="M",IF(AG917&lt;78,BMILMS!$D$5*AG917^3+BMILMS!$E$5*AG917^2+BMILMS!$F$5*AG917+BMILMS!$G$5,IF(AG917&lt;150,BMILMS!$D$6*AG917^3+BMILMS!$E$6*AG917^2+BMILMS!$F$6*AG917+BMILMS!$G$6,BMILMS!$D$7*AG917^3+BMILMS!$E$7*AG917^2+BMILMS!$F$7*AG917+BMILMS!$G$7)),IF(AG917&lt;69,BMILMS!$D$9*AG917^3+BMILMS!$E$9*AG917^2+BMILMS!$F$9*AG917+BMILMS!$G$9,IF(AG917&lt;150,BMILMS!$D$10*AG917^3+BMILMS!$E$10*AG917^2+BMILMS!$F$10*AG917+BMILMS!$G$10,BMILMS!$D$11*AG917^3+BMILMS!$E$11*AG917^2+BMILMS!$F$11*AG917+BMILMS!$G$11)))</f>
        <v>0.79584630099999998</v>
      </c>
      <c r="AE917" s="24">
        <f>IF(D917="M",(IF(AG917&lt;2.5,BMILMS!$D$21*AG917^3+BMILMS!$E$21*AG917^2+BMILMS!$F$21*AG917+BMILMS!$G$21,IF(AG917&lt;9.5,BMILMS!$D$22*AG917^3+BMILMS!$E$22*AG917^2+BMILMS!$F$22*AG917+BMILMS!$G$22,IF(AG917&lt;26.75,BMILMS!$D$23*AG917^3+BMILMS!$E$23*AG917^2+BMILMS!$F$23*AG917+BMILMS!$G$23,IF(AG917&lt;90,BMILMS!$D$24*AG917^3+BMILMS!$E$24*AG917^2+BMILMS!$F$24*AG917+BMILMS!$G$24,BMILMS!$D$25*AG917^3+BMILMS!$E$25*AG917^2+BMILMS!$F$25*AG917+BMILMS!$G$25))))),(IF(AG917&lt;2.5,BMILMS!$D$27*AG917^3+BMILMS!$E$27*AG917^2+BMILMS!$F$27*AG917+BMILMS!$G$27,IF(AG917&lt;9.5,BMILMS!$D$28*AG917^3+BMILMS!$E$28*AG917^2+BMILMS!$F$28*AG917+BMILMS!$G$28,IF(AG917&lt;26.75,BMILMS!$D$29*AG917^3+BMILMS!$E$29*AG917^2+BMILMS!$F$29*AG917+BMILMS!$G$29,IF(AG917&lt;90,BMILMS!$D$30*AG917^3+BMILMS!$E$30*AG917^2+BMILMS!$F$30*AG917+BMILMS!$G$30,IF(AG917&lt;150,BMILMS!$D$31*AG917^3+BMILMS!$E$31*AG917^2+BMILMS!$F$31*AG917+BMILMS!$G$31,BMILMS!$D$32*AG917^3+BMILMS!$E$32*AG917^2+BMILMS!$F$32*AG917+BMILMS!$G$32)))))))</f>
        <v>12.568967990000001</v>
      </c>
      <c r="AF917" s="24">
        <f>IF(D917="M",(IF(AG917&lt;90,BMILMS!$D$14*AG917^3+BMILMS!$E$14*AG917^2+BMILMS!$F$14*AG917+BMILMS!$G$14,BMILMS!$D$15*AG917^3+BMILMS!$E$15*AG917^2+BMILMS!$F$15*AG917+BMILMS!$G$15)),(IF(AG917&lt;90,BMILMS!$D$17*AG917^3+BMILMS!$E$17*AG917^2+BMILMS!$F$17*AG917+BMILMS!$G$17,BMILMS!$D$18*AG917^3+BMILMS!$E$18*AG917^2+BMILMS!$F$18*AG917+BMILMS!$G$18)))</f>
        <v>8.8969350000000003E-2</v>
      </c>
      <c r="AG917" s="24">
        <f t="shared" si="240"/>
        <v>0</v>
      </c>
      <c r="AI917" s="38">
        <f>IF(D917="M",WeightSDS!P$5*$AG917^7+WeightSDS!Q$5*$AG917^6+WeightSDS!R$5*$AG917^5+WeightSDS!S$5*$AG917^4+WeightSDS!T$5*$AG917^3+WeightSDS!U$5*$AG917^2+WeightSDS!V$5*$AG917+WeightSDS!W$5,IF($AG917&lt;186,WeightSDS!P$8*$AG917^7+WeightSDS!Q$8*$AG917^6+WeightSDS!R$8*$AG917^5+WeightSDS!S$8*$AG917^4+WeightSDS!T$8*$AG917^3+WeightSDS!U$8*$AG917^2+WeightSDS!V$8*$AG917+WeightSDS!W$8,WeightSDS!$U$9-WeightSDS!$V$9*($AG917-WeightSDS!$W$9)))</f>
        <v>0.75407122999999998</v>
      </c>
      <c r="AJ917" s="24">
        <f>IF(D917="M",IF($AG917&lt;45,WeightSDS!M$23*$AG917^10+WeightSDS!N$23*$AG917^9+WeightSDS!O$23*$AG917^8+WeightSDS!P$23*$AG917^7+WeightSDS!Q$23*$AG917^6+WeightSDS!R$23*$AG917^5+WeightSDS!S$23*$AG917^4+WeightSDS!T$23*$AG917^3+WeightSDS!U$23*$AG917^2+WeightSDS!V$23*$AG917+WeightSDS!W$23,IF($AG917&lt;153,WeightSDS!M$25*$AG917^10+WeightSDS!N$25*$AG917^9+WeightSDS!O$25*$AG917^8+WeightSDS!P$25*$AG917^7+WeightSDS!Q$25*$AG917^6+WeightSDS!R$25*$AG917^5+WeightSDS!S$25*$AG917^4+WeightSDS!T$25*$AG917^3+WeightSDS!U$25*$AG917^2+WeightSDS!V$25*$AG917+WeightSDS!W$25,WeightSDS!M$27+WeightSDS!N$27/(1+EXP(WeightSDS!O$27+WeightSDS!P$27*$AG917)))),IF($AG917&lt;43.8,WeightSDS!M$29*$AG917^10+WeightSDS!N$29*$AG917^9+WeightSDS!O$29*$AG917^8+WeightSDS!P$29*$AG917^7+WeightSDS!Q$29*$AG917^6+WeightSDS!R$29*$AG917^5+WeightSDS!S$29*$AG917^4+WeightSDS!T$29*$AG917^3+WeightSDS!U$29*$AG917^2+WeightSDS!V$29*$AG917+WeightSDS!W$29-0.010431*(1-$AG917/210),IF($AG917&lt;123,WeightSDS!M$30*$AG917^10+WeightSDS!N$30*$AG917^9+WeightSDS!O$30*$AG917^8+WeightSDS!P$30*$AG917^7+WeightSDS!Q$30*$AG917^6+WeightSDS!R$30*$AG917^5+WeightSDS!S$30*$AG917^4+WeightSDS!T$30*$AG917^3+WeightSDS!U$30*$AG917^2+WeightSDS!V$30*$AG917+WeightSDS!W$30-0.010431*(1-1/$AG917),WeightSDS!M$32+WeightSDS!N$32/(1+EXP(WeightSDS!O$32+WeightSDS!P$32*$AG917))-0.010431*(1-$AG917/210))))</f>
        <v>2.9500001032655536</v>
      </c>
      <c r="AK917" s="24">
        <f>IF(D917="M",IF($AG917&lt;162,WeightSDS!P$12*$AG917^7+WeightSDS!Q$12*$AG917^6+WeightSDS!R$12*$AG917^5+WeightSDS!S$12*$AG917^4+WeightSDS!T$12*$AG917^3+WeightSDS!U$12*$AG917^2+WeightSDS!V$12*$AG917+WeightSDS!W$12,WeightSDS!P$14*$AG917^7+WeightSDS!Q$14*$AG917^6+WeightSDS!R$14*$AG917^5+WeightSDS!S$14*$AG917^4+WeightSDS!T$14*$AG917^3+WeightSDS!U$14*$AG917^2+WeightSDS!V$14*$AG917+WeightSDS!W$14),IF($AG917&lt;156,WeightSDS!O$17*$AG917^8+WeightSDS!P$17*$AG917^7+WeightSDS!Q$17*$AG917^6+WeightSDS!R$17*$AG917^5+WeightSDS!S$17*$AG917^4+WeightSDS!T$17*$AG917^3+WeightSDS!U$17*$AG917^2+WeightSDS!V$17*$AG917+WeightSDS!W$17,IF($AG917&lt;186,WeightSDS!$U$18+(WeightSDS!$V$18-WeightSDS!$U$18)/24*($AG917-186)+WeightSDS!$W$18*(-$AG917+186)^2-0.005,WeightSDS!$U$18+(WeightSDS!$V$18-WeightSDS!$U$18)/24*($AG917-186)-0.005)))</f>
        <v>0.14604529399999999</v>
      </c>
    </row>
    <row r="918" spans="1:37">
      <c r="A918" s="4"/>
      <c r="B918" s="21"/>
      <c r="C918" s="21"/>
      <c r="D918" s="21"/>
      <c r="E918" s="22"/>
      <c r="F918" s="22"/>
      <c r="G918" s="23"/>
      <c r="H918" s="23"/>
      <c r="I918" s="8" t="str">
        <f t="shared" si="226"/>
        <v/>
      </c>
      <c r="J918" s="2" t="str">
        <f t="shared" si="233"/>
        <v/>
      </c>
      <c r="K918" s="2" t="str">
        <f t="shared" si="227"/>
        <v/>
      </c>
      <c r="L918" s="2" t="str">
        <f t="shared" si="234"/>
        <v/>
      </c>
      <c r="M918" s="2" t="str">
        <f t="shared" si="239"/>
        <v/>
      </c>
      <c r="N918" s="2" t="str">
        <f t="shared" si="235"/>
        <v/>
      </c>
      <c r="O918" s="8" t="str">
        <f t="shared" si="236"/>
        <v/>
      </c>
      <c r="P918" s="8" t="str">
        <f t="shared" si="237"/>
        <v/>
      </c>
      <c r="Q918" s="40" t="str">
        <f t="shared" si="228"/>
        <v/>
      </c>
      <c r="R918" s="48" t="str">
        <f t="shared" si="238"/>
        <v/>
      </c>
      <c r="S918" s="8"/>
      <c r="U918" s="35">
        <f t="shared" si="229"/>
        <v>0</v>
      </c>
      <c r="V918" s="24">
        <f t="shared" si="230"/>
        <v>0</v>
      </c>
      <c r="W918" s="41">
        <f t="shared" si="225"/>
        <v>0</v>
      </c>
      <c r="X918" s="31"/>
      <c r="Y918" s="31"/>
      <c r="Z918" s="31"/>
      <c r="AA918" s="25">
        <f t="shared" si="231"/>
        <v>9.0359999999999996</v>
      </c>
      <c r="AB918" s="25">
        <f t="shared" si="232"/>
        <v>-184.49199999999999</v>
      </c>
      <c r="AD918" s="24">
        <f>IF(D918="M",IF(AG918&lt;78,BMILMS!$D$5*AG918^3+BMILMS!$E$5*AG918^2+BMILMS!$F$5*AG918+BMILMS!$G$5,IF(AG918&lt;150,BMILMS!$D$6*AG918^3+BMILMS!$E$6*AG918^2+BMILMS!$F$6*AG918+BMILMS!$G$6,BMILMS!$D$7*AG918^3+BMILMS!$E$7*AG918^2+BMILMS!$F$7*AG918+BMILMS!$G$7)),IF(AG918&lt;69,BMILMS!$D$9*AG918^3+BMILMS!$E$9*AG918^2+BMILMS!$F$9*AG918+BMILMS!$G$9,IF(AG918&lt;150,BMILMS!$D$10*AG918^3+BMILMS!$E$10*AG918^2+BMILMS!$F$10*AG918+BMILMS!$G$10,BMILMS!$D$11*AG918^3+BMILMS!$E$11*AG918^2+BMILMS!$F$11*AG918+BMILMS!$G$11)))</f>
        <v>0.79584630099999998</v>
      </c>
      <c r="AE918" s="24">
        <f>IF(D918="M",(IF(AG918&lt;2.5,BMILMS!$D$21*AG918^3+BMILMS!$E$21*AG918^2+BMILMS!$F$21*AG918+BMILMS!$G$21,IF(AG918&lt;9.5,BMILMS!$D$22*AG918^3+BMILMS!$E$22*AG918^2+BMILMS!$F$22*AG918+BMILMS!$G$22,IF(AG918&lt;26.75,BMILMS!$D$23*AG918^3+BMILMS!$E$23*AG918^2+BMILMS!$F$23*AG918+BMILMS!$G$23,IF(AG918&lt;90,BMILMS!$D$24*AG918^3+BMILMS!$E$24*AG918^2+BMILMS!$F$24*AG918+BMILMS!$G$24,BMILMS!$D$25*AG918^3+BMILMS!$E$25*AG918^2+BMILMS!$F$25*AG918+BMILMS!$G$25))))),(IF(AG918&lt;2.5,BMILMS!$D$27*AG918^3+BMILMS!$E$27*AG918^2+BMILMS!$F$27*AG918+BMILMS!$G$27,IF(AG918&lt;9.5,BMILMS!$D$28*AG918^3+BMILMS!$E$28*AG918^2+BMILMS!$F$28*AG918+BMILMS!$G$28,IF(AG918&lt;26.75,BMILMS!$D$29*AG918^3+BMILMS!$E$29*AG918^2+BMILMS!$F$29*AG918+BMILMS!$G$29,IF(AG918&lt;90,BMILMS!$D$30*AG918^3+BMILMS!$E$30*AG918^2+BMILMS!$F$30*AG918+BMILMS!$G$30,IF(AG918&lt;150,BMILMS!$D$31*AG918^3+BMILMS!$E$31*AG918^2+BMILMS!$F$31*AG918+BMILMS!$G$31,BMILMS!$D$32*AG918^3+BMILMS!$E$32*AG918^2+BMILMS!$F$32*AG918+BMILMS!$G$32)))))))</f>
        <v>12.568967990000001</v>
      </c>
      <c r="AF918" s="24">
        <f>IF(D918="M",(IF(AG918&lt;90,BMILMS!$D$14*AG918^3+BMILMS!$E$14*AG918^2+BMILMS!$F$14*AG918+BMILMS!$G$14,BMILMS!$D$15*AG918^3+BMILMS!$E$15*AG918^2+BMILMS!$F$15*AG918+BMILMS!$G$15)),(IF(AG918&lt;90,BMILMS!$D$17*AG918^3+BMILMS!$E$17*AG918^2+BMILMS!$F$17*AG918+BMILMS!$G$17,BMILMS!$D$18*AG918^3+BMILMS!$E$18*AG918^2+BMILMS!$F$18*AG918+BMILMS!$G$18)))</f>
        <v>8.8969350000000003E-2</v>
      </c>
      <c r="AG918" s="24">
        <f t="shared" si="240"/>
        <v>0</v>
      </c>
      <c r="AI918" s="38">
        <f>IF(D918="M",WeightSDS!P$5*$AG918^7+WeightSDS!Q$5*$AG918^6+WeightSDS!R$5*$AG918^5+WeightSDS!S$5*$AG918^4+WeightSDS!T$5*$AG918^3+WeightSDS!U$5*$AG918^2+WeightSDS!V$5*$AG918+WeightSDS!W$5,IF($AG918&lt;186,WeightSDS!P$8*$AG918^7+WeightSDS!Q$8*$AG918^6+WeightSDS!R$8*$AG918^5+WeightSDS!S$8*$AG918^4+WeightSDS!T$8*$AG918^3+WeightSDS!U$8*$AG918^2+WeightSDS!V$8*$AG918+WeightSDS!W$8,WeightSDS!$U$9-WeightSDS!$V$9*($AG918-WeightSDS!$W$9)))</f>
        <v>0.75407122999999998</v>
      </c>
      <c r="AJ918" s="24">
        <f>IF(D918="M",IF($AG918&lt;45,WeightSDS!M$23*$AG918^10+WeightSDS!N$23*$AG918^9+WeightSDS!O$23*$AG918^8+WeightSDS!P$23*$AG918^7+WeightSDS!Q$23*$AG918^6+WeightSDS!R$23*$AG918^5+WeightSDS!S$23*$AG918^4+WeightSDS!T$23*$AG918^3+WeightSDS!U$23*$AG918^2+WeightSDS!V$23*$AG918+WeightSDS!W$23,IF($AG918&lt;153,WeightSDS!M$25*$AG918^10+WeightSDS!N$25*$AG918^9+WeightSDS!O$25*$AG918^8+WeightSDS!P$25*$AG918^7+WeightSDS!Q$25*$AG918^6+WeightSDS!R$25*$AG918^5+WeightSDS!S$25*$AG918^4+WeightSDS!T$25*$AG918^3+WeightSDS!U$25*$AG918^2+WeightSDS!V$25*$AG918+WeightSDS!W$25,WeightSDS!M$27+WeightSDS!N$27/(1+EXP(WeightSDS!O$27+WeightSDS!P$27*$AG918)))),IF($AG918&lt;43.8,WeightSDS!M$29*$AG918^10+WeightSDS!N$29*$AG918^9+WeightSDS!O$29*$AG918^8+WeightSDS!P$29*$AG918^7+WeightSDS!Q$29*$AG918^6+WeightSDS!R$29*$AG918^5+WeightSDS!S$29*$AG918^4+WeightSDS!T$29*$AG918^3+WeightSDS!U$29*$AG918^2+WeightSDS!V$29*$AG918+WeightSDS!W$29-0.010431*(1-$AG918/210),IF($AG918&lt;123,WeightSDS!M$30*$AG918^10+WeightSDS!N$30*$AG918^9+WeightSDS!O$30*$AG918^8+WeightSDS!P$30*$AG918^7+WeightSDS!Q$30*$AG918^6+WeightSDS!R$30*$AG918^5+WeightSDS!S$30*$AG918^4+WeightSDS!T$30*$AG918^3+WeightSDS!U$30*$AG918^2+WeightSDS!V$30*$AG918+WeightSDS!W$30-0.010431*(1-1/$AG918),WeightSDS!M$32+WeightSDS!N$32/(1+EXP(WeightSDS!O$32+WeightSDS!P$32*$AG918))-0.010431*(1-$AG918/210))))</f>
        <v>2.9500001032655536</v>
      </c>
      <c r="AK918" s="24">
        <f>IF(D918="M",IF($AG918&lt;162,WeightSDS!P$12*$AG918^7+WeightSDS!Q$12*$AG918^6+WeightSDS!R$12*$AG918^5+WeightSDS!S$12*$AG918^4+WeightSDS!T$12*$AG918^3+WeightSDS!U$12*$AG918^2+WeightSDS!V$12*$AG918+WeightSDS!W$12,WeightSDS!P$14*$AG918^7+WeightSDS!Q$14*$AG918^6+WeightSDS!R$14*$AG918^5+WeightSDS!S$14*$AG918^4+WeightSDS!T$14*$AG918^3+WeightSDS!U$14*$AG918^2+WeightSDS!V$14*$AG918+WeightSDS!W$14),IF($AG918&lt;156,WeightSDS!O$17*$AG918^8+WeightSDS!P$17*$AG918^7+WeightSDS!Q$17*$AG918^6+WeightSDS!R$17*$AG918^5+WeightSDS!S$17*$AG918^4+WeightSDS!T$17*$AG918^3+WeightSDS!U$17*$AG918^2+WeightSDS!V$17*$AG918+WeightSDS!W$17,IF($AG918&lt;186,WeightSDS!$U$18+(WeightSDS!$V$18-WeightSDS!$U$18)/24*($AG918-186)+WeightSDS!$W$18*(-$AG918+186)^2-0.005,WeightSDS!$U$18+(WeightSDS!$V$18-WeightSDS!$U$18)/24*($AG918-186)-0.005)))</f>
        <v>0.14604529399999999</v>
      </c>
    </row>
    <row r="919" spans="1:37">
      <c r="A919" s="4"/>
      <c r="B919" s="21"/>
      <c r="C919" s="21"/>
      <c r="D919" s="21"/>
      <c r="E919" s="22"/>
      <c r="F919" s="22"/>
      <c r="G919" s="23"/>
      <c r="H919" s="23"/>
      <c r="I919" s="8" t="str">
        <f t="shared" si="226"/>
        <v/>
      </c>
      <c r="J919" s="2" t="str">
        <f t="shared" si="233"/>
        <v/>
      </c>
      <c r="K919" s="2" t="str">
        <f t="shared" si="227"/>
        <v/>
      </c>
      <c r="L919" s="2" t="str">
        <f t="shared" si="234"/>
        <v/>
      </c>
      <c r="M919" s="2" t="str">
        <f t="shared" si="239"/>
        <v/>
      </c>
      <c r="N919" s="2" t="str">
        <f t="shared" si="235"/>
        <v/>
      </c>
      <c r="O919" s="8" t="str">
        <f t="shared" si="236"/>
        <v/>
      </c>
      <c r="P919" s="8" t="str">
        <f t="shared" si="237"/>
        <v/>
      </c>
      <c r="Q919" s="40" t="str">
        <f t="shared" si="228"/>
        <v/>
      </c>
      <c r="R919" s="48" t="str">
        <f t="shared" si="238"/>
        <v/>
      </c>
      <c r="S919" s="8"/>
      <c r="U919" s="35">
        <f t="shared" si="229"/>
        <v>0</v>
      </c>
      <c r="V919" s="24">
        <f t="shared" si="230"/>
        <v>0</v>
      </c>
      <c r="W919" s="41">
        <f t="shared" si="225"/>
        <v>0</v>
      </c>
      <c r="X919" s="31"/>
      <c r="Y919" s="31"/>
      <c r="Z919" s="31"/>
      <c r="AA919" s="25">
        <f t="shared" si="231"/>
        <v>9.0359999999999996</v>
      </c>
      <c r="AB919" s="25">
        <f t="shared" si="232"/>
        <v>-184.49199999999999</v>
      </c>
      <c r="AD919" s="24">
        <f>IF(D919="M",IF(AG919&lt;78,BMILMS!$D$5*AG919^3+BMILMS!$E$5*AG919^2+BMILMS!$F$5*AG919+BMILMS!$G$5,IF(AG919&lt;150,BMILMS!$D$6*AG919^3+BMILMS!$E$6*AG919^2+BMILMS!$F$6*AG919+BMILMS!$G$6,BMILMS!$D$7*AG919^3+BMILMS!$E$7*AG919^2+BMILMS!$F$7*AG919+BMILMS!$G$7)),IF(AG919&lt;69,BMILMS!$D$9*AG919^3+BMILMS!$E$9*AG919^2+BMILMS!$F$9*AG919+BMILMS!$G$9,IF(AG919&lt;150,BMILMS!$D$10*AG919^3+BMILMS!$E$10*AG919^2+BMILMS!$F$10*AG919+BMILMS!$G$10,BMILMS!$D$11*AG919^3+BMILMS!$E$11*AG919^2+BMILMS!$F$11*AG919+BMILMS!$G$11)))</f>
        <v>0.79584630099999998</v>
      </c>
      <c r="AE919" s="24">
        <f>IF(D919="M",(IF(AG919&lt;2.5,BMILMS!$D$21*AG919^3+BMILMS!$E$21*AG919^2+BMILMS!$F$21*AG919+BMILMS!$G$21,IF(AG919&lt;9.5,BMILMS!$D$22*AG919^3+BMILMS!$E$22*AG919^2+BMILMS!$F$22*AG919+BMILMS!$G$22,IF(AG919&lt;26.75,BMILMS!$D$23*AG919^3+BMILMS!$E$23*AG919^2+BMILMS!$F$23*AG919+BMILMS!$G$23,IF(AG919&lt;90,BMILMS!$D$24*AG919^3+BMILMS!$E$24*AG919^2+BMILMS!$F$24*AG919+BMILMS!$G$24,BMILMS!$D$25*AG919^3+BMILMS!$E$25*AG919^2+BMILMS!$F$25*AG919+BMILMS!$G$25))))),(IF(AG919&lt;2.5,BMILMS!$D$27*AG919^3+BMILMS!$E$27*AG919^2+BMILMS!$F$27*AG919+BMILMS!$G$27,IF(AG919&lt;9.5,BMILMS!$D$28*AG919^3+BMILMS!$E$28*AG919^2+BMILMS!$F$28*AG919+BMILMS!$G$28,IF(AG919&lt;26.75,BMILMS!$D$29*AG919^3+BMILMS!$E$29*AG919^2+BMILMS!$F$29*AG919+BMILMS!$G$29,IF(AG919&lt;90,BMILMS!$D$30*AG919^3+BMILMS!$E$30*AG919^2+BMILMS!$F$30*AG919+BMILMS!$G$30,IF(AG919&lt;150,BMILMS!$D$31*AG919^3+BMILMS!$E$31*AG919^2+BMILMS!$F$31*AG919+BMILMS!$G$31,BMILMS!$D$32*AG919^3+BMILMS!$E$32*AG919^2+BMILMS!$F$32*AG919+BMILMS!$G$32)))))))</f>
        <v>12.568967990000001</v>
      </c>
      <c r="AF919" s="24">
        <f>IF(D919="M",(IF(AG919&lt;90,BMILMS!$D$14*AG919^3+BMILMS!$E$14*AG919^2+BMILMS!$F$14*AG919+BMILMS!$G$14,BMILMS!$D$15*AG919^3+BMILMS!$E$15*AG919^2+BMILMS!$F$15*AG919+BMILMS!$G$15)),(IF(AG919&lt;90,BMILMS!$D$17*AG919^3+BMILMS!$E$17*AG919^2+BMILMS!$F$17*AG919+BMILMS!$G$17,BMILMS!$D$18*AG919^3+BMILMS!$E$18*AG919^2+BMILMS!$F$18*AG919+BMILMS!$G$18)))</f>
        <v>8.8969350000000003E-2</v>
      </c>
      <c r="AG919" s="24">
        <f t="shared" si="240"/>
        <v>0</v>
      </c>
      <c r="AI919" s="38">
        <f>IF(D919="M",WeightSDS!P$5*$AG919^7+WeightSDS!Q$5*$AG919^6+WeightSDS!R$5*$AG919^5+WeightSDS!S$5*$AG919^4+WeightSDS!T$5*$AG919^3+WeightSDS!U$5*$AG919^2+WeightSDS!V$5*$AG919+WeightSDS!W$5,IF($AG919&lt;186,WeightSDS!P$8*$AG919^7+WeightSDS!Q$8*$AG919^6+WeightSDS!R$8*$AG919^5+WeightSDS!S$8*$AG919^4+WeightSDS!T$8*$AG919^3+WeightSDS!U$8*$AG919^2+WeightSDS!V$8*$AG919+WeightSDS!W$8,WeightSDS!$U$9-WeightSDS!$V$9*($AG919-WeightSDS!$W$9)))</f>
        <v>0.75407122999999998</v>
      </c>
      <c r="AJ919" s="24">
        <f>IF(D919="M",IF($AG919&lt;45,WeightSDS!M$23*$AG919^10+WeightSDS!N$23*$AG919^9+WeightSDS!O$23*$AG919^8+WeightSDS!P$23*$AG919^7+WeightSDS!Q$23*$AG919^6+WeightSDS!R$23*$AG919^5+WeightSDS!S$23*$AG919^4+WeightSDS!T$23*$AG919^3+WeightSDS!U$23*$AG919^2+WeightSDS!V$23*$AG919+WeightSDS!W$23,IF($AG919&lt;153,WeightSDS!M$25*$AG919^10+WeightSDS!N$25*$AG919^9+WeightSDS!O$25*$AG919^8+WeightSDS!P$25*$AG919^7+WeightSDS!Q$25*$AG919^6+WeightSDS!R$25*$AG919^5+WeightSDS!S$25*$AG919^4+WeightSDS!T$25*$AG919^3+WeightSDS!U$25*$AG919^2+WeightSDS!V$25*$AG919+WeightSDS!W$25,WeightSDS!M$27+WeightSDS!N$27/(1+EXP(WeightSDS!O$27+WeightSDS!P$27*$AG919)))),IF($AG919&lt;43.8,WeightSDS!M$29*$AG919^10+WeightSDS!N$29*$AG919^9+WeightSDS!O$29*$AG919^8+WeightSDS!P$29*$AG919^7+WeightSDS!Q$29*$AG919^6+WeightSDS!R$29*$AG919^5+WeightSDS!S$29*$AG919^4+WeightSDS!T$29*$AG919^3+WeightSDS!U$29*$AG919^2+WeightSDS!V$29*$AG919+WeightSDS!W$29-0.010431*(1-$AG919/210),IF($AG919&lt;123,WeightSDS!M$30*$AG919^10+WeightSDS!N$30*$AG919^9+WeightSDS!O$30*$AG919^8+WeightSDS!P$30*$AG919^7+WeightSDS!Q$30*$AG919^6+WeightSDS!R$30*$AG919^5+WeightSDS!S$30*$AG919^4+WeightSDS!T$30*$AG919^3+WeightSDS!U$30*$AG919^2+WeightSDS!V$30*$AG919+WeightSDS!W$30-0.010431*(1-1/$AG919),WeightSDS!M$32+WeightSDS!N$32/(1+EXP(WeightSDS!O$32+WeightSDS!P$32*$AG919))-0.010431*(1-$AG919/210))))</f>
        <v>2.9500001032655536</v>
      </c>
      <c r="AK919" s="24">
        <f>IF(D919="M",IF($AG919&lt;162,WeightSDS!P$12*$AG919^7+WeightSDS!Q$12*$AG919^6+WeightSDS!R$12*$AG919^5+WeightSDS!S$12*$AG919^4+WeightSDS!T$12*$AG919^3+WeightSDS!U$12*$AG919^2+WeightSDS!V$12*$AG919+WeightSDS!W$12,WeightSDS!P$14*$AG919^7+WeightSDS!Q$14*$AG919^6+WeightSDS!R$14*$AG919^5+WeightSDS!S$14*$AG919^4+WeightSDS!T$14*$AG919^3+WeightSDS!U$14*$AG919^2+WeightSDS!V$14*$AG919+WeightSDS!W$14),IF($AG919&lt;156,WeightSDS!O$17*$AG919^8+WeightSDS!P$17*$AG919^7+WeightSDS!Q$17*$AG919^6+WeightSDS!R$17*$AG919^5+WeightSDS!S$17*$AG919^4+WeightSDS!T$17*$AG919^3+WeightSDS!U$17*$AG919^2+WeightSDS!V$17*$AG919+WeightSDS!W$17,IF($AG919&lt;186,WeightSDS!$U$18+(WeightSDS!$V$18-WeightSDS!$U$18)/24*($AG919-186)+WeightSDS!$W$18*(-$AG919+186)^2-0.005,WeightSDS!$U$18+(WeightSDS!$V$18-WeightSDS!$U$18)/24*($AG919-186)-0.005)))</f>
        <v>0.14604529399999999</v>
      </c>
    </row>
    <row r="920" spans="1:37">
      <c r="A920" s="4"/>
      <c r="B920" s="21"/>
      <c r="C920" s="21"/>
      <c r="D920" s="21"/>
      <c r="E920" s="22"/>
      <c r="F920" s="22"/>
      <c r="G920" s="23"/>
      <c r="H920" s="23"/>
      <c r="I920" s="8" t="str">
        <f t="shared" si="226"/>
        <v/>
      </c>
      <c r="J920" s="2" t="str">
        <f t="shared" si="233"/>
        <v/>
      </c>
      <c r="K920" s="2" t="str">
        <f t="shared" si="227"/>
        <v/>
      </c>
      <c r="L920" s="2" t="str">
        <f t="shared" si="234"/>
        <v/>
      </c>
      <c r="M920" s="2" t="str">
        <f t="shared" si="239"/>
        <v/>
      </c>
      <c r="N920" s="2" t="str">
        <f t="shared" si="235"/>
        <v/>
      </c>
      <c r="O920" s="8" t="str">
        <f t="shared" si="236"/>
        <v/>
      </c>
      <c r="P920" s="8" t="str">
        <f t="shared" si="237"/>
        <v/>
      </c>
      <c r="Q920" s="40" t="str">
        <f t="shared" si="228"/>
        <v/>
      </c>
      <c r="R920" s="48" t="str">
        <f t="shared" si="238"/>
        <v/>
      </c>
      <c r="S920" s="8"/>
      <c r="U920" s="35">
        <f t="shared" si="229"/>
        <v>0</v>
      </c>
      <c r="V920" s="24">
        <f t="shared" si="230"/>
        <v>0</v>
      </c>
      <c r="W920" s="41">
        <f t="shared" si="225"/>
        <v>0</v>
      </c>
      <c r="X920" s="31"/>
      <c r="Y920" s="31"/>
      <c r="Z920" s="31"/>
      <c r="AA920" s="25">
        <f t="shared" si="231"/>
        <v>9.0359999999999996</v>
      </c>
      <c r="AB920" s="25">
        <f t="shared" si="232"/>
        <v>-184.49199999999999</v>
      </c>
      <c r="AD920" s="24">
        <f>IF(D920="M",IF(AG920&lt;78,BMILMS!$D$5*AG920^3+BMILMS!$E$5*AG920^2+BMILMS!$F$5*AG920+BMILMS!$G$5,IF(AG920&lt;150,BMILMS!$D$6*AG920^3+BMILMS!$E$6*AG920^2+BMILMS!$F$6*AG920+BMILMS!$G$6,BMILMS!$D$7*AG920^3+BMILMS!$E$7*AG920^2+BMILMS!$F$7*AG920+BMILMS!$G$7)),IF(AG920&lt;69,BMILMS!$D$9*AG920^3+BMILMS!$E$9*AG920^2+BMILMS!$F$9*AG920+BMILMS!$G$9,IF(AG920&lt;150,BMILMS!$D$10*AG920^3+BMILMS!$E$10*AG920^2+BMILMS!$F$10*AG920+BMILMS!$G$10,BMILMS!$D$11*AG920^3+BMILMS!$E$11*AG920^2+BMILMS!$F$11*AG920+BMILMS!$G$11)))</f>
        <v>0.79584630099999998</v>
      </c>
      <c r="AE920" s="24">
        <f>IF(D920="M",(IF(AG920&lt;2.5,BMILMS!$D$21*AG920^3+BMILMS!$E$21*AG920^2+BMILMS!$F$21*AG920+BMILMS!$G$21,IF(AG920&lt;9.5,BMILMS!$D$22*AG920^3+BMILMS!$E$22*AG920^2+BMILMS!$F$22*AG920+BMILMS!$G$22,IF(AG920&lt;26.75,BMILMS!$D$23*AG920^3+BMILMS!$E$23*AG920^2+BMILMS!$F$23*AG920+BMILMS!$G$23,IF(AG920&lt;90,BMILMS!$D$24*AG920^3+BMILMS!$E$24*AG920^2+BMILMS!$F$24*AG920+BMILMS!$G$24,BMILMS!$D$25*AG920^3+BMILMS!$E$25*AG920^2+BMILMS!$F$25*AG920+BMILMS!$G$25))))),(IF(AG920&lt;2.5,BMILMS!$D$27*AG920^3+BMILMS!$E$27*AG920^2+BMILMS!$F$27*AG920+BMILMS!$G$27,IF(AG920&lt;9.5,BMILMS!$D$28*AG920^3+BMILMS!$E$28*AG920^2+BMILMS!$F$28*AG920+BMILMS!$G$28,IF(AG920&lt;26.75,BMILMS!$D$29*AG920^3+BMILMS!$E$29*AG920^2+BMILMS!$F$29*AG920+BMILMS!$G$29,IF(AG920&lt;90,BMILMS!$D$30*AG920^3+BMILMS!$E$30*AG920^2+BMILMS!$F$30*AG920+BMILMS!$G$30,IF(AG920&lt;150,BMILMS!$D$31*AG920^3+BMILMS!$E$31*AG920^2+BMILMS!$F$31*AG920+BMILMS!$G$31,BMILMS!$D$32*AG920^3+BMILMS!$E$32*AG920^2+BMILMS!$F$32*AG920+BMILMS!$G$32)))))))</f>
        <v>12.568967990000001</v>
      </c>
      <c r="AF920" s="24">
        <f>IF(D920="M",(IF(AG920&lt;90,BMILMS!$D$14*AG920^3+BMILMS!$E$14*AG920^2+BMILMS!$F$14*AG920+BMILMS!$G$14,BMILMS!$D$15*AG920^3+BMILMS!$E$15*AG920^2+BMILMS!$F$15*AG920+BMILMS!$G$15)),(IF(AG920&lt;90,BMILMS!$D$17*AG920^3+BMILMS!$E$17*AG920^2+BMILMS!$F$17*AG920+BMILMS!$G$17,BMILMS!$D$18*AG920^3+BMILMS!$E$18*AG920^2+BMILMS!$F$18*AG920+BMILMS!$G$18)))</f>
        <v>8.8969350000000003E-2</v>
      </c>
      <c r="AG920" s="24">
        <f t="shared" si="240"/>
        <v>0</v>
      </c>
      <c r="AI920" s="38">
        <f>IF(D920="M",WeightSDS!P$5*$AG920^7+WeightSDS!Q$5*$AG920^6+WeightSDS!R$5*$AG920^5+WeightSDS!S$5*$AG920^4+WeightSDS!T$5*$AG920^3+WeightSDS!U$5*$AG920^2+WeightSDS!V$5*$AG920+WeightSDS!W$5,IF($AG920&lt;186,WeightSDS!P$8*$AG920^7+WeightSDS!Q$8*$AG920^6+WeightSDS!R$8*$AG920^5+WeightSDS!S$8*$AG920^4+WeightSDS!T$8*$AG920^3+WeightSDS!U$8*$AG920^2+WeightSDS!V$8*$AG920+WeightSDS!W$8,WeightSDS!$U$9-WeightSDS!$V$9*($AG920-WeightSDS!$W$9)))</f>
        <v>0.75407122999999998</v>
      </c>
      <c r="AJ920" s="24">
        <f>IF(D920="M",IF($AG920&lt;45,WeightSDS!M$23*$AG920^10+WeightSDS!N$23*$AG920^9+WeightSDS!O$23*$AG920^8+WeightSDS!P$23*$AG920^7+WeightSDS!Q$23*$AG920^6+WeightSDS!R$23*$AG920^5+WeightSDS!S$23*$AG920^4+WeightSDS!T$23*$AG920^3+WeightSDS!U$23*$AG920^2+WeightSDS!V$23*$AG920+WeightSDS!W$23,IF($AG920&lt;153,WeightSDS!M$25*$AG920^10+WeightSDS!N$25*$AG920^9+WeightSDS!O$25*$AG920^8+WeightSDS!P$25*$AG920^7+WeightSDS!Q$25*$AG920^6+WeightSDS!R$25*$AG920^5+WeightSDS!S$25*$AG920^4+WeightSDS!T$25*$AG920^3+WeightSDS!U$25*$AG920^2+WeightSDS!V$25*$AG920+WeightSDS!W$25,WeightSDS!M$27+WeightSDS!N$27/(1+EXP(WeightSDS!O$27+WeightSDS!P$27*$AG920)))),IF($AG920&lt;43.8,WeightSDS!M$29*$AG920^10+WeightSDS!N$29*$AG920^9+WeightSDS!O$29*$AG920^8+WeightSDS!P$29*$AG920^7+WeightSDS!Q$29*$AG920^6+WeightSDS!R$29*$AG920^5+WeightSDS!S$29*$AG920^4+WeightSDS!T$29*$AG920^3+WeightSDS!U$29*$AG920^2+WeightSDS!V$29*$AG920+WeightSDS!W$29-0.010431*(1-$AG920/210),IF($AG920&lt;123,WeightSDS!M$30*$AG920^10+WeightSDS!N$30*$AG920^9+WeightSDS!O$30*$AG920^8+WeightSDS!P$30*$AG920^7+WeightSDS!Q$30*$AG920^6+WeightSDS!R$30*$AG920^5+WeightSDS!S$30*$AG920^4+WeightSDS!T$30*$AG920^3+WeightSDS!U$30*$AG920^2+WeightSDS!V$30*$AG920+WeightSDS!W$30-0.010431*(1-1/$AG920),WeightSDS!M$32+WeightSDS!N$32/(1+EXP(WeightSDS!O$32+WeightSDS!P$32*$AG920))-0.010431*(1-$AG920/210))))</f>
        <v>2.9500001032655536</v>
      </c>
      <c r="AK920" s="24">
        <f>IF(D920="M",IF($AG920&lt;162,WeightSDS!P$12*$AG920^7+WeightSDS!Q$12*$AG920^6+WeightSDS!R$12*$AG920^5+WeightSDS!S$12*$AG920^4+WeightSDS!T$12*$AG920^3+WeightSDS!U$12*$AG920^2+WeightSDS!V$12*$AG920+WeightSDS!W$12,WeightSDS!P$14*$AG920^7+WeightSDS!Q$14*$AG920^6+WeightSDS!R$14*$AG920^5+WeightSDS!S$14*$AG920^4+WeightSDS!T$14*$AG920^3+WeightSDS!U$14*$AG920^2+WeightSDS!V$14*$AG920+WeightSDS!W$14),IF($AG920&lt;156,WeightSDS!O$17*$AG920^8+WeightSDS!P$17*$AG920^7+WeightSDS!Q$17*$AG920^6+WeightSDS!R$17*$AG920^5+WeightSDS!S$17*$AG920^4+WeightSDS!T$17*$AG920^3+WeightSDS!U$17*$AG920^2+WeightSDS!V$17*$AG920+WeightSDS!W$17,IF($AG920&lt;186,WeightSDS!$U$18+(WeightSDS!$V$18-WeightSDS!$U$18)/24*($AG920-186)+WeightSDS!$W$18*(-$AG920+186)^2-0.005,WeightSDS!$U$18+(WeightSDS!$V$18-WeightSDS!$U$18)/24*($AG920-186)-0.005)))</f>
        <v>0.14604529399999999</v>
      </c>
    </row>
    <row r="921" spans="1:37">
      <c r="A921" s="4"/>
      <c r="B921" s="21"/>
      <c r="C921" s="21"/>
      <c r="D921" s="21"/>
      <c r="E921" s="22"/>
      <c r="F921" s="22"/>
      <c r="G921" s="23"/>
      <c r="H921" s="23"/>
      <c r="I921" s="8" t="str">
        <f t="shared" si="226"/>
        <v/>
      </c>
      <c r="J921" s="2" t="str">
        <f t="shared" si="233"/>
        <v/>
      </c>
      <c r="K921" s="2" t="str">
        <f t="shared" si="227"/>
        <v/>
      </c>
      <c r="L921" s="2" t="str">
        <f t="shared" si="234"/>
        <v/>
      </c>
      <c r="M921" s="2" t="str">
        <f t="shared" si="239"/>
        <v/>
      </c>
      <c r="N921" s="2" t="str">
        <f t="shared" si="235"/>
        <v/>
      </c>
      <c r="O921" s="8" t="str">
        <f t="shared" si="236"/>
        <v/>
      </c>
      <c r="P921" s="8" t="str">
        <f t="shared" si="237"/>
        <v/>
      </c>
      <c r="Q921" s="40" t="str">
        <f t="shared" si="228"/>
        <v/>
      </c>
      <c r="R921" s="48" t="str">
        <f t="shared" si="238"/>
        <v/>
      </c>
      <c r="S921" s="8"/>
      <c r="U921" s="35">
        <f t="shared" si="229"/>
        <v>0</v>
      </c>
      <c r="V921" s="24">
        <f t="shared" si="230"/>
        <v>0</v>
      </c>
      <c r="W921" s="41">
        <f t="shared" si="225"/>
        <v>0</v>
      </c>
      <c r="X921" s="31"/>
      <c r="Y921" s="31"/>
      <c r="Z921" s="31"/>
      <c r="AA921" s="25">
        <f t="shared" si="231"/>
        <v>9.0359999999999996</v>
      </c>
      <c r="AB921" s="25">
        <f t="shared" si="232"/>
        <v>-184.49199999999999</v>
      </c>
      <c r="AD921" s="24">
        <f>IF(D921="M",IF(AG921&lt;78,BMILMS!$D$5*AG921^3+BMILMS!$E$5*AG921^2+BMILMS!$F$5*AG921+BMILMS!$G$5,IF(AG921&lt;150,BMILMS!$D$6*AG921^3+BMILMS!$E$6*AG921^2+BMILMS!$F$6*AG921+BMILMS!$G$6,BMILMS!$D$7*AG921^3+BMILMS!$E$7*AG921^2+BMILMS!$F$7*AG921+BMILMS!$G$7)),IF(AG921&lt;69,BMILMS!$D$9*AG921^3+BMILMS!$E$9*AG921^2+BMILMS!$F$9*AG921+BMILMS!$G$9,IF(AG921&lt;150,BMILMS!$D$10*AG921^3+BMILMS!$E$10*AG921^2+BMILMS!$F$10*AG921+BMILMS!$G$10,BMILMS!$D$11*AG921^3+BMILMS!$E$11*AG921^2+BMILMS!$F$11*AG921+BMILMS!$G$11)))</f>
        <v>0.79584630099999998</v>
      </c>
      <c r="AE921" s="24">
        <f>IF(D921="M",(IF(AG921&lt;2.5,BMILMS!$D$21*AG921^3+BMILMS!$E$21*AG921^2+BMILMS!$F$21*AG921+BMILMS!$G$21,IF(AG921&lt;9.5,BMILMS!$D$22*AG921^3+BMILMS!$E$22*AG921^2+BMILMS!$F$22*AG921+BMILMS!$G$22,IF(AG921&lt;26.75,BMILMS!$D$23*AG921^3+BMILMS!$E$23*AG921^2+BMILMS!$F$23*AG921+BMILMS!$G$23,IF(AG921&lt;90,BMILMS!$D$24*AG921^3+BMILMS!$E$24*AG921^2+BMILMS!$F$24*AG921+BMILMS!$G$24,BMILMS!$D$25*AG921^3+BMILMS!$E$25*AG921^2+BMILMS!$F$25*AG921+BMILMS!$G$25))))),(IF(AG921&lt;2.5,BMILMS!$D$27*AG921^3+BMILMS!$E$27*AG921^2+BMILMS!$F$27*AG921+BMILMS!$G$27,IF(AG921&lt;9.5,BMILMS!$D$28*AG921^3+BMILMS!$E$28*AG921^2+BMILMS!$F$28*AG921+BMILMS!$G$28,IF(AG921&lt;26.75,BMILMS!$D$29*AG921^3+BMILMS!$E$29*AG921^2+BMILMS!$F$29*AG921+BMILMS!$G$29,IF(AG921&lt;90,BMILMS!$D$30*AG921^3+BMILMS!$E$30*AG921^2+BMILMS!$F$30*AG921+BMILMS!$G$30,IF(AG921&lt;150,BMILMS!$D$31*AG921^3+BMILMS!$E$31*AG921^2+BMILMS!$F$31*AG921+BMILMS!$G$31,BMILMS!$D$32*AG921^3+BMILMS!$E$32*AG921^2+BMILMS!$F$32*AG921+BMILMS!$G$32)))))))</f>
        <v>12.568967990000001</v>
      </c>
      <c r="AF921" s="24">
        <f>IF(D921="M",(IF(AG921&lt;90,BMILMS!$D$14*AG921^3+BMILMS!$E$14*AG921^2+BMILMS!$F$14*AG921+BMILMS!$G$14,BMILMS!$D$15*AG921^3+BMILMS!$E$15*AG921^2+BMILMS!$F$15*AG921+BMILMS!$G$15)),(IF(AG921&lt;90,BMILMS!$D$17*AG921^3+BMILMS!$E$17*AG921^2+BMILMS!$F$17*AG921+BMILMS!$G$17,BMILMS!$D$18*AG921^3+BMILMS!$E$18*AG921^2+BMILMS!$F$18*AG921+BMILMS!$G$18)))</f>
        <v>8.8969350000000003E-2</v>
      </c>
      <c r="AG921" s="24">
        <f t="shared" si="240"/>
        <v>0</v>
      </c>
      <c r="AI921" s="38">
        <f>IF(D921="M",WeightSDS!P$5*$AG921^7+WeightSDS!Q$5*$AG921^6+WeightSDS!R$5*$AG921^5+WeightSDS!S$5*$AG921^4+WeightSDS!T$5*$AG921^3+WeightSDS!U$5*$AG921^2+WeightSDS!V$5*$AG921+WeightSDS!W$5,IF($AG921&lt;186,WeightSDS!P$8*$AG921^7+WeightSDS!Q$8*$AG921^6+WeightSDS!R$8*$AG921^5+WeightSDS!S$8*$AG921^4+WeightSDS!T$8*$AG921^3+WeightSDS!U$8*$AG921^2+WeightSDS!V$8*$AG921+WeightSDS!W$8,WeightSDS!$U$9-WeightSDS!$V$9*($AG921-WeightSDS!$W$9)))</f>
        <v>0.75407122999999998</v>
      </c>
      <c r="AJ921" s="24">
        <f>IF(D921="M",IF($AG921&lt;45,WeightSDS!M$23*$AG921^10+WeightSDS!N$23*$AG921^9+WeightSDS!O$23*$AG921^8+WeightSDS!P$23*$AG921^7+WeightSDS!Q$23*$AG921^6+WeightSDS!R$23*$AG921^5+WeightSDS!S$23*$AG921^4+WeightSDS!T$23*$AG921^3+WeightSDS!U$23*$AG921^2+WeightSDS!V$23*$AG921+WeightSDS!W$23,IF($AG921&lt;153,WeightSDS!M$25*$AG921^10+WeightSDS!N$25*$AG921^9+WeightSDS!O$25*$AG921^8+WeightSDS!P$25*$AG921^7+WeightSDS!Q$25*$AG921^6+WeightSDS!R$25*$AG921^5+WeightSDS!S$25*$AG921^4+WeightSDS!T$25*$AG921^3+WeightSDS!U$25*$AG921^2+WeightSDS!V$25*$AG921+WeightSDS!W$25,WeightSDS!M$27+WeightSDS!N$27/(1+EXP(WeightSDS!O$27+WeightSDS!P$27*$AG921)))),IF($AG921&lt;43.8,WeightSDS!M$29*$AG921^10+WeightSDS!N$29*$AG921^9+WeightSDS!O$29*$AG921^8+WeightSDS!P$29*$AG921^7+WeightSDS!Q$29*$AG921^6+WeightSDS!R$29*$AG921^5+WeightSDS!S$29*$AG921^4+WeightSDS!T$29*$AG921^3+WeightSDS!U$29*$AG921^2+WeightSDS!V$29*$AG921+WeightSDS!W$29-0.010431*(1-$AG921/210),IF($AG921&lt;123,WeightSDS!M$30*$AG921^10+WeightSDS!N$30*$AG921^9+WeightSDS!O$30*$AG921^8+WeightSDS!P$30*$AG921^7+WeightSDS!Q$30*$AG921^6+WeightSDS!R$30*$AG921^5+WeightSDS!S$30*$AG921^4+WeightSDS!T$30*$AG921^3+WeightSDS!U$30*$AG921^2+WeightSDS!V$30*$AG921+WeightSDS!W$30-0.010431*(1-1/$AG921),WeightSDS!M$32+WeightSDS!N$32/(1+EXP(WeightSDS!O$32+WeightSDS!P$32*$AG921))-0.010431*(1-$AG921/210))))</f>
        <v>2.9500001032655536</v>
      </c>
      <c r="AK921" s="24">
        <f>IF(D921="M",IF($AG921&lt;162,WeightSDS!P$12*$AG921^7+WeightSDS!Q$12*$AG921^6+WeightSDS!R$12*$AG921^5+WeightSDS!S$12*$AG921^4+WeightSDS!T$12*$AG921^3+WeightSDS!U$12*$AG921^2+WeightSDS!V$12*$AG921+WeightSDS!W$12,WeightSDS!P$14*$AG921^7+WeightSDS!Q$14*$AG921^6+WeightSDS!R$14*$AG921^5+WeightSDS!S$14*$AG921^4+WeightSDS!T$14*$AG921^3+WeightSDS!U$14*$AG921^2+WeightSDS!V$14*$AG921+WeightSDS!W$14),IF($AG921&lt;156,WeightSDS!O$17*$AG921^8+WeightSDS!P$17*$AG921^7+WeightSDS!Q$17*$AG921^6+WeightSDS!R$17*$AG921^5+WeightSDS!S$17*$AG921^4+WeightSDS!T$17*$AG921^3+WeightSDS!U$17*$AG921^2+WeightSDS!V$17*$AG921+WeightSDS!W$17,IF($AG921&lt;186,WeightSDS!$U$18+(WeightSDS!$V$18-WeightSDS!$U$18)/24*($AG921-186)+WeightSDS!$W$18*(-$AG921+186)^2-0.005,WeightSDS!$U$18+(WeightSDS!$V$18-WeightSDS!$U$18)/24*($AG921-186)-0.005)))</f>
        <v>0.14604529399999999</v>
      </c>
    </row>
    <row r="922" spans="1:37">
      <c r="A922" s="4"/>
      <c r="B922" s="21"/>
      <c r="C922" s="21"/>
      <c r="D922" s="21"/>
      <c r="E922" s="22"/>
      <c r="F922" s="22"/>
      <c r="G922" s="23"/>
      <c r="H922" s="23"/>
      <c r="I922" s="8" t="str">
        <f t="shared" si="226"/>
        <v/>
      </c>
      <c r="J922" s="2" t="str">
        <f t="shared" si="233"/>
        <v/>
      </c>
      <c r="K922" s="2" t="str">
        <f t="shared" si="227"/>
        <v/>
      </c>
      <c r="L922" s="2" t="str">
        <f t="shared" si="234"/>
        <v/>
      </c>
      <c r="M922" s="2" t="str">
        <f t="shared" si="239"/>
        <v/>
      </c>
      <c r="N922" s="2" t="str">
        <f t="shared" si="235"/>
        <v/>
      </c>
      <c r="O922" s="8" t="str">
        <f t="shared" si="236"/>
        <v/>
      </c>
      <c r="P922" s="8" t="str">
        <f t="shared" si="237"/>
        <v/>
      </c>
      <c r="Q922" s="40" t="str">
        <f t="shared" si="228"/>
        <v/>
      </c>
      <c r="R922" s="48" t="str">
        <f t="shared" si="238"/>
        <v/>
      </c>
      <c r="S922" s="8"/>
      <c r="U922" s="35">
        <f t="shared" si="229"/>
        <v>0</v>
      </c>
      <c r="V922" s="24">
        <f t="shared" si="230"/>
        <v>0</v>
      </c>
      <c r="W922" s="41">
        <f t="shared" si="225"/>
        <v>0</v>
      </c>
      <c r="X922" s="31"/>
      <c r="Y922" s="31"/>
      <c r="Z922" s="31"/>
      <c r="AA922" s="25">
        <f t="shared" si="231"/>
        <v>9.0359999999999996</v>
      </c>
      <c r="AB922" s="25">
        <f t="shared" si="232"/>
        <v>-184.49199999999999</v>
      </c>
      <c r="AD922" s="24">
        <f>IF(D922="M",IF(AG922&lt;78,BMILMS!$D$5*AG922^3+BMILMS!$E$5*AG922^2+BMILMS!$F$5*AG922+BMILMS!$G$5,IF(AG922&lt;150,BMILMS!$D$6*AG922^3+BMILMS!$E$6*AG922^2+BMILMS!$F$6*AG922+BMILMS!$G$6,BMILMS!$D$7*AG922^3+BMILMS!$E$7*AG922^2+BMILMS!$F$7*AG922+BMILMS!$G$7)),IF(AG922&lt;69,BMILMS!$D$9*AG922^3+BMILMS!$E$9*AG922^2+BMILMS!$F$9*AG922+BMILMS!$G$9,IF(AG922&lt;150,BMILMS!$D$10*AG922^3+BMILMS!$E$10*AG922^2+BMILMS!$F$10*AG922+BMILMS!$G$10,BMILMS!$D$11*AG922^3+BMILMS!$E$11*AG922^2+BMILMS!$F$11*AG922+BMILMS!$G$11)))</f>
        <v>0.79584630099999998</v>
      </c>
      <c r="AE922" s="24">
        <f>IF(D922="M",(IF(AG922&lt;2.5,BMILMS!$D$21*AG922^3+BMILMS!$E$21*AG922^2+BMILMS!$F$21*AG922+BMILMS!$G$21,IF(AG922&lt;9.5,BMILMS!$D$22*AG922^3+BMILMS!$E$22*AG922^2+BMILMS!$F$22*AG922+BMILMS!$G$22,IF(AG922&lt;26.75,BMILMS!$D$23*AG922^3+BMILMS!$E$23*AG922^2+BMILMS!$F$23*AG922+BMILMS!$G$23,IF(AG922&lt;90,BMILMS!$D$24*AG922^3+BMILMS!$E$24*AG922^2+BMILMS!$F$24*AG922+BMILMS!$G$24,BMILMS!$D$25*AG922^3+BMILMS!$E$25*AG922^2+BMILMS!$F$25*AG922+BMILMS!$G$25))))),(IF(AG922&lt;2.5,BMILMS!$D$27*AG922^3+BMILMS!$E$27*AG922^2+BMILMS!$F$27*AG922+BMILMS!$G$27,IF(AG922&lt;9.5,BMILMS!$D$28*AG922^3+BMILMS!$E$28*AG922^2+BMILMS!$F$28*AG922+BMILMS!$G$28,IF(AG922&lt;26.75,BMILMS!$D$29*AG922^3+BMILMS!$E$29*AG922^2+BMILMS!$F$29*AG922+BMILMS!$G$29,IF(AG922&lt;90,BMILMS!$D$30*AG922^3+BMILMS!$E$30*AG922^2+BMILMS!$F$30*AG922+BMILMS!$G$30,IF(AG922&lt;150,BMILMS!$D$31*AG922^3+BMILMS!$E$31*AG922^2+BMILMS!$F$31*AG922+BMILMS!$G$31,BMILMS!$D$32*AG922^3+BMILMS!$E$32*AG922^2+BMILMS!$F$32*AG922+BMILMS!$G$32)))))))</f>
        <v>12.568967990000001</v>
      </c>
      <c r="AF922" s="24">
        <f>IF(D922="M",(IF(AG922&lt;90,BMILMS!$D$14*AG922^3+BMILMS!$E$14*AG922^2+BMILMS!$F$14*AG922+BMILMS!$G$14,BMILMS!$D$15*AG922^3+BMILMS!$E$15*AG922^2+BMILMS!$F$15*AG922+BMILMS!$G$15)),(IF(AG922&lt;90,BMILMS!$D$17*AG922^3+BMILMS!$E$17*AG922^2+BMILMS!$F$17*AG922+BMILMS!$G$17,BMILMS!$D$18*AG922^3+BMILMS!$E$18*AG922^2+BMILMS!$F$18*AG922+BMILMS!$G$18)))</f>
        <v>8.8969350000000003E-2</v>
      </c>
      <c r="AG922" s="24">
        <f t="shared" si="240"/>
        <v>0</v>
      </c>
      <c r="AI922" s="38">
        <f>IF(D922="M",WeightSDS!P$5*$AG922^7+WeightSDS!Q$5*$AG922^6+WeightSDS!R$5*$AG922^5+WeightSDS!S$5*$AG922^4+WeightSDS!T$5*$AG922^3+WeightSDS!U$5*$AG922^2+WeightSDS!V$5*$AG922+WeightSDS!W$5,IF($AG922&lt;186,WeightSDS!P$8*$AG922^7+WeightSDS!Q$8*$AG922^6+WeightSDS!R$8*$AG922^5+WeightSDS!S$8*$AG922^4+WeightSDS!T$8*$AG922^3+WeightSDS!U$8*$AG922^2+WeightSDS!V$8*$AG922+WeightSDS!W$8,WeightSDS!$U$9-WeightSDS!$V$9*($AG922-WeightSDS!$W$9)))</f>
        <v>0.75407122999999998</v>
      </c>
      <c r="AJ922" s="24">
        <f>IF(D922="M",IF($AG922&lt;45,WeightSDS!M$23*$AG922^10+WeightSDS!N$23*$AG922^9+WeightSDS!O$23*$AG922^8+WeightSDS!P$23*$AG922^7+WeightSDS!Q$23*$AG922^6+WeightSDS!R$23*$AG922^5+WeightSDS!S$23*$AG922^4+WeightSDS!T$23*$AG922^3+WeightSDS!U$23*$AG922^2+WeightSDS!V$23*$AG922+WeightSDS!W$23,IF($AG922&lt;153,WeightSDS!M$25*$AG922^10+WeightSDS!N$25*$AG922^9+WeightSDS!O$25*$AG922^8+WeightSDS!P$25*$AG922^7+WeightSDS!Q$25*$AG922^6+WeightSDS!R$25*$AG922^5+WeightSDS!S$25*$AG922^4+WeightSDS!T$25*$AG922^3+WeightSDS!U$25*$AG922^2+WeightSDS!V$25*$AG922+WeightSDS!W$25,WeightSDS!M$27+WeightSDS!N$27/(1+EXP(WeightSDS!O$27+WeightSDS!P$27*$AG922)))),IF($AG922&lt;43.8,WeightSDS!M$29*$AG922^10+WeightSDS!N$29*$AG922^9+WeightSDS!O$29*$AG922^8+WeightSDS!P$29*$AG922^7+WeightSDS!Q$29*$AG922^6+WeightSDS!R$29*$AG922^5+WeightSDS!S$29*$AG922^4+WeightSDS!T$29*$AG922^3+WeightSDS!U$29*$AG922^2+WeightSDS!V$29*$AG922+WeightSDS!W$29-0.010431*(1-$AG922/210),IF($AG922&lt;123,WeightSDS!M$30*$AG922^10+WeightSDS!N$30*$AG922^9+WeightSDS!O$30*$AG922^8+WeightSDS!P$30*$AG922^7+WeightSDS!Q$30*$AG922^6+WeightSDS!R$30*$AG922^5+WeightSDS!S$30*$AG922^4+WeightSDS!T$30*$AG922^3+WeightSDS!U$30*$AG922^2+WeightSDS!V$30*$AG922+WeightSDS!W$30-0.010431*(1-1/$AG922),WeightSDS!M$32+WeightSDS!N$32/(1+EXP(WeightSDS!O$32+WeightSDS!P$32*$AG922))-0.010431*(1-$AG922/210))))</f>
        <v>2.9500001032655536</v>
      </c>
      <c r="AK922" s="24">
        <f>IF(D922="M",IF($AG922&lt;162,WeightSDS!P$12*$AG922^7+WeightSDS!Q$12*$AG922^6+WeightSDS!R$12*$AG922^5+WeightSDS!S$12*$AG922^4+WeightSDS!T$12*$AG922^3+WeightSDS!U$12*$AG922^2+WeightSDS!V$12*$AG922+WeightSDS!W$12,WeightSDS!P$14*$AG922^7+WeightSDS!Q$14*$AG922^6+WeightSDS!R$14*$AG922^5+WeightSDS!S$14*$AG922^4+WeightSDS!T$14*$AG922^3+WeightSDS!U$14*$AG922^2+WeightSDS!V$14*$AG922+WeightSDS!W$14),IF($AG922&lt;156,WeightSDS!O$17*$AG922^8+WeightSDS!P$17*$AG922^7+WeightSDS!Q$17*$AG922^6+WeightSDS!R$17*$AG922^5+WeightSDS!S$17*$AG922^4+WeightSDS!T$17*$AG922^3+WeightSDS!U$17*$AG922^2+WeightSDS!V$17*$AG922+WeightSDS!W$17,IF($AG922&lt;186,WeightSDS!$U$18+(WeightSDS!$V$18-WeightSDS!$U$18)/24*($AG922-186)+WeightSDS!$W$18*(-$AG922+186)^2-0.005,WeightSDS!$U$18+(WeightSDS!$V$18-WeightSDS!$U$18)/24*($AG922-186)-0.005)))</f>
        <v>0.14604529399999999</v>
      </c>
    </row>
    <row r="923" spans="1:37">
      <c r="A923" s="4"/>
      <c r="B923" s="21"/>
      <c r="C923" s="21"/>
      <c r="D923" s="21"/>
      <c r="E923" s="22"/>
      <c r="F923" s="22"/>
      <c r="G923" s="23"/>
      <c r="H923" s="23"/>
      <c r="I923" s="8" t="str">
        <f t="shared" si="226"/>
        <v/>
      </c>
      <c r="J923" s="2" t="str">
        <f t="shared" si="233"/>
        <v/>
      </c>
      <c r="K923" s="2" t="str">
        <f t="shared" si="227"/>
        <v/>
      </c>
      <c r="L923" s="2" t="str">
        <f t="shared" si="234"/>
        <v/>
      </c>
      <c r="M923" s="2" t="str">
        <f t="shared" si="239"/>
        <v/>
      </c>
      <c r="N923" s="2" t="str">
        <f t="shared" si="235"/>
        <v/>
      </c>
      <c r="O923" s="8" t="str">
        <f t="shared" si="236"/>
        <v/>
      </c>
      <c r="P923" s="8" t="str">
        <f t="shared" si="237"/>
        <v/>
      </c>
      <c r="Q923" s="40" t="str">
        <f t="shared" si="228"/>
        <v/>
      </c>
      <c r="R923" s="48" t="str">
        <f t="shared" si="238"/>
        <v/>
      </c>
      <c r="S923" s="8"/>
      <c r="U923" s="35">
        <f t="shared" si="229"/>
        <v>0</v>
      </c>
      <c r="V923" s="24">
        <f t="shared" si="230"/>
        <v>0</v>
      </c>
      <c r="W923" s="41">
        <f t="shared" si="225"/>
        <v>0</v>
      </c>
      <c r="X923" s="31"/>
      <c r="Y923" s="31"/>
      <c r="Z923" s="31"/>
      <c r="AA923" s="25">
        <f t="shared" si="231"/>
        <v>9.0359999999999996</v>
      </c>
      <c r="AB923" s="25">
        <f t="shared" si="232"/>
        <v>-184.49199999999999</v>
      </c>
      <c r="AD923" s="24">
        <f>IF(D923="M",IF(AG923&lt;78,BMILMS!$D$5*AG923^3+BMILMS!$E$5*AG923^2+BMILMS!$F$5*AG923+BMILMS!$G$5,IF(AG923&lt;150,BMILMS!$D$6*AG923^3+BMILMS!$E$6*AG923^2+BMILMS!$F$6*AG923+BMILMS!$G$6,BMILMS!$D$7*AG923^3+BMILMS!$E$7*AG923^2+BMILMS!$F$7*AG923+BMILMS!$G$7)),IF(AG923&lt;69,BMILMS!$D$9*AG923^3+BMILMS!$E$9*AG923^2+BMILMS!$F$9*AG923+BMILMS!$G$9,IF(AG923&lt;150,BMILMS!$D$10*AG923^3+BMILMS!$E$10*AG923^2+BMILMS!$F$10*AG923+BMILMS!$G$10,BMILMS!$D$11*AG923^3+BMILMS!$E$11*AG923^2+BMILMS!$F$11*AG923+BMILMS!$G$11)))</f>
        <v>0.79584630099999998</v>
      </c>
      <c r="AE923" s="24">
        <f>IF(D923="M",(IF(AG923&lt;2.5,BMILMS!$D$21*AG923^3+BMILMS!$E$21*AG923^2+BMILMS!$F$21*AG923+BMILMS!$G$21,IF(AG923&lt;9.5,BMILMS!$D$22*AG923^3+BMILMS!$E$22*AG923^2+BMILMS!$F$22*AG923+BMILMS!$G$22,IF(AG923&lt;26.75,BMILMS!$D$23*AG923^3+BMILMS!$E$23*AG923^2+BMILMS!$F$23*AG923+BMILMS!$G$23,IF(AG923&lt;90,BMILMS!$D$24*AG923^3+BMILMS!$E$24*AG923^2+BMILMS!$F$24*AG923+BMILMS!$G$24,BMILMS!$D$25*AG923^3+BMILMS!$E$25*AG923^2+BMILMS!$F$25*AG923+BMILMS!$G$25))))),(IF(AG923&lt;2.5,BMILMS!$D$27*AG923^3+BMILMS!$E$27*AG923^2+BMILMS!$F$27*AG923+BMILMS!$G$27,IF(AG923&lt;9.5,BMILMS!$D$28*AG923^3+BMILMS!$E$28*AG923^2+BMILMS!$F$28*AG923+BMILMS!$G$28,IF(AG923&lt;26.75,BMILMS!$D$29*AG923^3+BMILMS!$E$29*AG923^2+BMILMS!$F$29*AG923+BMILMS!$G$29,IF(AG923&lt;90,BMILMS!$D$30*AG923^3+BMILMS!$E$30*AG923^2+BMILMS!$F$30*AG923+BMILMS!$G$30,IF(AG923&lt;150,BMILMS!$D$31*AG923^3+BMILMS!$E$31*AG923^2+BMILMS!$F$31*AG923+BMILMS!$G$31,BMILMS!$D$32*AG923^3+BMILMS!$E$32*AG923^2+BMILMS!$F$32*AG923+BMILMS!$G$32)))))))</f>
        <v>12.568967990000001</v>
      </c>
      <c r="AF923" s="24">
        <f>IF(D923="M",(IF(AG923&lt;90,BMILMS!$D$14*AG923^3+BMILMS!$E$14*AG923^2+BMILMS!$F$14*AG923+BMILMS!$G$14,BMILMS!$D$15*AG923^3+BMILMS!$E$15*AG923^2+BMILMS!$F$15*AG923+BMILMS!$G$15)),(IF(AG923&lt;90,BMILMS!$D$17*AG923^3+BMILMS!$E$17*AG923^2+BMILMS!$F$17*AG923+BMILMS!$G$17,BMILMS!$D$18*AG923^3+BMILMS!$E$18*AG923^2+BMILMS!$F$18*AG923+BMILMS!$G$18)))</f>
        <v>8.8969350000000003E-2</v>
      </c>
      <c r="AG923" s="24">
        <f t="shared" si="240"/>
        <v>0</v>
      </c>
      <c r="AI923" s="38">
        <f>IF(D923="M",WeightSDS!P$5*$AG923^7+WeightSDS!Q$5*$AG923^6+WeightSDS!R$5*$AG923^5+WeightSDS!S$5*$AG923^4+WeightSDS!T$5*$AG923^3+WeightSDS!U$5*$AG923^2+WeightSDS!V$5*$AG923+WeightSDS!W$5,IF($AG923&lt;186,WeightSDS!P$8*$AG923^7+WeightSDS!Q$8*$AG923^6+WeightSDS!R$8*$AG923^5+WeightSDS!S$8*$AG923^4+WeightSDS!T$8*$AG923^3+WeightSDS!U$8*$AG923^2+WeightSDS!V$8*$AG923+WeightSDS!W$8,WeightSDS!$U$9-WeightSDS!$V$9*($AG923-WeightSDS!$W$9)))</f>
        <v>0.75407122999999998</v>
      </c>
      <c r="AJ923" s="24">
        <f>IF(D923="M",IF($AG923&lt;45,WeightSDS!M$23*$AG923^10+WeightSDS!N$23*$AG923^9+WeightSDS!O$23*$AG923^8+WeightSDS!P$23*$AG923^7+WeightSDS!Q$23*$AG923^6+WeightSDS!R$23*$AG923^5+WeightSDS!S$23*$AG923^4+WeightSDS!T$23*$AG923^3+WeightSDS!U$23*$AG923^2+WeightSDS!V$23*$AG923+WeightSDS!W$23,IF($AG923&lt;153,WeightSDS!M$25*$AG923^10+WeightSDS!N$25*$AG923^9+WeightSDS!O$25*$AG923^8+WeightSDS!P$25*$AG923^7+WeightSDS!Q$25*$AG923^6+WeightSDS!R$25*$AG923^5+WeightSDS!S$25*$AG923^4+WeightSDS!T$25*$AG923^3+WeightSDS!U$25*$AG923^2+WeightSDS!V$25*$AG923+WeightSDS!W$25,WeightSDS!M$27+WeightSDS!N$27/(1+EXP(WeightSDS!O$27+WeightSDS!P$27*$AG923)))),IF($AG923&lt;43.8,WeightSDS!M$29*$AG923^10+WeightSDS!N$29*$AG923^9+WeightSDS!O$29*$AG923^8+WeightSDS!P$29*$AG923^7+WeightSDS!Q$29*$AG923^6+WeightSDS!R$29*$AG923^5+WeightSDS!S$29*$AG923^4+WeightSDS!T$29*$AG923^3+WeightSDS!U$29*$AG923^2+WeightSDS!V$29*$AG923+WeightSDS!W$29-0.010431*(1-$AG923/210),IF($AG923&lt;123,WeightSDS!M$30*$AG923^10+WeightSDS!N$30*$AG923^9+WeightSDS!O$30*$AG923^8+WeightSDS!P$30*$AG923^7+WeightSDS!Q$30*$AG923^6+WeightSDS!R$30*$AG923^5+WeightSDS!S$30*$AG923^4+WeightSDS!T$30*$AG923^3+WeightSDS!U$30*$AG923^2+WeightSDS!V$30*$AG923+WeightSDS!W$30-0.010431*(1-1/$AG923),WeightSDS!M$32+WeightSDS!N$32/(1+EXP(WeightSDS!O$32+WeightSDS!P$32*$AG923))-0.010431*(1-$AG923/210))))</f>
        <v>2.9500001032655536</v>
      </c>
      <c r="AK923" s="24">
        <f>IF(D923="M",IF($AG923&lt;162,WeightSDS!P$12*$AG923^7+WeightSDS!Q$12*$AG923^6+WeightSDS!R$12*$AG923^5+WeightSDS!S$12*$AG923^4+WeightSDS!T$12*$AG923^3+WeightSDS!U$12*$AG923^2+WeightSDS!V$12*$AG923+WeightSDS!W$12,WeightSDS!P$14*$AG923^7+WeightSDS!Q$14*$AG923^6+WeightSDS!R$14*$AG923^5+WeightSDS!S$14*$AG923^4+WeightSDS!T$14*$AG923^3+WeightSDS!U$14*$AG923^2+WeightSDS!V$14*$AG923+WeightSDS!W$14),IF($AG923&lt;156,WeightSDS!O$17*$AG923^8+WeightSDS!P$17*$AG923^7+WeightSDS!Q$17*$AG923^6+WeightSDS!R$17*$AG923^5+WeightSDS!S$17*$AG923^4+WeightSDS!T$17*$AG923^3+WeightSDS!U$17*$AG923^2+WeightSDS!V$17*$AG923+WeightSDS!W$17,IF($AG923&lt;186,WeightSDS!$U$18+(WeightSDS!$V$18-WeightSDS!$U$18)/24*($AG923-186)+WeightSDS!$W$18*(-$AG923+186)^2-0.005,WeightSDS!$U$18+(WeightSDS!$V$18-WeightSDS!$U$18)/24*($AG923-186)-0.005)))</f>
        <v>0.14604529399999999</v>
      </c>
    </row>
    <row r="924" spans="1:37">
      <c r="A924" s="4"/>
      <c r="B924" s="21"/>
      <c r="C924" s="21"/>
      <c r="D924" s="21"/>
      <c r="E924" s="22"/>
      <c r="F924" s="22"/>
      <c r="G924" s="23"/>
      <c r="H924" s="23"/>
      <c r="I924" s="8" t="str">
        <f t="shared" si="226"/>
        <v/>
      </c>
      <c r="J924" s="2" t="str">
        <f t="shared" si="233"/>
        <v/>
      </c>
      <c r="K924" s="2" t="str">
        <f t="shared" si="227"/>
        <v/>
      </c>
      <c r="L924" s="2" t="str">
        <f t="shared" si="234"/>
        <v/>
      </c>
      <c r="M924" s="2" t="str">
        <f t="shared" si="239"/>
        <v/>
      </c>
      <c r="N924" s="2" t="str">
        <f t="shared" si="235"/>
        <v/>
      </c>
      <c r="O924" s="8" t="str">
        <f t="shared" si="236"/>
        <v/>
      </c>
      <c r="P924" s="8" t="str">
        <f t="shared" si="237"/>
        <v/>
      </c>
      <c r="Q924" s="40" t="str">
        <f t="shared" si="228"/>
        <v/>
      </c>
      <c r="R924" s="48" t="str">
        <f t="shared" si="238"/>
        <v/>
      </c>
      <c r="S924" s="8"/>
      <c r="U924" s="35">
        <f t="shared" si="229"/>
        <v>0</v>
      </c>
      <c r="V924" s="24">
        <f t="shared" si="230"/>
        <v>0</v>
      </c>
      <c r="W924" s="41">
        <f t="shared" si="225"/>
        <v>0</v>
      </c>
      <c r="X924" s="31"/>
      <c r="Y924" s="31"/>
      <c r="Z924" s="31"/>
      <c r="AA924" s="25">
        <f t="shared" si="231"/>
        <v>9.0359999999999996</v>
      </c>
      <c r="AB924" s="25">
        <f t="shared" si="232"/>
        <v>-184.49199999999999</v>
      </c>
      <c r="AD924" s="24">
        <f>IF(D924="M",IF(AG924&lt;78,BMILMS!$D$5*AG924^3+BMILMS!$E$5*AG924^2+BMILMS!$F$5*AG924+BMILMS!$G$5,IF(AG924&lt;150,BMILMS!$D$6*AG924^3+BMILMS!$E$6*AG924^2+BMILMS!$F$6*AG924+BMILMS!$G$6,BMILMS!$D$7*AG924^3+BMILMS!$E$7*AG924^2+BMILMS!$F$7*AG924+BMILMS!$G$7)),IF(AG924&lt;69,BMILMS!$D$9*AG924^3+BMILMS!$E$9*AG924^2+BMILMS!$F$9*AG924+BMILMS!$G$9,IF(AG924&lt;150,BMILMS!$D$10*AG924^3+BMILMS!$E$10*AG924^2+BMILMS!$F$10*AG924+BMILMS!$G$10,BMILMS!$D$11*AG924^3+BMILMS!$E$11*AG924^2+BMILMS!$F$11*AG924+BMILMS!$G$11)))</f>
        <v>0.79584630099999998</v>
      </c>
      <c r="AE924" s="24">
        <f>IF(D924="M",(IF(AG924&lt;2.5,BMILMS!$D$21*AG924^3+BMILMS!$E$21*AG924^2+BMILMS!$F$21*AG924+BMILMS!$G$21,IF(AG924&lt;9.5,BMILMS!$D$22*AG924^3+BMILMS!$E$22*AG924^2+BMILMS!$F$22*AG924+BMILMS!$G$22,IF(AG924&lt;26.75,BMILMS!$D$23*AG924^3+BMILMS!$E$23*AG924^2+BMILMS!$F$23*AG924+BMILMS!$G$23,IF(AG924&lt;90,BMILMS!$D$24*AG924^3+BMILMS!$E$24*AG924^2+BMILMS!$F$24*AG924+BMILMS!$G$24,BMILMS!$D$25*AG924^3+BMILMS!$E$25*AG924^2+BMILMS!$F$25*AG924+BMILMS!$G$25))))),(IF(AG924&lt;2.5,BMILMS!$D$27*AG924^3+BMILMS!$E$27*AG924^2+BMILMS!$F$27*AG924+BMILMS!$G$27,IF(AG924&lt;9.5,BMILMS!$D$28*AG924^3+BMILMS!$E$28*AG924^2+BMILMS!$F$28*AG924+BMILMS!$G$28,IF(AG924&lt;26.75,BMILMS!$D$29*AG924^3+BMILMS!$E$29*AG924^2+BMILMS!$F$29*AG924+BMILMS!$G$29,IF(AG924&lt;90,BMILMS!$D$30*AG924^3+BMILMS!$E$30*AG924^2+BMILMS!$F$30*AG924+BMILMS!$G$30,IF(AG924&lt;150,BMILMS!$D$31*AG924^3+BMILMS!$E$31*AG924^2+BMILMS!$F$31*AG924+BMILMS!$G$31,BMILMS!$D$32*AG924^3+BMILMS!$E$32*AG924^2+BMILMS!$F$32*AG924+BMILMS!$G$32)))))))</f>
        <v>12.568967990000001</v>
      </c>
      <c r="AF924" s="24">
        <f>IF(D924="M",(IF(AG924&lt;90,BMILMS!$D$14*AG924^3+BMILMS!$E$14*AG924^2+BMILMS!$F$14*AG924+BMILMS!$G$14,BMILMS!$D$15*AG924^3+BMILMS!$E$15*AG924^2+BMILMS!$F$15*AG924+BMILMS!$G$15)),(IF(AG924&lt;90,BMILMS!$D$17*AG924^3+BMILMS!$E$17*AG924^2+BMILMS!$F$17*AG924+BMILMS!$G$17,BMILMS!$D$18*AG924^3+BMILMS!$E$18*AG924^2+BMILMS!$F$18*AG924+BMILMS!$G$18)))</f>
        <v>8.8969350000000003E-2</v>
      </c>
      <c r="AG924" s="24">
        <f t="shared" si="240"/>
        <v>0</v>
      </c>
      <c r="AI924" s="38">
        <f>IF(D924="M",WeightSDS!P$5*$AG924^7+WeightSDS!Q$5*$AG924^6+WeightSDS!R$5*$AG924^5+WeightSDS!S$5*$AG924^4+WeightSDS!T$5*$AG924^3+WeightSDS!U$5*$AG924^2+WeightSDS!V$5*$AG924+WeightSDS!W$5,IF($AG924&lt;186,WeightSDS!P$8*$AG924^7+WeightSDS!Q$8*$AG924^6+WeightSDS!R$8*$AG924^5+WeightSDS!S$8*$AG924^4+WeightSDS!T$8*$AG924^3+WeightSDS!U$8*$AG924^2+WeightSDS!V$8*$AG924+WeightSDS!W$8,WeightSDS!$U$9-WeightSDS!$V$9*($AG924-WeightSDS!$W$9)))</f>
        <v>0.75407122999999998</v>
      </c>
      <c r="AJ924" s="24">
        <f>IF(D924="M",IF($AG924&lt;45,WeightSDS!M$23*$AG924^10+WeightSDS!N$23*$AG924^9+WeightSDS!O$23*$AG924^8+WeightSDS!P$23*$AG924^7+WeightSDS!Q$23*$AG924^6+WeightSDS!R$23*$AG924^5+WeightSDS!S$23*$AG924^4+WeightSDS!T$23*$AG924^3+WeightSDS!U$23*$AG924^2+WeightSDS!V$23*$AG924+WeightSDS!W$23,IF($AG924&lt;153,WeightSDS!M$25*$AG924^10+WeightSDS!N$25*$AG924^9+WeightSDS!O$25*$AG924^8+WeightSDS!P$25*$AG924^7+WeightSDS!Q$25*$AG924^6+WeightSDS!R$25*$AG924^5+WeightSDS!S$25*$AG924^4+WeightSDS!T$25*$AG924^3+WeightSDS!U$25*$AG924^2+WeightSDS!V$25*$AG924+WeightSDS!W$25,WeightSDS!M$27+WeightSDS!N$27/(1+EXP(WeightSDS!O$27+WeightSDS!P$27*$AG924)))),IF($AG924&lt;43.8,WeightSDS!M$29*$AG924^10+WeightSDS!N$29*$AG924^9+WeightSDS!O$29*$AG924^8+WeightSDS!P$29*$AG924^7+WeightSDS!Q$29*$AG924^6+WeightSDS!R$29*$AG924^5+WeightSDS!S$29*$AG924^4+WeightSDS!T$29*$AG924^3+WeightSDS!U$29*$AG924^2+WeightSDS!V$29*$AG924+WeightSDS!W$29-0.010431*(1-$AG924/210),IF($AG924&lt;123,WeightSDS!M$30*$AG924^10+WeightSDS!N$30*$AG924^9+WeightSDS!O$30*$AG924^8+WeightSDS!P$30*$AG924^7+WeightSDS!Q$30*$AG924^6+WeightSDS!R$30*$AG924^5+WeightSDS!S$30*$AG924^4+WeightSDS!T$30*$AG924^3+WeightSDS!U$30*$AG924^2+WeightSDS!V$30*$AG924+WeightSDS!W$30-0.010431*(1-1/$AG924),WeightSDS!M$32+WeightSDS!N$32/(1+EXP(WeightSDS!O$32+WeightSDS!P$32*$AG924))-0.010431*(1-$AG924/210))))</f>
        <v>2.9500001032655536</v>
      </c>
      <c r="AK924" s="24">
        <f>IF(D924="M",IF($AG924&lt;162,WeightSDS!P$12*$AG924^7+WeightSDS!Q$12*$AG924^6+WeightSDS!R$12*$AG924^5+WeightSDS!S$12*$AG924^4+WeightSDS!T$12*$AG924^3+WeightSDS!U$12*$AG924^2+WeightSDS!V$12*$AG924+WeightSDS!W$12,WeightSDS!P$14*$AG924^7+WeightSDS!Q$14*$AG924^6+WeightSDS!R$14*$AG924^5+WeightSDS!S$14*$AG924^4+WeightSDS!T$14*$AG924^3+WeightSDS!U$14*$AG924^2+WeightSDS!V$14*$AG924+WeightSDS!W$14),IF($AG924&lt;156,WeightSDS!O$17*$AG924^8+WeightSDS!P$17*$AG924^7+WeightSDS!Q$17*$AG924^6+WeightSDS!R$17*$AG924^5+WeightSDS!S$17*$AG924^4+WeightSDS!T$17*$AG924^3+WeightSDS!U$17*$AG924^2+WeightSDS!V$17*$AG924+WeightSDS!W$17,IF($AG924&lt;186,WeightSDS!$U$18+(WeightSDS!$V$18-WeightSDS!$U$18)/24*($AG924-186)+WeightSDS!$W$18*(-$AG924+186)^2-0.005,WeightSDS!$U$18+(WeightSDS!$V$18-WeightSDS!$U$18)/24*($AG924-186)-0.005)))</f>
        <v>0.14604529399999999</v>
      </c>
    </row>
    <row r="925" spans="1:37">
      <c r="A925" s="4"/>
      <c r="B925" s="21"/>
      <c r="C925" s="21"/>
      <c r="D925" s="21"/>
      <c r="E925" s="22"/>
      <c r="F925" s="22"/>
      <c r="G925" s="23"/>
      <c r="H925" s="23"/>
      <c r="I925" s="8" t="str">
        <f t="shared" si="226"/>
        <v/>
      </c>
      <c r="J925" s="2" t="str">
        <f t="shared" si="233"/>
        <v/>
      </c>
      <c r="K925" s="2" t="str">
        <f t="shared" si="227"/>
        <v/>
      </c>
      <c r="L925" s="2" t="str">
        <f t="shared" si="234"/>
        <v/>
      </c>
      <c r="M925" s="2" t="str">
        <f t="shared" si="239"/>
        <v/>
      </c>
      <c r="N925" s="2" t="str">
        <f t="shared" si="235"/>
        <v/>
      </c>
      <c r="O925" s="8" t="str">
        <f t="shared" si="236"/>
        <v/>
      </c>
      <c r="P925" s="8" t="str">
        <f t="shared" si="237"/>
        <v/>
      </c>
      <c r="Q925" s="40" t="str">
        <f t="shared" si="228"/>
        <v/>
      </c>
      <c r="R925" s="48" t="str">
        <f t="shared" si="238"/>
        <v/>
      </c>
      <c r="S925" s="8"/>
      <c r="U925" s="35">
        <f t="shared" si="229"/>
        <v>0</v>
      </c>
      <c r="V925" s="24">
        <f t="shared" si="230"/>
        <v>0</v>
      </c>
      <c r="W925" s="41">
        <f t="shared" si="225"/>
        <v>0</v>
      </c>
      <c r="X925" s="31"/>
      <c r="Y925" s="31"/>
      <c r="Z925" s="31"/>
      <c r="AA925" s="25">
        <f t="shared" si="231"/>
        <v>9.0359999999999996</v>
      </c>
      <c r="AB925" s="25">
        <f t="shared" si="232"/>
        <v>-184.49199999999999</v>
      </c>
      <c r="AD925" s="24">
        <f>IF(D925="M",IF(AG925&lt;78,BMILMS!$D$5*AG925^3+BMILMS!$E$5*AG925^2+BMILMS!$F$5*AG925+BMILMS!$G$5,IF(AG925&lt;150,BMILMS!$D$6*AG925^3+BMILMS!$E$6*AG925^2+BMILMS!$F$6*AG925+BMILMS!$G$6,BMILMS!$D$7*AG925^3+BMILMS!$E$7*AG925^2+BMILMS!$F$7*AG925+BMILMS!$G$7)),IF(AG925&lt;69,BMILMS!$D$9*AG925^3+BMILMS!$E$9*AG925^2+BMILMS!$F$9*AG925+BMILMS!$G$9,IF(AG925&lt;150,BMILMS!$D$10*AG925^3+BMILMS!$E$10*AG925^2+BMILMS!$F$10*AG925+BMILMS!$G$10,BMILMS!$D$11*AG925^3+BMILMS!$E$11*AG925^2+BMILMS!$F$11*AG925+BMILMS!$G$11)))</f>
        <v>0.79584630099999998</v>
      </c>
      <c r="AE925" s="24">
        <f>IF(D925="M",(IF(AG925&lt;2.5,BMILMS!$D$21*AG925^3+BMILMS!$E$21*AG925^2+BMILMS!$F$21*AG925+BMILMS!$G$21,IF(AG925&lt;9.5,BMILMS!$D$22*AG925^3+BMILMS!$E$22*AG925^2+BMILMS!$F$22*AG925+BMILMS!$G$22,IF(AG925&lt;26.75,BMILMS!$D$23*AG925^3+BMILMS!$E$23*AG925^2+BMILMS!$F$23*AG925+BMILMS!$G$23,IF(AG925&lt;90,BMILMS!$D$24*AG925^3+BMILMS!$E$24*AG925^2+BMILMS!$F$24*AG925+BMILMS!$G$24,BMILMS!$D$25*AG925^3+BMILMS!$E$25*AG925^2+BMILMS!$F$25*AG925+BMILMS!$G$25))))),(IF(AG925&lt;2.5,BMILMS!$D$27*AG925^3+BMILMS!$E$27*AG925^2+BMILMS!$F$27*AG925+BMILMS!$G$27,IF(AG925&lt;9.5,BMILMS!$D$28*AG925^3+BMILMS!$E$28*AG925^2+BMILMS!$F$28*AG925+BMILMS!$G$28,IF(AG925&lt;26.75,BMILMS!$D$29*AG925^3+BMILMS!$E$29*AG925^2+BMILMS!$F$29*AG925+BMILMS!$G$29,IF(AG925&lt;90,BMILMS!$D$30*AG925^3+BMILMS!$E$30*AG925^2+BMILMS!$F$30*AG925+BMILMS!$G$30,IF(AG925&lt;150,BMILMS!$D$31*AG925^3+BMILMS!$E$31*AG925^2+BMILMS!$F$31*AG925+BMILMS!$G$31,BMILMS!$D$32*AG925^3+BMILMS!$E$32*AG925^2+BMILMS!$F$32*AG925+BMILMS!$G$32)))))))</f>
        <v>12.568967990000001</v>
      </c>
      <c r="AF925" s="24">
        <f>IF(D925="M",(IF(AG925&lt;90,BMILMS!$D$14*AG925^3+BMILMS!$E$14*AG925^2+BMILMS!$F$14*AG925+BMILMS!$G$14,BMILMS!$D$15*AG925^3+BMILMS!$E$15*AG925^2+BMILMS!$F$15*AG925+BMILMS!$G$15)),(IF(AG925&lt;90,BMILMS!$D$17*AG925^3+BMILMS!$E$17*AG925^2+BMILMS!$F$17*AG925+BMILMS!$G$17,BMILMS!$D$18*AG925^3+BMILMS!$E$18*AG925^2+BMILMS!$F$18*AG925+BMILMS!$G$18)))</f>
        <v>8.8969350000000003E-2</v>
      </c>
      <c r="AG925" s="24">
        <f t="shared" si="240"/>
        <v>0</v>
      </c>
      <c r="AI925" s="38">
        <f>IF(D925="M",WeightSDS!P$5*$AG925^7+WeightSDS!Q$5*$AG925^6+WeightSDS!R$5*$AG925^5+WeightSDS!S$5*$AG925^4+WeightSDS!T$5*$AG925^3+WeightSDS!U$5*$AG925^2+WeightSDS!V$5*$AG925+WeightSDS!W$5,IF($AG925&lt;186,WeightSDS!P$8*$AG925^7+WeightSDS!Q$8*$AG925^6+WeightSDS!R$8*$AG925^5+WeightSDS!S$8*$AG925^4+WeightSDS!T$8*$AG925^3+WeightSDS!U$8*$AG925^2+WeightSDS!V$8*$AG925+WeightSDS!W$8,WeightSDS!$U$9-WeightSDS!$V$9*($AG925-WeightSDS!$W$9)))</f>
        <v>0.75407122999999998</v>
      </c>
      <c r="AJ925" s="24">
        <f>IF(D925="M",IF($AG925&lt;45,WeightSDS!M$23*$AG925^10+WeightSDS!N$23*$AG925^9+WeightSDS!O$23*$AG925^8+WeightSDS!P$23*$AG925^7+WeightSDS!Q$23*$AG925^6+WeightSDS!R$23*$AG925^5+WeightSDS!S$23*$AG925^4+WeightSDS!T$23*$AG925^3+WeightSDS!U$23*$AG925^2+WeightSDS!V$23*$AG925+WeightSDS!W$23,IF($AG925&lt;153,WeightSDS!M$25*$AG925^10+WeightSDS!N$25*$AG925^9+WeightSDS!O$25*$AG925^8+WeightSDS!P$25*$AG925^7+WeightSDS!Q$25*$AG925^6+WeightSDS!R$25*$AG925^5+WeightSDS!S$25*$AG925^4+WeightSDS!T$25*$AG925^3+WeightSDS!U$25*$AG925^2+WeightSDS!V$25*$AG925+WeightSDS!W$25,WeightSDS!M$27+WeightSDS!N$27/(1+EXP(WeightSDS!O$27+WeightSDS!P$27*$AG925)))),IF($AG925&lt;43.8,WeightSDS!M$29*$AG925^10+WeightSDS!N$29*$AG925^9+WeightSDS!O$29*$AG925^8+WeightSDS!P$29*$AG925^7+WeightSDS!Q$29*$AG925^6+WeightSDS!R$29*$AG925^5+WeightSDS!S$29*$AG925^4+WeightSDS!T$29*$AG925^3+WeightSDS!U$29*$AG925^2+WeightSDS!V$29*$AG925+WeightSDS!W$29-0.010431*(1-$AG925/210),IF($AG925&lt;123,WeightSDS!M$30*$AG925^10+WeightSDS!N$30*$AG925^9+WeightSDS!O$30*$AG925^8+WeightSDS!P$30*$AG925^7+WeightSDS!Q$30*$AG925^6+WeightSDS!R$30*$AG925^5+WeightSDS!S$30*$AG925^4+WeightSDS!T$30*$AG925^3+WeightSDS!U$30*$AG925^2+WeightSDS!V$30*$AG925+WeightSDS!W$30-0.010431*(1-1/$AG925),WeightSDS!M$32+WeightSDS!N$32/(1+EXP(WeightSDS!O$32+WeightSDS!P$32*$AG925))-0.010431*(1-$AG925/210))))</f>
        <v>2.9500001032655536</v>
      </c>
      <c r="AK925" s="24">
        <f>IF(D925="M",IF($AG925&lt;162,WeightSDS!P$12*$AG925^7+WeightSDS!Q$12*$AG925^6+WeightSDS!R$12*$AG925^5+WeightSDS!S$12*$AG925^4+WeightSDS!T$12*$AG925^3+WeightSDS!U$12*$AG925^2+WeightSDS!V$12*$AG925+WeightSDS!W$12,WeightSDS!P$14*$AG925^7+WeightSDS!Q$14*$AG925^6+WeightSDS!R$14*$AG925^5+WeightSDS!S$14*$AG925^4+WeightSDS!T$14*$AG925^3+WeightSDS!U$14*$AG925^2+WeightSDS!V$14*$AG925+WeightSDS!W$14),IF($AG925&lt;156,WeightSDS!O$17*$AG925^8+WeightSDS!P$17*$AG925^7+WeightSDS!Q$17*$AG925^6+WeightSDS!R$17*$AG925^5+WeightSDS!S$17*$AG925^4+WeightSDS!T$17*$AG925^3+WeightSDS!U$17*$AG925^2+WeightSDS!V$17*$AG925+WeightSDS!W$17,IF($AG925&lt;186,WeightSDS!$U$18+(WeightSDS!$V$18-WeightSDS!$U$18)/24*($AG925-186)+WeightSDS!$W$18*(-$AG925+186)^2-0.005,WeightSDS!$U$18+(WeightSDS!$V$18-WeightSDS!$U$18)/24*($AG925-186)-0.005)))</f>
        <v>0.14604529399999999</v>
      </c>
    </row>
    <row r="926" spans="1:37">
      <c r="A926" s="4"/>
      <c r="B926" s="21"/>
      <c r="C926" s="21"/>
      <c r="D926" s="21"/>
      <c r="E926" s="22"/>
      <c r="F926" s="22"/>
      <c r="G926" s="23"/>
      <c r="H926" s="23"/>
      <c r="I926" s="8" t="str">
        <f t="shared" si="226"/>
        <v/>
      </c>
      <c r="J926" s="2" t="str">
        <f t="shared" si="233"/>
        <v/>
      </c>
      <c r="K926" s="2" t="str">
        <f t="shared" si="227"/>
        <v/>
      </c>
      <c r="L926" s="2" t="str">
        <f t="shared" si="234"/>
        <v/>
      </c>
      <c r="M926" s="2" t="str">
        <f t="shared" si="239"/>
        <v/>
      </c>
      <c r="N926" s="2" t="str">
        <f t="shared" si="235"/>
        <v/>
      </c>
      <c r="O926" s="8" t="str">
        <f t="shared" si="236"/>
        <v/>
      </c>
      <c r="P926" s="8" t="str">
        <f t="shared" si="237"/>
        <v/>
      </c>
      <c r="Q926" s="40" t="str">
        <f t="shared" si="228"/>
        <v/>
      </c>
      <c r="R926" s="48" t="str">
        <f t="shared" si="238"/>
        <v/>
      </c>
      <c r="S926" s="8"/>
      <c r="U926" s="35">
        <f t="shared" si="229"/>
        <v>0</v>
      </c>
      <c r="V926" s="24">
        <f t="shared" si="230"/>
        <v>0</v>
      </c>
      <c r="W926" s="41">
        <f t="shared" ref="W926:W989" si="241">DATEDIF(E926,F926,"Y")+(F926-(DATE(YEAR(E926)+DATEDIF(E926,F926,"Y"),MONTH(E926),DAY(E926))))/(365+IF(MOD(YEAR((DATE(YEAR(F926)-1,MONTH(E926),DAY(E926)))),4)=0,IF((DATE(YEAR(F926)-1,MONTH(E926),DAY(E926)))&gt;DATE(YEAR((DATE(YEAR(F926)-1,MONTH(E926),DAY(E926)))),2,29),0,1),0)+IF(MOD(YEAR(F926),4)=0,IF(F926&gt;DATE(YEAR(F926),2,29),1,0),0))</f>
        <v>0</v>
      </c>
      <c r="X926" s="31"/>
      <c r="Y926" s="31"/>
      <c r="Z926" s="31"/>
      <c r="AA926" s="25">
        <f t="shared" si="231"/>
        <v>9.0359999999999996</v>
      </c>
      <c r="AB926" s="25">
        <f t="shared" si="232"/>
        <v>-184.49199999999999</v>
      </c>
      <c r="AD926" s="24">
        <f>IF(D926="M",IF(AG926&lt;78,BMILMS!$D$5*AG926^3+BMILMS!$E$5*AG926^2+BMILMS!$F$5*AG926+BMILMS!$G$5,IF(AG926&lt;150,BMILMS!$D$6*AG926^3+BMILMS!$E$6*AG926^2+BMILMS!$F$6*AG926+BMILMS!$G$6,BMILMS!$D$7*AG926^3+BMILMS!$E$7*AG926^2+BMILMS!$F$7*AG926+BMILMS!$G$7)),IF(AG926&lt;69,BMILMS!$D$9*AG926^3+BMILMS!$E$9*AG926^2+BMILMS!$F$9*AG926+BMILMS!$G$9,IF(AG926&lt;150,BMILMS!$D$10*AG926^3+BMILMS!$E$10*AG926^2+BMILMS!$F$10*AG926+BMILMS!$G$10,BMILMS!$D$11*AG926^3+BMILMS!$E$11*AG926^2+BMILMS!$F$11*AG926+BMILMS!$G$11)))</f>
        <v>0.79584630099999998</v>
      </c>
      <c r="AE926" s="24">
        <f>IF(D926="M",(IF(AG926&lt;2.5,BMILMS!$D$21*AG926^3+BMILMS!$E$21*AG926^2+BMILMS!$F$21*AG926+BMILMS!$G$21,IF(AG926&lt;9.5,BMILMS!$D$22*AG926^3+BMILMS!$E$22*AG926^2+BMILMS!$F$22*AG926+BMILMS!$G$22,IF(AG926&lt;26.75,BMILMS!$D$23*AG926^3+BMILMS!$E$23*AG926^2+BMILMS!$F$23*AG926+BMILMS!$G$23,IF(AG926&lt;90,BMILMS!$D$24*AG926^3+BMILMS!$E$24*AG926^2+BMILMS!$F$24*AG926+BMILMS!$G$24,BMILMS!$D$25*AG926^3+BMILMS!$E$25*AG926^2+BMILMS!$F$25*AG926+BMILMS!$G$25))))),(IF(AG926&lt;2.5,BMILMS!$D$27*AG926^3+BMILMS!$E$27*AG926^2+BMILMS!$F$27*AG926+BMILMS!$G$27,IF(AG926&lt;9.5,BMILMS!$D$28*AG926^3+BMILMS!$E$28*AG926^2+BMILMS!$F$28*AG926+BMILMS!$G$28,IF(AG926&lt;26.75,BMILMS!$D$29*AG926^3+BMILMS!$E$29*AG926^2+BMILMS!$F$29*AG926+BMILMS!$G$29,IF(AG926&lt;90,BMILMS!$D$30*AG926^3+BMILMS!$E$30*AG926^2+BMILMS!$F$30*AG926+BMILMS!$G$30,IF(AG926&lt;150,BMILMS!$D$31*AG926^3+BMILMS!$E$31*AG926^2+BMILMS!$F$31*AG926+BMILMS!$G$31,BMILMS!$D$32*AG926^3+BMILMS!$E$32*AG926^2+BMILMS!$F$32*AG926+BMILMS!$G$32)))))))</f>
        <v>12.568967990000001</v>
      </c>
      <c r="AF926" s="24">
        <f>IF(D926="M",(IF(AG926&lt;90,BMILMS!$D$14*AG926^3+BMILMS!$E$14*AG926^2+BMILMS!$F$14*AG926+BMILMS!$G$14,BMILMS!$D$15*AG926^3+BMILMS!$E$15*AG926^2+BMILMS!$F$15*AG926+BMILMS!$G$15)),(IF(AG926&lt;90,BMILMS!$D$17*AG926^3+BMILMS!$E$17*AG926^2+BMILMS!$F$17*AG926+BMILMS!$G$17,BMILMS!$D$18*AG926^3+BMILMS!$E$18*AG926^2+BMILMS!$F$18*AG926+BMILMS!$G$18)))</f>
        <v>8.8969350000000003E-2</v>
      </c>
      <c r="AG926" s="24">
        <f t="shared" si="240"/>
        <v>0</v>
      </c>
      <c r="AI926" s="38">
        <f>IF(D926="M",WeightSDS!P$5*$AG926^7+WeightSDS!Q$5*$AG926^6+WeightSDS!R$5*$AG926^5+WeightSDS!S$5*$AG926^4+WeightSDS!T$5*$AG926^3+WeightSDS!U$5*$AG926^2+WeightSDS!V$5*$AG926+WeightSDS!W$5,IF($AG926&lt;186,WeightSDS!P$8*$AG926^7+WeightSDS!Q$8*$AG926^6+WeightSDS!R$8*$AG926^5+WeightSDS!S$8*$AG926^4+WeightSDS!T$8*$AG926^3+WeightSDS!U$8*$AG926^2+WeightSDS!V$8*$AG926+WeightSDS!W$8,WeightSDS!$U$9-WeightSDS!$V$9*($AG926-WeightSDS!$W$9)))</f>
        <v>0.75407122999999998</v>
      </c>
      <c r="AJ926" s="24">
        <f>IF(D926="M",IF($AG926&lt;45,WeightSDS!M$23*$AG926^10+WeightSDS!N$23*$AG926^9+WeightSDS!O$23*$AG926^8+WeightSDS!P$23*$AG926^7+WeightSDS!Q$23*$AG926^6+WeightSDS!R$23*$AG926^5+WeightSDS!S$23*$AG926^4+WeightSDS!T$23*$AG926^3+WeightSDS!U$23*$AG926^2+WeightSDS!V$23*$AG926+WeightSDS!W$23,IF($AG926&lt;153,WeightSDS!M$25*$AG926^10+WeightSDS!N$25*$AG926^9+WeightSDS!O$25*$AG926^8+WeightSDS!P$25*$AG926^7+WeightSDS!Q$25*$AG926^6+WeightSDS!R$25*$AG926^5+WeightSDS!S$25*$AG926^4+WeightSDS!T$25*$AG926^3+WeightSDS!U$25*$AG926^2+WeightSDS!V$25*$AG926+WeightSDS!W$25,WeightSDS!M$27+WeightSDS!N$27/(1+EXP(WeightSDS!O$27+WeightSDS!P$27*$AG926)))),IF($AG926&lt;43.8,WeightSDS!M$29*$AG926^10+WeightSDS!N$29*$AG926^9+WeightSDS!O$29*$AG926^8+WeightSDS!P$29*$AG926^7+WeightSDS!Q$29*$AG926^6+WeightSDS!R$29*$AG926^5+WeightSDS!S$29*$AG926^4+WeightSDS!T$29*$AG926^3+WeightSDS!U$29*$AG926^2+WeightSDS!V$29*$AG926+WeightSDS!W$29-0.010431*(1-$AG926/210),IF($AG926&lt;123,WeightSDS!M$30*$AG926^10+WeightSDS!N$30*$AG926^9+WeightSDS!O$30*$AG926^8+WeightSDS!P$30*$AG926^7+WeightSDS!Q$30*$AG926^6+WeightSDS!R$30*$AG926^5+WeightSDS!S$30*$AG926^4+WeightSDS!T$30*$AG926^3+WeightSDS!U$30*$AG926^2+WeightSDS!V$30*$AG926+WeightSDS!W$30-0.010431*(1-1/$AG926),WeightSDS!M$32+WeightSDS!N$32/(1+EXP(WeightSDS!O$32+WeightSDS!P$32*$AG926))-0.010431*(1-$AG926/210))))</f>
        <v>2.9500001032655536</v>
      </c>
      <c r="AK926" s="24">
        <f>IF(D926="M",IF($AG926&lt;162,WeightSDS!P$12*$AG926^7+WeightSDS!Q$12*$AG926^6+WeightSDS!R$12*$AG926^5+WeightSDS!S$12*$AG926^4+WeightSDS!T$12*$AG926^3+WeightSDS!U$12*$AG926^2+WeightSDS!V$12*$AG926+WeightSDS!W$12,WeightSDS!P$14*$AG926^7+WeightSDS!Q$14*$AG926^6+WeightSDS!R$14*$AG926^5+WeightSDS!S$14*$AG926^4+WeightSDS!T$14*$AG926^3+WeightSDS!U$14*$AG926^2+WeightSDS!V$14*$AG926+WeightSDS!W$14),IF($AG926&lt;156,WeightSDS!O$17*$AG926^8+WeightSDS!P$17*$AG926^7+WeightSDS!Q$17*$AG926^6+WeightSDS!R$17*$AG926^5+WeightSDS!S$17*$AG926^4+WeightSDS!T$17*$AG926^3+WeightSDS!U$17*$AG926^2+WeightSDS!V$17*$AG926+WeightSDS!W$17,IF($AG926&lt;186,WeightSDS!$U$18+(WeightSDS!$V$18-WeightSDS!$U$18)/24*($AG926-186)+WeightSDS!$W$18*(-$AG926+186)^2-0.005,WeightSDS!$U$18+(WeightSDS!$V$18-WeightSDS!$U$18)/24*($AG926-186)-0.005)))</f>
        <v>0.14604529399999999</v>
      </c>
    </row>
    <row r="927" spans="1:37">
      <c r="A927" s="4"/>
      <c r="B927" s="21"/>
      <c r="C927" s="21"/>
      <c r="D927" s="21"/>
      <c r="E927" s="22"/>
      <c r="F927" s="22"/>
      <c r="G927" s="23"/>
      <c r="H927" s="23"/>
      <c r="I927" s="8" t="str">
        <f t="shared" si="226"/>
        <v/>
      </c>
      <c r="J927" s="2" t="str">
        <f t="shared" si="233"/>
        <v/>
      </c>
      <c r="K927" s="2" t="str">
        <f t="shared" si="227"/>
        <v/>
      </c>
      <c r="L927" s="2" t="str">
        <f t="shared" si="234"/>
        <v/>
      </c>
      <c r="M927" s="2" t="str">
        <f t="shared" si="239"/>
        <v/>
      </c>
      <c r="N927" s="2" t="str">
        <f t="shared" si="235"/>
        <v/>
      </c>
      <c r="O927" s="8" t="str">
        <f t="shared" si="236"/>
        <v/>
      </c>
      <c r="P927" s="8" t="str">
        <f t="shared" si="237"/>
        <v/>
      </c>
      <c r="Q927" s="40" t="str">
        <f t="shared" si="228"/>
        <v/>
      </c>
      <c r="R927" s="48" t="str">
        <f t="shared" si="238"/>
        <v/>
      </c>
      <c r="S927" s="8"/>
      <c r="U927" s="35">
        <f t="shared" si="229"/>
        <v>0</v>
      </c>
      <c r="V927" s="24">
        <f t="shared" si="230"/>
        <v>0</v>
      </c>
      <c r="W927" s="41">
        <f t="shared" si="241"/>
        <v>0</v>
      </c>
      <c r="X927" s="31"/>
      <c r="Y927" s="31"/>
      <c r="Z927" s="31"/>
      <c r="AA927" s="25">
        <f t="shared" si="231"/>
        <v>9.0359999999999996</v>
      </c>
      <c r="AB927" s="25">
        <f t="shared" si="232"/>
        <v>-184.49199999999999</v>
      </c>
      <c r="AD927" s="24">
        <f>IF(D927="M",IF(AG927&lt;78,BMILMS!$D$5*AG927^3+BMILMS!$E$5*AG927^2+BMILMS!$F$5*AG927+BMILMS!$G$5,IF(AG927&lt;150,BMILMS!$D$6*AG927^3+BMILMS!$E$6*AG927^2+BMILMS!$F$6*AG927+BMILMS!$G$6,BMILMS!$D$7*AG927^3+BMILMS!$E$7*AG927^2+BMILMS!$F$7*AG927+BMILMS!$G$7)),IF(AG927&lt;69,BMILMS!$D$9*AG927^3+BMILMS!$E$9*AG927^2+BMILMS!$F$9*AG927+BMILMS!$G$9,IF(AG927&lt;150,BMILMS!$D$10*AG927^3+BMILMS!$E$10*AG927^2+BMILMS!$F$10*AG927+BMILMS!$G$10,BMILMS!$D$11*AG927^3+BMILMS!$E$11*AG927^2+BMILMS!$F$11*AG927+BMILMS!$G$11)))</f>
        <v>0.79584630099999998</v>
      </c>
      <c r="AE927" s="24">
        <f>IF(D927="M",(IF(AG927&lt;2.5,BMILMS!$D$21*AG927^3+BMILMS!$E$21*AG927^2+BMILMS!$F$21*AG927+BMILMS!$G$21,IF(AG927&lt;9.5,BMILMS!$D$22*AG927^3+BMILMS!$E$22*AG927^2+BMILMS!$F$22*AG927+BMILMS!$G$22,IF(AG927&lt;26.75,BMILMS!$D$23*AG927^3+BMILMS!$E$23*AG927^2+BMILMS!$F$23*AG927+BMILMS!$G$23,IF(AG927&lt;90,BMILMS!$D$24*AG927^3+BMILMS!$E$24*AG927^2+BMILMS!$F$24*AG927+BMILMS!$G$24,BMILMS!$D$25*AG927^3+BMILMS!$E$25*AG927^2+BMILMS!$F$25*AG927+BMILMS!$G$25))))),(IF(AG927&lt;2.5,BMILMS!$D$27*AG927^3+BMILMS!$E$27*AG927^2+BMILMS!$F$27*AG927+BMILMS!$G$27,IF(AG927&lt;9.5,BMILMS!$D$28*AG927^3+BMILMS!$E$28*AG927^2+BMILMS!$F$28*AG927+BMILMS!$G$28,IF(AG927&lt;26.75,BMILMS!$D$29*AG927^3+BMILMS!$E$29*AG927^2+BMILMS!$F$29*AG927+BMILMS!$G$29,IF(AG927&lt;90,BMILMS!$D$30*AG927^3+BMILMS!$E$30*AG927^2+BMILMS!$F$30*AG927+BMILMS!$G$30,IF(AG927&lt;150,BMILMS!$D$31*AG927^3+BMILMS!$E$31*AG927^2+BMILMS!$F$31*AG927+BMILMS!$G$31,BMILMS!$D$32*AG927^3+BMILMS!$E$32*AG927^2+BMILMS!$F$32*AG927+BMILMS!$G$32)))))))</f>
        <v>12.568967990000001</v>
      </c>
      <c r="AF927" s="24">
        <f>IF(D927="M",(IF(AG927&lt;90,BMILMS!$D$14*AG927^3+BMILMS!$E$14*AG927^2+BMILMS!$F$14*AG927+BMILMS!$G$14,BMILMS!$D$15*AG927^3+BMILMS!$E$15*AG927^2+BMILMS!$F$15*AG927+BMILMS!$G$15)),(IF(AG927&lt;90,BMILMS!$D$17*AG927^3+BMILMS!$E$17*AG927^2+BMILMS!$F$17*AG927+BMILMS!$G$17,BMILMS!$D$18*AG927^3+BMILMS!$E$18*AG927^2+BMILMS!$F$18*AG927+BMILMS!$G$18)))</f>
        <v>8.8969350000000003E-2</v>
      </c>
      <c r="AG927" s="24">
        <f t="shared" si="240"/>
        <v>0</v>
      </c>
      <c r="AI927" s="38">
        <f>IF(D927="M",WeightSDS!P$5*$AG927^7+WeightSDS!Q$5*$AG927^6+WeightSDS!R$5*$AG927^5+WeightSDS!S$5*$AG927^4+WeightSDS!T$5*$AG927^3+WeightSDS!U$5*$AG927^2+WeightSDS!V$5*$AG927+WeightSDS!W$5,IF($AG927&lt;186,WeightSDS!P$8*$AG927^7+WeightSDS!Q$8*$AG927^6+WeightSDS!R$8*$AG927^5+WeightSDS!S$8*$AG927^4+WeightSDS!T$8*$AG927^3+WeightSDS!U$8*$AG927^2+WeightSDS!V$8*$AG927+WeightSDS!W$8,WeightSDS!$U$9-WeightSDS!$V$9*($AG927-WeightSDS!$W$9)))</f>
        <v>0.75407122999999998</v>
      </c>
      <c r="AJ927" s="24">
        <f>IF(D927="M",IF($AG927&lt;45,WeightSDS!M$23*$AG927^10+WeightSDS!N$23*$AG927^9+WeightSDS!O$23*$AG927^8+WeightSDS!P$23*$AG927^7+WeightSDS!Q$23*$AG927^6+WeightSDS!R$23*$AG927^5+WeightSDS!S$23*$AG927^4+WeightSDS!T$23*$AG927^3+WeightSDS!U$23*$AG927^2+WeightSDS!V$23*$AG927+WeightSDS!W$23,IF($AG927&lt;153,WeightSDS!M$25*$AG927^10+WeightSDS!N$25*$AG927^9+WeightSDS!O$25*$AG927^8+WeightSDS!P$25*$AG927^7+WeightSDS!Q$25*$AG927^6+WeightSDS!R$25*$AG927^5+WeightSDS!S$25*$AG927^4+WeightSDS!T$25*$AG927^3+WeightSDS!U$25*$AG927^2+WeightSDS!V$25*$AG927+WeightSDS!W$25,WeightSDS!M$27+WeightSDS!N$27/(1+EXP(WeightSDS!O$27+WeightSDS!P$27*$AG927)))),IF($AG927&lt;43.8,WeightSDS!M$29*$AG927^10+WeightSDS!N$29*$AG927^9+WeightSDS!O$29*$AG927^8+WeightSDS!P$29*$AG927^7+WeightSDS!Q$29*$AG927^6+WeightSDS!R$29*$AG927^5+WeightSDS!S$29*$AG927^4+WeightSDS!T$29*$AG927^3+WeightSDS!U$29*$AG927^2+WeightSDS!V$29*$AG927+WeightSDS!W$29-0.010431*(1-$AG927/210),IF($AG927&lt;123,WeightSDS!M$30*$AG927^10+WeightSDS!N$30*$AG927^9+WeightSDS!O$30*$AG927^8+WeightSDS!P$30*$AG927^7+WeightSDS!Q$30*$AG927^6+WeightSDS!R$30*$AG927^5+WeightSDS!S$30*$AG927^4+WeightSDS!T$30*$AG927^3+WeightSDS!U$30*$AG927^2+WeightSDS!V$30*$AG927+WeightSDS!W$30-0.010431*(1-1/$AG927),WeightSDS!M$32+WeightSDS!N$32/(1+EXP(WeightSDS!O$32+WeightSDS!P$32*$AG927))-0.010431*(1-$AG927/210))))</f>
        <v>2.9500001032655536</v>
      </c>
      <c r="AK927" s="24">
        <f>IF(D927="M",IF($AG927&lt;162,WeightSDS!P$12*$AG927^7+WeightSDS!Q$12*$AG927^6+WeightSDS!R$12*$AG927^5+WeightSDS!S$12*$AG927^4+WeightSDS!T$12*$AG927^3+WeightSDS!U$12*$AG927^2+WeightSDS!V$12*$AG927+WeightSDS!W$12,WeightSDS!P$14*$AG927^7+WeightSDS!Q$14*$AG927^6+WeightSDS!R$14*$AG927^5+WeightSDS!S$14*$AG927^4+WeightSDS!T$14*$AG927^3+WeightSDS!U$14*$AG927^2+WeightSDS!V$14*$AG927+WeightSDS!W$14),IF($AG927&lt;156,WeightSDS!O$17*$AG927^8+WeightSDS!P$17*$AG927^7+WeightSDS!Q$17*$AG927^6+WeightSDS!R$17*$AG927^5+WeightSDS!S$17*$AG927^4+WeightSDS!T$17*$AG927^3+WeightSDS!U$17*$AG927^2+WeightSDS!V$17*$AG927+WeightSDS!W$17,IF($AG927&lt;186,WeightSDS!$U$18+(WeightSDS!$V$18-WeightSDS!$U$18)/24*($AG927-186)+WeightSDS!$W$18*(-$AG927+186)^2-0.005,WeightSDS!$U$18+(WeightSDS!$V$18-WeightSDS!$U$18)/24*($AG927-186)-0.005)))</f>
        <v>0.14604529399999999</v>
      </c>
    </row>
    <row r="928" spans="1:37">
      <c r="A928" s="4"/>
      <c r="B928" s="21"/>
      <c r="C928" s="21"/>
      <c r="D928" s="21"/>
      <c r="E928" s="22"/>
      <c r="F928" s="22"/>
      <c r="G928" s="23"/>
      <c r="H928" s="23"/>
      <c r="I928" s="8" t="str">
        <f t="shared" si="226"/>
        <v/>
      </c>
      <c r="J928" s="2" t="str">
        <f t="shared" si="233"/>
        <v/>
      </c>
      <c r="K928" s="2" t="str">
        <f t="shared" si="227"/>
        <v/>
      </c>
      <c r="L928" s="2" t="str">
        <f t="shared" si="234"/>
        <v/>
      </c>
      <c r="M928" s="2" t="str">
        <f t="shared" si="239"/>
        <v/>
      </c>
      <c r="N928" s="2" t="str">
        <f t="shared" si="235"/>
        <v/>
      </c>
      <c r="O928" s="8" t="str">
        <f t="shared" si="236"/>
        <v/>
      </c>
      <c r="P928" s="8" t="str">
        <f t="shared" si="237"/>
        <v/>
      </c>
      <c r="Q928" s="40" t="str">
        <f t="shared" si="228"/>
        <v/>
      </c>
      <c r="R928" s="48" t="str">
        <f t="shared" si="238"/>
        <v/>
      </c>
      <c r="S928" s="8"/>
      <c r="U928" s="35">
        <f t="shared" si="229"/>
        <v>0</v>
      </c>
      <c r="V928" s="24">
        <f t="shared" si="230"/>
        <v>0</v>
      </c>
      <c r="W928" s="41">
        <f t="shared" si="241"/>
        <v>0</v>
      </c>
      <c r="X928" s="31"/>
      <c r="Y928" s="31"/>
      <c r="Z928" s="31"/>
      <c r="AA928" s="25">
        <f t="shared" si="231"/>
        <v>9.0359999999999996</v>
      </c>
      <c r="AB928" s="25">
        <f t="shared" si="232"/>
        <v>-184.49199999999999</v>
      </c>
      <c r="AD928" s="24">
        <f>IF(D928="M",IF(AG928&lt;78,BMILMS!$D$5*AG928^3+BMILMS!$E$5*AG928^2+BMILMS!$F$5*AG928+BMILMS!$G$5,IF(AG928&lt;150,BMILMS!$D$6*AG928^3+BMILMS!$E$6*AG928^2+BMILMS!$F$6*AG928+BMILMS!$G$6,BMILMS!$D$7*AG928^3+BMILMS!$E$7*AG928^2+BMILMS!$F$7*AG928+BMILMS!$G$7)),IF(AG928&lt;69,BMILMS!$D$9*AG928^3+BMILMS!$E$9*AG928^2+BMILMS!$F$9*AG928+BMILMS!$G$9,IF(AG928&lt;150,BMILMS!$D$10*AG928^3+BMILMS!$E$10*AG928^2+BMILMS!$F$10*AG928+BMILMS!$G$10,BMILMS!$D$11*AG928^3+BMILMS!$E$11*AG928^2+BMILMS!$F$11*AG928+BMILMS!$G$11)))</f>
        <v>0.79584630099999998</v>
      </c>
      <c r="AE928" s="24">
        <f>IF(D928="M",(IF(AG928&lt;2.5,BMILMS!$D$21*AG928^3+BMILMS!$E$21*AG928^2+BMILMS!$F$21*AG928+BMILMS!$G$21,IF(AG928&lt;9.5,BMILMS!$D$22*AG928^3+BMILMS!$E$22*AG928^2+BMILMS!$F$22*AG928+BMILMS!$G$22,IF(AG928&lt;26.75,BMILMS!$D$23*AG928^3+BMILMS!$E$23*AG928^2+BMILMS!$F$23*AG928+BMILMS!$G$23,IF(AG928&lt;90,BMILMS!$D$24*AG928^3+BMILMS!$E$24*AG928^2+BMILMS!$F$24*AG928+BMILMS!$G$24,BMILMS!$D$25*AG928^3+BMILMS!$E$25*AG928^2+BMILMS!$F$25*AG928+BMILMS!$G$25))))),(IF(AG928&lt;2.5,BMILMS!$D$27*AG928^3+BMILMS!$E$27*AG928^2+BMILMS!$F$27*AG928+BMILMS!$G$27,IF(AG928&lt;9.5,BMILMS!$D$28*AG928^3+BMILMS!$E$28*AG928^2+BMILMS!$F$28*AG928+BMILMS!$G$28,IF(AG928&lt;26.75,BMILMS!$D$29*AG928^3+BMILMS!$E$29*AG928^2+BMILMS!$F$29*AG928+BMILMS!$G$29,IF(AG928&lt;90,BMILMS!$D$30*AG928^3+BMILMS!$E$30*AG928^2+BMILMS!$F$30*AG928+BMILMS!$G$30,IF(AG928&lt;150,BMILMS!$D$31*AG928^3+BMILMS!$E$31*AG928^2+BMILMS!$F$31*AG928+BMILMS!$G$31,BMILMS!$D$32*AG928^3+BMILMS!$E$32*AG928^2+BMILMS!$F$32*AG928+BMILMS!$G$32)))))))</f>
        <v>12.568967990000001</v>
      </c>
      <c r="AF928" s="24">
        <f>IF(D928="M",(IF(AG928&lt;90,BMILMS!$D$14*AG928^3+BMILMS!$E$14*AG928^2+BMILMS!$F$14*AG928+BMILMS!$G$14,BMILMS!$D$15*AG928^3+BMILMS!$E$15*AG928^2+BMILMS!$F$15*AG928+BMILMS!$G$15)),(IF(AG928&lt;90,BMILMS!$D$17*AG928^3+BMILMS!$E$17*AG928^2+BMILMS!$F$17*AG928+BMILMS!$G$17,BMILMS!$D$18*AG928^3+BMILMS!$E$18*AG928^2+BMILMS!$F$18*AG928+BMILMS!$G$18)))</f>
        <v>8.8969350000000003E-2</v>
      </c>
      <c r="AG928" s="24">
        <f t="shared" si="240"/>
        <v>0</v>
      </c>
      <c r="AI928" s="38">
        <f>IF(D928="M",WeightSDS!P$5*$AG928^7+WeightSDS!Q$5*$AG928^6+WeightSDS!R$5*$AG928^5+WeightSDS!S$5*$AG928^4+WeightSDS!T$5*$AG928^3+WeightSDS!U$5*$AG928^2+WeightSDS!V$5*$AG928+WeightSDS!W$5,IF($AG928&lt;186,WeightSDS!P$8*$AG928^7+WeightSDS!Q$8*$AG928^6+WeightSDS!R$8*$AG928^5+WeightSDS!S$8*$AG928^4+WeightSDS!T$8*$AG928^3+WeightSDS!U$8*$AG928^2+WeightSDS!V$8*$AG928+WeightSDS!W$8,WeightSDS!$U$9-WeightSDS!$V$9*($AG928-WeightSDS!$W$9)))</f>
        <v>0.75407122999999998</v>
      </c>
      <c r="AJ928" s="24">
        <f>IF(D928="M",IF($AG928&lt;45,WeightSDS!M$23*$AG928^10+WeightSDS!N$23*$AG928^9+WeightSDS!O$23*$AG928^8+WeightSDS!P$23*$AG928^7+WeightSDS!Q$23*$AG928^6+WeightSDS!R$23*$AG928^5+WeightSDS!S$23*$AG928^4+WeightSDS!T$23*$AG928^3+WeightSDS!U$23*$AG928^2+WeightSDS!V$23*$AG928+WeightSDS!W$23,IF($AG928&lt;153,WeightSDS!M$25*$AG928^10+WeightSDS!N$25*$AG928^9+WeightSDS!O$25*$AG928^8+WeightSDS!P$25*$AG928^7+WeightSDS!Q$25*$AG928^6+WeightSDS!R$25*$AG928^5+WeightSDS!S$25*$AG928^4+WeightSDS!T$25*$AG928^3+WeightSDS!U$25*$AG928^2+WeightSDS!V$25*$AG928+WeightSDS!W$25,WeightSDS!M$27+WeightSDS!N$27/(1+EXP(WeightSDS!O$27+WeightSDS!P$27*$AG928)))),IF($AG928&lt;43.8,WeightSDS!M$29*$AG928^10+WeightSDS!N$29*$AG928^9+WeightSDS!O$29*$AG928^8+WeightSDS!P$29*$AG928^7+WeightSDS!Q$29*$AG928^6+WeightSDS!R$29*$AG928^5+WeightSDS!S$29*$AG928^4+WeightSDS!T$29*$AG928^3+WeightSDS!U$29*$AG928^2+WeightSDS!V$29*$AG928+WeightSDS!W$29-0.010431*(1-$AG928/210),IF($AG928&lt;123,WeightSDS!M$30*$AG928^10+WeightSDS!N$30*$AG928^9+WeightSDS!O$30*$AG928^8+WeightSDS!P$30*$AG928^7+WeightSDS!Q$30*$AG928^6+WeightSDS!R$30*$AG928^5+WeightSDS!S$30*$AG928^4+WeightSDS!T$30*$AG928^3+WeightSDS!U$30*$AG928^2+WeightSDS!V$30*$AG928+WeightSDS!W$30-0.010431*(1-1/$AG928),WeightSDS!M$32+WeightSDS!N$32/(1+EXP(WeightSDS!O$32+WeightSDS!P$32*$AG928))-0.010431*(1-$AG928/210))))</f>
        <v>2.9500001032655536</v>
      </c>
      <c r="AK928" s="24">
        <f>IF(D928="M",IF($AG928&lt;162,WeightSDS!P$12*$AG928^7+WeightSDS!Q$12*$AG928^6+WeightSDS!R$12*$AG928^5+WeightSDS!S$12*$AG928^4+WeightSDS!T$12*$AG928^3+WeightSDS!U$12*$AG928^2+WeightSDS!V$12*$AG928+WeightSDS!W$12,WeightSDS!P$14*$AG928^7+WeightSDS!Q$14*$AG928^6+WeightSDS!R$14*$AG928^5+WeightSDS!S$14*$AG928^4+WeightSDS!T$14*$AG928^3+WeightSDS!U$14*$AG928^2+WeightSDS!V$14*$AG928+WeightSDS!W$14),IF($AG928&lt;156,WeightSDS!O$17*$AG928^8+WeightSDS!P$17*$AG928^7+WeightSDS!Q$17*$AG928^6+WeightSDS!R$17*$AG928^5+WeightSDS!S$17*$AG928^4+WeightSDS!T$17*$AG928^3+WeightSDS!U$17*$AG928^2+WeightSDS!V$17*$AG928+WeightSDS!W$17,IF($AG928&lt;186,WeightSDS!$U$18+(WeightSDS!$V$18-WeightSDS!$U$18)/24*($AG928-186)+WeightSDS!$W$18*(-$AG928+186)^2-0.005,WeightSDS!$U$18+(WeightSDS!$V$18-WeightSDS!$U$18)/24*($AG928-186)-0.005)))</f>
        <v>0.14604529399999999</v>
      </c>
    </row>
    <row r="929" spans="1:37">
      <c r="A929" s="4"/>
      <c r="B929" s="21"/>
      <c r="C929" s="21"/>
      <c r="D929" s="21"/>
      <c r="E929" s="22"/>
      <c r="F929" s="22"/>
      <c r="G929" s="23"/>
      <c r="H929" s="23"/>
      <c r="I929" s="8" t="str">
        <f t="shared" si="226"/>
        <v/>
      </c>
      <c r="J929" s="2" t="str">
        <f t="shared" si="233"/>
        <v/>
      </c>
      <c r="K929" s="2" t="str">
        <f t="shared" si="227"/>
        <v/>
      </c>
      <c r="L929" s="2" t="str">
        <f t="shared" si="234"/>
        <v/>
      </c>
      <c r="M929" s="2" t="str">
        <f t="shared" si="239"/>
        <v/>
      </c>
      <c r="N929" s="2" t="str">
        <f t="shared" si="235"/>
        <v/>
      </c>
      <c r="O929" s="8" t="str">
        <f t="shared" si="236"/>
        <v/>
      </c>
      <c r="P929" s="8" t="str">
        <f t="shared" si="237"/>
        <v/>
      </c>
      <c r="Q929" s="40" t="str">
        <f t="shared" si="228"/>
        <v/>
      </c>
      <c r="R929" s="48" t="str">
        <f t="shared" si="238"/>
        <v/>
      </c>
      <c r="S929" s="8"/>
      <c r="U929" s="35">
        <f t="shared" si="229"/>
        <v>0</v>
      </c>
      <c r="V929" s="24">
        <f t="shared" si="230"/>
        <v>0</v>
      </c>
      <c r="W929" s="41">
        <f t="shared" si="241"/>
        <v>0</v>
      </c>
      <c r="X929" s="31"/>
      <c r="Y929" s="31"/>
      <c r="Z929" s="31"/>
      <c r="AA929" s="25">
        <f t="shared" si="231"/>
        <v>9.0359999999999996</v>
      </c>
      <c r="AB929" s="25">
        <f t="shared" si="232"/>
        <v>-184.49199999999999</v>
      </c>
      <c r="AD929" s="24">
        <f>IF(D929="M",IF(AG929&lt;78,BMILMS!$D$5*AG929^3+BMILMS!$E$5*AG929^2+BMILMS!$F$5*AG929+BMILMS!$G$5,IF(AG929&lt;150,BMILMS!$D$6*AG929^3+BMILMS!$E$6*AG929^2+BMILMS!$F$6*AG929+BMILMS!$G$6,BMILMS!$D$7*AG929^3+BMILMS!$E$7*AG929^2+BMILMS!$F$7*AG929+BMILMS!$G$7)),IF(AG929&lt;69,BMILMS!$D$9*AG929^3+BMILMS!$E$9*AG929^2+BMILMS!$F$9*AG929+BMILMS!$G$9,IF(AG929&lt;150,BMILMS!$D$10*AG929^3+BMILMS!$E$10*AG929^2+BMILMS!$F$10*AG929+BMILMS!$G$10,BMILMS!$D$11*AG929^3+BMILMS!$E$11*AG929^2+BMILMS!$F$11*AG929+BMILMS!$G$11)))</f>
        <v>0.79584630099999998</v>
      </c>
      <c r="AE929" s="24">
        <f>IF(D929="M",(IF(AG929&lt;2.5,BMILMS!$D$21*AG929^3+BMILMS!$E$21*AG929^2+BMILMS!$F$21*AG929+BMILMS!$G$21,IF(AG929&lt;9.5,BMILMS!$D$22*AG929^3+BMILMS!$E$22*AG929^2+BMILMS!$F$22*AG929+BMILMS!$G$22,IF(AG929&lt;26.75,BMILMS!$D$23*AG929^3+BMILMS!$E$23*AG929^2+BMILMS!$F$23*AG929+BMILMS!$G$23,IF(AG929&lt;90,BMILMS!$D$24*AG929^3+BMILMS!$E$24*AG929^2+BMILMS!$F$24*AG929+BMILMS!$G$24,BMILMS!$D$25*AG929^3+BMILMS!$E$25*AG929^2+BMILMS!$F$25*AG929+BMILMS!$G$25))))),(IF(AG929&lt;2.5,BMILMS!$D$27*AG929^3+BMILMS!$E$27*AG929^2+BMILMS!$F$27*AG929+BMILMS!$G$27,IF(AG929&lt;9.5,BMILMS!$D$28*AG929^3+BMILMS!$E$28*AG929^2+BMILMS!$F$28*AG929+BMILMS!$G$28,IF(AG929&lt;26.75,BMILMS!$D$29*AG929^3+BMILMS!$E$29*AG929^2+BMILMS!$F$29*AG929+BMILMS!$G$29,IF(AG929&lt;90,BMILMS!$D$30*AG929^3+BMILMS!$E$30*AG929^2+BMILMS!$F$30*AG929+BMILMS!$G$30,IF(AG929&lt;150,BMILMS!$D$31*AG929^3+BMILMS!$E$31*AG929^2+BMILMS!$F$31*AG929+BMILMS!$G$31,BMILMS!$D$32*AG929^3+BMILMS!$E$32*AG929^2+BMILMS!$F$32*AG929+BMILMS!$G$32)))))))</f>
        <v>12.568967990000001</v>
      </c>
      <c r="AF929" s="24">
        <f>IF(D929="M",(IF(AG929&lt;90,BMILMS!$D$14*AG929^3+BMILMS!$E$14*AG929^2+BMILMS!$F$14*AG929+BMILMS!$G$14,BMILMS!$D$15*AG929^3+BMILMS!$E$15*AG929^2+BMILMS!$F$15*AG929+BMILMS!$G$15)),(IF(AG929&lt;90,BMILMS!$D$17*AG929^3+BMILMS!$E$17*AG929^2+BMILMS!$F$17*AG929+BMILMS!$G$17,BMILMS!$D$18*AG929^3+BMILMS!$E$18*AG929^2+BMILMS!$F$18*AG929+BMILMS!$G$18)))</f>
        <v>8.8969350000000003E-2</v>
      </c>
      <c r="AG929" s="24">
        <f t="shared" si="240"/>
        <v>0</v>
      </c>
      <c r="AI929" s="38">
        <f>IF(D929="M",WeightSDS!P$5*$AG929^7+WeightSDS!Q$5*$AG929^6+WeightSDS!R$5*$AG929^5+WeightSDS!S$5*$AG929^4+WeightSDS!T$5*$AG929^3+WeightSDS!U$5*$AG929^2+WeightSDS!V$5*$AG929+WeightSDS!W$5,IF($AG929&lt;186,WeightSDS!P$8*$AG929^7+WeightSDS!Q$8*$AG929^6+WeightSDS!R$8*$AG929^5+WeightSDS!S$8*$AG929^4+WeightSDS!T$8*$AG929^3+WeightSDS!U$8*$AG929^2+WeightSDS!V$8*$AG929+WeightSDS!W$8,WeightSDS!$U$9-WeightSDS!$V$9*($AG929-WeightSDS!$W$9)))</f>
        <v>0.75407122999999998</v>
      </c>
      <c r="AJ929" s="24">
        <f>IF(D929="M",IF($AG929&lt;45,WeightSDS!M$23*$AG929^10+WeightSDS!N$23*$AG929^9+WeightSDS!O$23*$AG929^8+WeightSDS!P$23*$AG929^7+WeightSDS!Q$23*$AG929^6+WeightSDS!R$23*$AG929^5+WeightSDS!S$23*$AG929^4+WeightSDS!T$23*$AG929^3+WeightSDS!U$23*$AG929^2+WeightSDS!V$23*$AG929+WeightSDS!W$23,IF($AG929&lt;153,WeightSDS!M$25*$AG929^10+WeightSDS!N$25*$AG929^9+WeightSDS!O$25*$AG929^8+WeightSDS!P$25*$AG929^7+WeightSDS!Q$25*$AG929^6+WeightSDS!R$25*$AG929^5+WeightSDS!S$25*$AG929^4+WeightSDS!T$25*$AG929^3+WeightSDS!U$25*$AG929^2+WeightSDS!V$25*$AG929+WeightSDS!W$25,WeightSDS!M$27+WeightSDS!N$27/(1+EXP(WeightSDS!O$27+WeightSDS!P$27*$AG929)))),IF($AG929&lt;43.8,WeightSDS!M$29*$AG929^10+WeightSDS!N$29*$AG929^9+WeightSDS!O$29*$AG929^8+WeightSDS!P$29*$AG929^7+WeightSDS!Q$29*$AG929^6+WeightSDS!R$29*$AG929^5+WeightSDS!S$29*$AG929^4+WeightSDS!T$29*$AG929^3+WeightSDS!U$29*$AG929^2+WeightSDS!V$29*$AG929+WeightSDS!W$29-0.010431*(1-$AG929/210),IF($AG929&lt;123,WeightSDS!M$30*$AG929^10+WeightSDS!N$30*$AG929^9+WeightSDS!O$30*$AG929^8+WeightSDS!P$30*$AG929^7+WeightSDS!Q$30*$AG929^6+WeightSDS!R$30*$AG929^5+WeightSDS!S$30*$AG929^4+WeightSDS!T$30*$AG929^3+WeightSDS!U$30*$AG929^2+WeightSDS!V$30*$AG929+WeightSDS!W$30-0.010431*(1-1/$AG929),WeightSDS!M$32+WeightSDS!N$32/(1+EXP(WeightSDS!O$32+WeightSDS!P$32*$AG929))-0.010431*(1-$AG929/210))))</f>
        <v>2.9500001032655536</v>
      </c>
      <c r="AK929" s="24">
        <f>IF(D929="M",IF($AG929&lt;162,WeightSDS!P$12*$AG929^7+WeightSDS!Q$12*$AG929^6+WeightSDS!R$12*$AG929^5+WeightSDS!S$12*$AG929^4+WeightSDS!T$12*$AG929^3+WeightSDS!U$12*$AG929^2+WeightSDS!V$12*$AG929+WeightSDS!W$12,WeightSDS!P$14*$AG929^7+WeightSDS!Q$14*$AG929^6+WeightSDS!R$14*$AG929^5+WeightSDS!S$14*$AG929^4+WeightSDS!T$14*$AG929^3+WeightSDS!U$14*$AG929^2+WeightSDS!V$14*$AG929+WeightSDS!W$14),IF($AG929&lt;156,WeightSDS!O$17*$AG929^8+WeightSDS!P$17*$AG929^7+WeightSDS!Q$17*$AG929^6+WeightSDS!R$17*$AG929^5+WeightSDS!S$17*$AG929^4+WeightSDS!T$17*$AG929^3+WeightSDS!U$17*$AG929^2+WeightSDS!V$17*$AG929+WeightSDS!W$17,IF($AG929&lt;186,WeightSDS!$U$18+(WeightSDS!$V$18-WeightSDS!$U$18)/24*($AG929-186)+WeightSDS!$W$18*(-$AG929+186)^2-0.005,WeightSDS!$U$18+(WeightSDS!$V$18-WeightSDS!$U$18)/24*($AG929-186)-0.005)))</f>
        <v>0.14604529399999999</v>
      </c>
    </row>
    <row r="930" spans="1:37">
      <c r="A930" s="4"/>
      <c r="B930" s="21"/>
      <c r="C930" s="21"/>
      <c r="D930" s="21"/>
      <c r="E930" s="22"/>
      <c r="F930" s="22"/>
      <c r="G930" s="23"/>
      <c r="H930" s="23"/>
      <c r="I930" s="8" t="str">
        <f t="shared" si="226"/>
        <v/>
      </c>
      <c r="J930" s="2" t="str">
        <f t="shared" si="233"/>
        <v/>
      </c>
      <c r="K930" s="2" t="str">
        <f t="shared" si="227"/>
        <v/>
      </c>
      <c r="L930" s="2" t="str">
        <f t="shared" si="234"/>
        <v/>
      </c>
      <c r="M930" s="2" t="str">
        <f t="shared" si="239"/>
        <v/>
      </c>
      <c r="N930" s="2" t="str">
        <f t="shared" si="235"/>
        <v/>
      </c>
      <c r="O930" s="8" t="str">
        <f t="shared" si="236"/>
        <v/>
      </c>
      <c r="P930" s="8" t="str">
        <f t="shared" si="237"/>
        <v/>
      </c>
      <c r="Q930" s="40" t="str">
        <f t="shared" si="228"/>
        <v/>
      </c>
      <c r="R930" s="48" t="str">
        <f t="shared" si="238"/>
        <v/>
      </c>
      <c r="S930" s="8"/>
      <c r="U930" s="35">
        <f t="shared" si="229"/>
        <v>0</v>
      </c>
      <c r="V930" s="24">
        <f t="shared" si="230"/>
        <v>0</v>
      </c>
      <c r="W930" s="41">
        <f t="shared" si="241"/>
        <v>0</v>
      </c>
      <c r="X930" s="31"/>
      <c r="Y930" s="31"/>
      <c r="Z930" s="31"/>
      <c r="AA930" s="25">
        <f t="shared" si="231"/>
        <v>9.0359999999999996</v>
      </c>
      <c r="AB930" s="25">
        <f t="shared" si="232"/>
        <v>-184.49199999999999</v>
      </c>
      <c r="AD930" s="24">
        <f>IF(D930="M",IF(AG930&lt;78,BMILMS!$D$5*AG930^3+BMILMS!$E$5*AG930^2+BMILMS!$F$5*AG930+BMILMS!$G$5,IF(AG930&lt;150,BMILMS!$D$6*AG930^3+BMILMS!$E$6*AG930^2+BMILMS!$F$6*AG930+BMILMS!$G$6,BMILMS!$D$7*AG930^3+BMILMS!$E$7*AG930^2+BMILMS!$F$7*AG930+BMILMS!$G$7)),IF(AG930&lt;69,BMILMS!$D$9*AG930^3+BMILMS!$E$9*AG930^2+BMILMS!$F$9*AG930+BMILMS!$G$9,IF(AG930&lt;150,BMILMS!$D$10*AG930^3+BMILMS!$E$10*AG930^2+BMILMS!$F$10*AG930+BMILMS!$G$10,BMILMS!$D$11*AG930^3+BMILMS!$E$11*AG930^2+BMILMS!$F$11*AG930+BMILMS!$G$11)))</f>
        <v>0.79584630099999998</v>
      </c>
      <c r="AE930" s="24">
        <f>IF(D930="M",(IF(AG930&lt;2.5,BMILMS!$D$21*AG930^3+BMILMS!$E$21*AG930^2+BMILMS!$F$21*AG930+BMILMS!$G$21,IF(AG930&lt;9.5,BMILMS!$D$22*AG930^3+BMILMS!$E$22*AG930^2+BMILMS!$F$22*AG930+BMILMS!$G$22,IF(AG930&lt;26.75,BMILMS!$D$23*AG930^3+BMILMS!$E$23*AG930^2+BMILMS!$F$23*AG930+BMILMS!$G$23,IF(AG930&lt;90,BMILMS!$D$24*AG930^3+BMILMS!$E$24*AG930^2+BMILMS!$F$24*AG930+BMILMS!$G$24,BMILMS!$D$25*AG930^3+BMILMS!$E$25*AG930^2+BMILMS!$F$25*AG930+BMILMS!$G$25))))),(IF(AG930&lt;2.5,BMILMS!$D$27*AG930^3+BMILMS!$E$27*AG930^2+BMILMS!$F$27*AG930+BMILMS!$G$27,IF(AG930&lt;9.5,BMILMS!$D$28*AG930^3+BMILMS!$E$28*AG930^2+BMILMS!$F$28*AG930+BMILMS!$G$28,IF(AG930&lt;26.75,BMILMS!$D$29*AG930^3+BMILMS!$E$29*AG930^2+BMILMS!$F$29*AG930+BMILMS!$G$29,IF(AG930&lt;90,BMILMS!$D$30*AG930^3+BMILMS!$E$30*AG930^2+BMILMS!$F$30*AG930+BMILMS!$G$30,IF(AG930&lt;150,BMILMS!$D$31*AG930^3+BMILMS!$E$31*AG930^2+BMILMS!$F$31*AG930+BMILMS!$G$31,BMILMS!$D$32*AG930^3+BMILMS!$E$32*AG930^2+BMILMS!$F$32*AG930+BMILMS!$G$32)))))))</f>
        <v>12.568967990000001</v>
      </c>
      <c r="AF930" s="24">
        <f>IF(D930="M",(IF(AG930&lt;90,BMILMS!$D$14*AG930^3+BMILMS!$E$14*AG930^2+BMILMS!$F$14*AG930+BMILMS!$G$14,BMILMS!$D$15*AG930^3+BMILMS!$E$15*AG930^2+BMILMS!$F$15*AG930+BMILMS!$G$15)),(IF(AG930&lt;90,BMILMS!$D$17*AG930^3+BMILMS!$E$17*AG930^2+BMILMS!$F$17*AG930+BMILMS!$G$17,BMILMS!$D$18*AG930^3+BMILMS!$E$18*AG930^2+BMILMS!$F$18*AG930+BMILMS!$G$18)))</f>
        <v>8.8969350000000003E-2</v>
      </c>
      <c r="AG930" s="24">
        <f t="shared" si="240"/>
        <v>0</v>
      </c>
      <c r="AI930" s="38">
        <f>IF(D930="M",WeightSDS!P$5*$AG930^7+WeightSDS!Q$5*$AG930^6+WeightSDS!R$5*$AG930^5+WeightSDS!S$5*$AG930^4+WeightSDS!T$5*$AG930^3+WeightSDS!U$5*$AG930^2+WeightSDS!V$5*$AG930+WeightSDS!W$5,IF($AG930&lt;186,WeightSDS!P$8*$AG930^7+WeightSDS!Q$8*$AG930^6+WeightSDS!R$8*$AG930^5+WeightSDS!S$8*$AG930^4+WeightSDS!T$8*$AG930^3+WeightSDS!U$8*$AG930^2+WeightSDS!V$8*$AG930+WeightSDS!W$8,WeightSDS!$U$9-WeightSDS!$V$9*($AG930-WeightSDS!$W$9)))</f>
        <v>0.75407122999999998</v>
      </c>
      <c r="AJ930" s="24">
        <f>IF(D930="M",IF($AG930&lt;45,WeightSDS!M$23*$AG930^10+WeightSDS!N$23*$AG930^9+WeightSDS!O$23*$AG930^8+WeightSDS!P$23*$AG930^7+WeightSDS!Q$23*$AG930^6+WeightSDS!R$23*$AG930^5+WeightSDS!S$23*$AG930^4+WeightSDS!T$23*$AG930^3+WeightSDS!U$23*$AG930^2+WeightSDS!V$23*$AG930+WeightSDS!W$23,IF($AG930&lt;153,WeightSDS!M$25*$AG930^10+WeightSDS!N$25*$AG930^9+WeightSDS!O$25*$AG930^8+WeightSDS!P$25*$AG930^7+WeightSDS!Q$25*$AG930^6+WeightSDS!R$25*$AG930^5+WeightSDS!S$25*$AG930^4+WeightSDS!T$25*$AG930^3+WeightSDS!U$25*$AG930^2+WeightSDS!V$25*$AG930+WeightSDS!W$25,WeightSDS!M$27+WeightSDS!N$27/(1+EXP(WeightSDS!O$27+WeightSDS!P$27*$AG930)))),IF($AG930&lt;43.8,WeightSDS!M$29*$AG930^10+WeightSDS!N$29*$AG930^9+WeightSDS!O$29*$AG930^8+WeightSDS!P$29*$AG930^7+WeightSDS!Q$29*$AG930^6+WeightSDS!R$29*$AG930^5+WeightSDS!S$29*$AG930^4+WeightSDS!T$29*$AG930^3+WeightSDS!U$29*$AG930^2+WeightSDS!V$29*$AG930+WeightSDS!W$29-0.010431*(1-$AG930/210),IF($AG930&lt;123,WeightSDS!M$30*$AG930^10+WeightSDS!N$30*$AG930^9+WeightSDS!O$30*$AG930^8+WeightSDS!P$30*$AG930^7+WeightSDS!Q$30*$AG930^6+WeightSDS!R$30*$AG930^5+WeightSDS!S$30*$AG930^4+WeightSDS!T$30*$AG930^3+WeightSDS!U$30*$AG930^2+WeightSDS!V$30*$AG930+WeightSDS!W$30-0.010431*(1-1/$AG930),WeightSDS!M$32+WeightSDS!N$32/(1+EXP(WeightSDS!O$32+WeightSDS!P$32*$AG930))-0.010431*(1-$AG930/210))))</f>
        <v>2.9500001032655536</v>
      </c>
      <c r="AK930" s="24">
        <f>IF(D930="M",IF($AG930&lt;162,WeightSDS!P$12*$AG930^7+WeightSDS!Q$12*$AG930^6+WeightSDS!R$12*$AG930^5+WeightSDS!S$12*$AG930^4+WeightSDS!T$12*$AG930^3+WeightSDS!U$12*$AG930^2+WeightSDS!V$12*$AG930+WeightSDS!W$12,WeightSDS!P$14*$AG930^7+WeightSDS!Q$14*$AG930^6+WeightSDS!R$14*$AG930^5+WeightSDS!S$14*$AG930^4+WeightSDS!T$14*$AG930^3+WeightSDS!U$14*$AG930^2+WeightSDS!V$14*$AG930+WeightSDS!W$14),IF($AG930&lt;156,WeightSDS!O$17*$AG930^8+WeightSDS!P$17*$AG930^7+WeightSDS!Q$17*$AG930^6+WeightSDS!R$17*$AG930^5+WeightSDS!S$17*$AG930^4+WeightSDS!T$17*$AG930^3+WeightSDS!U$17*$AG930^2+WeightSDS!V$17*$AG930+WeightSDS!W$17,IF($AG930&lt;186,WeightSDS!$U$18+(WeightSDS!$V$18-WeightSDS!$U$18)/24*($AG930-186)+WeightSDS!$W$18*(-$AG930+186)^2-0.005,WeightSDS!$U$18+(WeightSDS!$V$18-WeightSDS!$U$18)/24*($AG930-186)-0.005)))</f>
        <v>0.14604529399999999</v>
      </c>
    </row>
    <row r="931" spans="1:37">
      <c r="A931" s="4"/>
      <c r="B931" s="21"/>
      <c r="C931" s="21"/>
      <c r="D931" s="21"/>
      <c r="E931" s="22"/>
      <c r="F931" s="22"/>
      <c r="G931" s="23"/>
      <c r="H931" s="23"/>
      <c r="I931" s="8" t="str">
        <f t="shared" si="226"/>
        <v/>
      </c>
      <c r="J931" s="2" t="str">
        <f t="shared" si="233"/>
        <v/>
      </c>
      <c r="K931" s="2" t="str">
        <f t="shared" si="227"/>
        <v/>
      </c>
      <c r="L931" s="2" t="str">
        <f t="shared" si="234"/>
        <v/>
      </c>
      <c r="M931" s="2" t="str">
        <f t="shared" si="239"/>
        <v/>
      </c>
      <c r="N931" s="2" t="str">
        <f t="shared" si="235"/>
        <v/>
      </c>
      <c r="O931" s="8" t="str">
        <f t="shared" si="236"/>
        <v/>
      </c>
      <c r="P931" s="8" t="str">
        <f t="shared" si="237"/>
        <v/>
      </c>
      <c r="Q931" s="40" t="str">
        <f t="shared" si="228"/>
        <v/>
      </c>
      <c r="R931" s="48" t="str">
        <f t="shared" si="238"/>
        <v/>
      </c>
      <c r="S931" s="8"/>
      <c r="U931" s="35">
        <f t="shared" si="229"/>
        <v>0</v>
      </c>
      <c r="V931" s="24">
        <f t="shared" si="230"/>
        <v>0</v>
      </c>
      <c r="W931" s="41">
        <f t="shared" si="241"/>
        <v>0</v>
      </c>
      <c r="X931" s="31"/>
      <c r="Y931" s="31"/>
      <c r="Z931" s="31"/>
      <c r="AA931" s="25">
        <f t="shared" si="231"/>
        <v>9.0359999999999996</v>
      </c>
      <c r="AB931" s="25">
        <f t="shared" si="232"/>
        <v>-184.49199999999999</v>
      </c>
      <c r="AD931" s="24">
        <f>IF(D931="M",IF(AG931&lt;78,BMILMS!$D$5*AG931^3+BMILMS!$E$5*AG931^2+BMILMS!$F$5*AG931+BMILMS!$G$5,IF(AG931&lt;150,BMILMS!$D$6*AG931^3+BMILMS!$E$6*AG931^2+BMILMS!$F$6*AG931+BMILMS!$G$6,BMILMS!$D$7*AG931^3+BMILMS!$E$7*AG931^2+BMILMS!$F$7*AG931+BMILMS!$G$7)),IF(AG931&lt;69,BMILMS!$D$9*AG931^3+BMILMS!$E$9*AG931^2+BMILMS!$F$9*AG931+BMILMS!$G$9,IF(AG931&lt;150,BMILMS!$D$10*AG931^3+BMILMS!$E$10*AG931^2+BMILMS!$F$10*AG931+BMILMS!$G$10,BMILMS!$D$11*AG931^3+BMILMS!$E$11*AG931^2+BMILMS!$F$11*AG931+BMILMS!$G$11)))</f>
        <v>0.79584630099999998</v>
      </c>
      <c r="AE931" s="24">
        <f>IF(D931="M",(IF(AG931&lt;2.5,BMILMS!$D$21*AG931^3+BMILMS!$E$21*AG931^2+BMILMS!$F$21*AG931+BMILMS!$G$21,IF(AG931&lt;9.5,BMILMS!$D$22*AG931^3+BMILMS!$E$22*AG931^2+BMILMS!$F$22*AG931+BMILMS!$G$22,IF(AG931&lt;26.75,BMILMS!$D$23*AG931^3+BMILMS!$E$23*AG931^2+BMILMS!$F$23*AG931+BMILMS!$G$23,IF(AG931&lt;90,BMILMS!$D$24*AG931^3+BMILMS!$E$24*AG931^2+BMILMS!$F$24*AG931+BMILMS!$G$24,BMILMS!$D$25*AG931^3+BMILMS!$E$25*AG931^2+BMILMS!$F$25*AG931+BMILMS!$G$25))))),(IF(AG931&lt;2.5,BMILMS!$D$27*AG931^3+BMILMS!$E$27*AG931^2+BMILMS!$F$27*AG931+BMILMS!$G$27,IF(AG931&lt;9.5,BMILMS!$D$28*AG931^3+BMILMS!$E$28*AG931^2+BMILMS!$F$28*AG931+BMILMS!$G$28,IF(AG931&lt;26.75,BMILMS!$D$29*AG931^3+BMILMS!$E$29*AG931^2+BMILMS!$F$29*AG931+BMILMS!$G$29,IF(AG931&lt;90,BMILMS!$D$30*AG931^3+BMILMS!$E$30*AG931^2+BMILMS!$F$30*AG931+BMILMS!$G$30,IF(AG931&lt;150,BMILMS!$D$31*AG931^3+BMILMS!$E$31*AG931^2+BMILMS!$F$31*AG931+BMILMS!$G$31,BMILMS!$D$32*AG931^3+BMILMS!$E$32*AG931^2+BMILMS!$F$32*AG931+BMILMS!$G$32)))))))</f>
        <v>12.568967990000001</v>
      </c>
      <c r="AF931" s="24">
        <f>IF(D931="M",(IF(AG931&lt;90,BMILMS!$D$14*AG931^3+BMILMS!$E$14*AG931^2+BMILMS!$F$14*AG931+BMILMS!$G$14,BMILMS!$D$15*AG931^3+BMILMS!$E$15*AG931^2+BMILMS!$F$15*AG931+BMILMS!$G$15)),(IF(AG931&lt;90,BMILMS!$D$17*AG931^3+BMILMS!$E$17*AG931^2+BMILMS!$F$17*AG931+BMILMS!$G$17,BMILMS!$D$18*AG931^3+BMILMS!$E$18*AG931^2+BMILMS!$F$18*AG931+BMILMS!$G$18)))</f>
        <v>8.8969350000000003E-2</v>
      </c>
      <c r="AG931" s="24">
        <f t="shared" si="240"/>
        <v>0</v>
      </c>
      <c r="AI931" s="38">
        <f>IF(D931="M",WeightSDS!P$5*$AG931^7+WeightSDS!Q$5*$AG931^6+WeightSDS!R$5*$AG931^5+WeightSDS!S$5*$AG931^4+WeightSDS!T$5*$AG931^3+WeightSDS!U$5*$AG931^2+WeightSDS!V$5*$AG931+WeightSDS!W$5,IF($AG931&lt;186,WeightSDS!P$8*$AG931^7+WeightSDS!Q$8*$AG931^6+WeightSDS!R$8*$AG931^5+WeightSDS!S$8*$AG931^4+WeightSDS!T$8*$AG931^3+WeightSDS!U$8*$AG931^2+WeightSDS!V$8*$AG931+WeightSDS!W$8,WeightSDS!$U$9-WeightSDS!$V$9*($AG931-WeightSDS!$W$9)))</f>
        <v>0.75407122999999998</v>
      </c>
      <c r="AJ931" s="24">
        <f>IF(D931="M",IF($AG931&lt;45,WeightSDS!M$23*$AG931^10+WeightSDS!N$23*$AG931^9+WeightSDS!O$23*$AG931^8+WeightSDS!P$23*$AG931^7+WeightSDS!Q$23*$AG931^6+WeightSDS!R$23*$AG931^5+WeightSDS!S$23*$AG931^4+WeightSDS!T$23*$AG931^3+WeightSDS!U$23*$AG931^2+WeightSDS!V$23*$AG931+WeightSDS!W$23,IF($AG931&lt;153,WeightSDS!M$25*$AG931^10+WeightSDS!N$25*$AG931^9+WeightSDS!O$25*$AG931^8+WeightSDS!P$25*$AG931^7+WeightSDS!Q$25*$AG931^6+WeightSDS!R$25*$AG931^5+WeightSDS!S$25*$AG931^4+WeightSDS!T$25*$AG931^3+WeightSDS!U$25*$AG931^2+WeightSDS!V$25*$AG931+WeightSDS!W$25,WeightSDS!M$27+WeightSDS!N$27/(1+EXP(WeightSDS!O$27+WeightSDS!P$27*$AG931)))),IF($AG931&lt;43.8,WeightSDS!M$29*$AG931^10+WeightSDS!N$29*$AG931^9+WeightSDS!O$29*$AG931^8+WeightSDS!P$29*$AG931^7+WeightSDS!Q$29*$AG931^6+WeightSDS!R$29*$AG931^5+WeightSDS!S$29*$AG931^4+WeightSDS!T$29*$AG931^3+WeightSDS!U$29*$AG931^2+WeightSDS!V$29*$AG931+WeightSDS!W$29-0.010431*(1-$AG931/210),IF($AG931&lt;123,WeightSDS!M$30*$AG931^10+WeightSDS!N$30*$AG931^9+WeightSDS!O$30*$AG931^8+WeightSDS!P$30*$AG931^7+WeightSDS!Q$30*$AG931^6+WeightSDS!R$30*$AG931^5+WeightSDS!S$30*$AG931^4+WeightSDS!T$30*$AG931^3+WeightSDS!U$30*$AG931^2+WeightSDS!V$30*$AG931+WeightSDS!W$30-0.010431*(1-1/$AG931),WeightSDS!M$32+WeightSDS!N$32/(1+EXP(WeightSDS!O$32+WeightSDS!P$32*$AG931))-0.010431*(1-$AG931/210))))</f>
        <v>2.9500001032655536</v>
      </c>
      <c r="AK931" s="24">
        <f>IF(D931="M",IF($AG931&lt;162,WeightSDS!P$12*$AG931^7+WeightSDS!Q$12*$AG931^6+WeightSDS!R$12*$AG931^5+WeightSDS!S$12*$AG931^4+WeightSDS!T$12*$AG931^3+WeightSDS!U$12*$AG931^2+WeightSDS!V$12*$AG931+WeightSDS!W$12,WeightSDS!P$14*$AG931^7+WeightSDS!Q$14*$AG931^6+WeightSDS!R$14*$AG931^5+WeightSDS!S$14*$AG931^4+WeightSDS!T$14*$AG931^3+WeightSDS!U$14*$AG931^2+WeightSDS!V$14*$AG931+WeightSDS!W$14),IF($AG931&lt;156,WeightSDS!O$17*$AG931^8+WeightSDS!P$17*$AG931^7+WeightSDS!Q$17*$AG931^6+WeightSDS!R$17*$AG931^5+WeightSDS!S$17*$AG931^4+WeightSDS!T$17*$AG931^3+WeightSDS!U$17*$AG931^2+WeightSDS!V$17*$AG931+WeightSDS!W$17,IF($AG931&lt;186,WeightSDS!$U$18+(WeightSDS!$V$18-WeightSDS!$U$18)/24*($AG931-186)+WeightSDS!$W$18*(-$AG931+186)^2-0.005,WeightSDS!$U$18+(WeightSDS!$V$18-WeightSDS!$U$18)/24*($AG931-186)-0.005)))</f>
        <v>0.14604529399999999</v>
      </c>
    </row>
    <row r="932" spans="1:37">
      <c r="A932" s="4"/>
      <c r="B932" s="21"/>
      <c r="C932" s="21"/>
      <c r="D932" s="21"/>
      <c r="E932" s="22"/>
      <c r="F932" s="22"/>
      <c r="G932" s="23"/>
      <c r="H932" s="23"/>
      <c r="I932" s="8" t="str">
        <f t="shared" si="226"/>
        <v/>
      </c>
      <c r="J932" s="2" t="str">
        <f t="shared" si="233"/>
        <v/>
      </c>
      <c r="K932" s="2" t="str">
        <f t="shared" si="227"/>
        <v/>
      </c>
      <c r="L932" s="2" t="str">
        <f t="shared" si="234"/>
        <v/>
      </c>
      <c r="M932" s="2" t="str">
        <f t="shared" si="239"/>
        <v/>
      </c>
      <c r="N932" s="2" t="str">
        <f t="shared" si="235"/>
        <v/>
      </c>
      <c r="O932" s="8" t="str">
        <f t="shared" si="236"/>
        <v/>
      </c>
      <c r="P932" s="8" t="str">
        <f t="shared" si="237"/>
        <v/>
      </c>
      <c r="Q932" s="40" t="str">
        <f t="shared" si="228"/>
        <v/>
      </c>
      <c r="R932" s="48" t="str">
        <f t="shared" si="238"/>
        <v/>
      </c>
      <c r="S932" s="8"/>
      <c r="U932" s="35">
        <f t="shared" si="229"/>
        <v>0</v>
      </c>
      <c r="V932" s="24">
        <f t="shared" si="230"/>
        <v>0</v>
      </c>
      <c r="W932" s="41">
        <f t="shared" si="241"/>
        <v>0</v>
      </c>
      <c r="X932" s="31"/>
      <c r="Y932" s="31"/>
      <c r="Z932" s="31"/>
      <c r="AA932" s="25">
        <f t="shared" si="231"/>
        <v>9.0359999999999996</v>
      </c>
      <c r="AB932" s="25">
        <f t="shared" si="232"/>
        <v>-184.49199999999999</v>
      </c>
      <c r="AD932" s="24">
        <f>IF(D932="M",IF(AG932&lt;78,BMILMS!$D$5*AG932^3+BMILMS!$E$5*AG932^2+BMILMS!$F$5*AG932+BMILMS!$G$5,IF(AG932&lt;150,BMILMS!$D$6*AG932^3+BMILMS!$E$6*AG932^2+BMILMS!$F$6*AG932+BMILMS!$G$6,BMILMS!$D$7*AG932^3+BMILMS!$E$7*AG932^2+BMILMS!$F$7*AG932+BMILMS!$G$7)),IF(AG932&lt;69,BMILMS!$D$9*AG932^3+BMILMS!$E$9*AG932^2+BMILMS!$F$9*AG932+BMILMS!$G$9,IF(AG932&lt;150,BMILMS!$D$10*AG932^3+BMILMS!$E$10*AG932^2+BMILMS!$F$10*AG932+BMILMS!$G$10,BMILMS!$D$11*AG932^3+BMILMS!$E$11*AG932^2+BMILMS!$F$11*AG932+BMILMS!$G$11)))</f>
        <v>0.79584630099999998</v>
      </c>
      <c r="AE932" s="24">
        <f>IF(D932="M",(IF(AG932&lt;2.5,BMILMS!$D$21*AG932^3+BMILMS!$E$21*AG932^2+BMILMS!$F$21*AG932+BMILMS!$G$21,IF(AG932&lt;9.5,BMILMS!$D$22*AG932^3+BMILMS!$E$22*AG932^2+BMILMS!$F$22*AG932+BMILMS!$G$22,IF(AG932&lt;26.75,BMILMS!$D$23*AG932^3+BMILMS!$E$23*AG932^2+BMILMS!$F$23*AG932+BMILMS!$G$23,IF(AG932&lt;90,BMILMS!$D$24*AG932^3+BMILMS!$E$24*AG932^2+BMILMS!$F$24*AG932+BMILMS!$G$24,BMILMS!$D$25*AG932^3+BMILMS!$E$25*AG932^2+BMILMS!$F$25*AG932+BMILMS!$G$25))))),(IF(AG932&lt;2.5,BMILMS!$D$27*AG932^3+BMILMS!$E$27*AG932^2+BMILMS!$F$27*AG932+BMILMS!$G$27,IF(AG932&lt;9.5,BMILMS!$D$28*AG932^3+BMILMS!$E$28*AG932^2+BMILMS!$F$28*AG932+BMILMS!$G$28,IF(AG932&lt;26.75,BMILMS!$D$29*AG932^3+BMILMS!$E$29*AG932^2+BMILMS!$F$29*AG932+BMILMS!$G$29,IF(AG932&lt;90,BMILMS!$D$30*AG932^3+BMILMS!$E$30*AG932^2+BMILMS!$F$30*AG932+BMILMS!$G$30,IF(AG932&lt;150,BMILMS!$D$31*AG932^3+BMILMS!$E$31*AG932^2+BMILMS!$F$31*AG932+BMILMS!$G$31,BMILMS!$D$32*AG932^3+BMILMS!$E$32*AG932^2+BMILMS!$F$32*AG932+BMILMS!$G$32)))))))</f>
        <v>12.568967990000001</v>
      </c>
      <c r="AF932" s="24">
        <f>IF(D932="M",(IF(AG932&lt;90,BMILMS!$D$14*AG932^3+BMILMS!$E$14*AG932^2+BMILMS!$F$14*AG932+BMILMS!$G$14,BMILMS!$D$15*AG932^3+BMILMS!$E$15*AG932^2+BMILMS!$F$15*AG932+BMILMS!$G$15)),(IF(AG932&lt;90,BMILMS!$D$17*AG932^3+BMILMS!$E$17*AG932^2+BMILMS!$F$17*AG932+BMILMS!$G$17,BMILMS!$D$18*AG932^3+BMILMS!$E$18*AG932^2+BMILMS!$F$18*AG932+BMILMS!$G$18)))</f>
        <v>8.8969350000000003E-2</v>
      </c>
      <c r="AG932" s="24">
        <f t="shared" si="240"/>
        <v>0</v>
      </c>
      <c r="AI932" s="38">
        <f>IF(D932="M",WeightSDS!P$5*$AG932^7+WeightSDS!Q$5*$AG932^6+WeightSDS!R$5*$AG932^5+WeightSDS!S$5*$AG932^4+WeightSDS!T$5*$AG932^3+WeightSDS!U$5*$AG932^2+WeightSDS!V$5*$AG932+WeightSDS!W$5,IF($AG932&lt;186,WeightSDS!P$8*$AG932^7+WeightSDS!Q$8*$AG932^6+WeightSDS!R$8*$AG932^5+WeightSDS!S$8*$AG932^4+WeightSDS!T$8*$AG932^3+WeightSDS!U$8*$AG932^2+WeightSDS!V$8*$AG932+WeightSDS!W$8,WeightSDS!$U$9-WeightSDS!$V$9*($AG932-WeightSDS!$W$9)))</f>
        <v>0.75407122999999998</v>
      </c>
      <c r="AJ932" s="24">
        <f>IF(D932="M",IF($AG932&lt;45,WeightSDS!M$23*$AG932^10+WeightSDS!N$23*$AG932^9+WeightSDS!O$23*$AG932^8+WeightSDS!P$23*$AG932^7+WeightSDS!Q$23*$AG932^6+WeightSDS!R$23*$AG932^5+WeightSDS!S$23*$AG932^4+WeightSDS!T$23*$AG932^3+WeightSDS!U$23*$AG932^2+WeightSDS!V$23*$AG932+WeightSDS!W$23,IF($AG932&lt;153,WeightSDS!M$25*$AG932^10+WeightSDS!N$25*$AG932^9+WeightSDS!O$25*$AG932^8+WeightSDS!P$25*$AG932^7+WeightSDS!Q$25*$AG932^6+WeightSDS!R$25*$AG932^5+WeightSDS!S$25*$AG932^4+WeightSDS!T$25*$AG932^3+WeightSDS!U$25*$AG932^2+WeightSDS!V$25*$AG932+WeightSDS!W$25,WeightSDS!M$27+WeightSDS!N$27/(1+EXP(WeightSDS!O$27+WeightSDS!P$27*$AG932)))),IF($AG932&lt;43.8,WeightSDS!M$29*$AG932^10+WeightSDS!N$29*$AG932^9+WeightSDS!O$29*$AG932^8+WeightSDS!P$29*$AG932^7+WeightSDS!Q$29*$AG932^6+WeightSDS!R$29*$AG932^5+WeightSDS!S$29*$AG932^4+WeightSDS!T$29*$AG932^3+WeightSDS!U$29*$AG932^2+WeightSDS!V$29*$AG932+WeightSDS!W$29-0.010431*(1-$AG932/210),IF($AG932&lt;123,WeightSDS!M$30*$AG932^10+WeightSDS!N$30*$AG932^9+WeightSDS!O$30*$AG932^8+WeightSDS!P$30*$AG932^7+WeightSDS!Q$30*$AG932^6+WeightSDS!R$30*$AG932^5+WeightSDS!S$30*$AG932^4+WeightSDS!T$30*$AG932^3+WeightSDS!U$30*$AG932^2+WeightSDS!V$30*$AG932+WeightSDS!W$30-0.010431*(1-1/$AG932),WeightSDS!M$32+WeightSDS!N$32/(1+EXP(WeightSDS!O$32+WeightSDS!P$32*$AG932))-0.010431*(1-$AG932/210))))</f>
        <v>2.9500001032655536</v>
      </c>
      <c r="AK932" s="24">
        <f>IF(D932="M",IF($AG932&lt;162,WeightSDS!P$12*$AG932^7+WeightSDS!Q$12*$AG932^6+WeightSDS!R$12*$AG932^5+WeightSDS!S$12*$AG932^4+WeightSDS!T$12*$AG932^3+WeightSDS!U$12*$AG932^2+WeightSDS!V$12*$AG932+WeightSDS!W$12,WeightSDS!P$14*$AG932^7+WeightSDS!Q$14*$AG932^6+WeightSDS!R$14*$AG932^5+WeightSDS!S$14*$AG932^4+WeightSDS!T$14*$AG932^3+WeightSDS!U$14*$AG932^2+WeightSDS!V$14*$AG932+WeightSDS!W$14),IF($AG932&lt;156,WeightSDS!O$17*$AG932^8+WeightSDS!P$17*$AG932^7+WeightSDS!Q$17*$AG932^6+WeightSDS!R$17*$AG932^5+WeightSDS!S$17*$AG932^4+WeightSDS!T$17*$AG932^3+WeightSDS!U$17*$AG932^2+WeightSDS!V$17*$AG932+WeightSDS!W$17,IF($AG932&lt;186,WeightSDS!$U$18+(WeightSDS!$V$18-WeightSDS!$U$18)/24*($AG932-186)+WeightSDS!$W$18*(-$AG932+186)^2-0.005,WeightSDS!$U$18+(WeightSDS!$V$18-WeightSDS!$U$18)/24*($AG932-186)-0.005)))</f>
        <v>0.14604529399999999</v>
      </c>
    </row>
    <row r="933" spans="1:37">
      <c r="A933" s="4"/>
      <c r="B933" s="21"/>
      <c r="C933" s="21"/>
      <c r="D933" s="21"/>
      <c r="E933" s="22"/>
      <c r="F933" s="22"/>
      <c r="G933" s="23"/>
      <c r="H933" s="23"/>
      <c r="I933" s="8" t="str">
        <f t="shared" si="226"/>
        <v/>
      </c>
      <c r="J933" s="2" t="str">
        <f t="shared" si="233"/>
        <v/>
      </c>
      <c r="K933" s="2" t="str">
        <f t="shared" si="227"/>
        <v/>
      </c>
      <c r="L933" s="2" t="str">
        <f t="shared" si="234"/>
        <v/>
      </c>
      <c r="M933" s="2" t="str">
        <f t="shared" si="239"/>
        <v/>
      </c>
      <c r="N933" s="2" t="str">
        <f t="shared" si="235"/>
        <v/>
      </c>
      <c r="O933" s="8" t="str">
        <f t="shared" si="236"/>
        <v/>
      </c>
      <c r="P933" s="8" t="str">
        <f t="shared" si="237"/>
        <v/>
      </c>
      <c r="Q933" s="40" t="str">
        <f t="shared" si="228"/>
        <v/>
      </c>
      <c r="R933" s="48" t="str">
        <f t="shared" si="238"/>
        <v/>
      </c>
      <c r="S933" s="8"/>
      <c r="U933" s="35">
        <f t="shared" si="229"/>
        <v>0</v>
      </c>
      <c r="V933" s="24">
        <f t="shared" si="230"/>
        <v>0</v>
      </c>
      <c r="W933" s="41">
        <f t="shared" si="241"/>
        <v>0</v>
      </c>
      <c r="X933" s="31"/>
      <c r="Y933" s="31"/>
      <c r="Z933" s="31"/>
      <c r="AA933" s="25">
        <f t="shared" si="231"/>
        <v>9.0359999999999996</v>
      </c>
      <c r="AB933" s="25">
        <f t="shared" si="232"/>
        <v>-184.49199999999999</v>
      </c>
      <c r="AD933" s="24">
        <f>IF(D933="M",IF(AG933&lt;78,BMILMS!$D$5*AG933^3+BMILMS!$E$5*AG933^2+BMILMS!$F$5*AG933+BMILMS!$G$5,IF(AG933&lt;150,BMILMS!$D$6*AG933^3+BMILMS!$E$6*AG933^2+BMILMS!$F$6*AG933+BMILMS!$G$6,BMILMS!$D$7*AG933^3+BMILMS!$E$7*AG933^2+BMILMS!$F$7*AG933+BMILMS!$G$7)),IF(AG933&lt;69,BMILMS!$D$9*AG933^3+BMILMS!$E$9*AG933^2+BMILMS!$F$9*AG933+BMILMS!$G$9,IF(AG933&lt;150,BMILMS!$D$10*AG933^3+BMILMS!$E$10*AG933^2+BMILMS!$F$10*AG933+BMILMS!$G$10,BMILMS!$D$11*AG933^3+BMILMS!$E$11*AG933^2+BMILMS!$F$11*AG933+BMILMS!$G$11)))</f>
        <v>0.79584630099999998</v>
      </c>
      <c r="AE933" s="24">
        <f>IF(D933="M",(IF(AG933&lt;2.5,BMILMS!$D$21*AG933^3+BMILMS!$E$21*AG933^2+BMILMS!$F$21*AG933+BMILMS!$G$21,IF(AG933&lt;9.5,BMILMS!$D$22*AG933^3+BMILMS!$E$22*AG933^2+BMILMS!$F$22*AG933+BMILMS!$G$22,IF(AG933&lt;26.75,BMILMS!$D$23*AG933^3+BMILMS!$E$23*AG933^2+BMILMS!$F$23*AG933+BMILMS!$G$23,IF(AG933&lt;90,BMILMS!$D$24*AG933^3+BMILMS!$E$24*AG933^2+BMILMS!$F$24*AG933+BMILMS!$G$24,BMILMS!$D$25*AG933^3+BMILMS!$E$25*AG933^2+BMILMS!$F$25*AG933+BMILMS!$G$25))))),(IF(AG933&lt;2.5,BMILMS!$D$27*AG933^3+BMILMS!$E$27*AG933^2+BMILMS!$F$27*AG933+BMILMS!$G$27,IF(AG933&lt;9.5,BMILMS!$D$28*AG933^3+BMILMS!$E$28*AG933^2+BMILMS!$F$28*AG933+BMILMS!$G$28,IF(AG933&lt;26.75,BMILMS!$D$29*AG933^3+BMILMS!$E$29*AG933^2+BMILMS!$F$29*AG933+BMILMS!$G$29,IF(AG933&lt;90,BMILMS!$D$30*AG933^3+BMILMS!$E$30*AG933^2+BMILMS!$F$30*AG933+BMILMS!$G$30,IF(AG933&lt;150,BMILMS!$D$31*AG933^3+BMILMS!$E$31*AG933^2+BMILMS!$F$31*AG933+BMILMS!$G$31,BMILMS!$D$32*AG933^3+BMILMS!$E$32*AG933^2+BMILMS!$F$32*AG933+BMILMS!$G$32)))))))</f>
        <v>12.568967990000001</v>
      </c>
      <c r="AF933" s="24">
        <f>IF(D933="M",(IF(AG933&lt;90,BMILMS!$D$14*AG933^3+BMILMS!$E$14*AG933^2+BMILMS!$F$14*AG933+BMILMS!$G$14,BMILMS!$D$15*AG933^3+BMILMS!$E$15*AG933^2+BMILMS!$F$15*AG933+BMILMS!$G$15)),(IF(AG933&lt;90,BMILMS!$D$17*AG933^3+BMILMS!$E$17*AG933^2+BMILMS!$F$17*AG933+BMILMS!$G$17,BMILMS!$D$18*AG933^3+BMILMS!$E$18*AG933^2+BMILMS!$F$18*AG933+BMILMS!$G$18)))</f>
        <v>8.8969350000000003E-2</v>
      </c>
      <c r="AG933" s="24">
        <f t="shared" si="240"/>
        <v>0</v>
      </c>
      <c r="AI933" s="38">
        <f>IF(D933="M",WeightSDS!P$5*$AG933^7+WeightSDS!Q$5*$AG933^6+WeightSDS!R$5*$AG933^5+WeightSDS!S$5*$AG933^4+WeightSDS!T$5*$AG933^3+WeightSDS!U$5*$AG933^2+WeightSDS!V$5*$AG933+WeightSDS!W$5,IF($AG933&lt;186,WeightSDS!P$8*$AG933^7+WeightSDS!Q$8*$AG933^6+WeightSDS!R$8*$AG933^5+WeightSDS!S$8*$AG933^4+WeightSDS!T$8*$AG933^3+WeightSDS!U$8*$AG933^2+WeightSDS!V$8*$AG933+WeightSDS!W$8,WeightSDS!$U$9-WeightSDS!$V$9*($AG933-WeightSDS!$W$9)))</f>
        <v>0.75407122999999998</v>
      </c>
      <c r="AJ933" s="24">
        <f>IF(D933="M",IF($AG933&lt;45,WeightSDS!M$23*$AG933^10+WeightSDS!N$23*$AG933^9+WeightSDS!O$23*$AG933^8+WeightSDS!P$23*$AG933^7+WeightSDS!Q$23*$AG933^6+WeightSDS!R$23*$AG933^5+WeightSDS!S$23*$AG933^4+WeightSDS!T$23*$AG933^3+WeightSDS!U$23*$AG933^2+WeightSDS!V$23*$AG933+WeightSDS!W$23,IF($AG933&lt;153,WeightSDS!M$25*$AG933^10+WeightSDS!N$25*$AG933^9+WeightSDS!O$25*$AG933^8+WeightSDS!P$25*$AG933^7+WeightSDS!Q$25*$AG933^6+WeightSDS!R$25*$AG933^5+WeightSDS!S$25*$AG933^4+WeightSDS!T$25*$AG933^3+WeightSDS!U$25*$AG933^2+WeightSDS!V$25*$AG933+WeightSDS!W$25,WeightSDS!M$27+WeightSDS!N$27/(1+EXP(WeightSDS!O$27+WeightSDS!P$27*$AG933)))),IF($AG933&lt;43.8,WeightSDS!M$29*$AG933^10+WeightSDS!N$29*$AG933^9+WeightSDS!O$29*$AG933^8+WeightSDS!P$29*$AG933^7+WeightSDS!Q$29*$AG933^6+WeightSDS!R$29*$AG933^5+WeightSDS!S$29*$AG933^4+WeightSDS!T$29*$AG933^3+WeightSDS!U$29*$AG933^2+WeightSDS!V$29*$AG933+WeightSDS!W$29-0.010431*(1-$AG933/210),IF($AG933&lt;123,WeightSDS!M$30*$AG933^10+WeightSDS!N$30*$AG933^9+WeightSDS!O$30*$AG933^8+WeightSDS!P$30*$AG933^7+WeightSDS!Q$30*$AG933^6+WeightSDS!R$30*$AG933^5+WeightSDS!S$30*$AG933^4+WeightSDS!T$30*$AG933^3+WeightSDS!U$30*$AG933^2+WeightSDS!V$30*$AG933+WeightSDS!W$30-0.010431*(1-1/$AG933),WeightSDS!M$32+WeightSDS!N$32/(1+EXP(WeightSDS!O$32+WeightSDS!P$32*$AG933))-0.010431*(1-$AG933/210))))</f>
        <v>2.9500001032655536</v>
      </c>
      <c r="AK933" s="24">
        <f>IF(D933="M",IF($AG933&lt;162,WeightSDS!P$12*$AG933^7+WeightSDS!Q$12*$AG933^6+WeightSDS!R$12*$AG933^5+WeightSDS!S$12*$AG933^4+WeightSDS!T$12*$AG933^3+WeightSDS!U$12*$AG933^2+WeightSDS!V$12*$AG933+WeightSDS!W$12,WeightSDS!P$14*$AG933^7+WeightSDS!Q$14*$AG933^6+WeightSDS!R$14*$AG933^5+WeightSDS!S$14*$AG933^4+WeightSDS!T$14*$AG933^3+WeightSDS!U$14*$AG933^2+WeightSDS!V$14*$AG933+WeightSDS!W$14),IF($AG933&lt;156,WeightSDS!O$17*$AG933^8+WeightSDS!P$17*$AG933^7+WeightSDS!Q$17*$AG933^6+WeightSDS!R$17*$AG933^5+WeightSDS!S$17*$AG933^4+WeightSDS!T$17*$AG933^3+WeightSDS!U$17*$AG933^2+WeightSDS!V$17*$AG933+WeightSDS!W$17,IF($AG933&lt;186,WeightSDS!$U$18+(WeightSDS!$V$18-WeightSDS!$U$18)/24*($AG933-186)+WeightSDS!$W$18*(-$AG933+186)^2-0.005,WeightSDS!$U$18+(WeightSDS!$V$18-WeightSDS!$U$18)/24*($AG933-186)-0.005)))</f>
        <v>0.14604529399999999</v>
      </c>
    </row>
    <row r="934" spans="1:37">
      <c r="A934" s="4"/>
      <c r="B934" s="21"/>
      <c r="C934" s="21"/>
      <c r="D934" s="21"/>
      <c r="E934" s="22"/>
      <c r="F934" s="22"/>
      <c r="G934" s="23"/>
      <c r="H934" s="23"/>
      <c r="I934" s="8" t="str">
        <f t="shared" si="226"/>
        <v/>
      </c>
      <c r="J934" s="2" t="str">
        <f t="shared" si="233"/>
        <v/>
      </c>
      <c r="K934" s="2" t="str">
        <f t="shared" si="227"/>
        <v/>
      </c>
      <c r="L934" s="2" t="str">
        <f t="shared" si="234"/>
        <v/>
      </c>
      <c r="M934" s="2" t="str">
        <f t="shared" si="239"/>
        <v/>
      </c>
      <c r="N934" s="2" t="str">
        <f t="shared" si="235"/>
        <v/>
      </c>
      <c r="O934" s="8" t="str">
        <f t="shared" si="236"/>
        <v/>
      </c>
      <c r="P934" s="8" t="str">
        <f t="shared" si="237"/>
        <v/>
      </c>
      <c r="Q934" s="40" t="str">
        <f t="shared" si="228"/>
        <v/>
      </c>
      <c r="R934" s="48" t="str">
        <f t="shared" si="238"/>
        <v/>
      </c>
      <c r="S934" s="8"/>
      <c r="U934" s="35">
        <f t="shared" si="229"/>
        <v>0</v>
      </c>
      <c r="V934" s="24">
        <f t="shared" si="230"/>
        <v>0</v>
      </c>
      <c r="W934" s="41">
        <f t="shared" si="241"/>
        <v>0</v>
      </c>
      <c r="X934" s="31"/>
      <c r="Y934" s="31"/>
      <c r="Z934" s="31"/>
      <c r="AA934" s="25">
        <f t="shared" si="231"/>
        <v>9.0359999999999996</v>
      </c>
      <c r="AB934" s="25">
        <f t="shared" si="232"/>
        <v>-184.49199999999999</v>
      </c>
      <c r="AD934" s="24">
        <f>IF(D934="M",IF(AG934&lt;78,BMILMS!$D$5*AG934^3+BMILMS!$E$5*AG934^2+BMILMS!$F$5*AG934+BMILMS!$G$5,IF(AG934&lt;150,BMILMS!$D$6*AG934^3+BMILMS!$E$6*AG934^2+BMILMS!$F$6*AG934+BMILMS!$G$6,BMILMS!$D$7*AG934^3+BMILMS!$E$7*AG934^2+BMILMS!$F$7*AG934+BMILMS!$G$7)),IF(AG934&lt;69,BMILMS!$D$9*AG934^3+BMILMS!$E$9*AG934^2+BMILMS!$F$9*AG934+BMILMS!$G$9,IF(AG934&lt;150,BMILMS!$D$10*AG934^3+BMILMS!$E$10*AG934^2+BMILMS!$F$10*AG934+BMILMS!$G$10,BMILMS!$D$11*AG934^3+BMILMS!$E$11*AG934^2+BMILMS!$F$11*AG934+BMILMS!$G$11)))</f>
        <v>0.79584630099999998</v>
      </c>
      <c r="AE934" s="24">
        <f>IF(D934="M",(IF(AG934&lt;2.5,BMILMS!$D$21*AG934^3+BMILMS!$E$21*AG934^2+BMILMS!$F$21*AG934+BMILMS!$G$21,IF(AG934&lt;9.5,BMILMS!$D$22*AG934^3+BMILMS!$E$22*AG934^2+BMILMS!$F$22*AG934+BMILMS!$G$22,IF(AG934&lt;26.75,BMILMS!$D$23*AG934^3+BMILMS!$E$23*AG934^2+BMILMS!$F$23*AG934+BMILMS!$G$23,IF(AG934&lt;90,BMILMS!$D$24*AG934^3+BMILMS!$E$24*AG934^2+BMILMS!$F$24*AG934+BMILMS!$G$24,BMILMS!$D$25*AG934^3+BMILMS!$E$25*AG934^2+BMILMS!$F$25*AG934+BMILMS!$G$25))))),(IF(AG934&lt;2.5,BMILMS!$D$27*AG934^3+BMILMS!$E$27*AG934^2+BMILMS!$F$27*AG934+BMILMS!$G$27,IF(AG934&lt;9.5,BMILMS!$D$28*AG934^3+BMILMS!$E$28*AG934^2+BMILMS!$F$28*AG934+BMILMS!$G$28,IF(AG934&lt;26.75,BMILMS!$D$29*AG934^3+BMILMS!$E$29*AG934^2+BMILMS!$F$29*AG934+BMILMS!$G$29,IF(AG934&lt;90,BMILMS!$D$30*AG934^3+BMILMS!$E$30*AG934^2+BMILMS!$F$30*AG934+BMILMS!$G$30,IF(AG934&lt;150,BMILMS!$D$31*AG934^3+BMILMS!$E$31*AG934^2+BMILMS!$F$31*AG934+BMILMS!$G$31,BMILMS!$D$32*AG934^3+BMILMS!$E$32*AG934^2+BMILMS!$F$32*AG934+BMILMS!$G$32)))))))</f>
        <v>12.568967990000001</v>
      </c>
      <c r="AF934" s="24">
        <f>IF(D934="M",(IF(AG934&lt;90,BMILMS!$D$14*AG934^3+BMILMS!$E$14*AG934^2+BMILMS!$F$14*AG934+BMILMS!$G$14,BMILMS!$D$15*AG934^3+BMILMS!$E$15*AG934^2+BMILMS!$F$15*AG934+BMILMS!$G$15)),(IF(AG934&lt;90,BMILMS!$D$17*AG934^3+BMILMS!$E$17*AG934^2+BMILMS!$F$17*AG934+BMILMS!$G$17,BMILMS!$D$18*AG934^3+BMILMS!$E$18*AG934^2+BMILMS!$F$18*AG934+BMILMS!$G$18)))</f>
        <v>8.8969350000000003E-2</v>
      </c>
      <c r="AG934" s="24">
        <f t="shared" si="240"/>
        <v>0</v>
      </c>
      <c r="AI934" s="38">
        <f>IF(D934="M",WeightSDS!P$5*$AG934^7+WeightSDS!Q$5*$AG934^6+WeightSDS!R$5*$AG934^5+WeightSDS!S$5*$AG934^4+WeightSDS!T$5*$AG934^3+WeightSDS!U$5*$AG934^2+WeightSDS!V$5*$AG934+WeightSDS!W$5,IF($AG934&lt;186,WeightSDS!P$8*$AG934^7+WeightSDS!Q$8*$AG934^6+WeightSDS!R$8*$AG934^5+WeightSDS!S$8*$AG934^4+WeightSDS!T$8*$AG934^3+WeightSDS!U$8*$AG934^2+WeightSDS!V$8*$AG934+WeightSDS!W$8,WeightSDS!$U$9-WeightSDS!$V$9*($AG934-WeightSDS!$W$9)))</f>
        <v>0.75407122999999998</v>
      </c>
      <c r="AJ934" s="24">
        <f>IF(D934="M",IF($AG934&lt;45,WeightSDS!M$23*$AG934^10+WeightSDS!N$23*$AG934^9+WeightSDS!O$23*$AG934^8+WeightSDS!P$23*$AG934^7+WeightSDS!Q$23*$AG934^6+WeightSDS!R$23*$AG934^5+WeightSDS!S$23*$AG934^4+WeightSDS!T$23*$AG934^3+WeightSDS!U$23*$AG934^2+WeightSDS!V$23*$AG934+WeightSDS!W$23,IF($AG934&lt;153,WeightSDS!M$25*$AG934^10+WeightSDS!N$25*$AG934^9+WeightSDS!O$25*$AG934^8+WeightSDS!P$25*$AG934^7+WeightSDS!Q$25*$AG934^6+WeightSDS!R$25*$AG934^5+WeightSDS!S$25*$AG934^4+WeightSDS!T$25*$AG934^3+WeightSDS!U$25*$AG934^2+WeightSDS!V$25*$AG934+WeightSDS!W$25,WeightSDS!M$27+WeightSDS!N$27/(1+EXP(WeightSDS!O$27+WeightSDS!P$27*$AG934)))),IF($AG934&lt;43.8,WeightSDS!M$29*$AG934^10+WeightSDS!N$29*$AG934^9+WeightSDS!O$29*$AG934^8+WeightSDS!P$29*$AG934^7+WeightSDS!Q$29*$AG934^6+WeightSDS!R$29*$AG934^5+WeightSDS!S$29*$AG934^4+WeightSDS!T$29*$AG934^3+WeightSDS!U$29*$AG934^2+WeightSDS!V$29*$AG934+WeightSDS!W$29-0.010431*(1-$AG934/210),IF($AG934&lt;123,WeightSDS!M$30*$AG934^10+WeightSDS!N$30*$AG934^9+WeightSDS!O$30*$AG934^8+WeightSDS!P$30*$AG934^7+WeightSDS!Q$30*$AG934^6+WeightSDS!R$30*$AG934^5+WeightSDS!S$30*$AG934^4+WeightSDS!T$30*$AG934^3+WeightSDS!U$30*$AG934^2+WeightSDS!V$30*$AG934+WeightSDS!W$30-0.010431*(1-1/$AG934),WeightSDS!M$32+WeightSDS!N$32/(1+EXP(WeightSDS!O$32+WeightSDS!P$32*$AG934))-0.010431*(1-$AG934/210))))</f>
        <v>2.9500001032655536</v>
      </c>
      <c r="AK934" s="24">
        <f>IF(D934="M",IF($AG934&lt;162,WeightSDS!P$12*$AG934^7+WeightSDS!Q$12*$AG934^6+WeightSDS!R$12*$AG934^5+WeightSDS!S$12*$AG934^4+WeightSDS!T$12*$AG934^3+WeightSDS!U$12*$AG934^2+WeightSDS!V$12*$AG934+WeightSDS!W$12,WeightSDS!P$14*$AG934^7+WeightSDS!Q$14*$AG934^6+WeightSDS!R$14*$AG934^5+WeightSDS!S$14*$AG934^4+WeightSDS!T$14*$AG934^3+WeightSDS!U$14*$AG934^2+WeightSDS!V$14*$AG934+WeightSDS!W$14),IF($AG934&lt;156,WeightSDS!O$17*$AG934^8+WeightSDS!P$17*$AG934^7+WeightSDS!Q$17*$AG934^6+WeightSDS!R$17*$AG934^5+WeightSDS!S$17*$AG934^4+WeightSDS!T$17*$AG934^3+WeightSDS!U$17*$AG934^2+WeightSDS!V$17*$AG934+WeightSDS!W$17,IF($AG934&lt;186,WeightSDS!$U$18+(WeightSDS!$V$18-WeightSDS!$U$18)/24*($AG934-186)+WeightSDS!$W$18*(-$AG934+186)^2-0.005,WeightSDS!$U$18+(WeightSDS!$V$18-WeightSDS!$U$18)/24*($AG934-186)-0.005)))</f>
        <v>0.14604529399999999</v>
      </c>
    </row>
    <row r="935" spans="1:37">
      <c r="A935" s="4"/>
      <c r="B935" s="21"/>
      <c r="C935" s="21"/>
      <c r="D935" s="21"/>
      <c r="E935" s="22"/>
      <c r="F935" s="22"/>
      <c r="G935" s="23"/>
      <c r="H935" s="23"/>
      <c r="I935" s="8" t="str">
        <f t="shared" si="226"/>
        <v/>
      </c>
      <c r="J935" s="2" t="str">
        <f t="shared" si="233"/>
        <v/>
      </c>
      <c r="K935" s="2" t="str">
        <f t="shared" si="227"/>
        <v/>
      </c>
      <c r="L935" s="2" t="str">
        <f t="shared" si="234"/>
        <v/>
      </c>
      <c r="M935" s="2" t="str">
        <f t="shared" si="239"/>
        <v/>
      </c>
      <c r="N935" s="2" t="str">
        <f t="shared" si="235"/>
        <v/>
      </c>
      <c r="O935" s="8" t="str">
        <f t="shared" si="236"/>
        <v/>
      </c>
      <c r="P935" s="8" t="str">
        <f t="shared" si="237"/>
        <v/>
      </c>
      <c r="Q935" s="40" t="str">
        <f t="shared" si="228"/>
        <v/>
      </c>
      <c r="R935" s="48" t="str">
        <f t="shared" si="238"/>
        <v/>
      </c>
      <c r="S935" s="8"/>
      <c r="U935" s="35">
        <f t="shared" si="229"/>
        <v>0</v>
      </c>
      <c r="V935" s="24">
        <f t="shared" si="230"/>
        <v>0</v>
      </c>
      <c r="W935" s="41">
        <f t="shared" si="241"/>
        <v>0</v>
      </c>
      <c r="X935" s="31"/>
      <c r="Y935" s="31"/>
      <c r="Z935" s="31"/>
      <c r="AA935" s="25">
        <f t="shared" si="231"/>
        <v>9.0359999999999996</v>
      </c>
      <c r="AB935" s="25">
        <f t="shared" si="232"/>
        <v>-184.49199999999999</v>
      </c>
      <c r="AD935" s="24">
        <f>IF(D935="M",IF(AG935&lt;78,BMILMS!$D$5*AG935^3+BMILMS!$E$5*AG935^2+BMILMS!$F$5*AG935+BMILMS!$G$5,IF(AG935&lt;150,BMILMS!$D$6*AG935^3+BMILMS!$E$6*AG935^2+BMILMS!$F$6*AG935+BMILMS!$G$6,BMILMS!$D$7*AG935^3+BMILMS!$E$7*AG935^2+BMILMS!$F$7*AG935+BMILMS!$G$7)),IF(AG935&lt;69,BMILMS!$D$9*AG935^3+BMILMS!$E$9*AG935^2+BMILMS!$F$9*AG935+BMILMS!$G$9,IF(AG935&lt;150,BMILMS!$D$10*AG935^3+BMILMS!$E$10*AG935^2+BMILMS!$F$10*AG935+BMILMS!$G$10,BMILMS!$D$11*AG935^3+BMILMS!$E$11*AG935^2+BMILMS!$F$11*AG935+BMILMS!$G$11)))</f>
        <v>0.79584630099999998</v>
      </c>
      <c r="AE935" s="24">
        <f>IF(D935="M",(IF(AG935&lt;2.5,BMILMS!$D$21*AG935^3+BMILMS!$E$21*AG935^2+BMILMS!$F$21*AG935+BMILMS!$G$21,IF(AG935&lt;9.5,BMILMS!$D$22*AG935^3+BMILMS!$E$22*AG935^2+BMILMS!$F$22*AG935+BMILMS!$G$22,IF(AG935&lt;26.75,BMILMS!$D$23*AG935^3+BMILMS!$E$23*AG935^2+BMILMS!$F$23*AG935+BMILMS!$G$23,IF(AG935&lt;90,BMILMS!$D$24*AG935^3+BMILMS!$E$24*AG935^2+BMILMS!$F$24*AG935+BMILMS!$G$24,BMILMS!$D$25*AG935^3+BMILMS!$E$25*AG935^2+BMILMS!$F$25*AG935+BMILMS!$G$25))))),(IF(AG935&lt;2.5,BMILMS!$D$27*AG935^3+BMILMS!$E$27*AG935^2+BMILMS!$F$27*AG935+BMILMS!$G$27,IF(AG935&lt;9.5,BMILMS!$D$28*AG935^3+BMILMS!$E$28*AG935^2+BMILMS!$F$28*AG935+BMILMS!$G$28,IF(AG935&lt;26.75,BMILMS!$D$29*AG935^3+BMILMS!$E$29*AG935^2+BMILMS!$F$29*AG935+BMILMS!$G$29,IF(AG935&lt;90,BMILMS!$D$30*AG935^3+BMILMS!$E$30*AG935^2+BMILMS!$F$30*AG935+BMILMS!$G$30,IF(AG935&lt;150,BMILMS!$D$31*AG935^3+BMILMS!$E$31*AG935^2+BMILMS!$F$31*AG935+BMILMS!$G$31,BMILMS!$D$32*AG935^3+BMILMS!$E$32*AG935^2+BMILMS!$F$32*AG935+BMILMS!$G$32)))))))</f>
        <v>12.568967990000001</v>
      </c>
      <c r="AF935" s="24">
        <f>IF(D935="M",(IF(AG935&lt;90,BMILMS!$D$14*AG935^3+BMILMS!$E$14*AG935^2+BMILMS!$F$14*AG935+BMILMS!$G$14,BMILMS!$D$15*AG935^3+BMILMS!$E$15*AG935^2+BMILMS!$F$15*AG935+BMILMS!$G$15)),(IF(AG935&lt;90,BMILMS!$D$17*AG935^3+BMILMS!$E$17*AG935^2+BMILMS!$F$17*AG935+BMILMS!$G$17,BMILMS!$D$18*AG935^3+BMILMS!$E$18*AG935^2+BMILMS!$F$18*AG935+BMILMS!$G$18)))</f>
        <v>8.8969350000000003E-2</v>
      </c>
      <c r="AG935" s="24">
        <f t="shared" si="240"/>
        <v>0</v>
      </c>
      <c r="AI935" s="38">
        <f>IF(D935="M",WeightSDS!P$5*$AG935^7+WeightSDS!Q$5*$AG935^6+WeightSDS!R$5*$AG935^5+WeightSDS!S$5*$AG935^4+WeightSDS!T$5*$AG935^3+WeightSDS!U$5*$AG935^2+WeightSDS!V$5*$AG935+WeightSDS!W$5,IF($AG935&lt;186,WeightSDS!P$8*$AG935^7+WeightSDS!Q$8*$AG935^6+WeightSDS!R$8*$AG935^5+WeightSDS!S$8*$AG935^4+WeightSDS!T$8*$AG935^3+WeightSDS!U$8*$AG935^2+WeightSDS!V$8*$AG935+WeightSDS!W$8,WeightSDS!$U$9-WeightSDS!$V$9*($AG935-WeightSDS!$W$9)))</f>
        <v>0.75407122999999998</v>
      </c>
      <c r="AJ935" s="24">
        <f>IF(D935="M",IF($AG935&lt;45,WeightSDS!M$23*$AG935^10+WeightSDS!N$23*$AG935^9+WeightSDS!O$23*$AG935^8+WeightSDS!P$23*$AG935^7+WeightSDS!Q$23*$AG935^6+WeightSDS!R$23*$AG935^5+WeightSDS!S$23*$AG935^4+WeightSDS!T$23*$AG935^3+WeightSDS!U$23*$AG935^2+WeightSDS!V$23*$AG935+WeightSDS!W$23,IF($AG935&lt;153,WeightSDS!M$25*$AG935^10+WeightSDS!N$25*$AG935^9+WeightSDS!O$25*$AG935^8+WeightSDS!P$25*$AG935^7+WeightSDS!Q$25*$AG935^6+WeightSDS!R$25*$AG935^5+WeightSDS!S$25*$AG935^4+WeightSDS!T$25*$AG935^3+WeightSDS!U$25*$AG935^2+WeightSDS!V$25*$AG935+WeightSDS!W$25,WeightSDS!M$27+WeightSDS!N$27/(1+EXP(WeightSDS!O$27+WeightSDS!P$27*$AG935)))),IF($AG935&lt;43.8,WeightSDS!M$29*$AG935^10+WeightSDS!N$29*$AG935^9+WeightSDS!O$29*$AG935^8+WeightSDS!P$29*$AG935^7+WeightSDS!Q$29*$AG935^6+WeightSDS!R$29*$AG935^5+WeightSDS!S$29*$AG935^4+WeightSDS!T$29*$AG935^3+WeightSDS!U$29*$AG935^2+WeightSDS!V$29*$AG935+WeightSDS!W$29-0.010431*(1-$AG935/210),IF($AG935&lt;123,WeightSDS!M$30*$AG935^10+WeightSDS!N$30*$AG935^9+WeightSDS!O$30*$AG935^8+WeightSDS!P$30*$AG935^7+WeightSDS!Q$30*$AG935^6+WeightSDS!R$30*$AG935^5+WeightSDS!S$30*$AG935^4+WeightSDS!T$30*$AG935^3+WeightSDS!U$30*$AG935^2+WeightSDS!V$30*$AG935+WeightSDS!W$30-0.010431*(1-1/$AG935),WeightSDS!M$32+WeightSDS!N$32/(1+EXP(WeightSDS!O$32+WeightSDS!P$32*$AG935))-0.010431*(1-$AG935/210))))</f>
        <v>2.9500001032655536</v>
      </c>
      <c r="AK935" s="24">
        <f>IF(D935="M",IF($AG935&lt;162,WeightSDS!P$12*$AG935^7+WeightSDS!Q$12*$AG935^6+WeightSDS!R$12*$AG935^5+WeightSDS!S$12*$AG935^4+WeightSDS!T$12*$AG935^3+WeightSDS!U$12*$AG935^2+WeightSDS!V$12*$AG935+WeightSDS!W$12,WeightSDS!P$14*$AG935^7+WeightSDS!Q$14*$AG935^6+WeightSDS!R$14*$AG935^5+WeightSDS!S$14*$AG935^4+WeightSDS!T$14*$AG935^3+WeightSDS!U$14*$AG935^2+WeightSDS!V$14*$AG935+WeightSDS!W$14),IF($AG935&lt;156,WeightSDS!O$17*$AG935^8+WeightSDS!P$17*$AG935^7+WeightSDS!Q$17*$AG935^6+WeightSDS!R$17*$AG935^5+WeightSDS!S$17*$AG935^4+WeightSDS!T$17*$AG935^3+WeightSDS!U$17*$AG935^2+WeightSDS!V$17*$AG935+WeightSDS!W$17,IF($AG935&lt;186,WeightSDS!$U$18+(WeightSDS!$V$18-WeightSDS!$U$18)/24*($AG935-186)+WeightSDS!$W$18*(-$AG935+186)^2-0.005,WeightSDS!$U$18+(WeightSDS!$V$18-WeightSDS!$U$18)/24*($AG935-186)-0.005)))</f>
        <v>0.14604529399999999</v>
      </c>
    </row>
    <row r="936" spans="1:37">
      <c r="A936" s="4"/>
      <c r="B936" s="21"/>
      <c r="C936" s="21"/>
      <c r="D936" s="21"/>
      <c r="E936" s="22"/>
      <c r="F936" s="22"/>
      <c r="G936" s="23"/>
      <c r="H936" s="23"/>
      <c r="I936" s="8" t="str">
        <f t="shared" si="226"/>
        <v/>
      </c>
      <c r="J936" s="2" t="str">
        <f t="shared" si="233"/>
        <v/>
      </c>
      <c r="K936" s="2" t="str">
        <f t="shared" si="227"/>
        <v/>
      </c>
      <c r="L936" s="2" t="str">
        <f t="shared" si="234"/>
        <v/>
      </c>
      <c r="M936" s="2" t="str">
        <f t="shared" si="239"/>
        <v/>
      </c>
      <c r="N936" s="2" t="str">
        <f t="shared" si="235"/>
        <v/>
      </c>
      <c r="O936" s="8" t="str">
        <f t="shared" si="236"/>
        <v/>
      </c>
      <c r="P936" s="8" t="str">
        <f t="shared" si="237"/>
        <v/>
      </c>
      <c r="Q936" s="40" t="str">
        <f t="shared" si="228"/>
        <v/>
      </c>
      <c r="R936" s="48" t="str">
        <f t="shared" si="238"/>
        <v/>
      </c>
      <c r="S936" s="8"/>
      <c r="U936" s="35">
        <f t="shared" si="229"/>
        <v>0</v>
      </c>
      <c r="V936" s="24">
        <f t="shared" si="230"/>
        <v>0</v>
      </c>
      <c r="W936" s="41">
        <f t="shared" si="241"/>
        <v>0</v>
      </c>
      <c r="X936" s="31"/>
      <c r="Y936" s="31"/>
      <c r="Z936" s="31"/>
      <c r="AA936" s="25">
        <f t="shared" si="231"/>
        <v>9.0359999999999996</v>
      </c>
      <c r="AB936" s="25">
        <f t="shared" si="232"/>
        <v>-184.49199999999999</v>
      </c>
      <c r="AD936" s="24">
        <f>IF(D936="M",IF(AG936&lt;78,BMILMS!$D$5*AG936^3+BMILMS!$E$5*AG936^2+BMILMS!$F$5*AG936+BMILMS!$G$5,IF(AG936&lt;150,BMILMS!$D$6*AG936^3+BMILMS!$E$6*AG936^2+BMILMS!$F$6*AG936+BMILMS!$G$6,BMILMS!$D$7*AG936^3+BMILMS!$E$7*AG936^2+BMILMS!$F$7*AG936+BMILMS!$G$7)),IF(AG936&lt;69,BMILMS!$D$9*AG936^3+BMILMS!$E$9*AG936^2+BMILMS!$F$9*AG936+BMILMS!$G$9,IF(AG936&lt;150,BMILMS!$D$10*AG936^3+BMILMS!$E$10*AG936^2+BMILMS!$F$10*AG936+BMILMS!$G$10,BMILMS!$D$11*AG936^3+BMILMS!$E$11*AG936^2+BMILMS!$F$11*AG936+BMILMS!$G$11)))</f>
        <v>0.79584630099999998</v>
      </c>
      <c r="AE936" s="24">
        <f>IF(D936="M",(IF(AG936&lt;2.5,BMILMS!$D$21*AG936^3+BMILMS!$E$21*AG936^2+BMILMS!$F$21*AG936+BMILMS!$G$21,IF(AG936&lt;9.5,BMILMS!$D$22*AG936^3+BMILMS!$E$22*AG936^2+BMILMS!$F$22*AG936+BMILMS!$G$22,IF(AG936&lt;26.75,BMILMS!$D$23*AG936^3+BMILMS!$E$23*AG936^2+BMILMS!$F$23*AG936+BMILMS!$G$23,IF(AG936&lt;90,BMILMS!$D$24*AG936^3+BMILMS!$E$24*AG936^2+BMILMS!$F$24*AG936+BMILMS!$G$24,BMILMS!$D$25*AG936^3+BMILMS!$E$25*AG936^2+BMILMS!$F$25*AG936+BMILMS!$G$25))))),(IF(AG936&lt;2.5,BMILMS!$D$27*AG936^3+BMILMS!$E$27*AG936^2+BMILMS!$F$27*AG936+BMILMS!$G$27,IF(AG936&lt;9.5,BMILMS!$D$28*AG936^3+BMILMS!$E$28*AG936^2+BMILMS!$F$28*AG936+BMILMS!$G$28,IF(AG936&lt;26.75,BMILMS!$D$29*AG936^3+BMILMS!$E$29*AG936^2+BMILMS!$F$29*AG936+BMILMS!$G$29,IF(AG936&lt;90,BMILMS!$D$30*AG936^3+BMILMS!$E$30*AG936^2+BMILMS!$F$30*AG936+BMILMS!$G$30,IF(AG936&lt;150,BMILMS!$D$31*AG936^3+BMILMS!$E$31*AG936^2+BMILMS!$F$31*AG936+BMILMS!$G$31,BMILMS!$D$32*AG936^3+BMILMS!$E$32*AG936^2+BMILMS!$F$32*AG936+BMILMS!$G$32)))))))</f>
        <v>12.568967990000001</v>
      </c>
      <c r="AF936" s="24">
        <f>IF(D936="M",(IF(AG936&lt;90,BMILMS!$D$14*AG936^3+BMILMS!$E$14*AG936^2+BMILMS!$F$14*AG936+BMILMS!$G$14,BMILMS!$D$15*AG936^3+BMILMS!$E$15*AG936^2+BMILMS!$F$15*AG936+BMILMS!$G$15)),(IF(AG936&lt;90,BMILMS!$D$17*AG936^3+BMILMS!$E$17*AG936^2+BMILMS!$F$17*AG936+BMILMS!$G$17,BMILMS!$D$18*AG936^3+BMILMS!$E$18*AG936^2+BMILMS!$F$18*AG936+BMILMS!$G$18)))</f>
        <v>8.8969350000000003E-2</v>
      </c>
      <c r="AG936" s="24">
        <f t="shared" si="240"/>
        <v>0</v>
      </c>
      <c r="AI936" s="38">
        <f>IF(D936="M",WeightSDS!P$5*$AG936^7+WeightSDS!Q$5*$AG936^6+WeightSDS!R$5*$AG936^5+WeightSDS!S$5*$AG936^4+WeightSDS!T$5*$AG936^3+WeightSDS!U$5*$AG936^2+WeightSDS!V$5*$AG936+WeightSDS!W$5,IF($AG936&lt;186,WeightSDS!P$8*$AG936^7+WeightSDS!Q$8*$AG936^6+WeightSDS!R$8*$AG936^5+WeightSDS!S$8*$AG936^4+WeightSDS!T$8*$AG936^3+WeightSDS!U$8*$AG936^2+WeightSDS!V$8*$AG936+WeightSDS!W$8,WeightSDS!$U$9-WeightSDS!$V$9*($AG936-WeightSDS!$W$9)))</f>
        <v>0.75407122999999998</v>
      </c>
      <c r="AJ936" s="24">
        <f>IF(D936="M",IF($AG936&lt;45,WeightSDS!M$23*$AG936^10+WeightSDS!N$23*$AG936^9+WeightSDS!O$23*$AG936^8+WeightSDS!P$23*$AG936^7+WeightSDS!Q$23*$AG936^6+WeightSDS!R$23*$AG936^5+WeightSDS!S$23*$AG936^4+WeightSDS!T$23*$AG936^3+WeightSDS!U$23*$AG936^2+WeightSDS!V$23*$AG936+WeightSDS!W$23,IF($AG936&lt;153,WeightSDS!M$25*$AG936^10+WeightSDS!N$25*$AG936^9+WeightSDS!O$25*$AG936^8+WeightSDS!P$25*$AG936^7+WeightSDS!Q$25*$AG936^6+WeightSDS!R$25*$AG936^5+WeightSDS!S$25*$AG936^4+WeightSDS!T$25*$AG936^3+WeightSDS!U$25*$AG936^2+WeightSDS!V$25*$AG936+WeightSDS!W$25,WeightSDS!M$27+WeightSDS!N$27/(1+EXP(WeightSDS!O$27+WeightSDS!P$27*$AG936)))),IF($AG936&lt;43.8,WeightSDS!M$29*$AG936^10+WeightSDS!N$29*$AG936^9+WeightSDS!O$29*$AG936^8+WeightSDS!P$29*$AG936^7+WeightSDS!Q$29*$AG936^6+WeightSDS!R$29*$AG936^5+WeightSDS!S$29*$AG936^4+WeightSDS!T$29*$AG936^3+WeightSDS!U$29*$AG936^2+WeightSDS!V$29*$AG936+WeightSDS!W$29-0.010431*(1-$AG936/210),IF($AG936&lt;123,WeightSDS!M$30*$AG936^10+WeightSDS!N$30*$AG936^9+WeightSDS!O$30*$AG936^8+WeightSDS!P$30*$AG936^7+WeightSDS!Q$30*$AG936^6+WeightSDS!R$30*$AG936^5+WeightSDS!S$30*$AG936^4+WeightSDS!T$30*$AG936^3+WeightSDS!U$30*$AG936^2+WeightSDS!V$30*$AG936+WeightSDS!W$30-0.010431*(1-1/$AG936),WeightSDS!M$32+WeightSDS!N$32/(1+EXP(WeightSDS!O$32+WeightSDS!P$32*$AG936))-0.010431*(1-$AG936/210))))</f>
        <v>2.9500001032655536</v>
      </c>
      <c r="AK936" s="24">
        <f>IF(D936="M",IF($AG936&lt;162,WeightSDS!P$12*$AG936^7+WeightSDS!Q$12*$AG936^6+WeightSDS!R$12*$AG936^5+WeightSDS!S$12*$AG936^4+WeightSDS!T$12*$AG936^3+WeightSDS!U$12*$AG936^2+WeightSDS!V$12*$AG936+WeightSDS!W$12,WeightSDS!P$14*$AG936^7+WeightSDS!Q$14*$AG936^6+WeightSDS!R$14*$AG936^5+WeightSDS!S$14*$AG936^4+WeightSDS!T$14*$AG936^3+WeightSDS!U$14*$AG936^2+WeightSDS!V$14*$AG936+WeightSDS!W$14),IF($AG936&lt;156,WeightSDS!O$17*$AG936^8+WeightSDS!P$17*$AG936^7+WeightSDS!Q$17*$AG936^6+WeightSDS!R$17*$AG936^5+WeightSDS!S$17*$AG936^4+WeightSDS!T$17*$AG936^3+WeightSDS!U$17*$AG936^2+WeightSDS!V$17*$AG936+WeightSDS!W$17,IF($AG936&lt;186,WeightSDS!$U$18+(WeightSDS!$V$18-WeightSDS!$U$18)/24*($AG936-186)+WeightSDS!$W$18*(-$AG936+186)^2-0.005,WeightSDS!$U$18+(WeightSDS!$V$18-WeightSDS!$U$18)/24*($AG936-186)-0.005)))</f>
        <v>0.14604529399999999</v>
      </c>
    </row>
    <row r="937" spans="1:37">
      <c r="A937" s="4"/>
      <c r="B937" s="21"/>
      <c r="C937" s="21"/>
      <c r="D937" s="21"/>
      <c r="E937" s="22"/>
      <c r="F937" s="22"/>
      <c r="G937" s="23"/>
      <c r="H937" s="23"/>
      <c r="I937" s="8" t="str">
        <f t="shared" si="226"/>
        <v/>
      </c>
      <c r="J937" s="2" t="str">
        <f t="shared" si="233"/>
        <v/>
      </c>
      <c r="K937" s="2" t="str">
        <f t="shared" si="227"/>
        <v/>
      </c>
      <c r="L937" s="2" t="str">
        <f t="shared" si="234"/>
        <v/>
      </c>
      <c r="M937" s="2" t="str">
        <f t="shared" si="239"/>
        <v/>
      </c>
      <c r="N937" s="2" t="str">
        <f t="shared" si="235"/>
        <v/>
      </c>
      <c r="O937" s="8" t="str">
        <f t="shared" si="236"/>
        <v/>
      </c>
      <c r="P937" s="8" t="str">
        <f t="shared" si="237"/>
        <v/>
      </c>
      <c r="Q937" s="40" t="str">
        <f t="shared" si="228"/>
        <v/>
      </c>
      <c r="R937" s="48" t="str">
        <f t="shared" si="238"/>
        <v/>
      </c>
      <c r="S937" s="8"/>
      <c r="U937" s="35">
        <f t="shared" si="229"/>
        <v>0</v>
      </c>
      <c r="V937" s="24">
        <f t="shared" si="230"/>
        <v>0</v>
      </c>
      <c r="W937" s="41">
        <f t="shared" si="241"/>
        <v>0</v>
      </c>
      <c r="X937" s="31"/>
      <c r="Y937" s="31"/>
      <c r="Z937" s="31"/>
      <c r="AA937" s="25">
        <f t="shared" si="231"/>
        <v>9.0359999999999996</v>
      </c>
      <c r="AB937" s="25">
        <f t="shared" si="232"/>
        <v>-184.49199999999999</v>
      </c>
      <c r="AD937" s="24">
        <f>IF(D937="M",IF(AG937&lt;78,BMILMS!$D$5*AG937^3+BMILMS!$E$5*AG937^2+BMILMS!$F$5*AG937+BMILMS!$G$5,IF(AG937&lt;150,BMILMS!$D$6*AG937^3+BMILMS!$E$6*AG937^2+BMILMS!$F$6*AG937+BMILMS!$G$6,BMILMS!$D$7*AG937^3+BMILMS!$E$7*AG937^2+BMILMS!$F$7*AG937+BMILMS!$G$7)),IF(AG937&lt;69,BMILMS!$D$9*AG937^3+BMILMS!$E$9*AG937^2+BMILMS!$F$9*AG937+BMILMS!$G$9,IF(AG937&lt;150,BMILMS!$D$10*AG937^3+BMILMS!$E$10*AG937^2+BMILMS!$F$10*AG937+BMILMS!$G$10,BMILMS!$D$11*AG937^3+BMILMS!$E$11*AG937^2+BMILMS!$F$11*AG937+BMILMS!$G$11)))</f>
        <v>0.79584630099999998</v>
      </c>
      <c r="AE937" s="24">
        <f>IF(D937="M",(IF(AG937&lt;2.5,BMILMS!$D$21*AG937^3+BMILMS!$E$21*AG937^2+BMILMS!$F$21*AG937+BMILMS!$G$21,IF(AG937&lt;9.5,BMILMS!$D$22*AG937^3+BMILMS!$E$22*AG937^2+BMILMS!$F$22*AG937+BMILMS!$G$22,IF(AG937&lt;26.75,BMILMS!$D$23*AG937^3+BMILMS!$E$23*AG937^2+BMILMS!$F$23*AG937+BMILMS!$G$23,IF(AG937&lt;90,BMILMS!$D$24*AG937^3+BMILMS!$E$24*AG937^2+BMILMS!$F$24*AG937+BMILMS!$G$24,BMILMS!$D$25*AG937^3+BMILMS!$E$25*AG937^2+BMILMS!$F$25*AG937+BMILMS!$G$25))))),(IF(AG937&lt;2.5,BMILMS!$D$27*AG937^3+BMILMS!$E$27*AG937^2+BMILMS!$F$27*AG937+BMILMS!$G$27,IF(AG937&lt;9.5,BMILMS!$D$28*AG937^3+BMILMS!$E$28*AG937^2+BMILMS!$F$28*AG937+BMILMS!$G$28,IF(AG937&lt;26.75,BMILMS!$D$29*AG937^3+BMILMS!$E$29*AG937^2+BMILMS!$F$29*AG937+BMILMS!$G$29,IF(AG937&lt;90,BMILMS!$D$30*AG937^3+BMILMS!$E$30*AG937^2+BMILMS!$F$30*AG937+BMILMS!$G$30,IF(AG937&lt;150,BMILMS!$D$31*AG937^3+BMILMS!$E$31*AG937^2+BMILMS!$F$31*AG937+BMILMS!$G$31,BMILMS!$D$32*AG937^3+BMILMS!$E$32*AG937^2+BMILMS!$F$32*AG937+BMILMS!$G$32)))))))</f>
        <v>12.568967990000001</v>
      </c>
      <c r="AF937" s="24">
        <f>IF(D937="M",(IF(AG937&lt;90,BMILMS!$D$14*AG937^3+BMILMS!$E$14*AG937^2+BMILMS!$F$14*AG937+BMILMS!$G$14,BMILMS!$D$15*AG937^3+BMILMS!$E$15*AG937^2+BMILMS!$F$15*AG937+BMILMS!$G$15)),(IF(AG937&lt;90,BMILMS!$D$17*AG937^3+BMILMS!$E$17*AG937^2+BMILMS!$F$17*AG937+BMILMS!$G$17,BMILMS!$D$18*AG937^3+BMILMS!$E$18*AG937^2+BMILMS!$F$18*AG937+BMILMS!$G$18)))</f>
        <v>8.8969350000000003E-2</v>
      </c>
      <c r="AG937" s="24">
        <f t="shared" si="240"/>
        <v>0</v>
      </c>
      <c r="AI937" s="38">
        <f>IF(D937="M",WeightSDS!P$5*$AG937^7+WeightSDS!Q$5*$AG937^6+WeightSDS!R$5*$AG937^5+WeightSDS!S$5*$AG937^4+WeightSDS!T$5*$AG937^3+WeightSDS!U$5*$AG937^2+WeightSDS!V$5*$AG937+WeightSDS!W$5,IF($AG937&lt;186,WeightSDS!P$8*$AG937^7+WeightSDS!Q$8*$AG937^6+WeightSDS!R$8*$AG937^5+WeightSDS!S$8*$AG937^4+WeightSDS!T$8*$AG937^3+WeightSDS!U$8*$AG937^2+WeightSDS!V$8*$AG937+WeightSDS!W$8,WeightSDS!$U$9-WeightSDS!$V$9*($AG937-WeightSDS!$W$9)))</f>
        <v>0.75407122999999998</v>
      </c>
      <c r="AJ937" s="24">
        <f>IF(D937="M",IF($AG937&lt;45,WeightSDS!M$23*$AG937^10+WeightSDS!N$23*$AG937^9+WeightSDS!O$23*$AG937^8+WeightSDS!P$23*$AG937^7+WeightSDS!Q$23*$AG937^6+WeightSDS!R$23*$AG937^5+WeightSDS!S$23*$AG937^4+WeightSDS!T$23*$AG937^3+WeightSDS!U$23*$AG937^2+WeightSDS!V$23*$AG937+WeightSDS!W$23,IF($AG937&lt;153,WeightSDS!M$25*$AG937^10+WeightSDS!N$25*$AG937^9+WeightSDS!O$25*$AG937^8+WeightSDS!P$25*$AG937^7+WeightSDS!Q$25*$AG937^6+WeightSDS!R$25*$AG937^5+WeightSDS!S$25*$AG937^4+WeightSDS!T$25*$AG937^3+WeightSDS!U$25*$AG937^2+WeightSDS!V$25*$AG937+WeightSDS!W$25,WeightSDS!M$27+WeightSDS!N$27/(1+EXP(WeightSDS!O$27+WeightSDS!P$27*$AG937)))),IF($AG937&lt;43.8,WeightSDS!M$29*$AG937^10+WeightSDS!N$29*$AG937^9+WeightSDS!O$29*$AG937^8+WeightSDS!P$29*$AG937^7+WeightSDS!Q$29*$AG937^6+WeightSDS!R$29*$AG937^5+WeightSDS!S$29*$AG937^4+WeightSDS!T$29*$AG937^3+WeightSDS!U$29*$AG937^2+WeightSDS!V$29*$AG937+WeightSDS!W$29-0.010431*(1-$AG937/210),IF($AG937&lt;123,WeightSDS!M$30*$AG937^10+WeightSDS!N$30*$AG937^9+WeightSDS!O$30*$AG937^8+WeightSDS!P$30*$AG937^7+WeightSDS!Q$30*$AG937^6+WeightSDS!R$30*$AG937^5+WeightSDS!S$30*$AG937^4+WeightSDS!T$30*$AG937^3+WeightSDS!U$30*$AG937^2+WeightSDS!V$30*$AG937+WeightSDS!W$30-0.010431*(1-1/$AG937),WeightSDS!M$32+WeightSDS!N$32/(1+EXP(WeightSDS!O$32+WeightSDS!P$32*$AG937))-0.010431*(1-$AG937/210))))</f>
        <v>2.9500001032655536</v>
      </c>
      <c r="AK937" s="24">
        <f>IF(D937="M",IF($AG937&lt;162,WeightSDS!P$12*$AG937^7+WeightSDS!Q$12*$AG937^6+WeightSDS!R$12*$AG937^5+WeightSDS!S$12*$AG937^4+WeightSDS!T$12*$AG937^3+WeightSDS!U$12*$AG937^2+WeightSDS!V$12*$AG937+WeightSDS!W$12,WeightSDS!P$14*$AG937^7+WeightSDS!Q$14*$AG937^6+WeightSDS!R$14*$AG937^5+WeightSDS!S$14*$AG937^4+WeightSDS!T$14*$AG937^3+WeightSDS!U$14*$AG937^2+WeightSDS!V$14*$AG937+WeightSDS!W$14),IF($AG937&lt;156,WeightSDS!O$17*$AG937^8+WeightSDS!P$17*$AG937^7+WeightSDS!Q$17*$AG937^6+WeightSDS!R$17*$AG937^5+WeightSDS!S$17*$AG937^4+WeightSDS!T$17*$AG937^3+WeightSDS!U$17*$AG937^2+WeightSDS!V$17*$AG937+WeightSDS!W$17,IF($AG937&lt;186,WeightSDS!$U$18+(WeightSDS!$V$18-WeightSDS!$U$18)/24*($AG937-186)+WeightSDS!$W$18*(-$AG937+186)^2-0.005,WeightSDS!$U$18+(WeightSDS!$V$18-WeightSDS!$U$18)/24*($AG937-186)-0.005)))</f>
        <v>0.14604529399999999</v>
      </c>
    </row>
    <row r="938" spans="1:37">
      <c r="A938" s="4"/>
      <c r="B938" s="21"/>
      <c r="C938" s="21"/>
      <c r="D938" s="21"/>
      <c r="E938" s="22"/>
      <c r="F938" s="22"/>
      <c r="G938" s="23"/>
      <c r="H938" s="23"/>
      <c r="I938" s="8" t="str">
        <f t="shared" si="226"/>
        <v/>
      </c>
      <c r="J938" s="2" t="str">
        <f t="shared" si="233"/>
        <v/>
      </c>
      <c r="K938" s="2" t="str">
        <f t="shared" si="227"/>
        <v/>
      </c>
      <c r="L938" s="2" t="str">
        <f t="shared" si="234"/>
        <v/>
      </c>
      <c r="M938" s="2" t="str">
        <f t="shared" si="239"/>
        <v/>
      </c>
      <c r="N938" s="2" t="str">
        <f t="shared" si="235"/>
        <v/>
      </c>
      <c r="O938" s="8" t="str">
        <f t="shared" si="236"/>
        <v/>
      </c>
      <c r="P938" s="8" t="str">
        <f t="shared" si="237"/>
        <v/>
      </c>
      <c r="Q938" s="40" t="str">
        <f t="shared" si="228"/>
        <v/>
      </c>
      <c r="R938" s="48" t="str">
        <f t="shared" si="238"/>
        <v/>
      </c>
      <c r="S938" s="8"/>
      <c r="U938" s="35">
        <f t="shared" si="229"/>
        <v>0</v>
      </c>
      <c r="V938" s="24">
        <f t="shared" si="230"/>
        <v>0</v>
      </c>
      <c r="W938" s="41">
        <f t="shared" si="241"/>
        <v>0</v>
      </c>
      <c r="X938" s="31"/>
      <c r="Y938" s="31"/>
      <c r="Z938" s="31"/>
      <c r="AA938" s="25">
        <f t="shared" si="231"/>
        <v>9.0359999999999996</v>
      </c>
      <c r="AB938" s="25">
        <f t="shared" si="232"/>
        <v>-184.49199999999999</v>
      </c>
      <c r="AD938" s="24">
        <f>IF(D938="M",IF(AG938&lt;78,BMILMS!$D$5*AG938^3+BMILMS!$E$5*AG938^2+BMILMS!$F$5*AG938+BMILMS!$G$5,IF(AG938&lt;150,BMILMS!$D$6*AG938^3+BMILMS!$E$6*AG938^2+BMILMS!$F$6*AG938+BMILMS!$G$6,BMILMS!$D$7*AG938^3+BMILMS!$E$7*AG938^2+BMILMS!$F$7*AG938+BMILMS!$G$7)),IF(AG938&lt;69,BMILMS!$D$9*AG938^3+BMILMS!$E$9*AG938^2+BMILMS!$F$9*AG938+BMILMS!$G$9,IF(AG938&lt;150,BMILMS!$D$10*AG938^3+BMILMS!$E$10*AG938^2+BMILMS!$F$10*AG938+BMILMS!$G$10,BMILMS!$D$11*AG938^3+BMILMS!$E$11*AG938^2+BMILMS!$F$11*AG938+BMILMS!$G$11)))</f>
        <v>0.79584630099999998</v>
      </c>
      <c r="AE938" s="24">
        <f>IF(D938="M",(IF(AG938&lt;2.5,BMILMS!$D$21*AG938^3+BMILMS!$E$21*AG938^2+BMILMS!$F$21*AG938+BMILMS!$G$21,IF(AG938&lt;9.5,BMILMS!$D$22*AG938^3+BMILMS!$E$22*AG938^2+BMILMS!$F$22*AG938+BMILMS!$G$22,IF(AG938&lt;26.75,BMILMS!$D$23*AG938^3+BMILMS!$E$23*AG938^2+BMILMS!$F$23*AG938+BMILMS!$G$23,IF(AG938&lt;90,BMILMS!$D$24*AG938^3+BMILMS!$E$24*AG938^2+BMILMS!$F$24*AG938+BMILMS!$G$24,BMILMS!$D$25*AG938^3+BMILMS!$E$25*AG938^2+BMILMS!$F$25*AG938+BMILMS!$G$25))))),(IF(AG938&lt;2.5,BMILMS!$D$27*AG938^3+BMILMS!$E$27*AG938^2+BMILMS!$F$27*AG938+BMILMS!$G$27,IF(AG938&lt;9.5,BMILMS!$D$28*AG938^3+BMILMS!$E$28*AG938^2+BMILMS!$F$28*AG938+BMILMS!$G$28,IF(AG938&lt;26.75,BMILMS!$D$29*AG938^3+BMILMS!$E$29*AG938^2+BMILMS!$F$29*AG938+BMILMS!$G$29,IF(AG938&lt;90,BMILMS!$D$30*AG938^3+BMILMS!$E$30*AG938^2+BMILMS!$F$30*AG938+BMILMS!$G$30,IF(AG938&lt;150,BMILMS!$D$31*AG938^3+BMILMS!$E$31*AG938^2+BMILMS!$F$31*AG938+BMILMS!$G$31,BMILMS!$D$32*AG938^3+BMILMS!$E$32*AG938^2+BMILMS!$F$32*AG938+BMILMS!$G$32)))))))</f>
        <v>12.568967990000001</v>
      </c>
      <c r="AF938" s="24">
        <f>IF(D938="M",(IF(AG938&lt;90,BMILMS!$D$14*AG938^3+BMILMS!$E$14*AG938^2+BMILMS!$F$14*AG938+BMILMS!$G$14,BMILMS!$D$15*AG938^3+BMILMS!$E$15*AG938^2+BMILMS!$F$15*AG938+BMILMS!$G$15)),(IF(AG938&lt;90,BMILMS!$D$17*AG938^3+BMILMS!$E$17*AG938^2+BMILMS!$F$17*AG938+BMILMS!$G$17,BMILMS!$D$18*AG938^3+BMILMS!$E$18*AG938^2+BMILMS!$F$18*AG938+BMILMS!$G$18)))</f>
        <v>8.8969350000000003E-2</v>
      </c>
      <c r="AG938" s="24">
        <f t="shared" si="240"/>
        <v>0</v>
      </c>
      <c r="AI938" s="38">
        <f>IF(D938="M",WeightSDS!P$5*$AG938^7+WeightSDS!Q$5*$AG938^6+WeightSDS!R$5*$AG938^5+WeightSDS!S$5*$AG938^4+WeightSDS!T$5*$AG938^3+WeightSDS!U$5*$AG938^2+WeightSDS!V$5*$AG938+WeightSDS!W$5,IF($AG938&lt;186,WeightSDS!P$8*$AG938^7+WeightSDS!Q$8*$AG938^6+WeightSDS!R$8*$AG938^5+WeightSDS!S$8*$AG938^4+WeightSDS!T$8*$AG938^3+WeightSDS!U$8*$AG938^2+WeightSDS!V$8*$AG938+WeightSDS!W$8,WeightSDS!$U$9-WeightSDS!$V$9*($AG938-WeightSDS!$W$9)))</f>
        <v>0.75407122999999998</v>
      </c>
      <c r="AJ938" s="24">
        <f>IF(D938="M",IF($AG938&lt;45,WeightSDS!M$23*$AG938^10+WeightSDS!N$23*$AG938^9+WeightSDS!O$23*$AG938^8+WeightSDS!P$23*$AG938^7+WeightSDS!Q$23*$AG938^6+WeightSDS!R$23*$AG938^5+WeightSDS!S$23*$AG938^4+WeightSDS!T$23*$AG938^3+WeightSDS!U$23*$AG938^2+WeightSDS!V$23*$AG938+WeightSDS!W$23,IF($AG938&lt;153,WeightSDS!M$25*$AG938^10+WeightSDS!N$25*$AG938^9+WeightSDS!O$25*$AG938^8+WeightSDS!P$25*$AG938^7+WeightSDS!Q$25*$AG938^6+WeightSDS!R$25*$AG938^5+WeightSDS!S$25*$AG938^4+WeightSDS!T$25*$AG938^3+WeightSDS!U$25*$AG938^2+WeightSDS!V$25*$AG938+WeightSDS!W$25,WeightSDS!M$27+WeightSDS!N$27/(1+EXP(WeightSDS!O$27+WeightSDS!P$27*$AG938)))),IF($AG938&lt;43.8,WeightSDS!M$29*$AG938^10+WeightSDS!N$29*$AG938^9+WeightSDS!O$29*$AG938^8+WeightSDS!P$29*$AG938^7+WeightSDS!Q$29*$AG938^6+WeightSDS!R$29*$AG938^5+WeightSDS!S$29*$AG938^4+WeightSDS!T$29*$AG938^3+WeightSDS!U$29*$AG938^2+WeightSDS!V$29*$AG938+WeightSDS!W$29-0.010431*(1-$AG938/210),IF($AG938&lt;123,WeightSDS!M$30*$AG938^10+WeightSDS!N$30*$AG938^9+WeightSDS!O$30*$AG938^8+WeightSDS!P$30*$AG938^7+WeightSDS!Q$30*$AG938^6+WeightSDS!R$30*$AG938^5+WeightSDS!S$30*$AG938^4+WeightSDS!T$30*$AG938^3+WeightSDS!U$30*$AG938^2+WeightSDS!V$30*$AG938+WeightSDS!W$30-0.010431*(1-1/$AG938),WeightSDS!M$32+WeightSDS!N$32/(1+EXP(WeightSDS!O$32+WeightSDS!P$32*$AG938))-0.010431*(1-$AG938/210))))</f>
        <v>2.9500001032655536</v>
      </c>
      <c r="AK938" s="24">
        <f>IF(D938="M",IF($AG938&lt;162,WeightSDS!P$12*$AG938^7+WeightSDS!Q$12*$AG938^6+WeightSDS!R$12*$AG938^5+WeightSDS!S$12*$AG938^4+WeightSDS!T$12*$AG938^3+WeightSDS!U$12*$AG938^2+WeightSDS!V$12*$AG938+WeightSDS!W$12,WeightSDS!P$14*$AG938^7+WeightSDS!Q$14*$AG938^6+WeightSDS!R$14*$AG938^5+WeightSDS!S$14*$AG938^4+WeightSDS!T$14*$AG938^3+WeightSDS!U$14*$AG938^2+WeightSDS!V$14*$AG938+WeightSDS!W$14),IF($AG938&lt;156,WeightSDS!O$17*$AG938^8+WeightSDS!P$17*$AG938^7+WeightSDS!Q$17*$AG938^6+WeightSDS!R$17*$AG938^5+WeightSDS!S$17*$AG938^4+WeightSDS!T$17*$AG938^3+WeightSDS!U$17*$AG938^2+WeightSDS!V$17*$AG938+WeightSDS!W$17,IF($AG938&lt;186,WeightSDS!$U$18+(WeightSDS!$V$18-WeightSDS!$U$18)/24*($AG938-186)+WeightSDS!$W$18*(-$AG938+186)^2-0.005,WeightSDS!$U$18+(WeightSDS!$V$18-WeightSDS!$U$18)/24*($AG938-186)-0.005)))</f>
        <v>0.14604529399999999</v>
      </c>
    </row>
    <row r="939" spans="1:37">
      <c r="A939" s="4"/>
      <c r="B939" s="21"/>
      <c r="C939" s="21"/>
      <c r="D939" s="21"/>
      <c r="E939" s="22"/>
      <c r="F939" s="22"/>
      <c r="G939" s="23"/>
      <c r="H939" s="23"/>
      <c r="I939" s="8" t="str">
        <f t="shared" si="226"/>
        <v/>
      </c>
      <c r="J939" s="2" t="str">
        <f t="shared" si="233"/>
        <v/>
      </c>
      <c r="K939" s="2" t="str">
        <f t="shared" si="227"/>
        <v/>
      </c>
      <c r="L939" s="2" t="str">
        <f t="shared" si="234"/>
        <v/>
      </c>
      <c r="M939" s="2" t="str">
        <f t="shared" si="239"/>
        <v/>
      </c>
      <c r="N939" s="2" t="str">
        <f t="shared" si="235"/>
        <v/>
      </c>
      <c r="O939" s="8" t="str">
        <f t="shared" si="236"/>
        <v/>
      </c>
      <c r="P939" s="8" t="str">
        <f t="shared" si="237"/>
        <v/>
      </c>
      <c r="Q939" s="40" t="str">
        <f t="shared" si="228"/>
        <v/>
      </c>
      <c r="R939" s="48" t="str">
        <f t="shared" si="238"/>
        <v/>
      </c>
      <c r="S939" s="8"/>
      <c r="U939" s="35">
        <f t="shared" si="229"/>
        <v>0</v>
      </c>
      <c r="V939" s="24">
        <f t="shared" si="230"/>
        <v>0</v>
      </c>
      <c r="W939" s="41">
        <f t="shared" si="241"/>
        <v>0</v>
      </c>
      <c r="X939" s="31"/>
      <c r="Y939" s="31"/>
      <c r="Z939" s="31"/>
      <c r="AA939" s="25">
        <f t="shared" si="231"/>
        <v>9.0359999999999996</v>
      </c>
      <c r="AB939" s="25">
        <f t="shared" si="232"/>
        <v>-184.49199999999999</v>
      </c>
      <c r="AD939" s="24">
        <f>IF(D939="M",IF(AG939&lt;78,BMILMS!$D$5*AG939^3+BMILMS!$E$5*AG939^2+BMILMS!$F$5*AG939+BMILMS!$G$5,IF(AG939&lt;150,BMILMS!$D$6*AG939^3+BMILMS!$E$6*AG939^2+BMILMS!$F$6*AG939+BMILMS!$G$6,BMILMS!$D$7*AG939^3+BMILMS!$E$7*AG939^2+BMILMS!$F$7*AG939+BMILMS!$G$7)),IF(AG939&lt;69,BMILMS!$D$9*AG939^3+BMILMS!$E$9*AG939^2+BMILMS!$F$9*AG939+BMILMS!$G$9,IF(AG939&lt;150,BMILMS!$D$10*AG939^3+BMILMS!$E$10*AG939^2+BMILMS!$F$10*AG939+BMILMS!$G$10,BMILMS!$D$11*AG939^3+BMILMS!$E$11*AG939^2+BMILMS!$F$11*AG939+BMILMS!$G$11)))</f>
        <v>0.79584630099999998</v>
      </c>
      <c r="AE939" s="24">
        <f>IF(D939="M",(IF(AG939&lt;2.5,BMILMS!$D$21*AG939^3+BMILMS!$E$21*AG939^2+BMILMS!$F$21*AG939+BMILMS!$G$21,IF(AG939&lt;9.5,BMILMS!$D$22*AG939^3+BMILMS!$E$22*AG939^2+BMILMS!$F$22*AG939+BMILMS!$G$22,IF(AG939&lt;26.75,BMILMS!$D$23*AG939^3+BMILMS!$E$23*AG939^2+BMILMS!$F$23*AG939+BMILMS!$G$23,IF(AG939&lt;90,BMILMS!$D$24*AG939^3+BMILMS!$E$24*AG939^2+BMILMS!$F$24*AG939+BMILMS!$G$24,BMILMS!$D$25*AG939^3+BMILMS!$E$25*AG939^2+BMILMS!$F$25*AG939+BMILMS!$G$25))))),(IF(AG939&lt;2.5,BMILMS!$D$27*AG939^3+BMILMS!$E$27*AG939^2+BMILMS!$F$27*AG939+BMILMS!$G$27,IF(AG939&lt;9.5,BMILMS!$D$28*AG939^3+BMILMS!$E$28*AG939^2+BMILMS!$F$28*AG939+BMILMS!$G$28,IF(AG939&lt;26.75,BMILMS!$D$29*AG939^3+BMILMS!$E$29*AG939^2+BMILMS!$F$29*AG939+BMILMS!$G$29,IF(AG939&lt;90,BMILMS!$D$30*AG939^3+BMILMS!$E$30*AG939^2+BMILMS!$F$30*AG939+BMILMS!$G$30,IF(AG939&lt;150,BMILMS!$D$31*AG939^3+BMILMS!$E$31*AG939^2+BMILMS!$F$31*AG939+BMILMS!$G$31,BMILMS!$D$32*AG939^3+BMILMS!$E$32*AG939^2+BMILMS!$F$32*AG939+BMILMS!$G$32)))))))</f>
        <v>12.568967990000001</v>
      </c>
      <c r="AF939" s="24">
        <f>IF(D939="M",(IF(AG939&lt;90,BMILMS!$D$14*AG939^3+BMILMS!$E$14*AG939^2+BMILMS!$F$14*AG939+BMILMS!$G$14,BMILMS!$D$15*AG939^3+BMILMS!$E$15*AG939^2+BMILMS!$F$15*AG939+BMILMS!$G$15)),(IF(AG939&lt;90,BMILMS!$D$17*AG939^3+BMILMS!$E$17*AG939^2+BMILMS!$F$17*AG939+BMILMS!$G$17,BMILMS!$D$18*AG939^3+BMILMS!$E$18*AG939^2+BMILMS!$F$18*AG939+BMILMS!$G$18)))</f>
        <v>8.8969350000000003E-2</v>
      </c>
      <c r="AG939" s="24">
        <f t="shared" si="240"/>
        <v>0</v>
      </c>
      <c r="AI939" s="38">
        <f>IF(D939="M",WeightSDS!P$5*$AG939^7+WeightSDS!Q$5*$AG939^6+WeightSDS!R$5*$AG939^5+WeightSDS!S$5*$AG939^4+WeightSDS!T$5*$AG939^3+WeightSDS!U$5*$AG939^2+WeightSDS!V$5*$AG939+WeightSDS!W$5,IF($AG939&lt;186,WeightSDS!P$8*$AG939^7+WeightSDS!Q$8*$AG939^6+WeightSDS!R$8*$AG939^5+WeightSDS!S$8*$AG939^4+WeightSDS!T$8*$AG939^3+WeightSDS!U$8*$AG939^2+WeightSDS!V$8*$AG939+WeightSDS!W$8,WeightSDS!$U$9-WeightSDS!$V$9*($AG939-WeightSDS!$W$9)))</f>
        <v>0.75407122999999998</v>
      </c>
      <c r="AJ939" s="24">
        <f>IF(D939="M",IF($AG939&lt;45,WeightSDS!M$23*$AG939^10+WeightSDS!N$23*$AG939^9+WeightSDS!O$23*$AG939^8+WeightSDS!P$23*$AG939^7+WeightSDS!Q$23*$AG939^6+WeightSDS!R$23*$AG939^5+WeightSDS!S$23*$AG939^4+WeightSDS!T$23*$AG939^3+WeightSDS!U$23*$AG939^2+WeightSDS!V$23*$AG939+WeightSDS!W$23,IF($AG939&lt;153,WeightSDS!M$25*$AG939^10+WeightSDS!N$25*$AG939^9+WeightSDS!O$25*$AG939^8+WeightSDS!P$25*$AG939^7+WeightSDS!Q$25*$AG939^6+WeightSDS!R$25*$AG939^5+WeightSDS!S$25*$AG939^4+WeightSDS!T$25*$AG939^3+WeightSDS!U$25*$AG939^2+WeightSDS!V$25*$AG939+WeightSDS!W$25,WeightSDS!M$27+WeightSDS!N$27/(1+EXP(WeightSDS!O$27+WeightSDS!P$27*$AG939)))),IF($AG939&lt;43.8,WeightSDS!M$29*$AG939^10+WeightSDS!N$29*$AG939^9+WeightSDS!O$29*$AG939^8+WeightSDS!P$29*$AG939^7+WeightSDS!Q$29*$AG939^6+WeightSDS!R$29*$AG939^5+WeightSDS!S$29*$AG939^4+WeightSDS!T$29*$AG939^3+WeightSDS!U$29*$AG939^2+WeightSDS!V$29*$AG939+WeightSDS!W$29-0.010431*(1-$AG939/210),IF($AG939&lt;123,WeightSDS!M$30*$AG939^10+WeightSDS!N$30*$AG939^9+WeightSDS!O$30*$AG939^8+WeightSDS!P$30*$AG939^7+WeightSDS!Q$30*$AG939^6+WeightSDS!R$30*$AG939^5+WeightSDS!S$30*$AG939^4+WeightSDS!T$30*$AG939^3+WeightSDS!U$30*$AG939^2+WeightSDS!V$30*$AG939+WeightSDS!W$30-0.010431*(1-1/$AG939),WeightSDS!M$32+WeightSDS!N$32/(1+EXP(WeightSDS!O$32+WeightSDS!P$32*$AG939))-0.010431*(1-$AG939/210))))</f>
        <v>2.9500001032655536</v>
      </c>
      <c r="AK939" s="24">
        <f>IF(D939="M",IF($AG939&lt;162,WeightSDS!P$12*$AG939^7+WeightSDS!Q$12*$AG939^6+WeightSDS!R$12*$AG939^5+WeightSDS!S$12*$AG939^4+WeightSDS!T$12*$AG939^3+WeightSDS!U$12*$AG939^2+WeightSDS!V$12*$AG939+WeightSDS!W$12,WeightSDS!P$14*$AG939^7+WeightSDS!Q$14*$AG939^6+WeightSDS!R$14*$AG939^5+WeightSDS!S$14*$AG939^4+WeightSDS!T$14*$AG939^3+WeightSDS!U$14*$AG939^2+WeightSDS!V$14*$AG939+WeightSDS!W$14),IF($AG939&lt;156,WeightSDS!O$17*$AG939^8+WeightSDS!P$17*$AG939^7+WeightSDS!Q$17*$AG939^6+WeightSDS!R$17*$AG939^5+WeightSDS!S$17*$AG939^4+WeightSDS!T$17*$AG939^3+WeightSDS!U$17*$AG939^2+WeightSDS!V$17*$AG939+WeightSDS!W$17,IF($AG939&lt;186,WeightSDS!$U$18+(WeightSDS!$V$18-WeightSDS!$U$18)/24*($AG939-186)+WeightSDS!$W$18*(-$AG939+186)^2-0.005,WeightSDS!$U$18+(WeightSDS!$V$18-WeightSDS!$U$18)/24*($AG939-186)-0.005)))</f>
        <v>0.14604529399999999</v>
      </c>
    </row>
    <row r="940" spans="1:37">
      <c r="A940" s="4"/>
      <c r="B940" s="21"/>
      <c r="C940" s="21"/>
      <c r="D940" s="21"/>
      <c r="E940" s="22"/>
      <c r="F940" s="22"/>
      <c r="G940" s="23"/>
      <c r="H940" s="23"/>
      <c r="I940" s="8" t="str">
        <f t="shared" si="226"/>
        <v/>
      </c>
      <c r="J940" s="2" t="str">
        <f t="shared" si="233"/>
        <v/>
      </c>
      <c r="K940" s="2" t="str">
        <f t="shared" si="227"/>
        <v/>
      </c>
      <c r="L940" s="2" t="str">
        <f t="shared" si="234"/>
        <v/>
      </c>
      <c r="M940" s="2" t="str">
        <f t="shared" si="239"/>
        <v/>
      </c>
      <c r="N940" s="2" t="str">
        <f t="shared" si="235"/>
        <v/>
      </c>
      <c r="O940" s="8" t="str">
        <f t="shared" si="236"/>
        <v/>
      </c>
      <c r="P940" s="8" t="str">
        <f t="shared" si="237"/>
        <v/>
      </c>
      <c r="Q940" s="40" t="str">
        <f t="shared" si="228"/>
        <v/>
      </c>
      <c r="R940" s="48" t="str">
        <f t="shared" si="238"/>
        <v/>
      </c>
      <c r="S940" s="8"/>
      <c r="U940" s="35">
        <f t="shared" si="229"/>
        <v>0</v>
      </c>
      <c r="V940" s="24">
        <f t="shared" si="230"/>
        <v>0</v>
      </c>
      <c r="W940" s="41">
        <f t="shared" si="241"/>
        <v>0</v>
      </c>
      <c r="X940" s="31"/>
      <c r="Y940" s="31"/>
      <c r="Z940" s="31"/>
      <c r="AA940" s="25">
        <f t="shared" si="231"/>
        <v>9.0359999999999996</v>
      </c>
      <c r="AB940" s="25">
        <f t="shared" si="232"/>
        <v>-184.49199999999999</v>
      </c>
      <c r="AD940" s="24">
        <f>IF(D940="M",IF(AG940&lt;78,BMILMS!$D$5*AG940^3+BMILMS!$E$5*AG940^2+BMILMS!$F$5*AG940+BMILMS!$G$5,IF(AG940&lt;150,BMILMS!$D$6*AG940^3+BMILMS!$E$6*AG940^2+BMILMS!$F$6*AG940+BMILMS!$G$6,BMILMS!$D$7*AG940^3+BMILMS!$E$7*AG940^2+BMILMS!$F$7*AG940+BMILMS!$G$7)),IF(AG940&lt;69,BMILMS!$D$9*AG940^3+BMILMS!$E$9*AG940^2+BMILMS!$F$9*AG940+BMILMS!$G$9,IF(AG940&lt;150,BMILMS!$D$10*AG940^3+BMILMS!$E$10*AG940^2+BMILMS!$F$10*AG940+BMILMS!$G$10,BMILMS!$D$11*AG940^3+BMILMS!$E$11*AG940^2+BMILMS!$F$11*AG940+BMILMS!$G$11)))</f>
        <v>0.79584630099999998</v>
      </c>
      <c r="AE940" s="24">
        <f>IF(D940="M",(IF(AG940&lt;2.5,BMILMS!$D$21*AG940^3+BMILMS!$E$21*AG940^2+BMILMS!$F$21*AG940+BMILMS!$G$21,IF(AG940&lt;9.5,BMILMS!$D$22*AG940^3+BMILMS!$E$22*AG940^2+BMILMS!$F$22*AG940+BMILMS!$G$22,IF(AG940&lt;26.75,BMILMS!$D$23*AG940^3+BMILMS!$E$23*AG940^2+BMILMS!$F$23*AG940+BMILMS!$G$23,IF(AG940&lt;90,BMILMS!$D$24*AG940^3+BMILMS!$E$24*AG940^2+BMILMS!$F$24*AG940+BMILMS!$G$24,BMILMS!$D$25*AG940^3+BMILMS!$E$25*AG940^2+BMILMS!$F$25*AG940+BMILMS!$G$25))))),(IF(AG940&lt;2.5,BMILMS!$D$27*AG940^3+BMILMS!$E$27*AG940^2+BMILMS!$F$27*AG940+BMILMS!$G$27,IF(AG940&lt;9.5,BMILMS!$D$28*AG940^3+BMILMS!$E$28*AG940^2+BMILMS!$F$28*AG940+BMILMS!$G$28,IF(AG940&lt;26.75,BMILMS!$D$29*AG940^3+BMILMS!$E$29*AG940^2+BMILMS!$F$29*AG940+BMILMS!$G$29,IF(AG940&lt;90,BMILMS!$D$30*AG940^3+BMILMS!$E$30*AG940^2+BMILMS!$F$30*AG940+BMILMS!$G$30,IF(AG940&lt;150,BMILMS!$D$31*AG940^3+BMILMS!$E$31*AG940^2+BMILMS!$F$31*AG940+BMILMS!$G$31,BMILMS!$D$32*AG940^3+BMILMS!$E$32*AG940^2+BMILMS!$F$32*AG940+BMILMS!$G$32)))))))</f>
        <v>12.568967990000001</v>
      </c>
      <c r="AF940" s="24">
        <f>IF(D940="M",(IF(AG940&lt;90,BMILMS!$D$14*AG940^3+BMILMS!$E$14*AG940^2+BMILMS!$F$14*AG940+BMILMS!$G$14,BMILMS!$D$15*AG940^3+BMILMS!$E$15*AG940^2+BMILMS!$F$15*AG940+BMILMS!$G$15)),(IF(AG940&lt;90,BMILMS!$D$17*AG940^3+BMILMS!$E$17*AG940^2+BMILMS!$F$17*AG940+BMILMS!$G$17,BMILMS!$D$18*AG940^3+BMILMS!$E$18*AG940^2+BMILMS!$F$18*AG940+BMILMS!$G$18)))</f>
        <v>8.8969350000000003E-2</v>
      </c>
      <c r="AG940" s="24">
        <f t="shared" si="240"/>
        <v>0</v>
      </c>
      <c r="AI940" s="38">
        <f>IF(D940="M",WeightSDS!P$5*$AG940^7+WeightSDS!Q$5*$AG940^6+WeightSDS!R$5*$AG940^5+WeightSDS!S$5*$AG940^4+WeightSDS!T$5*$AG940^3+WeightSDS!U$5*$AG940^2+WeightSDS!V$5*$AG940+WeightSDS!W$5,IF($AG940&lt;186,WeightSDS!P$8*$AG940^7+WeightSDS!Q$8*$AG940^6+WeightSDS!R$8*$AG940^5+WeightSDS!S$8*$AG940^4+WeightSDS!T$8*$AG940^3+WeightSDS!U$8*$AG940^2+WeightSDS!V$8*$AG940+WeightSDS!W$8,WeightSDS!$U$9-WeightSDS!$V$9*($AG940-WeightSDS!$W$9)))</f>
        <v>0.75407122999999998</v>
      </c>
      <c r="AJ940" s="24">
        <f>IF(D940="M",IF($AG940&lt;45,WeightSDS!M$23*$AG940^10+WeightSDS!N$23*$AG940^9+WeightSDS!O$23*$AG940^8+WeightSDS!P$23*$AG940^7+WeightSDS!Q$23*$AG940^6+WeightSDS!R$23*$AG940^5+WeightSDS!S$23*$AG940^4+WeightSDS!T$23*$AG940^3+WeightSDS!U$23*$AG940^2+WeightSDS!V$23*$AG940+WeightSDS!W$23,IF($AG940&lt;153,WeightSDS!M$25*$AG940^10+WeightSDS!N$25*$AG940^9+WeightSDS!O$25*$AG940^8+WeightSDS!P$25*$AG940^7+WeightSDS!Q$25*$AG940^6+WeightSDS!R$25*$AG940^5+WeightSDS!S$25*$AG940^4+WeightSDS!T$25*$AG940^3+WeightSDS!U$25*$AG940^2+WeightSDS!V$25*$AG940+WeightSDS!W$25,WeightSDS!M$27+WeightSDS!N$27/(1+EXP(WeightSDS!O$27+WeightSDS!P$27*$AG940)))),IF($AG940&lt;43.8,WeightSDS!M$29*$AG940^10+WeightSDS!N$29*$AG940^9+WeightSDS!O$29*$AG940^8+WeightSDS!P$29*$AG940^7+WeightSDS!Q$29*$AG940^6+WeightSDS!R$29*$AG940^5+WeightSDS!S$29*$AG940^4+WeightSDS!T$29*$AG940^3+WeightSDS!U$29*$AG940^2+WeightSDS!V$29*$AG940+WeightSDS!W$29-0.010431*(1-$AG940/210),IF($AG940&lt;123,WeightSDS!M$30*$AG940^10+WeightSDS!N$30*$AG940^9+WeightSDS!O$30*$AG940^8+WeightSDS!P$30*$AG940^7+WeightSDS!Q$30*$AG940^6+WeightSDS!R$30*$AG940^5+WeightSDS!S$30*$AG940^4+WeightSDS!T$30*$AG940^3+WeightSDS!U$30*$AG940^2+WeightSDS!V$30*$AG940+WeightSDS!W$30-0.010431*(1-1/$AG940),WeightSDS!M$32+WeightSDS!N$32/(1+EXP(WeightSDS!O$32+WeightSDS!P$32*$AG940))-0.010431*(1-$AG940/210))))</f>
        <v>2.9500001032655536</v>
      </c>
      <c r="AK940" s="24">
        <f>IF(D940="M",IF($AG940&lt;162,WeightSDS!P$12*$AG940^7+WeightSDS!Q$12*$AG940^6+WeightSDS!R$12*$AG940^5+WeightSDS!S$12*$AG940^4+WeightSDS!T$12*$AG940^3+WeightSDS!U$12*$AG940^2+WeightSDS!V$12*$AG940+WeightSDS!W$12,WeightSDS!P$14*$AG940^7+WeightSDS!Q$14*$AG940^6+WeightSDS!R$14*$AG940^5+WeightSDS!S$14*$AG940^4+WeightSDS!T$14*$AG940^3+WeightSDS!U$14*$AG940^2+WeightSDS!V$14*$AG940+WeightSDS!W$14),IF($AG940&lt;156,WeightSDS!O$17*$AG940^8+WeightSDS!P$17*$AG940^7+WeightSDS!Q$17*$AG940^6+WeightSDS!R$17*$AG940^5+WeightSDS!S$17*$AG940^4+WeightSDS!T$17*$AG940^3+WeightSDS!U$17*$AG940^2+WeightSDS!V$17*$AG940+WeightSDS!W$17,IF($AG940&lt;186,WeightSDS!$U$18+(WeightSDS!$V$18-WeightSDS!$U$18)/24*($AG940-186)+WeightSDS!$W$18*(-$AG940+186)^2-0.005,WeightSDS!$U$18+(WeightSDS!$V$18-WeightSDS!$U$18)/24*($AG940-186)-0.005)))</f>
        <v>0.14604529399999999</v>
      </c>
    </row>
    <row r="941" spans="1:37">
      <c r="A941" s="4"/>
      <c r="B941" s="21"/>
      <c r="C941" s="21"/>
      <c r="D941" s="21"/>
      <c r="E941" s="22"/>
      <c r="F941" s="22"/>
      <c r="G941" s="23"/>
      <c r="H941" s="23"/>
      <c r="I941" s="8" t="str">
        <f t="shared" si="226"/>
        <v/>
      </c>
      <c r="J941" s="2" t="str">
        <f t="shared" si="233"/>
        <v/>
      </c>
      <c r="K941" s="2" t="str">
        <f t="shared" si="227"/>
        <v/>
      </c>
      <c r="L941" s="2" t="str">
        <f t="shared" si="234"/>
        <v/>
      </c>
      <c r="M941" s="2" t="str">
        <f t="shared" si="239"/>
        <v/>
      </c>
      <c r="N941" s="2" t="str">
        <f t="shared" si="235"/>
        <v/>
      </c>
      <c r="O941" s="8" t="str">
        <f t="shared" si="236"/>
        <v/>
      </c>
      <c r="P941" s="8" t="str">
        <f t="shared" si="237"/>
        <v/>
      </c>
      <c r="Q941" s="40" t="str">
        <f t="shared" si="228"/>
        <v/>
      </c>
      <c r="R941" s="48" t="str">
        <f t="shared" si="238"/>
        <v/>
      </c>
      <c r="S941" s="8"/>
      <c r="U941" s="35">
        <f t="shared" si="229"/>
        <v>0</v>
      </c>
      <c r="V941" s="24">
        <f t="shared" si="230"/>
        <v>0</v>
      </c>
      <c r="W941" s="41">
        <f t="shared" si="241"/>
        <v>0</v>
      </c>
      <c r="X941" s="31"/>
      <c r="Y941" s="31"/>
      <c r="Z941" s="31"/>
      <c r="AA941" s="25">
        <f t="shared" si="231"/>
        <v>9.0359999999999996</v>
      </c>
      <c r="AB941" s="25">
        <f t="shared" si="232"/>
        <v>-184.49199999999999</v>
      </c>
      <c r="AD941" s="24">
        <f>IF(D941="M",IF(AG941&lt;78,BMILMS!$D$5*AG941^3+BMILMS!$E$5*AG941^2+BMILMS!$F$5*AG941+BMILMS!$G$5,IF(AG941&lt;150,BMILMS!$D$6*AG941^3+BMILMS!$E$6*AG941^2+BMILMS!$F$6*AG941+BMILMS!$G$6,BMILMS!$D$7*AG941^3+BMILMS!$E$7*AG941^2+BMILMS!$F$7*AG941+BMILMS!$G$7)),IF(AG941&lt;69,BMILMS!$D$9*AG941^3+BMILMS!$E$9*AG941^2+BMILMS!$F$9*AG941+BMILMS!$G$9,IF(AG941&lt;150,BMILMS!$D$10*AG941^3+BMILMS!$E$10*AG941^2+BMILMS!$F$10*AG941+BMILMS!$G$10,BMILMS!$D$11*AG941^3+BMILMS!$E$11*AG941^2+BMILMS!$F$11*AG941+BMILMS!$G$11)))</f>
        <v>0.79584630099999998</v>
      </c>
      <c r="AE941" s="24">
        <f>IF(D941="M",(IF(AG941&lt;2.5,BMILMS!$D$21*AG941^3+BMILMS!$E$21*AG941^2+BMILMS!$F$21*AG941+BMILMS!$G$21,IF(AG941&lt;9.5,BMILMS!$D$22*AG941^3+BMILMS!$E$22*AG941^2+BMILMS!$F$22*AG941+BMILMS!$G$22,IF(AG941&lt;26.75,BMILMS!$D$23*AG941^3+BMILMS!$E$23*AG941^2+BMILMS!$F$23*AG941+BMILMS!$G$23,IF(AG941&lt;90,BMILMS!$D$24*AG941^3+BMILMS!$E$24*AG941^2+BMILMS!$F$24*AG941+BMILMS!$G$24,BMILMS!$D$25*AG941^3+BMILMS!$E$25*AG941^2+BMILMS!$F$25*AG941+BMILMS!$G$25))))),(IF(AG941&lt;2.5,BMILMS!$D$27*AG941^3+BMILMS!$E$27*AG941^2+BMILMS!$F$27*AG941+BMILMS!$G$27,IF(AG941&lt;9.5,BMILMS!$D$28*AG941^3+BMILMS!$E$28*AG941^2+BMILMS!$F$28*AG941+BMILMS!$G$28,IF(AG941&lt;26.75,BMILMS!$D$29*AG941^3+BMILMS!$E$29*AG941^2+BMILMS!$F$29*AG941+BMILMS!$G$29,IF(AG941&lt;90,BMILMS!$D$30*AG941^3+BMILMS!$E$30*AG941^2+BMILMS!$F$30*AG941+BMILMS!$G$30,IF(AG941&lt;150,BMILMS!$D$31*AG941^3+BMILMS!$E$31*AG941^2+BMILMS!$F$31*AG941+BMILMS!$G$31,BMILMS!$D$32*AG941^3+BMILMS!$E$32*AG941^2+BMILMS!$F$32*AG941+BMILMS!$G$32)))))))</f>
        <v>12.568967990000001</v>
      </c>
      <c r="AF941" s="24">
        <f>IF(D941="M",(IF(AG941&lt;90,BMILMS!$D$14*AG941^3+BMILMS!$E$14*AG941^2+BMILMS!$F$14*AG941+BMILMS!$G$14,BMILMS!$D$15*AG941^3+BMILMS!$E$15*AG941^2+BMILMS!$F$15*AG941+BMILMS!$G$15)),(IF(AG941&lt;90,BMILMS!$D$17*AG941^3+BMILMS!$E$17*AG941^2+BMILMS!$F$17*AG941+BMILMS!$G$17,BMILMS!$D$18*AG941^3+BMILMS!$E$18*AG941^2+BMILMS!$F$18*AG941+BMILMS!$G$18)))</f>
        <v>8.8969350000000003E-2</v>
      </c>
      <c r="AG941" s="24">
        <f t="shared" si="240"/>
        <v>0</v>
      </c>
      <c r="AI941" s="38">
        <f>IF(D941="M",WeightSDS!P$5*$AG941^7+WeightSDS!Q$5*$AG941^6+WeightSDS!R$5*$AG941^5+WeightSDS!S$5*$AG941^4+WeightSDS!T$5*$AG941^3+WeightSDS!U$5*$AG941^2+WeightSDS!V$5*$AG941+WeightSDS!W$5,IF($AG941&lt;186,WeightSDS!P$8*$AG941^7+WeightSDS!Q$8*$AG941^6+WeightSDS!R$8*$AG941^5+WeightSDS!S$8*$AG941^4+WeightSDS!T$8*$AG941^3+WeightSDS!U$8*$AG941^2+WeightSDS!V$8*$AG941+WeightSDS!W$8,WeightSDS!$U$9-WeightSDS!$V$9*($AG941-WeightSDS!$W$9)))</f>
        <v>0.75407122999999998</v>
      </c>
      <c r="AJ941" s="24">
        <f>IF(D941="M",IF($AG941&lt;45,WeightSDS!M$23*$AG941^10+WeightSDS!N$23*$AG941^9+WeightSDS!O$23*$AG941^8+WeightSDS!P$23*$AG941^7+WeightSDS!Q$23*$AG941^6+WeightSDS!R$23*$AG941^5+WeightSDS!S$23*$AG941^4+WeightSDS!T$23*$AG941^3+WeightSDS!U$23*$AG941^2+WeightSDS!V$23*$AG941+WeightSDS!W$23,IF($AG941&lt;153,WeightSDS!M$25*$AG941^10+WeightSDS!N$25*$AG941^9+WeightSDS!O$25*$AG941^8+WeightSDS!P$25*$AG941^7+WeightSDS!Q$25*$AG941^6+WeightSDS!R$25*$AG941^5+WeightSDS!S$25*$AG941^4+WeightSDS!T$25*$AG941^3+WeightSDS!U$25*$AG941^2+WeightSDS!V$25*$AG941+WeightSDS!W$25,WeightSDS!M$27+WeightSDS!N$27/(1+EXP(WeightSDS!O$27+WeightSDS!P$27*$AG941)))),IF($AG941&lt;43.8,WeightSDS!M$29*$AG941^10+WeightSDS!N$29*$AG941^9+WeightSDS!O$29*$AG941^8+WeightSDS!P$29*$AG941^7+WeightSDS!Q$29*$AG941^6+WeightSDS!R$29*$AG941^5+WeightSDS!S$29*$AG941^4+WeightSDS!T$29*$AG941^3+WeightSDS!U$29*$AG941^2+WeightSDS!V$29*$AG941+WeightSDS!W$29-0.010431*(1-$AG941/210),IF($AG941&lt;123,WeightSDS!M$30*$AG941^10+WeightSDS!N$30*$AG941^9+WeightSDS!O$30*$AG941^8+WeightSDS!P$30*$AG941^7+WeightSDS!Q$30*$AG941^6+WeightSDS!R$30*$AG941^5+WeightSDS!S$30*$AG941^4+WeightSDS!T$30*$AG941^3+WeightSDS!U$30*$AG941^2+WeightSDS!V$30*$AG941+WeightSDS!W$30-0.010431*(1-1/$AG941),WeightSDS!M$32+WeightSDS!N$32/(1+EXP(WeightSDS!O$32+WeightSDS!P$32*$AG941))-0.010431*(1-$AG941/210))))</f>
        <v>2.9500001032655536</v>
      </c>
      <c r="AK941" s="24">
        <f>IF(D941="M",IF($AG941&lt;162,WeightSDS!P$12*$AG941^7+WeightSDS!Q$12*$AG941^6+WeightSDS!R$12*$AG941^5+WeightSDS!S$12*$AG941^4+WeightSDS!T$12*$AG941^3+WeightSDS!U$12*$AG941^2+WeightSDS!V$12*$AG941+WeightSDS!W$12,WeightSDS!P$14*$AG941^7+WeightSDS!Q$14*$AG941^6+WeightSDS!R$14*$AG941^5+WeightSDS!S$14*$AG941^4+WeightSDS!T$14*$AG941^3+WeightSDS!U$14*$AG941^2+WeightSDS!V$14*$AG941+WeightSDS!W$14),IF($AG941&lt;156,WeightSDS!O$17*$AG941^8+WeightSDS!P$17*$AG941^7+WeightSDS!Q$17*$AG941^6+WeightSDS!R$17*$AG941^5+WeightSDS!S$17*$AG941^4+WeightSDS!T$17*$AG941^3+WeightSDS!U$17*$AG941^2+WeightSDS!V$17*$AG941+WeightSDS!W$17,IF($AG941&lt;186,WeightSDS!$U$18+(WeightSDS!$V$18-WeightSDS!$U$18)/24*($AG941-186)+WeightSDS!$W$18*(-$AG941+186)^2-0.005,WeightSDS!$U$18+(WeightSDS!$V$18-WeightSDS!$U$18)/24*($AG941-186)-0.005)))</f>
        <v>0.14604529399999999</v>
      </c>
    </row>
    <row r="942" spans="1:37">
      <c r="A942" s="4"/>
      <c r="B942" s="21"/>
      <c r="C942" s="21"/>
      <c r="D942" s="21"/>
      <c r="E942" s="22"/>
      <c r="F942" s="22"/>
      <c r="G942" s="23"/>
      <c r="H942" s="23"/>
      <c r="I942" s="8" t="str">
        <f t="shared" si="226"/>
        <v/>
      </c>
      <c r="J942" s="2" t="str">
        <f t="shared" si="233"/>
        <v/>
      </c>
      <c r="K942" s="2" t="str">
        <f t="shared" si="227"/>
        <v/>
      </c>
      <c r="L942" s="2" t="str">
        <f t="shared" si="234"/>
        <v/>
      </c>
      <c r="M942" s="2" t="str">
        <f t="shared" si="239"/>
        <v/>
      </c>
      <c r="N942" s="2" t="str">
        <f t="shared" si="235"/>
        <v/>
      </c>
      <c r="O942" s="8" t="str">
        <f t="shared" si="236"/>
        <v/>
      </c>
      <c r="P942" s="8" t="str">
        <f t="shared" si="237"/>
        <v/>
      </c>
      <c r="Q942" s="40" t="str">
        <f t="shared" si="228"/>
        <v/>
      </c>
      <c r="R942" s="48" t="str">
        <f t="shared" si="238"/>
        <v/>
      </c>
      <c r="S942" s="8"/>
      <c r="U942" s="35">
        <f t="shared" si="229"/>
        <v>0</v>
      </c>
      <c r="V942" s="24">
        <f t="shared" si="230"/>
        <v>0</v>
      </c>
      <c r="W942" s="41">
        <f t="shared" si="241"/>
        <v>0</v>
      </c>
      <c r="X942" s="31"/>
      <c r="Y942" s="31"/>
      <c r="Z942" s="31"/>
      <c r="AA942" s="25">
        <f t="shared" si="231"/>
        <v>9.0359999999999996</v>
      </c>
      <c r="AB942" s="25">
        <f t="shared" si="232"/>
        <v>-184.49199999999999</v>
      </c>
      <c r="AD942" s="24">
        <f>IF(D942="M",IF(AG942&lt;78,BMILMS!$D$5*AG942^3+BMILMS!$E$5*AG942^2+BMILMS!$F$5*AG942+BMILMS!$G$5,IF(AG942&lt;150,BMILMS!$D$6*AG942^3+BMILMS!$E$6*AG942^2+BMILMS!$F$6*AG942+BMILMS!$G$6,BMILMS!$D$7*AG942^3+BMILMS!$E$7*AG942^2+BMILMS!$F$7*AG942+BMILMS!$G$7)),IF(AG942&lt;69,BMILMS!$D$9*AG942^3+BMILMS!$E$9*AG942^2+BMILMS!$F$9*AG942+BMILMS!$G$9,IF(AG942&lt;150,BMILMS!$D$10*AG942^3+BMILMS!$E$10*AG942^2+BMILMS!$F$10*AG942+BMILMS!$G$10,BMILMS!$D$11*AG942^3+BMILMS!$E$11*AG942^2+BMILMS!$F$11*AG942+BMILMS!$G$11)))</f>
        <v>0.79584630099999998</v>
      </c>
      <c r="AE942" s="24">
        <f>IF(D942="M",(IF(AG942&lt;2.5,BMILMS!$D$21*AG942^3+BMILMS!$E$21*AG942^2+BMILMS!$F$21*AG942+BMILMS!$G$21,IF(AG942&lt;9.5,BMILMS!$D$22*AG942^3+BMILMS!$E$22*AG942^2+BMILMS!$F$22*AG942+BMILMS!$G$22,IF(AG942&lt;26.75,BMILMS!$D$23*AG942^3+BMILMS!$E$23*AG942^2+BMILMS!$F$23*AG942+BMILMS!$G$23,IF(AG942&lt;90,BMILMS!$D$24*AG942^3+BMILMS!$E$24*AG942^2+BMILMS!$F$24*AG942+BMILMS!$G$24,BMILMS!$D$25*AG942^3+BMILMS!$E$25*AG942^2+BMILMS!$F$25*AG942+BMILMS!$G$25))))),(IF(AG942&lt;2.5,BMILMS!$D$27*AG942^3+BMILMS!$E$27*AG942^2+BMILMS!$F$27*AG942+BMILMS!$G$27,IF(AG942&lt;9.5,BMILMS!$D$28*AG942^3+BMILMS!$E$28*AG942^2+BMILMS!$F$28*AG942+BMILMS!$G$28,IF(AG942&lt;26.75,BMILMS!$D$29*AG942^3+BMILMS!$E$29*AG942^2+BMILMS!$F$29*AG942+BMILMS!$G$29,IF(AG942&lt;90,BMILMS!$D$30*AG942^3+BMILMS!$E$30*AG942^2+BMILMS!$F$30*AG942+BMILMS!$G$30,IF(AG942&lt;150,BMILMS!$D$31*AG942^3+BMILMS!$E$31*AG942^2+BMILMS!$F$31*AG942+BMILMS!$G$31,BMILMS!$D$32*AG942^3+BMILMS!$E$32*AG942^2+BMILMS!$F$32*AG942+BMILMS!$G$32)))))))</f>
        <v>12.568967990000001</v>
      </c>
      <c r="AF942" s="24">
        <f>IF(D942="M",(IF(AG942&lt;90,BMILMS!$D$14*AG942^3+BMILMS!$E$14*AG942^2+BMILMS!$F$14*AG942+BMILMS!$G$14,BMILMS!$D$15*AG942^3+BMILMS!$E$15*AG942^2+BMILMS!$F$15*AG942+BMILMS!$G$15)),(IF(AG942&lt;90,BMILMS!$D$17*AG942^3+BMILMS!$E$17*AG942^2+BMILMS!$F$17*AG942+BMILMS!$G$17,BMILMS!$D$18*AG942^3+BMILMS!$E$18*AG942^2+BMILMS!$F$18*AG942+BMILMS!$G$18)))</f>
        <v>8.8969350000000003E-2</v>
      </c>
      <c r="AG942" s="24">
        <f t="shared" si="240"/>
        <v>0</v>
      </c>
      <c r="AI942" s="38">
        <f>IF(D942="M",WeightSDS!P$5*$AG942^7+WeightSDS!Q$5*$AG942^6+WeightSDS!R$5*$AG942^5+WeightSDS!S$5*$AG942^4+WeightSDS!T$5*$AG942^3+WeightSDS!U$5*$AG942^2+WeightSDS!V$5*$AG942+WeightSDS!W$5,IF($AG942&lt;186,WeightSDS!P$8*$AG942^7+WeightSDS!Q$8*$AG942^6+WeightSDS!R$8*$AG942^5+WeightSDS!S$8*$AG942^4+WeightSDS!T$8*$AG942^3+WeightSDS!U$8*$AG942^2+WeightSDS!V$8*$AG942+WeightSDS!W$8,WeightSDS!$U$9-WeightSDS!$V$9*($AG942-WeightSDS!$W$9)))</f>
        <v>0.75407122999999998</v>
      </c>
      <c r="AJ942" s="24">
        <f>IF(D942="M",IF($AG942&lt;45,WeightSDS!M$23*$AG942^10+WeightSDS!N$23*$AG942^9+WeightSDS!O$23*$AG942^8+WeightSDS!P$23*$AG942^7+WeightSDS!Q$23*$AG942^6+WeightSDS!R$23*$AG942^5+WeightSDS!S$23*$AG942^4+WeightSDS!T$23*$AG942^3+WeightSDS!U$23*$AG942^2+WeightSDS!V$23*$AG942+WeightSDS!W$23,IF($AG942&lt;153,WeightSDS!M$25*$AG942^10+WeightSDS!N$25*$AG942^9+WeightSDS!O$25*$AG942^8+WeightSDS!P$25*$AG942^7+WeightSDS!Q$25*$AG942^6+WeightSDS!R$25*$AG942^5+WeightSDS!S$25*$AG942^4+WeightSDS!T$25*$AG942^3+WeightSDS!U$25*$AG942^2+WeightSDS!V$25*$AG942+WeightSDS!W$25,WeightSDS!M$27+WeightSDS!N$27/(1+EXP(WeightSDS!O$27+WeightSDS!P$27*$AG942)))),IF($AG942&lt;43.8,WeightSDS!M$29*$AG942^10+WeightSDS!N$29*$AG942^9+WeightSDS!O$29*$AG942^8+WeightSDS!P$29*$AG942^7+WeightSDS!Q$29*$AG942^6+WeightSDS!R$29*$AG942^5+WeightSDS!S$29*$AG942^4+WeightSDS!T$29*$AG942^3+WeightSDS!U$29*$AG942^2+WeightSDS!V$29*$AG942+WeightSDS!W$29-0.010431*(1-$AG942/210),IF($AG942&lt;123,WeightSDS!M$30*$AG942^10+WeightSDS!N$30*$AG942^9+WeightSDS!O$30*$AG942^8+WeightSDS!P$30*$AG942^7+WeightSDS!Q$30*$AG942^6+WeightSDS!R$30*$AG942^5+WeightSDS!S$30*$AG942^4+WeightSDS!T$30*$AG942^3+WeightSDS!U$30*$AG942^2+WeightSDS!V$30*$AG942+WeightSDS!W$30-0.010431*(1-1/$AG942),WeightSDS!M$32+WeightSDS!N$32/(1+EXP(WeightSDS!O$32+WeightSDS!P$32*$AG942))-0.010431*(1-$AG942/210))))</f>
        <v>2.9500001032655536</v>
      </c>
      <c r="AK942" s="24">
        <f>IF(D942="M",IF($AG942&lt;162,WeightSDS!P$12*$AG942^7+WeightSDS!Q$12*$AG942^6+WeightSDS!R$12*$AG942^5+WeightSDS!S$12*$AG942^4+WeightSDS!T$12*$AG942^3+WeightSDS!U$12*$AG942^2+WeightSDS!V$12*$AG942+WeightSDS!W$12,WeightSDS!P$14*$AG942^7+WeightSDS!Q$14*$AG942^6+WeightSDS!R$14*$AG942^5+WeightSDS!S$14*$AG942^4+WeightSDS!T$14*$AG942^3+WeightSDS!U$14*$AG942^2+WeightSDS!V$14*$AG942+WeightSDS!W$14),IF($AG942&lt;156,WeightSDS!O$17*$AG942^8+WeightSDS!P$17*$AG942^7+WeightSDS!Q$17*$AG942^6+WeightSDS!R$17*$AG942^5+WeightSDS!S$17*$AG942^4+WeightSDS!T$17*$AG942^3+WeightSDS!U$17*$AG942^2+WeightSDS!V$17*$AG942+WeightSDS!W$17,IF($AG942&lt;186,WeightSDS!$U$18+(WeightSDS!$V$18-WeightSDS!$U$18)/24*($AG942-186)+WeightSDS!$W$18*(-$AG942+186)^2-0.005,WeightSDS!$U$18+(WeightSDS!$V$18-WeightSDS!$U$18)/24*($AG942-186)-0.005)))</f>
        <v>0.14604529399999999</v>
      </c>
    </row>
    <row r="943" spans="1:37">
      <c r="A943" s="4"/>
      <c r="B943" s="21"/>
      <c r="C943" s="21"/>
      <c r="D943" s="21"/>
      <c r="E943" s="22"/>
      <c r="F943" s="22"/>
      <c r="G943" s="23"/>
      <c r="H943" s="23"/>
      <c r="I943" s="8" t="str">
        <f t="shared" si="226"/>
        <v/>
      </c>
      <c r="J943" s="2" t="str">
        <f t="shared" si="233"/>
        <v/>
      </c>
      <c r="K943" s="2" t="str">
        <f t="shared" si="227"/>
        <v/>
      </c>
      <c r="L943" s="2" t="str">
        <f t="shared" si="234"/>
        <v/>
      </c>
      <c r="M943" s="2" t="str">
        <f t="shared" si="239"/>
        <v/>
      </c>
      <c r="N943" s="2" t="str">
        <f t="shared" si="235"/>
        <v/>
      </c>
      <c r="O943" s="8" t="str">
        <f t="shared" si="236"/>
        <v/>
      </c>
      <c r="P943" s="8" t="str">
        <f t="shared" si="237"/>
        <v/>
      </c>
      <c r="Q943" s="40" t="str">
        <f t="shared" si="228"/>
        <v/>
      </c>
      <c r="R943" s="48" t="str">
        <f t="shared" si="238"/>
        <v/>
      </c>
      <c r="S943" s="8"/>
      <c r="U943" s="35">
        <f t="shared" si="229"/>
        <v>0</v>
      </c>
      <c r="V943" s="24">
        <f t="shared" si="230"/>
        <v>0</v>
      </c>
      <c r="W943" s="41">
        <f t="shared" si="241"/>
        <v>0</v>
      </c>
      <c r="X943" s="31"/>
      <c r="Y943" s="31"/>
      <c r="Z943" s="31"/>
      <c r="AA943" s="25">
        <f t="shared" si="231"/>
        <v>9.0359999999999996</v>
      </c>
      <c r="AB943" s="25">
        <f t="shared" si="232"/>
        <v>-184.49199999999999</v>
      </c>
      <c r="AD943" s="24">
        <f>IF(D943="M",IF(AG943&lt;78,BMILMS!$D$5*AG943^3+BMILMS!$E$5*AG943^2+BMILMS!$F$5*AG943+BMILMS!$G$5,IF(AG943&lt;150,BMILMS!$D$6*AG943^3+BMILMS!$E$6*AG943^2+BMILMS!$F$6*AG943+BMILMS!$G$6,BMILMS!$D$7*AG943^3+BMILMS!$E$7*AG943^2+BMILMS!$F$7*AG943+BMILMS!$G$7)),IF(AG943&lt;69,BMILMS!$D$9*AG943^3+BMILMS!$E$9*AG943^2+BMILMS!$F$9*AG943+BMILMS!$G$9,IF(AG943&lt;150,BMILMS!$D$10*AG943^3+BMILMS!$E$10*AG943^2+BMILMS!$F$10*AG943+BMILMS!$G$10,BMILMS!$D$11*AG943^3+BMILMS!$E$11*AG943^2+BMILMS!$F$11*AG943+BMILMS!$G$11)))</f>
        <v>0.79584630099999998</v>
      </c>
      <c r="AE943" s="24">
        <f>IF(D943="M",(IF(AG943&lt;2.5,BMILMS!$D$21*AG943^3+BMILMS!$E$21*AG943^2+BMILMS!$F$21*AG943+BMILMS!$G$21,IF(AG943&lt;9.5,BMILMS!$D$22*AG943^3+BMILMS!$E$22*AG943^2+BMILMS!$F$22*AG943+BMILMS!$G$22,IF(AG943&lt;26.75,BMILMS!$D$23*AG943^3+BMILMS!$E$23*AG943^2+BMILMS!$F$23*AG943+BMILMS!$G$23,IF(AG943&lt;90,BMILMS!$D$24*AG943^3+BMILMS!$E$24*AG943^2+BMILMS!$F$24*AG943+BMILMS!$G$24,BMILMS!$D$25*AG943^3+BMILMS!$E$25*AG943^2+BMILMS!$F$25*AG943+BMILMS!$G$25))))),(IF(AG943&lt;2.5,BMILMS!$D$27*AG943^3+BMILMS!$E$27*AG943^2+BMILMS!$F$27*AG943+BMILMS!$G$27,IF(AG943&lt;9.5,BMILMS!$D$28*AG943^3+BMILMS!$E$28*AG943^2+BMILMS!$F$28*AG943+BMILMS!$G$28,IF(AG943&lt;26.75,BMILMS!$D$29*AG943^3+BMILMS!$E$29*AG943^2+BMILMS!$F$29*AG943+BMILMS!$G$29,IF(AG943&lt;90,BMILMS!$D$30*AG943^3+BMILMS!$E$30*AG943^2+BMILMS!$F$30*AG943+BMILMS!$G$30,IF(AG943&lt;150,BMILMS!$D$31*AG943^3+BMILMS!$E$31*AG943^2+BMILMS!$F$31*AG943+BMILMS!$G$31,BMILMS!$D$32*AG943^3+BMILMS!$E$32*AG943^2+BMILMS!$F$32*AG943+BMILMS!$G$32)))))))</f>
        <v>12.568967990000001</v>
      </c>
      <c r="AF943" s="24">
        <f>IF(D943="M",(IF(AG943&lt;90,BMILMS!$D$14*AG943^3+BMILMS!$E$14*AG943^2+BMILMS!$F$14*AG943+BMILMS!$G$14,BMILMS!$D$15*AG943^3+BMILMS!$E$15*AG943^2+BMILMS!$F$15*AG943+BMILMS!$G$15)),(IF(AG943&lt;90,BMILMS!$D$17*AG943^3+BMILMS!$E$17*AG943^2+BMILMS!$F$17*AG943+BMILMS!$G$17,BMILMS!$D$18*AG943^3+BMILMS!$E$18*AG943^2+BMILMS!$F$18*AG943+BMILMS!$G$18)))</f>
        <v>8.8969350000000003E-2</v>
      </c>
      <c r="AG943" s="24">
        <f t="shared" si="240"/>
        <v>0</v>
      </c>
      <c r="AI943" s="38">
        <f>IF(D943="M",WeightSDS!P$5*$AG943^7+WeightSDS!Q$5*$AG943^6+WeightSDS!R$5*$AG943^5+WeightSDS!S$5*$AG943^4+WeightSDS!T$5*$AG943^3+WeightSDS!U$5*$AG943^2+WeightSDS!V$5*$AG943+WeightSDS!W$5,IF($AG943&lt;186,WeightSDS!P$8*$AG943^7+WeightSDS!Q$8*$AG943^6+WeightSDS!R$8*$AG943^5+WeightSDS!S$8*$AG943^4+WeightSDS!T$8*$AG943^3+WeightSDS!U$8*$AG943^2+WeightSDS!V$8*$AG943+WeightSDS!W$8,WeightSDS!$U$9-WeightSDS!$V$9*($AG943-WeightSDS!$W$9)))</f>
        <v>0.75407122999999998</v>
      </c>
      <c r="AJ943" s="24">
        <f>IF(D943="M",IF($AG943&lt;45,WeightSDS!M$23*$AG943^10+WeightSDS!N$23*$AG943^9+WeightSDS!O$23*$AG943^8+WeightSDS!P$23*$AG943^7+WeightSDS!Q$23*$AG943^6+WeightSDS!R$23*$AG943^5+WeightSDS!S$23*$AG943^4+WeightSDS!T$23*$AG943^3+WeightSDS!U$23*$AG943^2+WeightSDS!V$23*$AG943+WeightSDS!W$23,IF($AG943&lt;153,WeightSDS!M$25*$AG943^10+WeightSDS!N$25*$AG943^9+WeightSDS!O$25*$AG943^8+WeightSDS!P$25*$AG943^7+WeightSDS!Q$25*$AG943^6+WeightSDS!R$25*$AG943^5+WeightSDS!S$25*$AG943^4+WeightSDS!T$25*$AG943^3+WeightSDS!U$25*$AG943^2+WeightSDS!V$25*$AG943+WeightSDS!W$25,WeightSDS!M$27+WeightSDS!N$27/(1+EXP(WeightSDS!O$27+WeightSDS!P$27*$AG943)))),IF($AG943&lt;43.8,WeightSDS!M$29*$AG943^10+WeightSDS!N$29*$AG943^9+WeightSDS!O$29*$AG943^8+WeightSDS!P$29*$AG943^7+WeightSDS!Q$29*$AG943^6+WeightSDS!R$29*$AG943^5+WeightSDS!S$29*$AG943^4+WeightSDS!T$29*$AG943^3+WeightSDS!U$29*$AG943^2+WeightSDS!V$29*$AG943+WeightSDS!W$29-0.010431*(1-$AG943/210),IF($AG943&lt;123,WeightSDS!M$30*$AG943^10+WeightSDS!N$30*$AG943^9+WeightSDS!O$30*$AG943^8+WeightSDS!P$30*$AG943^7+WeightSDS!Q$30*$AG943^6+WeightSDS!R$30*$AG943^5+WeightSDS!S$30*$AG943^4+WeightSDS!T$30*$AG943^3+WeightSDS!U$30*$AG943^2+WeightSDS!V$30*$AG943+WeightSDS!W$30-0.010431*(1-1/$AG943),WeightSDS!M$32+WeightSDS!N$32/(1+EXP(WeightSDS!O$32+WeightSDS!P$32*$AG943))-0.010431*(1-$AG943/210))))</f>
        <v>2.9500001032655536</v>
      </c>
      <c r="AK943" s="24">
        <f>IF(D943="M",IF($AG943&lt;162,WeightSDS!P$12*$AG943^7+WeightSDS!Q$12*$AG943^6+WeightSDS!R$12*$AG943^5+WeightSDS!S$12*$AG943^4+WeightSDS!T$12*$AG943^3+WeightSDS!U$12*$AG943^2+WeightSDS!V$12*$AG943+WeightSDS!W$12,WeightSDS!P$14*$AG943^7+WeightSDS!Q$14*$AG943^6+WeightSDS!R$14*$AG943^5+WeightSDS!S$14*$AG943^4+WeightSDS!T$14*$AG943^3+WeightSDS!U$14*$AG943^2+WeightSDS!V$14*$AG943+WeightSDS!W$14),IF($AG943&lt;156,WeightSDS!O$17*$AG943^8+WeightSDS!P$17*$AG943^7+WeightSDS!Q$17*$AG943^6+WeightSDS!R$17*$AG943^5+WeightSDS!S$17*$AG943^4+WeightSDS!T$17*$AG943^3+WeightSDS!U$17*$AG943^2+WeightSDS!V$17*$AG943+WeightSDS!W$17,IF($AG943&lt;186,WeightSDS!$U$18+(WeightSDS!$V$18-WeightSDS!$U$18)/24*($AG943-186)+WeightSDS!$W$18*(-$AG943+186)^2-0.005,WeightSDS!$U$18+(WeightSDS!$V$18-WeightSDS!$U$18)/24*($AG943-186)-0.005)))</f>
        <v>0.14604529399999999</v>
      </c>
    </row>
    <row r="944" spans="1:37">
      <c r="A944" s="4"/>
      <c r="B944" s="21"/>
      <c r="C944" s="21"/>
      <c r="D944" s="21"/>
      <c r="E944" s="22"/>
      <c r="F944" s="22"/>
      <c r="G944" s="23"/>
      <c r="H944" s="23"/>
      <c r="I944" s="8" t="str">
        <f t="shared" si="226"/>
        <v/>
      </c>
      <c r="J944" s="2" t="str">
        <f t="shared" si="233"/>
        <v/>
      </c>
      <c r="K944" s="2" t="str">
        <f t="shared" si="227"/>
        <v/>
      </c>
      <c r="L944" s="2" t="str">
        <f t="shared" si="234"/>
        <v/>
      </c>
      <c r="M944" s="2" t="str">
        <f t="shared" si="239"/>
        <v/>
      </c>
      <c r="N944" s="2" t="str">
        <f t="shared" si="235"/>
        <v/>
      </c>
      <c r="O944" s="8" t="str">
        <f t="shared" si="236"/>
        <v/>
      </c>
      <c r="P944" s="8" t="str">
        <f t="shared" si="237"/>
        <v/>
      </c>
      <c r="Q944" s="40" t="str">
        <f t="shared" si="228"/>
        <v/>
      </c>
      <c r="R944" s="48" t="str">
        <f t="shared" si="238"/>
        <v/>
      </c>
      <c r="S944" s="8"/>
      <c r="U944" s="35">
        <f t="shared" si="229"/>
        <v>0</v>
      </c>
      <c r="V944" s="24">
        <f t="shared" si="230"/>
        <v>0</v>
      </c>
      <c r="W944" s="41">
        <f t="shared" si="241"/>
        <v>0</v>
      </c>
      <c r="X944" s="31"/>
      <c r="Y944" s="31"/>
      <c r="Z944" s="31"/>
      <c r="AA944" s="25">
        <f t="shared" si="231"/>
        <v>9.0359999999999996</v>
      </c>
      <c r="AB944" s="25">
        <f t="shared" si="232"/>
        <v>-184.49199999999999</v>
      </c>
      <c r="AD944" s="24">
        <f>IF(D944="M",IF(AG944&lt;78,BMILMS!$D$5*AG944^3+BMILMS!$E$5*AG944^2+BMILMS!$F$5*AG944+BMILMS!$G$5,IF(AG944&lt;150,BMILMS!$D$6*AG944^3+BMILMS!$E$6*AG944^2+BMILMS!$F$6*AG944+BMILMS!$G$6,BMILMS!$D$7*AG944^3+BMILMS!$E$7*AG944^2+BMILMS!$F$7*AG944+BMILMS!$G$7)),IF(AG944&lt;69,BMILMS!$D$9*AG944^3+BMILMS!$E$9*AG944^2+BMILMS!$F$9*AG944+BMILMS!$G$9,IF(AG944&lt;150,BMILMS!$D$10*AG944^3+BMILMS!$E$10*AG944^2+BMILMS!$F$10*AG944+BMILMS!$G$10,BMILMS!$D$11*AG944^3+BMILMS!$E$11*AG944^2+BMILMS!$F$11*AG944+BMILMS!$G$11)))</f>
        <v>0.79584630099999998</v>
      </c>
      <c r="AE944" s="24">
        <f>IF(D944="M",(IF(AG944&lt;2.5,BMILMS!$D$21*AG944^3+BMILMS!$E$21*AG944^2+BMILMS!$F$21*AG944+BMILMS!$G$21,IF(AG944&lt;9.5,BMILMS!$D$22*AG944^3+BMILMS!$E$22*AG944^2+BMILMS!$F$22*AG944+BMILMS!$G$22,IF(AG944&lt;26.75,BMILMS!$D$23*AG944^3+BMILMS!$E$23*AG944^2+BMILMS!$F$23*AG944+BMILMS!$G$23,IF(AG944&lt;90,BMILMS!$D$24*AG944^3+BMILMS!$E$24*AG944^2+BMILMS!$F$24*AG944+BMILMS!$G$24,BMILMS!$D$25*AG944^3+BMILMS!$E$25*AG944^2+BMILMS!$F$25*AG944+BMILMS!$G$25))))),(IF(AG944&lt;2.5,BMILMS!$D$27*AG944^3+BMILMS!$E$27*AG944^2+BMILMS!$F$27*AG944+BMILMS!$G$27,IF(AG944&lt;9.5,BMILMS!$D$28*AG944^3+BMILMS!$E$28*AG944^2+BMILMS!$F$28*AG944+BMILMS!$G$28,IF(AG944&lt;26.75,BMILMS!$D$29*AG944^3+BMILMS!$E$29*AG944^2+BMILMS!$F$29*AG944+BMILMS!$G$29,IF(AG944&lt;90,BMILMS!$D$30*AG944^3+BMILMS!$E$30*AG944^2+BMILMS!$F$30*AG944+BMILMS!$G$30,IF(AG944&lt;150,BMILMS!$D$31*AG944^3+BMILMS!$E$31*AG944^2+BMILMS!$F$31*AG944+BMILMS!$G$31,BMILMS!$D$32*AG944^3+BMILMS!$E$32*AG944^2+BMILMS!$F$32*AG944+BMILMS!$G$32)))))))</f>
        <v>12.568967990000001</v>
      </c>
      <c r="AF944" s="24">
        <f>IF(D944="M",(IF(AG944&lt;90,BMILMS!$D$14*AG944^3+BMILMS!$E$14*AG944^2+BMILMS!$F$14*AG944+BMILMS!$G$14,BMILMS!$D$15*AG944^3+BMILMS!$E$15*AG944^2+BMILMS!$F$15*AG944+BMILMS!$G$15)),(IF(AG944&lt;90,BMILMS!$D$17*AG944^3+BMILMS!$E$17*AG944^2+BMILMS!$F$17*AG944+BMILMS!$G$17,BMILMS!$D$18*AG944^3+BMILMS!$E$18*AG944^2+BMILMS!$F$18*AG944+BMILMS!$G$18)))</f>
        <v>8.8969350000000003E-2</v>
      </c>
      <c r="AG944" s="24">
        <f t="shared" si="240"/>
        <v>0</v>
      </c>
      <c r="AI944" s="38">
        <f>IF(D944="M",WeightSDS!P$5*$AG944^7+WeightSDS!Q$5*$AG944^6+WeightSDS!R$5*$AG944^5+WeightSDS!S$5*$AG944^4+WeightSDS!T$5*$AG944^3+WeightSDS!U$5*$AG944^2+WeightSDS!V$5*$AG944+WeightSDS!W$5,IF($AG944&lt;186,WeightSDS!P$8*$AG944^7+WeightSDS!Q$8*$AG944^6+WeightSDS!R$8*$AG944^5+WeightSDS!S$8*$AG944^4+WeightSDS!T$8*$AG944^3+WeightSDS!U$8*$AG944^2+WeightSDS!V$8*$AG944+WeightSDS!W$8,WeightSDS!$U$9-WeightSDS!$V$9*($AG944-WeightSDS!$W$9)))</f>
        <v>0.75407122999999998</v>
      </c>
      <c r="AJ944" s="24">
        <f>IF(D944="M",IF($AG944&lt;45,WeightSDS!M$23*$AG944^10+WeightSDS!N$23*$AG944^9+WeightSDS!O$23*$AG944^8+WeightSDS!P$23*$AG944^7+WeightSDS!Q$23*$AG944^6+WeightSDS!R$23*$AG944^5+WeightSDS!S$23*$AG944^4+WeightSDS!T$23*$AG944^3+WeightSDS!U$23*$AG944^2+WeightSDS!V$23*$AG944+WeightSDS!W$23,IF($AG944&lt;153,WeightSDS!M$25*$AG944^10+WeightSDS!N$25*$AG944^9+WeightSDS!O$25*$AG944^8+WeightSDS!P$25*$AG944^7+WeightSDS!Q$25*$AG944^6+WeightSDS!R$25*$AG944^5+WeightSDS!S$25*$AG944^4+WeightSDS!T$25*$AG944^3+WeightSDS!U$25*$AG944^2+WeightSDS!V$25*$AG944+WeightSDS!W$25,WeightSDS!M$27+WeightSDS!N$27/(1+EXP(WeightSDS!O$27+WeightSDS!P$27*$AG944)))),IF($AG944&lt;43.8,WeightSDS!M$29*$AG944^10+WeightSDS!N$29*$AG944^9+WeightSDS!O$29*$AG944^8+WeightSDS!P$29*$AG944^7+WeightSDS!Q$29*$AG944^6+WeightSDS!R$29*$AG944^5+WeightSDS!S$29*$AG944^4+WeightSDS!T$29*$AG944^3+WeightSDS!U$29*$AG944^2+WeightSDS!V$29*$AG944+WeightSDS!W$29-0.010431*(1-$AG944/210),IF($AG944&lt;123,WeightSDS!M$30*$AG944^10+WeightSDS!N$30*$AG944^9+WeightSDS!O$30*$AG944^8+WeightSDS!P$30*$AG944^7+WeightSDS!Q$30*$AG944^6+WeightSDS!R$30*$AG944^5+WeightSDS!S$30*$AG944^4+WeightSDS!T$30*$AG944^3+WeightSDS!U$30*$AG944^2+WeightSDS!V$30*$AG944+WeightSDS!W$30-0.010431*(1-1/$AG944),WeightSDS!M$32+WeightSDS!N$32/(1+EXP(WeightSDS!O$32+WeightSDS!P$32*$AG944))-0.010431*(1-$AG944/210))))</f>
        <v>2.9500001032655536</v>
      </c>
      <c r="AK944" s="24">
        <f>IF(D944="M",IF($AG944&lt;162,WeightSDS!P$12*$AG944^7+WeightSDS!Q$12*$AG944^6+WeightSDS!R$12*$AG944^5+WeightSDS!S$12*$AG944^4+WeightSDS!T$12*$AG944^3+WeightSDS!U$12*$AG944^2+WeightSDS!V$12*$AG944+WeightSDS!W$12,WeightSDS!P$14*$AG944^7+WeightSDS!Q$14*$AG944^6+WeightSDS!R$14*$AG944^5+WeightSDS!S$14*$AG944^4+WeightSDS!T$14*$AG944^3+WeightSDS!U$14*$AG944^2+WeightSDS!V$14*$AG944+WeightSDS!W$14),IF($AG944&lt;156,WeightSDS!O$17*$AG944^8+WeightSDS!P$17*$AG944^7+WeightSDS!Q$17*$AG944^6+WeightSDS!R$17*$AG944^5+WeightSDS!S$17*$AG944^4+WeightSDS!T$17*$AG944^3+WeightSDS!U$17*$AG944^2+WeightSDS!V$17*$AG944+WeightSDS!W$17,IF($AG944&lt;186,WeightSDS!$U$18+(WeightSDS!$V$18-WeightSDS!$U$18)/24*($AG944-186)+WeightSDS!$W$18*(-$AG944+186)^2-0.005,WeightSDS!$U$18+(WeightSDS!$V$18-WeightSDS!$U$18)/24*($AG944-186)-0.005)))</f>
        <v>0.14604529399999999</v>
      </c>
    </row>
    <row r="945" spans="1:37">
      <c r="A945" s="4"/>
      <c r="B945" s="21"/>
      <c r="C945" s="21"/>
      <c r="D945" s="21"/>
      <c r="E945" s="22"/>
      <c r="F945" s="22"/>
      <c r="G945" s="23"/>
      <c r="H945" s="23"/>
      <c r="I945" s="8" t="str">
        <f t="shared" si="226"/>
        <v/>
      </c>
      <c r="J945" s="2" t="str">
        <f t="shared" si="233"/>
        <v/>
      </c>
      <c r="K945" s="2" t="str">
        <f t="shared" si="227"/>
        <v/>
      </c>
      <c r="L945" s="2" t="str">
        <f t="shared" si="234"/>
        <v/>
      </c>
      <c r="M945" s="2" t="str">
        <f t="shared" si="239"/>
        <v/>
      </c>
      <c r="N945" s="2" t="str">
        <f t="shared" si="235"/>
        <v/>
      </c>
      <c r="O945" s="8" t="str">
        <f t="shared" si="236"/>
        <v/>
      </c>
      <c r="P945" s="8" t="str">
        <f t="shared" si="237"/>
        <v/>
      </c>
      <c r="Q945" s="40" t="str">
        <f t="shared" si="228"/>
        <v/>
      </c>
      <c r="R945" s="48" t="str">
        <f t="shared" si="238"/>
        <v/>
      </c>
      <c r="S945" s="8"/>
      <c r="U945" s="35">
        <f t="shared" si="229"/>
        <v>0</v>
      </c>
      <c r="V945" s="24">
        <f t="shared" si="230"/>
        <v>0</v>
      </c>
      <c r="W945" s="41">
        <f t="shared" si="241"/>
        <v>0</v>
      </c>
      <c r="X945" s="31"/>
      <c r="Y945" s="31"/>
      <c r="Z945" s="31"/>
      <c r="AA945" s="25">
        <f t="shared" si="231"/>
        <v>9.0359999999999996</v>
      </c>
      <c r="AB945" s="25">
        <f t="shared" si="232"/>
        <v>-184.49199999999999</v>
      </c>
      <c r="AD945" s="24">
        <f>IF(D945="M",IF(AG945&lt;78,BMILMS!$D$5*AG945^3+BMILMS!$E$5*AG945^2+BMILMS!$F$5*AG945+BMILMS!$G$5,IF(AG945&lt;150,BMILMS!$D$6*AG945^3+BMILMS!$E$6*AG945^2+BMILMS!$F$6*AG945+BMILMS!$G$6,BMILMS!$D$7*AG945^3+BMILMS!$E$7*AG945^2+BMILMS!$F$7*AG945+BMILMS!$G$7)),IF(AG945&lt;69,BMILMS!$D$9*AG945^3+BMILMS!$E$9*AG945^2+BMILMS!$F$9*AG945+BMILMS!$G$9,IF(AG945&lt;150,BMILMS!$D$10*AG945^3+BMILMS!$E$10*AG945^2+BMILMS!$F$10*AG945+BMILMS!$G$10,BMILMS!$D$11*AG945^3+BMILMS!$E$11*AG945^2+BMILMS!$F$11*AG945+BMILMS!$G$11)))</f>
        <v>0.79584630099999998</v>
      </c>
      <c r="AE945" s="24">
        <f>IF(D945="M",(IF(AG945&lt;2.5,BMILMS!$D$21*AG945^3+BMILMS!$E$21*AG945^2+BMILMS!$F$21*AG945+BMILMS!$G$21,IF(AG945&lt;9.5,BMILMS!$D$22*AG945^3+BMILMS!$E$22*AG945^2+BMILMS!$F$22*AG945+BMILMS!$G$22,IF(AG945&lt;26.75,BMILMS!$D$23*AG945^3+BMILMS!$E$23*AG945^2+BMILMS!$F$23*AG945+BMILMS!$G$23,IF(AG945&lt;90,BMILMS!$D$24*AG945^3+BMILMS!$E$24*AG945^2+BMILMS!$F$24*AG945+BMILMS!$G$24,BMILMS!$D$25*AG945^3+BMILMS!$E$25*AG945^2+BMILMS!$F$25*AG945+BMILMS!$G$25))))),(IF(AG945&lt;2.5,BMILMS!$D$27*AG945^3+BMILMS!$E$27*AG945^2+BMILMS!$F$27*AG945+BMILMS!$G$27,IF(AG945&lt;9.5,BMILMS!$D$28*AG945^3+BMILMS!$E$28*AG945^2+BMILMS!$F$28*AG945+BMILMS!$G$28,IF(AG945&lt;26.75,BMILMS!$D$29*AG945^3+BMILMS!$E$29*AG945^2+BMILMS!$F$29*AG945+BMILMS!$G$29,IF(AG945&lt;90,BMILMS!$D$30*AG945^3+BMILMS!$E$30*AG945^2+BMILMS!$F$30*AG945+BMILMS!$G$30,IF(AG945&lt;150,BMILMS!$D$31*AG945^3+BMILMS!$E$31*AG945^2+BMILMS!$F$31*AG945+BMILMS!$G$31,BMILMS!$D$32*AG945^3+BMILMS!$E$32*AG945^2+BMILMS!$F$32*AG945+BMILMS!$G$32)))))))</f>
        <v>12.568967990000001</v>
      </c>
      <c r="AF945" s="24">
        <f>IF(D945="M",(IF(AG945&lt;90,BMILMS!$D$14*AG945^3+BMILMS!$E$14*AG945^2+BMILMS!$F$14*AG945+BMILMS!$G$14,BMILMS!$D$15*AG945^3+BMILMS!$E$15*AG945^2+BMILMS!$F$15*AG945+BMILMS!$G$15)),(IF(AG945&lt;90,BMILMS!$D$17*AG945^3+BMILMS!$E$17*AG945^2+BMILMS!$F$17*AG945+BMILMS!$G$17,BMILMS!$D$18*AG945^3+BMILMS!$E$18*AG945^2+BMILMS!$F$18*AG945+BMILMS!$G$18)))</f>
        <v>8.8969350000000003E-2</v>
      </c>
      <c r="AG945" s="24">
        <f t="shared" si="240"/>
        <v>0</v>
      </c>
      <c r="AI945" s="38">
        <f>IF(D945="M",WeightSDS!P$5*$AG945^7+WeightSDS!Q$5*$AG945^6+WeightSDS!R$5*$AG945^5+WeightSDS!S$5*$AG945^4+WeightSDS!T$5*$AG945^3+WeightSDS!U$5*$AG945^2+WeightSDS!V$5*$AG945+WeightSDS!W$5,IF($AG945&lt;186,WeightSDS!P$8*$AG945^7+WeightSDS!Q$8*$AG945^6+WeightSDS!R$8*$AG945^5+WeightSDS!S$8*$AG945^4+WeightSDS!T$8*$AG945^3+WeightSDS!U$8*$AG945^2+WeightSDS!V$8*$AG945+WeightSDS!W$8,WeightSDS!$U$9-WeightSDS!$V$9*($AG945-WeightSDS!$W$9)))</f>
        <v>0.75407122999999998</v>
      </c>
      <c r="AJ945" s="24">
        <f>IF(D945="M",IF($AG945&lt;45,WeightSDS!M$23*$AG945^10+WeightSDS!N$23*$AG945^9+WeightSDS!O$23*$AG945^8+WeightSDS!P$23*$AG945^7+WeightSDS!Q$23*$AG945^6+WeightSDS!R$23*$AG945^5+WeightSDS!S$23*$AG945^4+WeightSDS!T$23*$AG945^3+WeightSDS!U$23*$AG945^2+WeightSDS!V$23*$AG945+WeightSDS!W$23,IF($AG945&lt;153,WeightSDS!M$25*$AG945^10+WeightSDS!N$25*$AG945^9+WeightSDS!O$25*$AG945^8+WeightSDS!P$25*$AG945^7+WeightSDS!Q$25*$AG945^6+WeightSDS!R$25*$AG945^5+WeightSDS!S$25*$AG945^4+WeightSDS!T$25*$AG945^3+WeightSDS!U$25*$AG945^2+WeightSDS!V$25*$AG945+WeightSDS!W$25,WeightSDS!M$27+WeightSDS!N$27/(1+EXP(WeightSDS!O$27+WeightSDS!P$27*$AG945)))),IF($AG945&lt;43.8,WeightSDS!M$29*$AG945^10+WeightSDS!N$29*$AG945^9+WeightSDS!O$29*$AG945^8+WeightSDS!P$29*$AG945^7+WeightSDS!Q$29*$AG945^6+WeightSDS!R$29*$AG945^5+WeightSDS!S$29*$AG945^4+WeightSDS!T$29*$AG945^3+WeightSDS!U$29*$AG945^2+WeightSDS!V$29*$AG945+WeightSDS!W$29-0.010431*(1-$AG945/210),IF($AG945&lt;123,WeightSDS!M$30*$AG945^10+WeightSDS!N$30*$AG945^9+WeightSDS!O$30*$AG945^8+WeightSDS!P$30*$AG945^7+WeightSDS!Q$30*$AG945^6+WeightSDS!R$30*$AG945^5+WeightSDS!S$30*$AG945^4+WeightSDS!T$30*$AG945^3+WeightSDS!U$30*$AG945^2+WeightSDS!V$30*$AG945+WeightSDS!W$30-0.010431*(1-1/$AG945),WeightSDS!M$32+WeightSDS!N$32/(1+EXP(WeightSDS!O$32+WeightSDS!P$32*$AG945))-0.010431*(1-$AG945/210))))</f>
        <v>2.9500001032655536</v>
      </c>
      <c r="AK945" s="24">
        <f>IF(D945="M",IF($AG945&lt;162,WeightSDS!P$12*$AG945^7+WeightSDS!Q$12*$AG945^6+WeightSDS!R$12*$AG945^5+WeightSDS!S$12*$AG945^4+WeightSDS!T$12*$AG945^3+WeightSDS!U$12*$AG945^2+WeightSDS!V$12*$AG945+WeightSDS!W$12,WeightSDS!P$14*$AG945^7+WeightSDS!Q$14*$AG945^6+WeightSDS!R$14*$AG945^5+WeightSDS!S$14*$AG945^4+WeightSDS!T$14*$AG945^3+WeightSDS!U$14*$AG945^2+WeightSDS!V$14*$AG945+WeightSDS!W$14),IF($AG945&lt;156,WeightSDS!O$17*$AG945^8+WeightSDS!P$17*$AG945^7+WeightSDS!Q$17*$AG945^6+WeightSDS!R$17*$AG945^5+WeightSDS!S$17*$AG945^4+WeightSDS!T$17*$AG945^3+WeightSDS!U$17*$AG945^2+WeightSDS!V$17*$AG945+WeightSDS!W$17,IF($AG945&lt;186,WeightSDS!$U$18+(WeightSDS!$V$18-WeightSDS!$U$18)/24*($AG945-186)+WeightSDS!$W$18*(-$AG945+186)^2-0.005,WeightSDS!$U$18+(WeightSDS!$V$18-WeightSDS!$U$18)/24*($AG945-186)-0.005)))</f>
        <v>0.14604529399999999</v>
      </c>
    </row>
    <row r="946" spans="1:37">
      <c r="A946" s="4"/>
      <c r="B946" s="21"/>
      <c r="C946" s="21"/>
      <c r="D946" s="21"/>
      <c r="E946" s="22"/>
      <c r="F946" s="22"/>
      <c r="G946" s="23"/>
      <c r="H946" s="23"/>
      <c r="I946" s="8" t="str">
        <f t="shared" si="226"/>
        <v/>
      </c>
      <c r="J946" s="2" t="str">
        <f t="shared" si="233"/>
        <v/>
      </c>
      <c r="K946" s="2" t="str">
        <f t="shared" si="227"/>
        <v/>
      </c>
      <c r="L946" s="2" t="str">
        <f t="shared" si="234"/>
        <v/>
      </c>
      <c r="M946" s="2" t="str">
        <f t="shared" si="239"/>
        <v/>
      </c>
      <c r="N946" s="2" t="str">
        <f t="shared" si="235"/>
        <v/>
      </c>
      <c r="O946" s="8" t="str">
        <f t="shared" si="236"/>
        <v/>
      </c>
      <c r="P946" s="8" t="str">
        <f t="shared" si="237"/>
        <v/>
      </c>
      <c r="Q946" s="40" t="str">
        <f t="shared" si="228"/>
        <v/>
      </c>
      <c r="R946" s="48" t="str">
        <f t="shared" si="238"/>
        <v/>
      </c>
      <c r="S946" s="8"/>
      <c r="U946" s="35">
        <f t="shared" si="229"/>
        <v>0</v>
      </c>
      <c r="V946" s="24">
        <f t="shared" si="230"/>
        <v>0</v>
      </c>
      <c r="W946" s="41">
        <f t="shared" si="241"/>
        <v>0</v>
      </c>
      <c r="X946" s="31"/>
      <c r="Y946" s="31"/>
      <c r="Z946" s="31"/>
      <c r="AA946" s="25">
        <f t="shared" si="231"/>
        <v>9.0359999999999996</v>
      </c>
      <c r="AB946" s="25">
        <f t="shared" si="232"/>
        <v>-184.49199999999999</v>
      </c>
      <c r="AD946" s="24">
        <f>IF(D946="M",IF(AG946&lt;78,BMILMS!$D$5*AG946^3+BMILMS!$E$5*AG946^2+BMILMS!$F$5*AG946+BMILMS!$G$5,IF(AG946&lt;150,BMILMS!$D$6*AG946^3+BMILMS!$E$6*AG946^2+BMILMS!$F$6*AG946+BMILMS!$G$6,BMILMS!$D$7*AG946^3+BMILMS!$E$7*AG946^2+BMILMS!$F$7*AG946+BMILMS!$G$7)),IF(AG946&lt;69,BMILMS!$D$9*AG946^3+BMILMS!$E$9*AG946^2+BMILMS!$F$9*AG946+BMILMS!$G$9,IF(AG946&lt;150,BMILMS!$D$10*AG946^3+BMILMS!$E$10*AG946^2+BMILMS!$F$10*AG946+BMILMS!$G$10,BMILMS!$D$11*AG946^3+BMILMS!$E$11*AG946^2+BMILMS!$F$11*AG946+BMILMS!$G$11)))</f>
        <v>0.79584630099999998</v>
      </c>
      <c r="AE946" s="24">
        <f>IF(D946="M",(IF(AG946&lt;2.5,BMILMS!$D$21*AG946^3+BMILMS!$E$21*AG946^2+BMILMS!$F$21*AG946+BMILMS!$G$21,IF(AG946&lt;9.5,BMILMS!$D$22*AG946^3+BMILMS!$E$22*AG946^2+BMILMS!$F$22*AG946+BMILMS!$G$22,IF(AG946&lt;26.75,BMILMS!$D$23*AG946^3+BMILMS!$E$23*AG946^2+BMILMS!$F$23*AG946+BMILMS!$G$23,IF(AG946&lt;90,BMILMS!$D$24*AG946^3+BMILMS!$E$24*AG946^2+BMILMS!$F$24*AG946+BMILMS!$G$24,BMILMS!$D$25*AG946^3+BMILMS!$E$25*AG946^2+BMILMS!$F$25*AG946+BMILMS!$G$25))))),(IF(AG946&lt;2.5,BMILMS!$D$27*AG946^3+BMILMS!$E$27*AG946^2+BMILMS!$F$27*AG946+BMILMS!$G$27,IF(AG946&lt;9.5,BMILMS!$D$28*AG946^3+BMILMS!$E$28*AG946^2+BMILMS!$F$28*AG946+BMILMS!$G$28,IF(AG946&lt;26.75,BMILMS!$D$29*AG946^3+BMILMS!$E$29*AG946^2+BMILMS!$F$29*AG946+BMILMS!$G$29,IF(AG946&lt;90,BMILMS!$D$30*AG946^3+BMILMS!$E$30*AG946^2+BMILMS!$F$30*AG946+BMILMS!$G$30,IF(AG946&lt;150,BMILMS!$D$31*AG946^3+BMILMS!$E$31*AG946^2+BMILMS!$F$31*AG946+BMILMS!$G$31,BMILMS!$D$32*AG946^3+BMILMS!$E$32*AG946^2+BMILMS!$F$32*AG946+BMILMS!$G$32)))))))</f>
        <v>12.568967990000001</v>
      </c>
      <c r="AF946" s="24">
        <f>IF(D946="M",(IF(AG946&lt;90,BMILMS!$D$14*AG946^3+BMILMS!$E$14*AG946^2+BMILMS!$F$14*AG946+BMILMS!$G$14,BMILMS!$D$15*AG946^3+BMILMS!$E$15*AG946^2+BMILMS!$F$15*AG946+BMILMS!$G$15)),(IF(AG946&lt;90,BMILMS!$D$17*AG946^3+BMILMS!$E$17*AG946^2+BMILMS!$F$17*AG946+BMILMS!$G$17,BMILMS!$D$18*AG946^3+BMILMS!$E$18*AG946^2+BMILMS!$F$18*AG946+BMILMS!$G$18)))</f>
        <v>8.8969350000000003E-2</v>
      </c>
      <c r="AG946" s="24">
        <f t="shared" si="240"/>
        <v>0</v>
      </c>
      <c r="AI946" s="38">
        <f>IF(D946="M",WeightSDS!P$5*$AG946^7+WeightSDS!Q$5*$AG946^6+WeightSDS!R$5*$AG946^5+WeightSDS!S$5*$AG946^4+WeightSDS!T$5*$AG946^3+WeightSDS!U$5*$AG946^2+WeightSDS!V$5*$AG946+WeightSDS!W$5,IF($AG946&lt;186,WeightSDS!P$8*$AG946^7+WeightSDS!Q$8*$AG946^6+WeightSDS!R$8*$AG946^5+WeightSDS!S$8*$AG946^4+WeightSDS!T$8*$AG946^3+WeightSDS!U$8*$AG946^2+WeightSDS!V$8*$AG946+WeightSDS!W$8,WeightSDS!$U$9-WeightSDS!$V$9*($AG946-WeightSDS!$W$9)))</f>
        <v>0.75407122999999998</v>
      </c>
      <c r="AJ946" s="24">
        <f>IF(D946="M",IF($AG946&lt;45,WeightSDS!M$23*$AG946^10+WeightSDS!N$23*$AG946^9+WeightSDS!O$23*$AG946^8+WeightSDS!P$23*$AG946^7+WeightSDS!Q$23*$AG946^6+WeightSDS!R$23*$AG946^5+WeightSDS!S$23*$AG946^4+WeightSDS!T$23*$AG946^3+WeightSDS!U$23*$AG946^2+WeightSDS!V$23*$AG946+WeightSDS!W$23,IF($AG946&lt;153,WeightSDS!M$25*$AG946^10+WeightSDS!N$25*$AG946^9+WeightSDS!O$25*$AG946^8+WeightSDS!P$25*$AG946^7+WeightSDS!Q$25*$AG946^6+WeightSDS!R$25*$AG946^5+WeightSDS!S$25*$AG946^4+WeightSDS!T$25*$AG946^3+WeightSDS!U$25*$AG946^2+WeightSDS!V$25*$AG946+WeightSDS!W$25,WeightSDS!M$27+WeightSDS!N$27/(1+EXP(WeightSDS!O$27+WeightSDS!P$27*$AG946)))),IF($AG946&lt;43.8,WeightSDS!M$29*$AG946^10+WeightSDS!N$29*$AG946^9+WeightSDS!O$29*$AG946^8+WeightSDS!P$29*$AG946^7+WeightSDS!Q$29*$AG946^6+WeightSDS!R$29*$AG946^5+WeightSDS!S$29*$AG946^4+WeightSDS!T$29*$AG946^3+WeightSDS!U$29*$AG946^2+WeightSDS!V$29*$AG946+WeightSDS!W$29-0.010431*(1-$AG946/210),IF($AG946&lt;123,WeightSDS!M$30*$AG946^10+WeightSDS!N$30*$AG946^9+WeightSDS!O$30*$AG946^8+WeightSDS!P$30*$AG946^7+WeightSDS!Q$30*$AG946^6+WeightSDS!R$30*$AG946^5+WeightSDS!S$30*$AG946^4+WeightSDS!T$30*$AG946^3+WeightSDS!U$30*$AG946^2+WeightSDS!V$30*$AG946+WeightSDS!W$30-0.010431*(1-1/$AG946),WeightSDS!M$32+WeightSDS!N$32/(1+EXP(WeightSDS!O$32+WeightSDS!P$32*$AG946))-0.010431*(1-$AG946/210))))</f>
        <v>2.9500001032655536</v>
      </c>
      <c r="AK946" s="24">
        <f>IF(D946="M",IF($AG946&lt;162,WeightSDS!P$12*$AG946^7+WeightSDS!Q$12*$AG946^6+WeightSDS!R$12*$AG946^5+WeightSDS!S$12*$AG946^4+WeightSDS!T$12*$AG946^3+WeightSDS!U$12*$AG946^2+WeightSDS!V$12*$AG946+WeightSDS!W$12,WeightSDS!P$14*$AG946^7+WeightSDS!Q$14*$AG946^6+WeightSDS!R$14*$AG946^5+WeightSDS!S$14*$AG946^4+WeightSDS!T$14*$AG946^3+WeightSDS!U$14*$AG946^2+WeightSDS!V$14*$AG946+WeightSDS!W$14),IF($AG946&lt;156,WeightSDS!O$17*$AG946^8+WeightSDS!P$17*$AG946^7+WeightSDS!Q$17*$AG946^6+WeightSDS!R$17*$AG946^5+WeightSDS!S$17*$AG946^4+WeightSDS!T$17*$AG946^3+WeightSDS!U$17*$AG946^2+WeightSDS!V$17*$AG946+WeightSDS!W$17,IF($AG946&lt;186,WeightSDS!$U$18+(WeightSDS!$V$18-WeightSDS!$U$18)/24*($AG946-186)+WeightSDS!$W$18*(-$AG946+186)^2-0.005,WeightSDS!$U$18+(WeightSDS!$V$18-WeightSDS!$U$18)/24*($AG946-186)-0.005)))</f>
        <v>0.14604529399999999</v>
      </c>
    </row>
    <row r="947" spans="1:37">
      <c r="A947" s="4"/>
      <c r="B947" s="21"/>
      <c r="C947" s="21"/>
      <c r="D947" s="21"/>
      <c r="E947" s="22"/>
      <c r="F947" s="22"/>
      <c r="G947" s="23"/>
      <c r="H947" s="23"/>
      <c r="I947" s="8" t="str">
        <f t="shared" si="226"/>
        <v/>
      </c>
      <c r="J947" s="2" t="str">
        <f t="shared" si="233"/>
        <v/>
      </c>
      <c r="K947" s="2" t="str">
        <f t="shared" si="227"/>
        <v/>
      </c>
      <c r="L947" s="2" t="str">
        <f t="shared" si="234"/>
        <v/>
      </c>
      <c r="M947" s="2" t="str">
        <f t="shared" si="239"/>
        <v/>
      </c>
      <c r="N947" s="2" t="str">
        <f t="shared" si="235"/>
        <v/>
      </c>
      <c r="O947" s="8" t="str">
        <f t="shared" si="236"/>
        <v/>
      </c>
      <c r="P947" s="8" t="str">
        <f t="shared" si="237"/>
        <v/>
      </c>
      <c r="Q947" s="40" t="str">
        <f t="shared" si="228"/>
        <v/>
      </c>
      <c r="R947" s="48" t="str">
        <f t="shared" si="238"/>
        <v/>
      </c>
      <c r="S947" s="8"/>
      <c r="U947" s="35">
        <f t="shared" si="229"/>
        <v>0</v>
      </c>
      <c r="V947" s="24">
        <f t="shared" si="230"/>
        <v>0</v>
      </c>
      <c r="W947" s="41">
        <f t="shared" si="241"/>
        <v>0</v>
      </c>
      <c r="X947" s="31"/>
      <c r="Y947" s="31"/>
      <c r="Z947" s="31"/>
      <c r="AA947" s="25">
        <f t="shared" si="231"/>
        <v>9.0359999999999996</v>
      </c>
      <c r="AB947" s="25">
        <f t="shared" si="232"/>
        <v>-184.49199999999999</v>
      </c>
      <c r="AD947" s="24">
        <f>IF(D947="M",IF(AG947&lt;78,BMILMS!$D$5*AG947^3+BMILMS!$E$5*AG947^2+BMILMS!$F$5*AG947+BMILMS!$G$5,IF(AG947&lt;150,BMILMS!$D$6*AG947^3+BMILMS!$E$6*AG947^2+BMILMS!$F$6*AG947+BMILMS!$G$6,BMILMS!$D$7*AG947^3+BMILMS!$E$7*AG947^2+BMILMS!$F$7*AG947+BMILMS!$G$7)),IF(AG947&lt;69,BMILMS!$D$9*AG947^3+BMILMS!$E$9*AG947^2+BMILMS!$F$9*AG947+BMILMS!$G$9,IF(AG947&lt;150,BMILMS!$D$10*AG947^3+BMILMS!$E$10*AG947^2+BMILMS!$F$10*AG947+BMILMS!$G$10,BMILMS!$D$11*AG947^3+BMILMS!$E$11*AG947^2+BMILMS!$F$11*AG947+BMILMS!$G$11)))</f>
        <v>0.79584630099999998</v>
      </c>
      <c r="AE947" s="24">
        <f>IF(D947="M",(IF(AG947&lt;2.5,BMILMS!$D$21*AG947^3+BMILMS!$E$21*AG947^2+BMILMS!$F$21*AG947+BMILMS!$G$21,IF(AG947&lt;9.5,BMILMS!$D$22*AG947^3+BMILMS!$E$22*AG947^2+BMILMS!$F$22*AG947+BMILMS!$G$22,IF(AG947&lt;26.75,BMILMS!$D$23*AG947^3+BMILMS!$E$23*AG947^2+BMILMS!$F$23*AG947+BMILMS!$G$23,IF(AG947&lt;90,BMILMS!$D$24*AG947^3+BMILMS!$E$24*AG947^2+BMILMS!$F$24*AG947+BMILMS!$G$24,BMILMS!$D$25*AG947^3+BMILMS!$E$25*AG947^2+BMILMS!$F$25*AG947+BMILMS!$G$25))))),(IF(AG947&lt;2.5,BMILMS!$D$27*AG947^3+BMILMS!$E$27*AG947^2+BMILMS!$F$27*AG947+BMILMS!$G$27,IF(AG947&lt;9.5,BMILMS!$D$28*AG947^3+BMILMS!$E$28*AG947^2+BMILMS!$F$28*AG947+BMILMS!$G$28,IF(AG947&lt;26.75,BMILMS!$D$29*AG947^3+BMILMS!$E$29*AG947^2+BMILMS!$F$29*AG947+BMILMS!$G$29,IF(AG947&lt;90,BMILMS!$D$30*AG947^3+BMILMS!$E$30*AG947^2+BMILMS!$F$30*AG947+BMILMS!$G$30,IF(AG947&lt;150,BMILMS!$D$31*AG947^3+BMILMS!$E$31*AG947^2+BMILMS!$F$31*AG947+BMILMS!$G$31,BMILMS!$D$32*AG947^3+BMILMS!$E$32*AG947^2+BMILMS!$F$32*AG947+BMILMS!$G$32)))))))</f>
        <v>12.568967990000001</v>
      </c>
      <c r="AF947" s="24">
        <f>IF(D947="M",(IF(AG947&lt;90,BMILMS!$D$14*AG947^3+BMILMS!$E$14*AG947^2+BMILMS!$F$14*AG947+BMILMS!$G$14,BMILMS!$D$15*AG947^3+BMILMS!$E$15*AG947^2+BMILMS!$F$15*AG947+BMILMS!$G$15)),(IF(AG947&lt;90,BMILMS!$D$17*AG947^3+BMILMS!$E$17*AG947^2+BMILMS!$F$17*AG947+BMILMS!$G$17,BMILMS!$D$18*AG947^3+BMILMS!$E$18*AG947^2+BMILMS!$F$18*AG947+BMILMS!$G$18)))</f>
        <v>8.8969350000000003E-2</v>
      </c>
      <c r="AG947" s="24">
        <f t="shared" si="240"/>
        <v>0</v>
      </c>
      <c r="AI947" s="38">
        <f>IF(D947="M",WeightSDS!P$5*$AG947^7+WeightSDS!Q$5*$AG947^6+WeightSDS!R$5*$AG947^5+WeightSDS!S$5*$AG947^4+WeightSDS!T$5*$AG947^3+WeightSDS!U$5*$AG947^2+WeightSDS!V$5*$AG947+WeightSDS!W$5,IF($AG947&lt;186,WeightSDS!P$8*$AG947^7+WeightSDS!Q$8*$AG947^6+WeightSDS!R$8*$AG947^5+WeightSDS!S$8*$AG947^4+WeightSDS!T$8*$AG947^3+WeightSDS!U$8*$AG947^2+WeightSDS!V$8*$AG947+WeightSDS!W$8,WeightSDS!$U$9-WeightSDS!$V$9*($AG947-WeightSDS!$W$9)))</f>
        <v>0.75407122999999998</v>
      </c>
      <c r="AJ947" s="24">
        <f>IF(D947="M",IF($AG947&lt;45,WeightSDS!M$23*$AG947^10+WeightSDS!N$23*$AG947^9+WeightSDS!O$23*$AG947^8+WeightSDS!P$23*$AG947^7+WeightSDS!Q$23*$AG947^6+WeightSDS!R$23*$AG947^5+WeightSDS!S$23*$AG947^4+WeightSDS!T$23*$AG947^3+WeightSDS!U$23*$AG947^2+WeightSDS!V$23*$AG947+WeightSDS!W$23,IF($AG947&lt;153,WeightSDS!M$25*$AG947^10+WeightSDS!N$25*$AG947^9+WeightSDS!O$25*$AG947^8+WeightSDS!P$25*$AG947^7+WeightSDS!Q$25*$AG947^6+WeightSDS!R$25*$AG947^5+WeightSDS!S$25*$AG947^4+WeightSDS!T$25*$AG947^3+WeightSDS!U$25*$AG947^2+WeightSDS!V$25*$AG947+WeightSDS!W$25,WeightSDS!M$27+WeightSDS!N$27/(1+EXP(WeightSDS!O$27+WeightSDS!P$27*$AG947)))),IF($AG947&lt;43.8,WeightSDS!M$29*$AG947^10+WeightSDS!N$29*$AG947^9+WeightSDS!O$29*$AG947^8+WeightSDS!P$29*$AG947^7+WeightSDS!Q$29*$AG947^6+WeightSDS!R$29*$AG947^5+WeightSDS!S$29*$AG947^4+WeightSDS!T$29*$AG947^3+WeightSDS!U$29*$AG947^2+WeightSDS!V$29*$AG947+WeightSDS!W$29-0.010431*(1-$AG947/210),IF($AG947&lt;123,WeightSDS!M$30*$AG947^10+WeightSDS!N$30*$AG947^9+WeightSDS!O$30*$AG947^8+WeightSDS!P$30*$AG947^7+WeightSDS!Q$30*$AG947^6+WeightSDS!R$30*$AG947^5+WeightSDS!S$30*$AG947^4+WeightSDS!T$30*$AG947^3+WeightSDS!U$30*$AG947^2+WeightSDS!V$30*$AG947+WeightSDS!W$30-0.010431*(1-1/$AG947),WeightSDS!M$32+WeightSDS!N$32/(1+EXP(WeightSDS!O$32+WeightSDS!P$32*$AG947))-0.010431*(1-$AG947/210))))</f>
        <v>2.9500001032655536</v>
      </c>
      <c r="AK947" s="24">
        <f>IF(D947="M",IF($AG947&lt;162,WeightSDS!P$12*$AG947^7+WeightSDS!Q$12*$AG947^6+WeightSDS!R$12*$AG947^5+WeightSDS!S$12*$AG947^4+WeightSDS!T$12*$AG947^3+WeightSDS!U$12*$AG947^2+WeightSDS!V$12*$AG947+WeightSDS!W$12,WeightSDS!P$14*$AG947^7+WeightSDS!Q$14*$AG947^6+WeightSDS!R$14*$AG947^5+WeightSDS!S$14*$AG947^4+WeightSDS!T$14*$AG947^3+WeightSDS!U$14*$AG947^2+WeightSDS!V$14*$AG947+WeightSDS!W$14),IF($AG947&lt;156,WeightSDS!O$17*$AG947^8+WeightSDS!P$17*$AG947^7+WeightSDS!Q$17*$AG947^6+WeightSDS!R$17*$AG947^5+WeightSDS!S$17*$AG947^4+WeightSDS!T$17*$AG947^3+WeightSDS!U$17*$AG947^2+WeightSDS!V$17*$AG947+WeightSDS!W$17,IF($AG947&lt;186,WeightSDS!$U$18+(WeightSDS!$V$18-WeightSDS!$U$18)/24*($AG947-186)+WeightSDS!$W$18*(-$AG947+186)^2-0.005,WeightSDS!$U$18+(WeightSDS!$V$18-WeightSDS!$U$18)/24*($AG947-186)-0.005)))</f>
        <v>0.14604529399999999</v>
      </c>
    </row>
    <row r="948" spans="1:37">
      <c r="A948" s="4"/>
      <c r="B948" s="21"/>
      <c r="C948" s="21"/>
      <c r="D948" s="21"/>
      <c r="E948" s="22"/>
      <c r="F948" s="22"/>
      <c r="G948" s="23"/>
      <c r="H948" s="23"/>
      <c r="I948" s="8" t="str">
        <f t="shared" si="226"/>
        <v/>
      </c>
      <c r="J948" s="2" t="str">
        <f t="shared" si="233"/>
        <v/>
      </c>
      <c r="K948" s="2" t="str">
        <f t="shared" si="227"/>
        <v/>
      </c>
      <c r="L948" s="2" t="str">
        <f t="shared" si="234"/>
        <v/>
      </c>
      <c r="M948" s="2" t="str">
        <f t="shared" si="239"/>
        <v/>
      </c>
      <c r="N948" s="2" t="str">
        <f t="shared" si="235"/>
        <v/>
      </c>
      <c r="O948" s="8" t="str">
        <f t="shared" si="236"/>
        <v/>
      </c>
      <c r="P948" s="8" t="str">
        <f t="shared" si="237"/>
        <v/>
      </c>
      <c r="Q948" s="40" t="str">
        <f t="shared" si="228"/>
        <v/>
      </c>
      <c r="R948" s="48" t="str">
        <f t="shared" si="238"/>
        <v/>
      </c>
      <c r="S948" s="8"/>
      <c r="U948" s="35">
        <f t="shared" si="229"/>
        <v>0</v>
      </c>
      <c r="V948" s="24">
        <f t="shared" si="230"/>
        <v>0</v>
      </c>
      <c r="W948" s="41">
        <f t="shared" si="241"/>
        <v>0</v>
      </c>
      <c r="X948" s="31"/>
      <c r="Y948" s="31"/>
      <c r="Z948" s="31"/>
      <c r="AA948" s="25">
        <f t="shared" si="231"/>
        <v>9.0359999999999996</v>
      </c>
      <c r="AB948" s="25">
        <f t="shared" si="232"/>
        <v>-184.49199999999999</v>
      </c>
      <c r="AD948" s="24">
        <f>IF(D948="M",IF(AG948&lt;78,BMILMS!$D$5*AG948^3+BMILMS!$E$5*AG948^2+BMILMS!$F$5*AG948+BMILMS!$G$5,IF(AG948&lt;150,BMILMS!$D$6*AG948^3+BMILMS!$E$6*AG948^2+BMILMS!$F$6*AG948+BMILMS!$G$6,BMILMS!$D$7*AG948^3+BMILMS!$E$7*AG948^2+BMILMS!$F$7*AG948+BMILMS!$G$7)),IF(AG948&lt;69,BMILMS!$D$9*AG948^3+BMILMS!$E$9*AG948^2+BMILMS!$F$9*AG948+BMILMS!$G$9,IF(AG948&lt;150,BMILMS!$D$10*AG948^3+BMILMS!$E$10*AG948^2+BMILMS!$F$10*AG948+BMILMS!$G$10,BMILMS!$D$11*AG948^3+BMILMS!$E$11*AG948^2+BMILMS!$F$11*AG948+BMILMS!$G$11)))</f>
        <v>0.79584630099999998</v>
      </c>
      <c r="AE948" s="24">
        <f>IF(D948="M",(IF(AG948&lt;2.5,BMILMS!$D$21*AG948^3+BMILMS!$E$21*AG948^2+BMILMS!$F$21*AG948+BMILMS!$G$21,IF(AG948&lt;9.5,BMILMS!$D$22*AG948^3+BMILMS!$E$22*AG948^2+BMILMS!$F$22*AG948+BMILMS!$G$22,IF(AG948&lt;26.75,BMILMS!$D$23*AG948^3+BMILMS!$E$23*AG948^2+BMILMS!$F$23*AG948+BMILMS!$G$23,IF(AG948&lt;90,BMILMS!$D$24*AG948^3+BMILMS!$E$24*AG948^2+BMILMS!$F$24*AG948+BMILMS!$G$24,BMILMS!$D$25*AG948^3+BMILMS!$E$25*AG948^2+BMILMS!$F$25*AG948+BMILMS!$G$25))))),(IF(AG948&lt;2.5,BMILMS!$D$27*AG948^3+BMILMS!$E$27*AG948^2+BMILMS!$F$27*AG948+BMILMS!$G$27,IF(AG948&lt;9.5,BMILMS!$D$28*AG948^3+BMILMS!$E$28*AG948^2+BMILMS!$F$28*AG948+BMILMS!$G$28,IF(AG948&lt;26.75,BMILMS!$D$29*AG948^3+BMILMS!$E$29*AG948^2+BMILMS!$F$29*AG948+BMILMS!$G$29,IF(AG948&lt;90,BMILMS!$D$30*AG948^3+BMILMS!$E$30*AG948^2+BMILMS!$F$30*AG948+BMILMS!$G$30,IF(AG948&lt;150,BMILMS!$D$31*AG948^3+BMILMS!$E$31*AG948^2+BMILMS!$F$31*AG948+BMILMS!$G$31,BMILMS!$D$32*AG948^3+BMILMS!$E$32*AG948^2+BMILMS!$F$32*AG948+BMILMS!$G$32)))))))</f>
        <v>12.568967990000001</v>
      </c>
      <c r="AF948" s="24">
        <f>IF(D948="M",(IF(AG948&lt;90,BMILMS!$D$14*AG948^3+BMILMS!$E$14*AG948^2+BMILMS!$F$14*AG948+BMILMS!$G$14,BMILMS!$D$15*AG948^3+BMILMS!$E$15*AG948^2+BMILMS!$F$15*AG948+BMILMS!$G$15)),(IF(AG948&lt;90,BMILMS!$D$17*AG948^3+BMILMS!$E$17*AG948^2+BMILMS!$F$17*AG948+BMILMS!$G$17,BMILMS!$D$18*AG948^3+BMILMS!$E$18*AG948^2+BMILMS!$F$18*AG948+BMILMS!$G$18)))</f>
        <v>8.8969350000000003E-2</v>
      </c>
      <c r="AG948" s="24">
        <f t="shared" si="240"/>
        <v>0</v>
      </c>
      <c r="AI948" s="38">
        <f>IF(D948="M",WeightSDS!P$5*$AG948^7+WeightSDS!Q$5*$AG948^6+WeightSDS!R$5*$AG948^5+WeightSDS!S$5*$AG948^4+WeightSDS!T$5*$AG948^3+WeightSDS!U$5*$AG948^2+WeightSDS!V$5*$AG948+WeightSDS!W$5,IF($AG948&lt;186,WeightSDS!P$8*$AG948^7+WeightSDS!Q$8*$AG948^6+WeightSDS!R$8*$AG948^5+WeightSDS!S$8*$AG948^4+WeightSDS!T$8*$AG948^3+WeightSDS!U$8*$AG948^2+WeightSDS!V$8*$AG948+WeightSDS!W$8,WeightSDS!$U$9-WeightSDS!$V$9*($AG948-WeightSDS!$W$9)))</f>
        <v>0.75407122999999998</v>
      </c>
      <c r="AJ948" s="24">
        <f>IF(D948="M",IF($AG948&lt;45,WeightSDS!M$23*$AG948^10+WeightSDS!N$23*$AG948^9+WeightSDS!O$23*$AG948^8+WeightSDS!P$23*$AG948^7+WeightSDS!Q$23*$AG948^6+WeightSDS!R$23*$AG948^5+WeightSDS!S$23*$AG948^4+WeightSDS!T$23*$AG948^3+WeightSDS!U$23*$AG948^2+WeightSDS!V$23*$AG948+WeightSDS!W$23,IF($AG948&lt;153,WeightSDS!M$25*$AG948^10+WeightSDS!N$25*$AG948^9+WeightSDS!O$25*$AG948^8+WeightSDS!P$25*$AG948^7+WeightSDS!Q$25*$AG948^6+WeightSDS!R$25*$AG948^5+WeightSDS!S$25*$AG948^4+WeightSDS!T$25*$AG948^3+WeightSDS!U$25*$AG948^2+WeightSDS!V$25*$AG948+WeightSDS!W$25,WeightSDS!M$27+WeightSDS!N$27/(1+EXP(WeightSDS!O$27+WeightSDS!P$27*$AG948)))),IF($AG948&lt;43.8,WeightSDS!M$29*$AG948^10+WeightSDS!N$29*$AG948^9+WeightSDS!O$29*$AG948^8+WeightSDS!P$29*$AG948^7+WeightSDS!Q$29*$AG948^6+WeightSDS!R$29*$AG948^5+WeightSDS!S$29*$AG948^4+WeightSDS!T$29*$AG948^3+WeightSDS!U$29*$AG948^2+WeightSDS!V$29*$AG948+WeightSDS!W$29-0.010431*(1-$AG948/210),IF($AG948&lt;123,WeightSDS!M$30*$AG948^10+WeightSDS!N$30*$AG948^9+WeightSDS!O$30*$AG948^8+WeightSDS!P$30*$AG948^7+WeightSDS!Q$30*$AG948^6+WeightSDS!R$30*$AG948^5+WeightSDS!S$30*$AG948^4+WeightSDS!T$30*$AG948^3+WeightSDS!U$30*$AG948^2+WeightSDS!V$30*$AG948+WeightSDS!W$30-0.010431*(1-1/$AG948),WeightSDS!M$32+WeightSDS!N$32/(1+EXP(WeightSDS!O$32+WeightSDS!P$32*$AG948))-0.010431*(1-$AG948/210))))</f>
        <v>2.9500001032655536</v>
      </c>
      <c r="AK948" s="24">
        <f>IF(D948="M",IF($AG948&lt;162,WeightSDS!P$12*$AG948^7+WeightSDS!Q$12*$AG948^6+WeightSDS!R$12*$AG948^5+WeightSDS!S$12*$AG948^4+WeightSDS!T$12*$AG948^3+WeightSDS!U$12*$AG948^2+WeightSDS!V$12*$AG948+WeightSDS!W$12,WeightSDS!P$14*$AG948^7+WeightSDS!Q$14*$AG948^6+WeightSDS!R$14*$AG948^5+WeightSDS!S$14*$AG948^4+WeightSDS!T$14*$AG948^3+WeightSDS!U$14*$AG948^2+WeightSDS!V$14*$AG948+WeightSDS!W$14),IF($AG948&lt;156,WeightSDS!O$17*$AG948^8+WeightSDS!P$17*$AG948^7+WeightSDS!Q$17*$AG948^6+WeightSDS!R$17*$AG948^5+WeightSDS!S$17*$AG948^4+WeightSDS!T$17*$AG948^3+WeightSDS!U$17*$AG948^2+WeightSDS!V$17*$AG948+WeightSDS!W$17,IF($AG948&lt;186,WeightSDS!$U$18+(WeightSDS!$V$18-WeightSDS!$U$18)/24*($AG948-186)+WeightSDS!$W$18*(-$AG948+186)^2-0.005,WeightSDS!$U$18+(WeightSDS!$V$18-WeightSDS!$U$18)/24*($AG948-186)-0.005)))</f>
        <v>0.14604529399999999</v>
      </c>
    </row>
    <row r="949" spans="1:37">
      <c r="A949" s="4"/>
      <c r="B949" s="21"/>
      <c r="C949" s="21"/>
      <c r="D949" s="21"/>
      <c r="E949" s="22"/>
      <c r="F949" s="22"/>
      <c r="G949" s="23"/>
      <c r="H949" s="23"/>
      <c r="I949" s="8" t="str">
        <f t="shared" si="226"/>
        <v/>
      </c>
      <c r="J949" s="2" t="str">
        <f t="shared" si="233"/>
        <v/>
      </c>
      <c r="K949" s="2" t="str">
        <f t="shared" si="227"/>
        <v/>
      </c>
      <c r="L949" s="2" t="str">
        <f t="shared" si="234"/>
        <v/>
      </c>
      <c r="M949" s="2" t="str">
        <f t="shared" si="239"/>
        <v/>
      </c>
      <c r="N949" s="2" t="str">
        <f t="shared" si="235"/>
        <v/>
      </c>
      <c r="O949" s="8" t="str">
        <f t="shared" si="236"/>
        <v/>
      </c>
      <c r="P949" s="8" t="str">
        <f t="shared" si="237"/>
        <v/>
      </c>
      <c r="Q949" s="40" t="str">
        <f t="shared" si="228"/>
        <v/>
      </c>
      <c r="R949" s="48" t="str">
        <f t="shared" si="238"/>
        <v/>
      </c>
      <c r="S949" s="8"/>
      <c r="U949" s="35">
        <f t="shared" si="229"/>
        <v>0</v>
      </c>
      <c r="V949" s="24">
        <f t="shared" si="230"/>
        <v>0</v>
      </c>
      <c r="W949" s="41">
        <f t="shared" si="241"/>
        <v>0</v>
      </c>
      <c r="X949" s="31"/>
      <c r="Y949" s="31"/>
      <c r="Z949" s="31"/>
      <c r="AA949" s="25">
        <f t="shared" si="231"/>
        <v>9.0359999999999996</v>
      </c>
      <c r="AB949" s="25">
        <f t="shared" si="232"/>
        <v>-184.49199999999999</v>
      </c>
      <c r="AD949" s="24">
        <f>IF(D949="M",IF(AG949&lt;78,BMILMS!$D$5*AG949^3+BMILMS!$E$5*AG949^2+BMILMS!$F$5*AG949+BMILMS!$G$5,IF(AG949&lt;150,BMILMS!$D$6*AG949^3+BMILMS!$E$6*AG949^2+BMILMS!$F$6*AG949+BMILMS!$G$6,BMILMS!$D$7*AG949^3+BMILMS!$E$7*AG949^2+BMILMS!$F$7*AG949+BMILMS!$G$7)),IF(AG949&lt;69,BMILMS!$D$9*AG949^3+BMILMS!$E$9*AG949^2+BMILMS!$F$9*AG949+BMILMS!$G$9,IF(AG949&lt;150,BMILMS!$D$10*AG949^3+BMILMS!$E$10*AG949^2+BMILMS!$F$10*AG949+BMILMS!$G$10,BMILMS!$D$11*AG949^3+BMILMS!$E$11*AG949^2+BMILMS!$F$11*AG949+BMILMS!$G$11)))</f>
        <v>0.79584630099999998</v>
      </c>
      <c r="AE949" s="24">
        <f>IF(D949="M",(IF(AG949&lt;2.5,BMILMS!$D$21*AG949^3+BMILMS!$E$21*AG949^2+BMILMS!$F$21*AG949+BMILMS!$G$21,IF(AG949&lt;9.5,BMILMS!$D$22*AG949^3+BMILMS!$E$22*AG949^2+BMILMS!$F$22*AG949+BMILMS!$G$22,IF(AG949&lt;26.75,BMILMS!$D$23*AG949^3+BMILMS!$E$23*AG949^2+BMILMS!$F$23*AG949+BMILMS!$G$23,IF(AG949&lt;90,BMILMS!$D$24*AG949^3+BMILMS!$E$24*AG949^2+BMILMS!$F$24*AG949+BMILMS!$G$24,BMILMS!$D$25*AG949^3+BMILMS!$E$25*AG949^2+BMILMS!$F$25*AG949+BMILMS!$G$25))))),(IF(AG949&lt;2.5,BMILMS!$D$27*AG949^3+BMILMS!$E$27*AG949^2+BMILMS!$F$27*AG949+BMILMS!$G$27,IF(AG949&lt;9.5,BMILMS!$D$28*AG949^3+BMILMS!$E$28*AG949^2+BMILMS!$F$28*AG949+BMILMS!$G$28,IF(AG949&lt;26.75,BMILMS!$D$29*AG949^3+BMILMS!$E$29*AG949^2+BMILMS!$F$29*AG949+BMILMS!$G$29,IF(AG949&lt;90,BMILMS!$D$30*AG949^3+BMILMS!$E$30*AG949^2+BMILMS!$F$30*AG949+BMILMS!$G$30,IF(AG949&lt;150,BMILMS!$D$31*AG949^3+BMILMS!$E$31*AG949^2+BMILMS!$F$31*AG949+BMILMS!$G$31,BMILMS!$D$32*AG949^3+BMILMS!$E$32*AG949^2+BMILMS!$F$32*AG949+BMILMS!$G$32)))))))</f>
        <v>12.568967990000001</v>
      </c>
      <c r="AF949" s="24">
        <f>IF(D949="M",(IF(AG949&lt;90,BMILMS!$D$14*AG949^3+BMILMS!$E$14*AG949^2+BMILMS!$F$14*AG949+BMILMS!$G$14,BMILMS!$D$15*AG949^3+BMILMS!$E$15*AG949^2+BMILMS!$F$15*AG949+BMILMS!$G$15)),(IF(AG949&lt;90,BMILMS!$D$17*AG949^3+BMILMS!$E$17*AG949^2+BMILMS!$F$17*AG949+BMILMS!$G$17,BMILMS!$D$18*AG949^3+BMILMS!$E$18*AG949^2+BMILMS!$F$18*AG949+BMILMS!$G$18)))</f>
        <v>8.8969350000000003E-2</v>
      </c>
      <c r="AG949" s="24">
        <f t="shared" si="240"/>
        <v>0</v>
      </c>
      <c r="AI949" s="38">
        <f>IF(D949="M",WeightSDS!P$5*$AG949^7+WeightSDS!Q$5*$AG949^6+WeightSDS!R$5*$AG949^5+WeightSDS!S$5*$AG949^4+WeightSDS!T$5*$AG949^3+WeightSDS!U$5*$AG949^2+WeightSDS!V$5*$AG949+WeightSDS!W$5,IF($AG949&lt;186,WeightSDS!P$8*$AG949^7+WeightSDS!Q$8*$AG949^6+WeightSDS!R$8*$AG949^5+WeightSDS!S$8*$AG949^4+WeightSDS!T$8*$AG949^3+WeightSDS!U$8*$AG949^2+WeightSDS!V$8*$AG949+WeightSDS!W$8,WeightSDS!$U$9-WeightSDS!$V$9*($AG949-WeightSDS!$W$9)))</f>
        <v>0.75407122999999998</v>
      </c>
      <c r="AJ949" s="24">
        <f>IF(D949="M",IF($AG949&lt;45,WeightSDS!M$23*$AG949^10+WeightSDS!N$23*$AG949^9+WeightSDS!O$23*$AG949^8+WeightSDS!P$23*$AG949^7+WeightSDS!Q$23*$AG949^6+WeightSDS!R$23*$AG949^5+WeightSDS!S$23*$AG949^4+WeightSDS!T$23*$AG949^3+WeightSDS!U$23*$AG949^2+WeightSDS!V$23*$AG949+WeightSDS!W$23,IF($AG949&lt;153,WeightSDS!M$25*$AG949^10+WeightSDS!N$25*$AG949^9+WeightSDS!O$25*$AG949^8+WeightSDS!P$25*$AG949^7+WeightSDS!Q$25*$AG949^6+WeightSDS!R$25*$AG949^5+WeightSDS!S$25*$AG949^4+WeightSDS!T$25*$AG949^3+WeightSDS!U$25*$AG949^2+WeightSDS!V$25*$AG949+WeightSDS!W$25,WeightSDS!M$27+WeightSDS!N$27/(1+EXP(WeightSDS!O$27+WeightSDS!P$27*$AG949)))),IF($AG949&lt;43.8,WeightSDS!M$29*$AG949^10+WeightSDS!N$29*$AG949^9+WeightSDS!O$29*$AG949^8+WeightSDS!P$29*$AG949^7+WeightSDS!Q$29*$AG949^6+WeightSDS!R$29*$AG949^5+WeightSDS!S$29*$AG949^4+WeightSDS!T$29*$AG949^3+WeightSDS!U$29*$AG949^2+WeightSDS!V$29*$AG949+WeightSDS!W$29-0.010431*(1-$AG949/210),IF($AG949&lt;123,WeightSDS!M$30*$AG949^10+WeightSDS!N$30*$AG949^9+WeightSDS!O$30*$AG949^8+WeightSDS!P$30*$AG949^7+WeightSDS!Q$30*$AG949^6+WeightSDS!R$30*$AG949^5+WeightSDS!S$30*$AG949^4+WeightSDS!T$30*$AG949^3+WeightSDS!U$30*$AG949^2+WeightSDS!V$30*$AG949+WeightSDS!W$30-0.010431*(1-1/$AG949),WeightSDS!M$32+WeightSDS!N$32/(1+EXP(WeightSDS!O$32+WeightSDS!P$32*$AG949))-0.010431*(1-$AG949/210))))</f>
        <v>2.9500001032655536</v>
      </c>
      <c r="AK949" s="24">
        <f>IF(D949="M",IF($AG949&lt;162,WeightSDS!P$12*$AG949^7+WeightSDS!Q$12*$AG949^6+WeightSDS!R$12*$AG949^5+WeightSDS!S$12*$AG949^4+WeightSDS!T$12*$AG949^3+WeightSDS!U$12*$AG949^2+WeightSDS!V$12*$AG949+WeightSDS!W$12,WeightSDS!P$14*$AG949^7+WeightSDS!Q$14*$AG949^6+WeightSDS!R$14*$AG949^5+WeightSDS!S$14*$AG949^4+WeightSDS!T$14*$AG949^3+WeightSDS!U$14*$AG949^2+WeightSDS!V$14*$AG949+WeightSDS!W$14),IF($AG949&lt;156,WeightSDS!O$17*$AG949^8+WeightSDS!P$17*$AG949^7+WeightSDS!Q$17*$AG949^6+WeightSDS!R$17*$AG949^5+WeightSDS!S$17*$AG949^4+WeightSDS!T$17*$AG949^3+WeightSDS!U$17*$AG949^2+WeightSDS!V$17*$AG949+WeightSDS!W$17,IF($AG949&lt;186,WeightSDS!$U$18+(WeightSDS!$V$18-WeightSDS!$U$18)/24*($AG949-186)+WeightSDS!$W$18*(-$AG949+186)^2-0.005,WeightSDS!$U$18+(WeightSDS!$V$18-WeightSDS!$U$18)/24*($AG949-186)-0.005)))</f>
        <v>0.14604529399999999</v>
      </c>
    </row>
    <row r="950" spans="1:37">
      <c r="A950" s="4"/>
      <c r="B950" s="21"/>
      <c r="C950" s="21"/>
      <c r="D950" s="21"/>
      <c r="E950" s="22"/>
      <c r="F950" s="22"/>
      <c r="G950" s="23"/>
      <c r="H950" s="23"/>
      <c r="I950" s="8" t="str">
        <f t="shared" si="226"/>
        <v/>
      </c>
      <c r="J950" s="2" t="str">
        <f t="shared" si="233"/>
        <v/>
      </c>
      <c r="K950" s="2" t="str">
        <f t="shared" si="227"/>
        <v/>
      </c>
      <c r="L950" s="2" t="str">
        <f t="shared" si="234"/>
        <v/>
      </c>
      <c r="M950" s="2" t="str">
        <f t="shared" si="239"/>
        <v/>
      </c>
      <c r="N950" s="2" t="str">
        <f t="shared" si="235"/>
        <v/>
      </c>
      <c r="O950" s="8" t="str">
        <f t="shared" si="236"/>
        <v/>
      </c>
      <c r="P950" s="8" t="str">
        <f t="shared" si="237"/>
        <v/>
      </c>
      <c r="Q950" s="40" t="str">
        <f t="shared" si="228"/>
        <v/>
      </c>
      <c r="R950" s="48" t="str">
        <f t="shared" si="238"/>
        <v/>
      </c>
      <c r="S950" s="8"/>
      <c r="U950" s="35">
        <f t="shared" si="229"/>
        <v>0</v>
      </c>
      <c r="V950" s="24">
        <f t="shared" si="230"/>
        <v>0</v>
      </c>
      <c r="W950" s="41">
        <f t="shared" si="241"/>
        <v>0</v>
      </c>
      <c r="X950" s="31"/>
      <c r="Y950" s="31"/>
      <c r="Z950" s="31"/>
      <c r="AA950" s="25">
        <f t="shared" si="231"/>
        <v>9.0359999999999996</v>
      </c>
      <c r="AB950" s="25">
        <f t="shared" si="232"/>
        <v>-184.49199999999999</v>
      </c>
      <c r="AD950" s="24">
        <f>IF(D950="M",IF(AG950&lt;78,BMILMS!$D$5*AG950^3+BMILMS!$E$5*AG950^2+BMILMS!$F$5*AG950+BMILMS!$G$5,IF(AG950&lt;150,BMILMS!$D$6*AG950^3+BMILMS!$E$6*AG950^2+BMILMS!$F$6*AG950+BMILMS!$G$6,BMILMS!$D$7*AG950^3+BMILMS!$E$7*AG950^2+BMILMS!$F$7*AG950+BMILMS!$G$7)),IF(AG950&lt;69,BMILMS!$D$9*AG950^3+BMILMS!$E$9*AG950^2+BMILMS!$F$9*AG950+BMILMS!$G$9,IF(AG950&lt;150,BMILMS!$D$10*AG950^3+BMILMS!$E$10*AG950^2+BMILMS!$F$10*AG950+BMILMS!$G$10,BMILMS!$D$11*AG950^3+BMILMS!$E$11*AG950^2+BMILMS!$F$11*AG950+BMILMS!$G$11)))</f>
        <v>0.79584630099999998</v>
      </c>
      <c r="AE950" s="24">
        <f>IF(D950="M",(IF(AG950&lt;2.5,BMILMS!$D$21*AG950^3+BMILMS!$E$21*AG950^2+BMILMS!$F$21*AG950+BMILMS!$G$21,IF(AG950&lt;9.5,BMILMS!$D$22*AG950^3+BMILMS!$E$22*AG950^2+BMILMS!$F$22*AG950+BMILMS!$G$22,IF(AG950&lt;26.75,BMILMS!$D$23*AG950^3+BMILMS!$E$23*AG950^2+BMILMS!$F$23*AG950+BMILMS!$G$23,IF(AG950&lt;90,BMILMS!$D$24*AG950^3+BMILMS!$E$24*AG950^2+BMILMS!$F$24*AG950+BMILMS!$G$24,BMILMS!$D$25*AG950^3+BMILMS!$E$25*AG950^2+BMILMS!$F$25*AG950+BMILMS!$G$25))))),(IF(AG950&lt;2.5,BMILMS!$D$27*AG950^3+BMILMS!$E$27*AG950^2+BMILMS!$F$27*AG950+BMILMS!$G$27,IF(AG950&lt;9.5,BMILMS!$D$28*AG950^3+BMILMS!$E$28*AG950^2+BMILMS!$F$28*AG950+BMILMS!$G$28,IF(AG950&lt;26.75,BMILMS!$D$29*AG950^3+BMILMS!$E$29*AG950^2+BMILMS!$F$29*AG950+BMILMS!$G$29,IF(AG950&lt;90,BMILMS!$D$30*AG950^3+BMILMS!$E$30*AG950^2+BMILMS!$F$30*AG950+BMILMS!$G$30,IF(AG950&lt;150,BMILMS!$D$31*AG950^3+BMILMS!$E$31*AG950^2+BMILMS!$F$31*AG950+BMILMS!$G$31,BMILMS!$D$32*AG950^3+BMILMS!$E$32*AG950^2+BMILMS!$F$32*AG950+BMILMS!$G$32)))))))</f>
        <v>12.568967990000001</v>
      </c>
      <c r="AF950" s="24">
        <f>IF(D950="M",(IF(AG950&lt;90,BMILMS!$D$14*AG950^3+BMILMS!$E$14*AG950^2+BMILMS!$F$14*AG950+BMILMS!$G$14,BMILMS!$D$15*AG950^3+BMILMS!$E$15*AG950^2+BMILMS!$F$15*AG950+BMILMS!$G$15)),(IF(AG950&lt;90,BMILMS!$D$17*AG950^3+BMILMS!$E$17*AG950^2+BMILMS!$F$17*AG950+BMILMS!$G$17,BMILMS!$D$18*AG950^3+BMILMS!$E$18*AG950^2+BMILMS!$F$18*AG950+BMILMS!$G$18)))</f>
        <v>8.8969350000000003E-2</v>
      </c>
      <c r="AG950" s="24">
        <f t="shared" si="240"/>
        <v>0</v>
      </c>
      <c r="AI950" s="38">
        <f>IF(D950="M",WeightSDS!P$5*$AG950^7+WeightSDS!Q$5*$AG950^6+WeightSDS!R$5*$AG950^5+WeightSDS!S$5*$AG950^4+WeightSDS!T$5*$AG950^3+WeightSDS!U$5*$AG950^2+WeightSDS!V$5*$AG950+WeightSDS!W$5,IF($AG950&lt;186,WeightSDS!P$8*$AG950^7+WeightSDS!Q$8*$AG950^6+WeightSDS!R$8*$AG950^5+WeightSDS!S$8*$AG950^4+WeightSDS!T$8*$AG950^3+WeightSDS!U$8*$AG950^2+WeightSDS!V$8*$AG950+WeightSDS!W$8,WeightSDS!$U$9-WeightSDS!$V$9*($AG950-WeightSDS!$W$9)))</f>
        <v>0.75407122999999998</v>
      </c>
      <c r="AJ950" s="24">
        <f>IF(D950="M",IF($AG950&lt;45,WeightSDS!M$23*$AG950^10+WeightSDS!N$23*$AG950^9+WeightSDS!O$23*$AG950^8+WeightSDS!P$23*$AG950^7+WeightSDS!Q$23*$AG950^6+WeightSDS!R$23*$AG950^5+WeightSDS!S$23*$AG950^4+WeightSDS!T$23*$AG950^3+WeightSDS!U$23*$AG950^2+WeightSDS!V$23*$AG950+WeightSDS!W$23,IF($AG950&lt;153,WeightSDS!M$25*$AG950^10+WeightSDS!N$25*$AG950^9+WeightSDS!O$25*$AG950^8+WeightSDS!P$25*$AG950^7+WeightSDS!Q$25*$AG950^6+WeightSDS!R$25*$AG950^5+WeightSDS!S$25*$AG950^4+WeightSDS!T$25*$AG950^3+WeightSDS!U$25*$AG950^2+WeightSDS!V$25*$AG950+WeightSDS!W$25,WeightSDS!M$27+WeightSDS!N$27/(1+EXP(WeightSDS!O$27+WeightSDS!P$27*$AG950)))),IF($AG950&lt;43.8,WeightSDS!M$29*$AG950^10+WeightSDS!N$29*$AG950^9+WeightSDS!O$29*$AG950^8+WeightSDS!P$29*$AG950^7+WeightSDS!Q$29*$AG950^6+WeightSDS!R$29*$AG950^5+WeightSDS!S$29*$AG950^4+WeightSDS!T$29*$AG950^3+WeightSDS!U$29*$AG950^2+WeightSDS!V$29*$AG950+WeightSDS!W$29-0.010431*(1-$AG950/210),IF($AG950&lt;123,WeightSDS!M$30*$AG950^10+WeightSDS!N$30*$AG950^9+WeightSDS!O$30*$AG950^8+WeightSDS!P$30*$AG950^7+WeightSDS!Q$30*$AG950^6+WeightSDS!R$30*$AG950^5+WeightSDS!S$30*$AG950^4+WeightSDS!T$30*$AG950^3+WeightSDS!U$30*$AG950^2+WeightSDS!V$30*$AG950+WeightSDS!W$30-0.010431*(1-1/$AG950),WeightSDS!M$32+WeightSDS!N$32/(1+EXP(WeightSDS!O$32+WeightSDS!P$32*$AG950))-0.010431*(1-$AG950/210))))</f>
        <v>2.9500001032655536</v>
      </c>
      <c r="AK950" s="24">
        <f>IF(D950="M",IF($AG950&lt;162,WeightSDS!P$12*$AG950^7+WeightSDS!Q$12*$AG950^6+WeightSDS!R$12*$AG950^5+WeightSDS!S$12*$AG950^4+WeightSDS!T$12*$AG950^3+WeightSDS!U$12*$AG950^2+WeightSDS!V$12*$AG950+WeightSDS!W$12,WeightSDS!P$14*$AG950^7+WeightSDS!Q$14*$AG950^6+WeightSDS!R$14*$AG950^5+WeightSDS!S$14*$AG950^4+WeightSDS!T$14*$AG950^3+WeightSDS!U$14*$AG950^2+WeightSDS!V$14*$AG950+WeightSDS!W$14),IF($AG950&lt;156,WeightSDS!O$17*$AG950^8+WeightSDS!P$17*$AG950^7+WeightSDS!Q$17*$AG950^6+WeightSDS!R$17*$AG950^5+WeightSDS!S$17*$AG950^4+WeightSDS!T$17*$AG950^3+WeightSDS!U$17*$AG950^2+WeightSDS!V$17*$AG950+WeightSDS!W$17,IF($AG950&lt;186,WeightSDS!$U$18+(WeightSDS!$V$18-WeightSDS!$U$18)/24*($AG950-186)+WeightSDS!$W$18*(-$AG950+186)^2-0.005,WeightSDS!$U$18+(WeightSDS!$V$18-WeightSDS!$U$18)/24*($AG950-186)-0.005)))</f>
        <v>0.14604529399999999</v>
      </c>
    </row>
    <row r="951" spans="1:37">
      <c r="A951" s="4"/>
      <c r="B951" s="21"/>
      <c r="C951" s="21"/>
      <c r="D951" s="21"/>
      <c r="E951" s="22"/>
      <c r="F951" s="22"/>
      <c r="G951" s="23"/>
      <c r="H951" s="23"/>
      <c r="I951" s="8" t="str">
        <f t="shared" si="226"/>
        <v/>
      </c>
      <c r="J951" s="2" t="str">
        <f t="shared" si="233"/>
        <v/>
      </c>
      <c r="K951" s="2" t="str">
        <f t="shared" si="227"/>
        <v/>
      </c>
      <c r="L951" s="2" t="str">
        <f t="shared" si="234"/>
        <v/>
      </c>
      <c r="M951" s="2" t="str">
        <f t="shared" si="239"/>
        <v/>
      </c>
      <c r="N951" s="2" t="str">
        <f t="shared" si="235"/>
        <v/>
      </c>
      <c r="O951" s="8" t="str">
        <f t="shared" si="236"/>
        <v/>
      </c>
      <c r="P951" s="8" t="str">
        <f t="shared" si="237"/>
        <v/>
      </c>
      <c r="Q951" s="40" t="str">
        <f t="shared" si="228"/>
        <v/>
      </c>
      <c r="R951" s="48" t="str">
        <f t="shared" si="238"/>
        <v/>
      </c>
      <c r="S951" s="8"/>
      <c r="U951" s="35">
        <f t="shared" si="229"/>
        <v>0</v>
      </c>
      <c r="V951" s="24">
        <f t="shared" si="230"/>
        <v>0</v>
      </c>
      <c r="W951" s="41">
        <f t="shared" si="241"/>
        <v>0</v>
      </c>
      <c r="X951" s="31"/>
      <c r="Y951" s="31"/>
      <c r="Z951" s="31"/>
      <c r="AA951" s="25">
        <f t="shared" si="231"/>
        <v>9.0359999999999996</v>
      </c>
      <c r="AB951" s="25">
        <f t="shared" si="232"/>
        <v>-184.49199999999999</v>
      </c>
      <c r="AD951" s="24">
        <f>IF(D951="M",IF(AG951&lt;78,BMILMS!$D$5*AG951^3+BMILMS!$E$5*AG951^2+BMILMS!$F$5*AG951+BMILMS!$G$5,IF(AG951&lt;150,BMILMS!$D$6*AG951^3+BMILMS!$E$6*AG951^2+BMILMS!$F$6*AG951+BMILMS!$G$6,BMILMS!$D$7*AG951^3+BMILMS!$E$7*AG951^2+BMILMS!$F$7*AG951+BMILMS!$G$7)),IF(AG951&lt;69,BMILMS!$D$9*AG951^3+BMILMS!$E$9*AG951^2+BMILMS!$F$9*AG951+BMILMS!$G$9,IF(AG951&lt;150,BMILMS!$D$10*AG951^3+BMILMS!$E$10*AG951^2+BMILMS!$F$10*AG951+BMILMS!$G$10,BMILMS!$D$11*AG951^3+BMILMS!$E$11*AG951^2+BMILMS!$F$11*AG951+BMILMS!$G$11)))</f>
        <v>0.79584630099999998</v>
      </c>
      <c r="AE951" s="24">
        <f>IF(D951="M",(IF(AG951&lt;2.5,BMILMS!$D$21*AG951^3+BMILMS!$E$21*AG951^2+BMILMS!$F$21*AG951+BMILMS!$G$21,IF(AG951&lt;9.5,BMILMS!$D$22*AG951^3+BMILMS!$E$22*AG951^2+BMILMS!$F$22*AG951+BMILMS!$G$22,IF(AG951&lt;26.75,BMILMS!$D$23*AG951^3+BMILMS!$E$23*AG951^2+BMILMS!$F$23*AG951+BMILMS!$G$23,IF(AG951&lt;90,BMILMS!$D$24*AG951^3+BMILMS!$E$24*AG951^2+BMILMS!$F$24*AG951+BMILMS!$G$24,BMILMS!$D$25*AG951^3+BMILMS!$E$25*AG951^2+BMILMS!$F$25*AG951+BMILMS!$G$25))))),(IF(AG951&lt;2.5,BMILMS!$D$27*AG951^3+BMILMS!$E$27*AG951^2+BMILMS!$F$27*AG951+BMILMS!$G$27,IF(AG951&lt;9.5,BMILMS!$D$28*AG951^3+BMILMS!$E$28*AG951^2+BMILMS!$F$28*AG951+BMILMS!$G$28,IF(AG951&lt;26.75,BMILMS!$D$29*AG951^3+BMILMS!$E$29*AG951^2+BMILMS!$F$29*AG951+BMILMS!$G$29,IF(AG951&lt;90,BMILMS!$D$30*AG951^3+BMILMS!$E$30*AG951^2+BMILMS!$F$30*AG951+BMILMS!$G$30,IF(AG951&lt;150,BMILMS!$D$31*AG951^3+BMILMS!$E$31*AG951^2+BMILMS!$F$31*AG951+BMILMS!$G$31,BMILMS!$D$32*AG951^3+BMILMS!$E$32*AG951^2+BMILMS!$F$32*AG951+BMILMS!$G$32)))))))</f>
        <v>12.568967990000001</v>
      </c>
      <c r="AF951" s="24">
        <f>IF(D951="M",(IF(AG951&lt;90,BMILMS!$D$14*AG951^3+BMILMS!$E$14*AG951^2+BMILMS!$F$14*AG951+BMILMS!$G$14,BMILMS!$D$15*AG951^3+BMILMS!$E$15*AG951^2+BMILMS!$F$15*AG951+BMILMS!$G$15)),(IF(AG951&lt;90,BMILMS!$D$17*AG951^3+BMILMS!$E$17*AG951^2+BMILMS!$F$17*AG951+BMILMS!$G$17,BMILMS!$D$18*AG951^3+BMILMS!$E$18*AG951^2+BMILMS!$F$18*AG951+BMILMS!$G$18)))</f>
        <v>8.8969350000000003E-2</v>
      </c>
      <c r="AG951" s="24">
        <f t="shared" si="240"/>
        <v>0</v>
      </c>
      <c r="AI951" s="38">
        <f>IF(D951="M",WeightSDS!P$5*$AG951^7+WeightSDS!Q$5*$AG951^6+WeightSDS!R$5*$AG951^5+WeightSDS!S$5*$AG951^4+WeightSDS!T$5*$AG951^3+WeightSDS!U$5*$AG951^2+WeightSDS!V$5*$AG951+WeightSDS!W$5,IF($AG951&lt;186,WeightSDS!P$8*$AG951^7+WeightSDS!Q$8*$AG951^6+WeightSDS!R$8*$AG951^5+WeightSDS!S$8*$AG951^4+WeightSDS!T$8*$AG951^3+WeightSDS!U$8*$AG951^2+WeightSDS!V$8*$AG951+WeightSDS!W$8,WeightSDS!$U$9-WeightSDS!$V$9*($AG951-WeightSDS!$W$9)))</f>
        <v>0.75407122999999998</v>
      </c>
      <c r="AJ951" s="24">
        <f>IF(D951="M",IF($AG951&lt;45,WeightSDS!M$23*$AG951^10+WeightSDS!N$23*$AG951^9+WeightSDS!O$23*$AG951^8+WeightSDS!P$23*$AG951^7+WeightSDS!Q$23*$AG951^6+WeightSDS!R$23*$AG951^5+WeightSDS!S$23*$AG951^4+WeightSDS!T$23*$AG951^3+WeightSDS!U$23*$AG951^2+WeightSDS!V$23*$AG951+WeightSDS!W$23,IF($AG951&lt;153,WeightSDS!M$25*$AG951^10+WeightSDS!N$25*$AG951^9+WeightSDS!O$25*$AG951^8+WeightSDS!P$25*$AG951^7+WeightSDS!Q$25*$AG951^6+WeightSDS!R$25*$AG951^5+WeightSDS!S$25*$AG951^4+WeightSDS!T$25*$AG951^3+WeightSDS!U$25*$AG951^2+WeightSDS!V$25*$AG951+WeightSDS!W$25,WeightSDS!M$27+WeightSDS!N$27/(1+EXP(WeightSDS!O$27+WeightSDS!P$27*$AG951)))),IF($AG951&lt;43.8,WeightSDS!M$29*$AG951^10+WeightSDS!N$29*$AG951^9+WeightSDS!O$29*$AG951^8+WeightSDS!P$29*$AG951^7+WeightSDS!Q$29*$AG951^6+WeightSDS!R$29*$AG951^5+WeightSDS!S$29*$AG951^4+WeightSDS!T$29*$AG951^3+WeightSDS!U$29*$AG951^2+WeightSDS!V$29*$AG951+WeightSDS!W$29-0.010431*(1-$AG951/210),IF($AG951&lt;123,WeightSDS!M$30*$AG951^10+WeightSDS!N$30*$AG951^9+WeightSDS!O$30*$AG951^8+WeightSDS!P$30*$AG951^7+WeightSDS!Q$30*$AG951^6+WeightSDS!R$30*$AG951^5+WeightSDS!S$30*$AG951^4+WeightSDS!T$30*$AG951^3+WeightSDS!U$30*$AG951^2+WeightSDS!V$30*$AG951+WeightSDS!W$30-0.010431*(1-1/$AG951),WeightSDS!M$32+WeightSDS!N$32/(1+EXP(WeightSDS!O$32+WeightSDS!P$32*$AG951))-0.010431*(1-$AG951/210))))</f>
        <v>2.9500001032655536</v>
      </c>
      <c r="AK951" s="24">
        <f>IF(D951="M",IF($AG951&lt;162,WeightSDS!P$12*$AG951^7+WeightSDS!Q$12*$AG951^6+WeightSDS!R$12*$AG951^5+WeightSDS!S$12*$AG951^4+WeightSDS!T$12*$AG951^3+WeightSDS!U$12*$AG951^2+WeightSDS!V$12*$AG951+WeightSDS!W$12,WeightSDS!P$14*$AG951^7+WeightSDS!Q$14*$AG951^6+WeightSDS!R$14*$AG951^5+WeightSDS!S$14*$AG951^4+WeightSDS!T$14*$AG951^3+WeightSDS!U$14*$AG951^2+WeightSDS!V$14*$AG951+WeightSDS!W$14),IF($AG951&lt;156,WeightSDS!O$17*$AG951^8+WeightSDS!P$17*$AG951^7+WeightSDS!Q$17*$AG951^6+WeightSDS!R$17*$AG951^5+WeightSDS!S$17*$AG951^4+WeightSDS!T$17*$AG951^3+WeightSDS!U$17*$AG951^2+WeightSDS!V$17*$AG951+WeightSDS!W$17,IF($AG951&lt;186,WeightSDS!$U$18+(WeightSDS!$V$18-WeightSDS!$U$18)/24*($AG951-186)+WeightSDS!$W$18*(-$AG951+186)^2-0.005,WeightSDS!$U$18+(WeightSDS!$V$18-WeightSDS!$U$18)/24*($AG951-186)-0.005)))</f>
        <v>0.14604529399999999</v>
      </c>
    </row>
    <row r="952" spans="1:37">
      <c r="A952" s="4"/>
      <c r="B952" s="21"/>
      <c r="C952" s="21"/>
      <c r="D952" s="21"/>
      <c r="E952" s="22"/>
      <c r="F952" s="22"/>
      <c r="G952" s="23"/>
      <c r="H952" s="23"/>
      <c r="I952" s="8" t="str">
        <f t="shared" si="226"/>
        <v/>
      </c>
      <c r="J952" s="2" t="str">
        <f t="shared" si="233"/>
        <v/>
      </c>
      <c r="K952" s="2" t="str">
        <f t="shared" si="227"/>
        <v/>
      </c>
      <c r="L952" s="2" t="str">
        <f t="shared" si="234"/>
        <v/>
      </c>
      <c r="M952" s="2" t="str">
        <f t="shared" si="239"/>
        <v/>
      </c>
      <c r="N952" s="2" t="str">
        <f t="shared" si="235"/>
        <v/>
      </c>
      <c r="O952" s="8" t="str">
        <f t="shared" si="236"/>
        <v/>
      </c>
      <c r="P952" s="8" t="str">
        <f t="shared" si="237"/>
        <v/>
      </c>
      <c r="Q952" s="40" t="str">
        <f t="shared" si="228"/>
        <v/>
      </c>
      <c r="R952" s="48" t="str">
        <f t="shared" si="238"/>
        <v/>
      </c>
      <c r="S952" s="8"/>
      <c r="U952" s="35">
        <f t="shared" si="229"/>
        <v>0</v>
      </c>
      <c r="V952" s="24">
        <f t="shared" si="230"/>
        <v>0</v>
      </c>
      <c r="W952" s="41">
        <f t="shared" si="241"/>
        <v>0</v>
      </c>
      <c r="X952" s="31"/>
      <c r="Y952" s="31"/>
      <c r="Z952" s="31"/>
      <c r="AA952" s="25">
        <f t="shared" si="231"/>
        <v>9.0359999999999996</v>
      </c>
      <c r="AB952" s="25">
        <f t="shared" si="232"/>
        <v>-184.49199999999999</v>
      </c>
      <c r="AD952" s="24">
        <f>IF(D952="M",IF(AG952&lt;78,BMILMS!$D$5*AG952^3+BMILMS!$E$5*AG952^2+BMILMS!$F$5*AG952+BMILMS!$G$5,IF(AG952&lt;150,BMILMS!$D$6*AG952^3+BMILMS!$E$6*AG952^2+BMILMS!$F$6*AG952+BMILMS!$G$6,BMILMS!$D$7*AG952^3+BMILMS!$E$7*AG952^2+BMILMS!$F$7*AG952+BMILMS!$G$7)),IF(AG952&lt;69,BMILMS!$D$9*AG952^3+BMILMS!$E$9*AG952^2+BMILMS!$F$9*AG952+BMILMS!$G$9,IF(AG952&lt;150,BMILMS!$D$10*AG952^3+BMILMS!$E$10*AG952^2+BMILMS!$F$10*AG952+BMILMS!$G$10,BMILMS!$D$11*AG952^3+BMILMS!$E$11*AG952^2+BMILMS!$F$11*AG952+BMILMS!$G$11)))</f>
        <v>0.79584630099999998</v>
      </c>
      <c r="AE952" s="24">
        <f>IF(D952="M",(IF(AG952&lt;2.5,BMILMS!$D$21*AG952^3+BMILMS!$E$21*AG952^2+BMILMS!$F$21*AG952+BMILMS!$G$21,IF(AG952&lt;9.5,BMILMS!$D$22*AG952^3+BMILMS!$E$22*AG952^2+BMILMS!$F$22*AG952+BMILMS!$G$22,IF(AG952&lt;26.75,BMILMS!$D$23*AG952^3+BMILMS!$E$23*AG952^2+BMILMS!$F$23*AG952+BMILMS!$G$23,IF(AG952&lt;90,BMILMS!$D$24*AG952^3+BMILMS!$E$24*AG952^2+BMILMS!$F$24*AG952+BMILMS!$G$24,BMILMS!$D$25*AG952^3+BMILMS!$E$25*AG952^2+BMILMS!$F$25*AG952+BMILMS!$G$25))))),(IF(AG952&lt;2.5,BMILMS!$D$27*AG952^3+BMILMS!$E$27*AG952^2+BMILMS!$F$27*AG952+BMILMS!$G$27,IF(AG952&lt;9.5,BMILMS!$D$28*AG952^3+BMILMS!$E$28*AG952^2+BMILMS!$F$28*AG952+BMILMS!$G$28,IF(AG952&lt;26.75,BMILMS!$D$29*AG952^3+BMILMS!$E$29*AG952^2+BMILMS!$F$29*AG952+BMILMS!$G$29,IF(AG952&lt;90,BMILMS!$D$30*AG952^3+BMILMS!$E$30*AG952^2+BMILMS!$F$30*AG952+BMILMS!$G$30,IF(AG952&lt;150,BMILMS!$D$31*AG952^3+BMILMS!$E$31*AG952^2+BMILMS!$F$31*AG952+BMILMS!$G$31,BMILMS!$D$32*AG952^3+BMILMS!$E$32*AG952^2+BMILMS!$F$32*AG952+BMILMS!$G$32)))))))</f>
        <v>12.568967990000001</v>
      </c>
      <c r="AF952" s="24">
        <f>IF(D952="M",(IF(AG952&lt;90,BMILMS!$D$14*AG952^3+BMILMS!$E$14*AG952^2+BMILMS!$F$14*AG952+BMILMS!$G$14,BMILMS!$D$15*AG952^3+BMILMS!$E$15*AG952^2+BMILMS!$F$15*AG952+BMILMS!$G$15)),(IF(AG952&lt;90,BMILMS!$D$17*AG952^3+BMILMS!$E$17*AG952^2+BMILMS!$F$17*AG952+BMILMS!$G$17,BMILMS!$D$18*AG952^3+BMILMS!$E$18*AG952^2+BMILMS!$F$18*AG952+BMILMS!$G$18)))</f>
        <v>8.8969350000000003E-2</v>
      </c>
      <c r="AG952" s="24">
        <f t="shared" si="240"/>
        <v>0</v>
      </c>
      <c r="AI952" s="38">
        <f>IF(D952="M",WeightSDS!P$5*$AG952^7+WeightSDS!Q$5*$AG952^6+WeightSDS!R$5*$AG952^5+WeightSDS!S$5*$AG952^4+WeightSDS!T$5*$AG952^3+WeightSDS!U$5*$AG952^2+WeightSDS!V$5*$AG952+WeightSDS!W$5,IF($AG952&lt;186,WeightSDS!P$8*$AG952^7+WeightSDS!Q$8*$AG952^6+WeightSDS!R$8*$AG952^5+WeightSDS!S$8*$AG952^4+WeightSDS!T$8*$AG952^3+WeightSDS!U$8*$AG952^2+WeightSDS!V$8*$AG952+WeightSDS!W$8,WeightSDS!$U$9-WeightSDS!$V$9*($AG952-WeightSDS!$W$9)))</f>
        <v>0.75407122999999998</v>
      </c>
      <c r="AJ952" s="24">
        <f>IF(D952="M",IF($AG952&lt;45,WeightSDS!M$23*$AG952^10+WeightSDS!N$23*$AG952^9+WeightSDS!O$23*$AG952^8+WeightSDS!P$23*$AG952^7+WeightSDS!Q$23*$AG952^6+WeightSDS!R$23*$AG952^5+WeightSDS!S$23*$AG952^4+WeightSDS!T$23*$AG952^3+WeightSDS!U$23*$AG952^2+WeightSDS!V$23*$AG952+WeightSDS!W$23,IF($AG952&lt;153,WeightSDS!M$25*$AG952^10+WeightSDS!N$25*$AG952^9+WeightSDS!O$25*$AG952^8+WeightSDS!P$25*$AG952^7+WeightSDS!Q$25*$AG952^6+WeightSDS!R$25*$AG952^5+WeightSDS!S$25*$AG952^4+WeightSDS!T$25*$AG952^3+WeightSDS!U$25*$AG952^2+WeightSDS!V$25*$AG952+WeightSDS!W$25,WeightSDS!M$27+WeightSDS!N$27/(1+EXP(WeightSDS!O$27+WeightSDS!P$27*$AG952)))),IF($AG952&lt;43.8,WeightSDS!M$29*$AG952^10+WeightSDS!N$29*$AG952^9+WeightSDS!O$29*$AG952^8+WeightSDS!P$29*$AG952^7+WeightSDS!Q$29*$AG952^6+WeightSDS!R$29*$AG952^5+WeightSDS!S$29*$AG952^4+WeightSDS!T$29*$AG952^3+WeightSDS!U$29*$AG952^2+WeightSDS!V$29*$AG952+WeightSDS!W$29-0.010431*(1-$AG952/210),IF($AG952&lt;123,WeightSDS!M$30*$AG952^10+WeightSDS!N$30*$AG952^9+WeightSDS!O$30*$AG952^8+WeightSDS!P$30*$AG952^7+WeightSDS!Q$30*$AG952^6+WeightSDS!R$30*$AG952^5+WeightSDS!S$30*$AG952^4+WeightSDS!T$30*$AG952^3+WeightSDS!U$30*$AG952^2+WeightSDS!V$30*$AG952+WeightSDS!W$30-0.010431*(1-1/$AG952),WeightSDS!M$32+WeightSDS!N$32/(1+EXP(WeightSDS!O$32+WeightSDS!P$32*$AG952))-0.010431*(1-$AG952/210))))</f>
        <v>2.9500001032655536</v>
      </c>
      <c r="AK952" s="24">
        <f>IF(D952="M",IF($AG952&lt;162,WeightSDS!P$12*$AG952^7+WeightSDS!Q$12*$AG952^6+WeightSDS!R$12*$AG952^5+WeightSDS!S$12*$AG952^4+WeightSDS!T$12*$AG952^3+WeightSDS!U$12*$AG952^2+WeightSDS!V$12*$AG952+WeightSDS!W$12,WeightSDS!P$14*$AG952^7+WeightSDS!Q$14*$AG952^6+WeightSDS!R$14*$AG952^5+WeightSDS!S$14*$AG952^4+WeightSDS!T$14*$AG952^3+WeightSDS!U$14*$AG952^2+WeightSDS!V$14*$AG952+WeightSDS!W$14),IF($AG952&lt;156,WeightSDS!O$17*$AG952^8+WeightSDS!P$17*$AG952^7+WeightSDS!Q$17*$AG952^6+WeightSDS!R$17*$AG952^5+WeightSDS!S$17*$AG952^4+WeightSDS!T$17*$AG952^3+WeightSDS!U$17*$AG952^2+WeightSDS!V$17*$AG952+WeightSDS!W$17,IF($AG952&lt;186,WeightSDS!$U$18+(WeightSDS!$V$18-WeightSDS!$U$18)/24*($AG952-186)+WeightSDS!$W$18*(-$AG952+186)^2-0.005,WeightSDS!$U$18+(WeightSDS!$V$18-WeightSDS!$U$18)/24*($AG952-186)-0.005)))</f>
        <v>0.14604529399999999</v>
      </c>
    </row>
    <row r="953" spans="1:37">
      <c r="A953" s="4"/>
      <c r="B953" s="21"/>
      <c r="C953" s="21"/>
      <c r="D953" s="21"/>
      <c r="E953" s="22"/>
      <c r="F953" s="22"/>
      <c r="G953" s="23"/>
      <c r="H953" s="23"/>
      <c r="I953" s="8" t="str">
        <f t="shared" si="226"/>
        <v/>
      </c>
      <c r="J953" s="2" t="str">
        <f t="shared" si="233"/>
        <v/>
      </c>
      <c r="K953" s="2" t="str">
        <f t="shared" si="227"/>
        <v/>
      </c>
      <c r="L953" s="2" t="str">
        <f t="shared" si="234"/>
        <v/>
      </c>
      <c r="M953" s="2" t="str">
        <f t="shared" si="239"/>
        <v/>
      </c>
      <c r="N953" s="2" t="str">
        <f t="shared" si="235"/>
        <v/>
      </c>
      <c r="O953" s="8" t="str">
        <f t="shared" si="236"/>
        <v/>
      </c>
      <c r="P953" s="8" t="str">
        <f t="shared" si="237"/>
        <v/>
      </c>
      <c r="Q953" s="40" t="str">
        <f t="shared" si="228"/>
        <v/>
      </c>
      <c r="R953" s="48" t="str">
        <f t="shared" si="238"/>
        <v/>
      </c>
      <c r="S953" s="8"/>
      <c r="U953" s="35">
        <f t="shared" si="229"/>
        <v>0</v>
      </c>
      <c r="V953" s="24">
        <f t="shared" si="230"/>
        <v>0</v>
      </c>
      <c r="W953" s="41">
        <f t="shared" si="241"/>
        <v>0</v>
      </c>
      <c r="X953" s="31"/>
      <c r="Y953" s="31"/>
      <c r="Z953" s="31"/>
      <c r="AA953" s="25">
        <f t="shared" si="231"/>
        <v>9.0359999999999996</v>
      </c>
      <c r="AB953" s="25">
        <f t="shared" si="232"/>
        <v>-184.49199999999999</v>
      </c>
      <c r="AD953" s="24">
        <f>IF(D953="M",IF(AG953&lt;78,BMILMS!$D$5*AG953^3+BMILMS!$E$5*AG953^2+BMILMS!$F$5*AG953+BMILMS!$G$5,IF(AG953&lt;150,BMILMS!$D$6*AG953^3+BMILMS!$E$6*AG953^2+BMILMS!$F$6*AG953+BMILMS!$G$6,BMILMS!$D$7*AG953^3+BMILMS!$E$7*AG953^2+BMILMS!$F$7*AG953+BMILMS!$G$7)),IF(AG953&lt;69,BMILMS!$D$9*AG953^3+BMILMS!$E$9*AG953^2+BMILMS!$F$9*AG953+BMILMS!$G$9,IF(AG953&lt;150,BMILMS!$D$10*AG953^3+BMILMS!$E$10*AG953^2+BMILMS!$F$10*AG953+BMILMS!$G$10,BMILMS!$D$11*AG953^3+BMILMS!$E$11*AG953^2+BMILMS!$F$11*AG953+BMILMS!$G$11)))</f>
        <v>0.79584630099999998</v>
      </c>
      <c r="AE953" s="24">
        <f>IF(D953="M",(IF(AG953&lt;2.5,BMILMS!$D$21*AG953^3+BMILMS!$E$21*AG953^2+BMILMS!$F$21*AG953+BMILMS!$G$21,IF(AG953&lt;9.5,BMILMS!$D$22*AG953^3+BMILMS!$E$22*AG953^2+BMILMS!$F$22*AG953+BMILMS!$G$22,IF(AG953&lt;26.75,BMILMS!$D$23*AG953^3+BMILMS!$E$23*AG953^2+BMILMS!$F$23*AG953+BMILMS!$G$23,IF(AG953&lt;90,BMILMS!$D$24*AG953^3+BMILMS!$E$24*AG953^2+BMILMS!$F$24*AG953+BMILMS!$G$24,BMILMS!$D$25*AG953^3+BMILMS!$E$25*AG953^2+BMILMS!$F$25*AG953+BMILMS!$G$25))))),(IF(AG953&lt;2.5,BMILMS!$D$27*AG953^3+BMILMS!$E$27*AG953^2+BMILMS!$F$27*AG953+BMILMS!$G$27,IF(AG953&lt;9.5,BMILMS!$D$28*AG953^3+BMILMS!$E$28*AG953^2+BMILMS!$F$28*AG953+BMILMS!$G$28,IF(AG953&lt;26.75,BMILMS!$D$29*AG953^3+BMILMS!$E$29*AG953^2+BMILMS!$F$29*AG953+BMILMS!$G$29,IF(AG953&lt;90,BMILMS!$D$30*AG953^3+BMILMS!$E$30*AG953^2+BMILMS!$F$30*AG953+BMILMS!$G$30,IF(AG953&lt;150,BMILMS!$D$31*AG953^3+BMILMS!$E$31*AG953^2+BMILMS!$F$31*AG953+BMILMS!$G$31,BMILMS!$D$32*AG953^3+BMILMS!$E$32*AG953^2+BMILMS!$F$32*AG953+BMILMS!$G$32)))))))</f>
        <v>12.568967990000001</v>
      </c>
      <c r="AF953" s="24">
        <f>IF(D953="M",(IF(AG953&lt;90,BMILMS!$D$14*AG953^3+BMILMS!$E$14*AG953^2+BMILMS!$F$14*AG953+BMILMS!$G$14,BMILMS!$D$15*AG953^3+BMILMS!$E$15*AG953^2+BMILMS!$F$15*AG953+BMILMS!$G$15)),(IF(AG953&lt;90,BMILMS!$D$17*AG953^3+BMILMS!$E$17*AG953^2+BMILMS!$F$17*AG953+BMILMS!$G$17,BMILMS!$D$18*AG953^3+BMILMS!$E$18*AG953^2+BMILMS!$F$18*AG953+BMILMS!$G$18)))</f>
        <v>8.8969350000000003E-2</v>
      </c>
      <c r="AG953" s="24">
        <f t="shared" si="240"/>
        <v>0</v>
      </c>
      <c r="AI953" s="38">
        <f>IF(D953="M",WeightSDS!P$5*$AG953^7+WeightSDS!Q$5*$AG953^6+WeightSDS!R$5*$AG953^5+WeightSDS!S$5*$AG953^4+WeightSDS!T$5*$AG953^3+WeightSDS!U$5*$AG953^2+WeightSDS!V$5*$AG953+WeightSDS!W$5,IF($AG953&lt;186,WeightSDS!P$8*$AG953^7+WeightSDS!Q$8*$AG953^6+WeightSDS!R$8*$AG953^5+WeightSDS!S$8*$AG953^4+WeightSDS!T$8*$AG953^3+WeightSDS!U$8*$AG953^2+WeightSDS!V$8*$AG953+WeightSDS!W$8,WeightSDS!$U$9-WeightSDS!$V$9*($AG953-WeightSDS!$W$9)))</f>
        <v>0.75407122999999998</v>
      </c>
      <c r="AJ953" s="24">
        <f>IF(D953="M",IF($AG953&lt;45,WeightSDS!M$23*$AG953^10+WeightSDS!N$23*$AG953^9+WeightSDS!O$23*$AG953^8+WeightSDS!P$23*$AG953^7+WeightSDS!Q$23*$AG953^6+WeightSDS!R$23*$AG953^5+WeightSDS!S$23*$AG953^4+WeightSDS!T$23*$AG953^3+WeightSDS!U$23*$AG953^2+WeightSDS!V$23*$AG953+WeightSDS!W$23,IF($AG953&lt;153,WeightSDS!M$25*$AG953^10+WeightSDS!N$25*$AG953^9+WeightSDS!O$25*$AG953^8+WeightSDS!P$25*$AG953^7+WeightSDS!Q$25*$AG953^6+WeightSDS!R$25*$AG953^5+WeightSDS!S$25*$AG953^4+WeightSDS!T$25*$AG953^3+WeightSDS!U$25*$AG953^2+WeightSDS!V$25*$AG953+WeightSDS!W$25,WeightSDS!M$27+WeightSDS!N$27/(1+EXP(WeightSDS!O$27+WeightSDS!P$27*$AG953)))),IF($AG953&lt;43.8,WeightSDS!M$29*$AG953^10+WeightSDS!N$29*$AG953^9+WeightSDS!O$29*$AG953^8+WeightSDS!P$29*$AG953^7+WeightSDS!Q$29*$AG953^6+WeightSDS!R$29*$AG953^5+WeightSDS!S$29*$AG953^4+WeightSDS!T$29*$AG953^3+WeightSDS!U$29*$AG953^2+WeightSDS!V$29*$AG953+WeightSDS!W$29-0.010431*(1-$AG953/210),IF($AG953&lt;123,WeightSDS!M$30*$AG953^10+WeightSDS!N$30*$AG953^9+WeightSDS!O$30*$AG953^8+WeightSDS!P$30*$AG953^7+WeightSDS!Q$30*$AG953^6+WeightSDS!R$30*$AG953^5+WeightSDS!S$30*$AG953^4+WeightSDS!T$30*$AG953^3+WeightSDS!U$30*$AG953^2+WeightSDS!V$30*$AG953+WeightSDS!W$30-0.010431*(1-1/$AG953),WeightSDS!M$32+WeightSDS!N$32/(1+EXP(WeightSDS!O$32+WeightSDS!P$32*$AG953))-0.010431*(1-$AG953/210))))</f>
        <v>2.9500001032655536</v>
      </c>
      <c r="AK953" s="24">
        <f>IF(D953="M",IF($AG953&lt;162,WeightSDS!P$12*$AG953^7+WeightSDS!Q$12*$AG953^6+WeightSDS!R$12*$AG953^5+WeightSDS!S$12*$AG953^4+WeightSDS!T$12*$AG953^3+WeightSDS!U$12*$AG953^2+WeightSDS!V$12*$AG953+WeightSDS!W$12,WeightSDS!P$14*$AG953^7+WeightSDS!Q$14*$AG953^6+WeightSDS!R$14*$AG953^5+WeightSDS!S$14*$AG953^4+WeightSDS!T$14*$AG953^3+WeightSDS!U$14*$AG953^2+WeightSDS!V$14*$AG953+WeightSDS!W$14),IF($AG953&lt;156,WeightSDS!O$17*$AG953^8+WeightSDS!P$17*$AG953^7+WeightSDS!Q$17*$AG953^6+WeightSDS!R$17*$AG953^5+WeightSDS!S$17*$AG953^4+WeightSDS!T$17*$AG953^3+WeightSDS!U$17*$AG953^2+WeightSDS!V$17*$AG953+WeightSDS!W$17,IF($AG953&lt;186,WeightSDS!$U$18+(WeightSDS!$V$18-WeightSDS!$U$18)/24*($AG953-186)+WeightSDS!$W$18*(-$AG953+186)^2-0.005,WeightSDS!$U$18+(WeightSDS!$V$18-WeightSDS!$U$18)/24*($AG953-186)-0.005)))</f>
        <v>0.14604529399999999</v>
      </c>
    </row>
    <row r="954" spans="1:37">
      <c r="A954" s="4"/>
      <c r="B954" s="21"/>
      <c r="C954" s="21"/>
      <c r="D954" s="21"/>
      <c r="E954" s="22"/>
      <c r="F954" s="22"/>
      <c r="G954" s="23"/>
      <c r="H954" s="23"/>
      <c r="I954" s="8" t="str">
        <f t="shared" si="226"/>
        <v/>
      </c>
      <c r="J954" s="2" t="str">
        <f t="shared" si="233"/>
        <v/>
      </c>
      <c r="K954" s="2" t="str">
        <f t="shared" si="227"/>
        <v/>
      </c>
      <c r="L954" s="2" t="str">
        <f t="shared" si="234"/>
        <v/>
      </c>
      <c r="M954" s="2" t="str">
        <f t="shared" si="239"/>
        <v/>
      </c>
      <c r="N954" s="2" t="str">
        <f t="shared" si="235"/>
        <v/>
      </c>
      <c r="O954" s="8" t="str">
        <f t="shared" si="236"/>
        <v/>
      </c>
      <c r="P954" s="8" t="str">
        <f t="shared" si="237"/>
        <v/>
      </c>
      <c r="Q954" s="40" t="str">
        <f t="shared" si="228"/>
        <v/>
      </c>
      <c r="R954" s="48" t="str">
        <f t="shared" si="238"/>
        <v/>
      </c>
      <c r="S954" s="8"/>
      <c r="U954" s="35">
        <f t="shared" si="229"/>
        <v>0</v>
      </c>
      <c r="V954" s="24">
        <f t="shared" si="230"/>
        <v>0</v>
      </c>
      <c r="W954" s="41">
        <f t="shared" si="241"/>
        <v>0</v>
      </c>
      <c r="X954" s="31"/>
      <c r="Y954" s="31"/>
      <c r="Z954" s="31"/>
      <c r="AA954" s="25">
        <f t="shared" si="231"/>
        <v>9.0359999999999996</v>
      </c>
      <c r="AB954" s="25">
        <f t="shared" si="232"/>
        <v>-184.49199999999999</v>
      </c>
      <c r="AD954" s="24">
        <f>IF(D954="M",IF(AG954&lt;78,BMILMS!$D$5*AG954^3+BMILMS!$E$5*AG954^2+BMILMS!$F$5*AG954+BMILMS!$G$5,IF(AG954&lt;150,BMILMS!$D$6*AG954^3+BMILMS!$E$6*AG954^2+BMILMS!$F$6*AG954+BMILMS!$G$6,BMILMS!$D$7*AG954^3+BMILMS!$E$7*AG954^2+BMILMS!$F$7*AG954+BMILMS!$G$7)),IF(AG954&lt;69,BMILMS!$D$9*AG954^3+BMILMS!$E$9*AG954^2+BMILMS!$F$9*AG954+BMILMS!$G$9,IF(AG954&lt;150,BMILMS!$D$10*AG954^3+BMILMS!$E$10*AG954^2+BMILMS!$F$10*AG954+BMILMS!$G$10,BMILMS!$D$11*AG954^3+BMILMS!$E$11*AG954^2+BMILMS!$F$11*AG954+BMILMS!$G$11)))</f>
        <v>0.79584630099999998</v>
      </c>
      <c r="AE954" s="24">
        <f>IF(D954="M",(IF(AG954&lt;2.5,BMILMS!$D$21*AG954^3+BMILMS!$E$21*AG954^2+BMILMS!$F$21*AG954+BMILMS!$G$21,IF(AG954&lt;9.5,BMILMS!$D$22*AG954^3+BMILMS!$E$22*AG954^2+BMILMS!$F$22*AG954+BMILMS!$G$22,IF(AG954&lt;26.75,BMILMS!$D$23*AG954^3+BMILMS!$E$23*AG954^2+BMILMS!$F$23*AG954+BMILMS!$G$23,IF(AG954&lt;90,BMILMS!$D$24*AG954^3+BMILMS!$E$24*AG954^2+BMILMS!$F$24*AG954+BMILMS!$G$24,BMILMS!$D$25*AG954^3+BMILMS!$E$25*AG954^2+BMILMS!$F$25*AG954+BMILMS!$G$25))))),(IF(AG954&lt;2.5,BMILMS!$D$27*AG954^3+BMILMS!$E$27*AG954^2+BMILMS!$F$27*AG954+BMILMS!$G$27,IF(AG954&lt;9.5,BMILMS!$D$28*AG954^3+BMILMS!$E$28*AG954^2+BMILMS!$F$28*AG954+BMILMS!$G$28,IF(AG954&lt;26.75,BMILMS!$D$29*AG954^3+BMILMS!$E$29*AG954^2+BMILMS!$F$29*AG954+BMILMS!$G$29,IF(AG954&lt;90,BMILMS!$D$30*AG954^3+BMILMS!$E$30*AG954^2+BMILMS!$F$30*AG954+BMILMS!$G$30,IF(AG954&lt;150,BMILMS!$D$31*AG954^3+BMILMS!$E$31*AG954^2+BMILMS!$F$31*AG954+BMILMS!$G$31,BMILMS!$D$32*AG954^3+BMILMS!$E$32*AG954^2+BMILMS!$F$32*AG954+BMILMS!$G$32)))))))</f>
        <v>12.568967990000001</v>
      </c>
      <c r="AF954" s="24">
        <f>IF(D954="M",(IF(AG954&lt;90,BMILMS!$D$14*AG954^3+BMILMS!$E$14*AG954^2+BMILMS!$F$14*AG954+BMILMS!$G$14,BMILMS!$D$15*AG954^3+BMILMS!$E$15*AG954^2+BMILMS!$F$15*AG954+BMILMS!$G$15)),(IF(AG954&lt;90,BMILMS!$D$17*AG954^3+BMILMS!$E$17*AG954^2+BMILMS!$F$17*AG954+BMILMS!$G$17,BMILMS!$D$18*AG954^3+BMILMS!$E$18*AG954^2+BMILMS!$F$18*AG954+BMILMS!$G$18)))</f>
        <v>8.8969350000000003E-2</v>
      </c>
      <c r="AG954" s="24">
        <f t="shared" si="240"/>
        <v>0</v>
      </c>
      <c r="AI954" s="38">
        <f>IF(D954="M",WeightSDS!P$5*$AG954^7+WeightSDS!Q$5*$AG954^6+WeightSDS!R$5*$AG954^5+WeightSDS!S$5*$AG954^4+WeightSDS!T$5*$AG954^3+WeightSDS!U$5*$AG954^2+WeightSDS!V$5*$AG954+WeightSDS!W$5,IF($AG954&lt;186,WeightSDS!P$8*$AG954^7+WeightSDS!Q$8*$AG954^6+WeightSDS!R$8*$AG954^5+WeightSDS!S$8*$AG954^4+WeightSDS!T$8*$AG954^3+WeightSDS!U$8*$AG954^2+WeightSDS!V$8*$AG954+WeightSDS!W$8,WeightSDS!$U$9-WeightSDS!$V$9*($AG954-WeightSDS!$W$9)))</f>
        <v>0.75407122999999998</v>
      </c>
      <c r="AJ954" s="24">
        <f>IF(D954="M",IF($AG954&lt;45,WeightSDS!M$23*$AG954^10+WeightSDS!N$23*$AG954^9+WeightSDS!O$23*$AG954^8+WeightSDS!P$23*$AG954^7+WeightSDS!Q$23*$AG954^6+WeightSDS!R$23*$AG954^5+WeightSDS!S$23*$AG954^4+WeightSDS!T$23*$AG954^3+WeightSDS!U$23*$AG954^2+WeightSDS!V$23*$AG954+WeightSDS!W$23,IF($AG954&lt;153,WeightSDS!M$25*$AG954^10+WeightSDS!N$25*$AG954^9+WeightSDS!O$25*$AG954^8+WeightSDS!P$25*$AG954^7+WeightSDS!Q$25*$AG954^6+WeightSDS!R$25*$AG954^5+WeightSDS!S$25*$AG954^4+WeightSDS!T$25*$AG954^3+WeightSDS!U$25*$AG954^2+WeightSDS!V$25*$AG954+WeightSDS!W$25,WeightSDS!M$27+WeightSDS!N$27/(1+EXP(WeightSDS!O$27+WeightSDS!P$27*$AG954)))),IF($AG954&lt;43.8,WeightSDS!M$29*$AG954^10+WeightSDS!N$29*$AG954^9+WeightSDS!O$29*$AG954^8+WeightSDS!P$29*$AG954^7+WeightSDS!Q$29*$AG954^6+WeightSDS!R$29*$AG954^5+WeightSDS!S$29*$AG954^4+WeightSDS!T$29*$AG954^3+WeightSDS!U$29*$AG954^2+WeightSDS!V$29*$AG954+WeightSDS!W$29-0.010431*(1-$AG954/210),IF($AG954&lt;123,WeightSDS!M$30*$AG954^10+WeightSDS!N$30*$AG954^9+WeightSDS!O$30*$AG954^8+WeightSDS!P$30*$AG954^7+WeightSDS!Q$30*$AG954^6+WeightSDS!R$30*$AG954^5+WeightSDS!S$30*$AG954^4+WeightSDS!T$30*$AG954^3+WeightSDS!U$30*$AG954^2+WeightSDS!V$30*$AG954+WeightSDS!W$30-0.010431*(1-1/$AG954),WeightSDS!M$32+WeightSDS!N$32/(1+EXP(WeightSDS!O$32+WeightSDS!P$32*$AG954))-0.010431*(1-$AG954/210))))</f>
        <v>2.9500001032655536</v>
      </c>
      <c r="AK954" s="24">
        <f>IF(D954="M",IF($AG954&lt;162,WeightSDS!P$12*$AG954^7+WeightSDS!Q$12*$AG954^6+WeightSDS!R$12*$AG954^5+WeightSDS!S$12*$AG954^4+WeightSDS!T$12*$AG954^3+WeightSDS!U$12*$AG954^2+WeightSDS!V$12*$AG954+WeightSDS!W$12,WeightSDS!P$14*$AG954^7+WeightSDS!Q$14*$AG954^6+WeightSDS!R$14*$AG954^5+WeightSDS!S$14*$AG954^4+WeightSDS!T$14*$AG954^3+WeightSDS!U$14*$AG954^2+WeightSDS!V$14*$AG954+WeightSDS!W$14),IF($AG954&lt;156,WeightSDS!O$17*$AG954^8+WeightSDS!P$17*$AG954^7+WeightSDS!Q$17*$AG954^6+WeightSDS!R$17*$AG954^5+WeightSDS!S$17*$AG954^4+WeightSDS!T$17*$AG954^3+WeightSDS!U$17*$AG954^2+WeightSDS!V$17*$AG954+WeightSDS!W$17,IF($AG954&lt;186,WeightSDS!$U$18+(WeightSDS!$V$18-WeightSDS!$U$18)/24*($AG954-186)+WeightSDS!$W$18*(-$AG954+186)^2-0.005,WeightSDS!$U$18+(WeightSDS!$V$18-WeightSDS!$U$18)/24*($AG954-186)-0.005)))</f>
        <v>0.14604529399999999</v>
      </c>
    </row>
    <row r="955" spans="1:37">
      <c r="A955" s="4"/>
      <c r="B955" s="21"/>
      <c r="C955" s="21"/>
      <c r="D955" s="21"/>
      <c r="E955" s="22"/>
      <c r="F955" s="22"/>
      <c r="G955" s="23"/>
      <c r="H955" s="23"/>
      <c r="I955" s="8" t="str">
        <f t="shared" si="226"/>
        <v/>
      </c>
      <c r="J955" s="2" t="str">
        <f t="shared" si="233"/>
        <v/>
      </c>
      <c r="K955" s="2" t="str">
        <f t="shared" si="227"/>
        <v/>
      </c>
      <c r="L955" s="2" t="str">
        <f t="shared" si="234"/>
        <v/>
      </c>
      <c r="M955" s="2" t="str">
        <f t="shared" si="239"/>
        <v/>
      </c>
      <c r="N955" s="2" t="str">
        <f t="shared" si="235"/>
        <v/>
      </c>
      <c r="O955" s="8" t="str">
        <f t="shared" si="236"/>
        <v/>
      </c>
      <c r="P955" s="8" t="str">
        <f t="shared" si="237"/>
        <v/>
      </c>
      <c r="Q955" s="40" t="str">
        <f t="shared" si="228"/>
        <v/>
      </c>
      <c r="R955" s="48" t="str">
        <f t="shared" si="238"/>
        <v/>
      </c>
      <c r="S955" s="8"/>
      <c r="U955" s="35">
        <f t="shared" si="229"/>
        <v>0</v>
      </c>
      <c r="V955" s="24">
        <f t="shared" si="230"/>
        <v>0</v>
      </c>
      <c r="W955" s="41">
        <f t="shared" si="241"/>
        <v>0</v>
      </c>
      <c r="X955" s="31"/>
      <c r="Y955" s="31"/>
      <c r="Z955" s="31"/>
      <c r="AA955" s="25">
        <f t="shared" si="231"/>
        <v>9.0359999999999996</v>
      </c>
      <c r="AB955" s="25">
        <f t="shared" si="232"/>
        <v>-184.49199999999999</v>
      </c>
      <c r="AD955" s="24">
        <f>IF(D955="M",IF(AG955&lt;78,BMILMS!$D$5*AG955^3+BMILMS!$E$5*AG955^2+BMILMS!$F$5*AG955+BMILMS!$G$5,IF(AG955&lt;150,BMILMS!$D$6*AG955^3+BMILMS!$E$6*AG955^2+BMILMS!$F$6*AG955+BMILMS!$G$6,BMILMS!$D$7*AG955^3+BMILMS!$E$7*AG955^2+BMILMS!$F$7*AG955+BMILMS!$G$7)),IF(AG955&lt;69,BMILMS!$D$9*AG955^3+BMILMS!$E$9*AG955^2+BMILMS!$F$9*AG955+BMILMS!$G$9,IF(AG955&lt;150,BMILMS!$D$10*AG955^3+BMILMS!$E$10*AG955^2+BMILMS!$F$10*AG955+BMILMS!$G$10,BMILMS!$D$11*AG955^3+BMILMS!$E$11*AG955^2+BMILMS!$F$11*AG955+BMILMS!$G$11)))</f>
        <v>0.79584630099999998</v>
      </c>
      <c r="AE955" s="24">
        <f>IF(D955="M",(IF(AG955&lt;2.5,BMILMS!$D$21*AG955^3+BMILMS!$E$21*AG955^2+BMILMS!$F$21*AG955+BMILMS!$G$21,IF(AG955&lt;9.5,BMILMS!$D$22*AG955^3+BMILMS!$E$22*AG955^2+BMILMS!$F$22*AG955+BMILMS!$G$22,IF(AG955&lt;26.75,BMILMS!$D$23*AG955^3+BMILMS!$E$23*AG955^2+BMILMS!$F$23*AG955+BMILMS!$G$23,IF(AG955&lt;90,BMILMS!$D$24*AG955^3+BMILMS!$E$24*AG955^2+BMILMS!$F$24*AG955+BMILMS!$G$24,BMILMS!$D$25*AG955^3+BMILMS!$E$25*AG955^2+BMILMS!$F$25*AG955+BMILMS!$G$25))))),(IF(AG955&lt;2.5,BMILMS!$D$27*AG955^3+BMILMS!$E$27*AG955^2+BMILMS!$F$27*AG955+BMILMS!$G$27,IF(AG955&lt;9.5,BMILMS!$D$28*AG955^3+BMILMS!$E$28*AG955^2+BMILMS!$F$28*AG955+BMILMS!$G$28,IF(AG955&lt;26.75,BMILMS!$D$29*AG955^3+BMILMS!$E$29*AG955^2+BMILMS!$F$29*AG955+BMILMS!$G$29,IF(AG955&lt;90,BMILMS!$D$30*AG955^3+BMILMS!$E$30*AG955^2+BMILMS!$F$30*AG955+BMILMS!$G$30,IF(AG955&lt;150,BMILMS!$D$31*AG955^3+BMILMS!$E$31*AG955^2+BMILMS!$F$31*AG955+BMILMS!$G$31,BMILMS!$D$32*AG955^3+BMILMS!$E$32*AG955^2+BMILMS!$F$32*AG955+BMILMS!$G$32)))))))</f>
        <v>12.568967990000001</v>
      </c>
      <c r="AF955" s="24">
        <f>IF(D955="M",(IF(AG955&lt;90,BMILMS!$D$14*AG955^3+BMILMS!$E$14*AG955^2+BMILMS!$F$14*AG955+BMILMS!$G$14,BMILMS!$D$15*AG955^3+BMILMS!$E$15*AG955^2+BMILMS!$F$15*AG955+BMILMS!$G$15)),(IF(AG955&lt;90,BMILMS!$D$17*AG955^3+BMILMS!$E$17*AG955^2+BMILMS!$F$17*AG955+BMILMS!$G$17,BMILMS!$D$18*AG955^3+BMILMS!$E$18*AG955^2+BMILMS!$F$18*AG955+BMILMS!$G$18)))</f>
        <v>8.8969350000000003E-2</v>
      </c>
      <c r="AG955" s="24">
        <f t="shared" si="240"/>
        <v>0</v>
      </c>
      <c r="AI955" s="38">
        <f>IF(D955="M",WeightSDS!P$5*$AG955^7+WeightSDS!Q$5*$AG955^6+WeightSDS!R$5*$AG955^5+WeightSDS!S$5*$AG955^4+WeightSDS!T$5*$AG955^3+WeightSDS!U$5*$AG955^2+WeightSDS!V$5*$AG955+WeightSDS!W$5,IF($AG955&lt;186,WeightSDS!P$8*$AG955^7+WeightSDS!Q$8*$AG955^6+WeightSDS!R$8*$AG955^5+WeightSDS!S$8*$AG955^4+WeightSDS!T$8*$AG955^3+WeightSDS!U$8*$AG955^2+WeightSDS!V$8*$AG955+WeightSDS!W$8,WeightSDS!$U$9-WeightSDS!$V$9*($AG955-WeightSDS!$W$9)))</f>
        <v>0.75407122999999998</v>
      </c>
      <c r="AJ955" s="24">
        <f>IF(D955="M",IF($AG955&lt;45,WeightSDS!M$23*$AG955^10+WeightSDS!N$23*$AG955^9+WeightSDS!O$23*$AG955^8+WeightSDS!P$23*$AG955^7+WeightSDS!Q$23*$AG955^6+WeightSDS!R$23*$AG955^5+WeightSDS!S$23*$AG955^4+WeightSDS!T$23*$AG955^3+WeightSDS!U$23*$AG955^2+WeightSDS!V$23*$AG955+WeightSDS!W$23,IF($AG955&lt;153,WeightSDS!M$25*$AG955^10+WeightSDS!N$25*$AG955^9+WeightSDS!O$25*$AG955^8+WeightSDS!P$25*$AG955^7+WeightSDS!Q$25*$AG955^6+WeightSDS!R$25*$AG955^5+WeightSDS!S$25*$AG955^4+WeightSDS!T$25*$AG955^3+WeightSDS!U$25*$AG955^2+WeightSDS!V$25*$AG955+WeightSDS!W$25,WeightSDS!M$27+WeightSDS!N$27/(1+EXP(WeightSDS!O$27+WeightSDS!P$27*$AG955)))),IF($AG955&lt;43.8,WeightSDS!M$29*$AG955^10+WeightSDS!N$29*$AG955^9+WeightSDS!O$29*$AG955^8+WeightSDS!P$29*$AG955^7+WeightSDS!Q$29*$AG955^6+WeightSDS!R$29*$AG955^5+WeightSDS!S$29*$AG955^4+WeightSDS!T$29*$AG955^3+WeightSDS!U$29*$AG955^2+WeightSDS!V$29*$AG955+WeightSDS!W$29-0.010431*(1-$AG955/210),IF($AG955&lt;123,WeightSDS!M$30*$AG955^10+WeightSDS!N$30*$AG955^9+WeightSDS!O$30*$AG955^8+WeightSDS!P$30*$AG955^7+WeightSDS!Q$30*$AG955^6+WeightSDS!R$30*$AG955^5+WeightSDS!S$30*$AG955^4+WeightSDS!T$30*$AG955^3+WeightSDS!U$30*$AG955^2+WeightSDS!V$30*$AG955+WeightSDS!W$30-0.010431*(1-1/$AG955),WeightSDS!M$32+WeightSDS!N$32/(1+EXP(WeightSDS!O$32+WeightSDS!P$32*$AG955))-0.010431*(1-$AG955/210))))</f>
        <v>2.9500001032655536</v>
      </c>
      <c r="AK955" s="24">
        <f>IF(D955="M",IF($AG955&lt;162,WeightSDS!P$12*$AG955^7+WeightSDS!Q$12*$AG955^6+WeightSDS!R$12*$AG955^5+WeightSDS!S$12*$AG955^4+WeightSDS!T$12*$AG955^3+WeightSDS!U$12*$AG955^2+WeightSDS!V$12*$AG955+WeightSDS!W$12,WeightSDS!P$14*$AG955^7+WeightSDS!Q$14*$AG955^6+WeightSDS!R$14*$AG955^5+WeightSDS!S$14*$AG955^4+WeightSDS!T$14*$AG955^3+WeightSDS!U$14*$AG955^2+WeightSDS!V$14*$AG955+WeightSDS!W$14),IF($AG955&lt;156,WeightSDS!O$17*$AG955^8+WeightSDS!P$17*$AG955^7+WeightSDS!Q$17*$AG955^6+WeightSDS!R$17*$AG955^5+WeightSDS!S$17*$AG955^4+WeightSDS!T$17*$AG955^3+WeightSDS!U$17*$AG955^2+WeightSDS!V$17*$AG955+WeightSDS!W$17,IF($AG955&lt;186,WeightSDS!$U$18+(WeightSDS!$V$18-WeightSDS!$U$18)/24*($AG955-186)+WeightSDS!$W$18*(-$AG955+186)^2-0.005,WeightSDS!$U$18+(WeightSDS!$V$18-WeightSDS!$U$18)/24*($AG955-186)-0.005)))</f>
        <v>0.14604529399999999</v>
      </c>
    </row>
    <row r="956" spans="1:37">
      <c r="A956" s="4"/>
      <c r="B956" s="21"/>
      <c r="C956" s="21"/>
      <c r="D956" s="21"/>
      <c r="E956" s="22"/>
      <c r="F956" s="22"/>
      <c r="G956" s="23"/>
      <c r="H956" s="23"/>
      <c r="I956" s="8" t="str">
        <f t="shared" si="226"/>
        <v/>
      </c>
      <c r="J956" s="2" t="str">
        <f t="shared" si="233"/>
        <v/>
      </c>
      <c r="K956" s="2" t="str">
        <f t="shared" si="227"/>
        <v/>
      </c>
      <c r="L956" s="2" t="str">
        <f t="shared" si="234"/>
        <v/>
      </c>
      <c r="M956" s="2" t="str">
        <f t="shared" si="239"/>
        <v/>
      </c>
      <c r="N956" s="2" t="str">
        <f t="shared" si="235"/>
        <v/>
      </c>
      <c r="O956" s="8" t="str">
        <f t="shared" si="236"/>
        <v/>
      </c>
      <c r="P956" s="8" t="str">
        <f t="shared" si="237"/>
        <v/>
      </c>
      <c r="Q956" s="40" t="str">
        <f t="shared" si="228"/>
        <v/>
      </c>
      <c r="R956" s="48" t="str">
        <f t="shared" si="238"/>
        <v/>
      </c>
      <c r="S956" s="8"/>
      <c r="U956" s="35">
        <f t="shared" si="229"/>
        <v>0</v>
      </c>
      <c r="V956" s="24">
        <f t="shared" si="230"/>
        <v>0</v>
      </c>
      <c r="W956" s="41">
        <f t="shared" si="241"/>
        <v>0</v>
      </c>
      <c r="X956" s="31"/>
      <c r="Y956" s="31"/>
      <c r="Z956" s="31"/>
      <c r="AA956" s="25">
        <f t="shared" si="231"/>
        <v>9.0359999999999996</v>
      </c>
      <c r="AB956" s="25">
        <f t="shared" si="232"/>
        <v>-184.49199999999999</v>
      </c>
      <c r="AD956" s="24">
        <f>IF(D956="M",IF(AG956&lt;78,BMILMS!$D$5*AG956^3+BMILMS!$E$5*AG956^2+BMILMS!$F$5*AG956+BMILMS!$G$5,IF(AG956&lt;150,BMILMS!$D$6*AG956^3+BMILMS!$E$6*AG956^2+BMILMS!$F$6*AG956+BMILMS!$G$6,BMILMS!$D$7*AG956^3+BMILMS!$E$7*AG956^2+BMILMS!$F$7*AG956+BMILMS!$G$7)),IF(AG956&lt;69,BMILMS!$D$9*AG956^3+BMILMS!$E$9*AG956^2+BMILMS!$F$9*AG956+BMILMS!$G$9,IF(AG956&lt;150,BMILMS!$D$10*AG956^3+BMILMS!$E$10*AG956^2+BMILMS!$F$10*AG956+BMILMS!$G$10,BMILMS!$D$11*AG956^3+BMILMS!$E$11*AG956^2+BMILMS!$F$11*AG956+BMILMS!$G$11)))</f>
        <v>0.79584630099999998</v>
      </c>
      <c r="AE956" s="24">
        <f>IF(D956="M",(IF(AG956&lt;2.5,BMILMS!$D$21*AG956^3+BMILMS!$E$21*AG956^2+BMILMS!$F$21*AG956+BMILMS!$G$21,IF(AG956&lt;9.5,BMILMS!$D$22*AG956^3+BMILMS!$E$22*AG956^2+BMILMS!$F$22*AG956+BMILMS!$G$22,IF(AG956&lt;26.75,BMILMS!$D$23*AG956^3+BMILMS!$E$23*AG956^2+BMILMS!$F$23*AG956+BMILMS!$G$23,IF(AG956&lt;90,BMILMS!$D$24*AG956^3+BMILMS!$E$24*AG956^2+BMILMS!$F$24*AG956+BMILMS!$G$24,BMILMS!$D$25*AG956^3+BMILMS!$E$25*AG956^2+BMILMS!$F$25*AG956+BMILMS!$G$25))))),(IF(AG956&lt;2.5,BMILMS!$D$27*AG956^3+BMILMS!$E$27*AG956^2+BMILMS!$F$27*AG956+BMILMS!$G$27,IF(AG956&lt;9.5,BMILMS!$D$28*AG956^3+BMILMS!$E$28*AG956^2+BMILMS!$F$28*AG956+BMILMS!$G$28,IF(AG956&lt;26.75,BMILMS!$D$29*AG956^3+BMILMS!$E$29*AG956^2+BMILMS!$F$29*AG956+BMILMS!$G$29,IF(AG956&lt;90,BMILMS!$D$30*AG956^3+BMILMS!$E$30*AG956^2+BMILMS!$F$30*AG956+BMILMS!$G$30,IF(AG956&lt;150,BMILMS!$D$31*AG956^3+BMILMS!$E$31*AG956^2+BMILMS!$F$31*AG956+BMILMS!$G$31,BMILMS!$D$32*AG956^3+BMILMS!$E$32*AG956^2+BMILMS!$F$32*AG956+BMILMS!$G$32)))))))</f>
        <v>12.568967990000001</v>
      </c>
      <c r="AF956" s="24">
        <f>IF(D956="M",(IF(AG956&lt;90,BMILMS!$D$14*AG956^3+BMILMS!$E$14*AG956^2+BMILMS!$F$14*AG956+BMILMS!$G$14,BMILMS!$D$15*AG956^3+BMILMS!$E$15*AG956^2+BMILMS!$F$15*AG956+BMILMS!$G$15)),(IF(AG956&lt;90,BMILMS!$D$17*AG956^3+BMILMS!$E$17*AG956^2+BMILMS!$F$17*AG956+BMILMS!$G$17,BMILMS!$D$18*AG956^3+BMILMS!$E$18*AG956^2+BMILMS!$F$18*AG956+BMILMS!$G$18)))</f>
        <v>8.8969350000000003E-2</v>
      </c>
      <c r="AG956" s="24">
        <f t="shared" si="240"/>
        <v>0</v>
      </c>
      <c r="AI956" s="38">
        <f>IF(D956="M",WeightSDS!P$5*$AG956^7+WeightSDS!Q$5*$AG956^6+WeightSDS!R$5*$AG956^5+WeightSDS!S$5*$AG956^4+WeightSDS!T$5*$AG956^3+WeightSDS!U$5*$AG956^2+WeightSDS!V$5*$AG956+WeightSDS!W$5,IF($AG956&lt;186,WeightSDS!P$8*$AG956^7+WeightSDS!Q$8*$AG956^6+WeightSDS!R$8*$AG956^5+WeightSDS!S$8*$AG956^4+WeightSDS!T$8*$AG956^3+WeightSDS!U$8*$AG956^2+WeightSDS!V$8*$AG956+WeightSDS!W$8,WeightSDS!$U$9-WeightSDS!$V$9*($AG956-WeightSDS!$W$9)))</f>
        <v>0.75407122999999998</v>
      </c>
      <c r="AJ956" s="24">
        <f>IF(D956="M",IF($AG956&lt;45,WeightSDS!M$23*$AG956^10+WeightSDS!N$23*$AG956^9+WeightSDS!O$23*$AG956^8+WeightSDS!P$23*$AG956^7+WeightSDS!Q$23*$AG956^6+WeightSDS!R$23*$AG956^5+WeightSDS!S$23*$AG956^4+WeightSDS!T$23*$AG956^3+WeightSDS!U$23*$AG956^2+WeightSDS!V$23*$AG956+WeightSDS!W$23,IF($AG956&lt;153,WeightSDS!M$25*$AG956^10+WeightSDS!N$25*$AG956^9+WeightSDS!O$25*$AG956^8+WeightSDS!P$25*$AG956^7+WeightSDS!Q$25*$AG956^6+WeightSDS!R$25*$AG956^5+WeightSDS!S$25*$AG956^4+WeightSDS!T$25*$AG956^3+WeightSDS!U$25*$AG956^2+WeightSDS!V$25*$AG956+WeightSDS!W$25,WeightSDS!M$27+WeightSDS!N$27/(1+EXP(WeightSDS!O$27+WeightSDS!P$27*$AG956)))),IF($AG956&lt;43.8,WeightSDS!M$29*$AG956^10+WeightSDS!N$29*$AG956^9+WeightSDS!O$29*$AG956^8+WeightSDS!P$29*$AG956^7+WeightSDS!Q$29*$AG956^6+WeightSDS!R$29*$AG956^5+WeightSDS!S$29*$AG956^4+WeightSDS!T$29*$AG956^3+WeightSDS!U$29*$AG956^2+WeightSDS!V$29*$AG956+WeightSDS!W$29-0.010431*(1-$AG956/210),IF($AG956&lt;123,WeightSDS!M$30*$AG956^10+WeightSDS!N$30*$AG956^9+WeightSDS!O$30*$AG956^8+WeightSDS!P$30*$AG956^7+WeightSDS!Q$30*$AG956^6+WeightSDS!R$30*$AG956^5+WeightSDS!S$30*$AG956^4+WeightSDS!T$30*$AG956^3+WeightSDS!U$30*$AG956^2+WeightSDS!V$30*$AG956+WeightSDS!W$30-0.010431*(1-1/$AG956),WeightSDS!M$32+WeightSDS!N$32/(1+EXP(WeightSDS!O$32+WeightSDS!P$32*$AG956))-0.010431*(1-$AG956/210))))</f>
        <v>2.9500001032655536</v>
      </c>
      <c r="AK956" s="24">
        <f>IF(D956="M",IF($AG956&lt;162,WeightSDS!P$12*$AG956^7+WeightSDS!Q$12*$AG956^6+WeightSDS!R$12*$AG956^5+WeightSDS!S$12*$AG956^4+WeightSDS!T$12*$AG956^3+WeightSDS!U$12*$AG956^2+WeightSDS!V$12*$AG956+WeightSDS!W$12,WeightSDS!P$14*$AG956^7+WeightSDS!Q$14*$AG956^6+WeightSDS!R$14*$AG956^5+WeightSDS!S$14*$AG956^4+WeightSDS!T$14*$AG956^3+WeightSDS!U$14*$AG956^2+WeightSDS!V$14*$AG956+WeightSDS!W$14),IF($AG956&lt;156,WeightSDS!O$17*$AG956^8+WeightSDS!P$17*$AG956^7+WeightSDS!Q$17*$AG956^6+WeightSDS!R$17*$AG956^5+WeightSDS!S$17*$AG956^4+WeightSDS!T$17*$AG956^3+WeightSDS!U$17*$AG956^2+WeightSDS!V$17*$AG956+WeightSDS!W$17,IF($AG956&lt;186,WeightSDS!$U$18+(WeightSDS!$V$18-WeightSDS!$U$18)/24*($AG956-186)+WeightSDS!$W$18*(-$AG956+186)^2-0.005,WeightSDS!$U$18+(WeightSDS!$V$18-WeightSDS!$U$18)/24*($AG956-186)-0.005)))</f>
        <v>0.14604529399999999</v>
      </c>
    </row>
    <row r="957" spans="1:37">
      <c r="A957" s="4"/>
      <c r="B957" s="21"/>
      <c r="C957" s="21"/>
      <c r="D957" s="21"/>
      <c r="E957" s="22"/>
      <c r="F957" s="22"/>
      <c r="G957" s="23"/>
      <c r="H957" s="23"/>
      <c r="I957" s="8" t="str">
        <f t="shared" si="226"/>
        <v/>
      </c>
      <c r="J957" s="2" t="str">
        <f t="shared" si="233"/>
        <v/>
      </c>
      <c r="K957" s="2" t="str">
        <f t="shared" si="227"/>
        <v/>
      </c>
      <c r="L957" s="2" t="str">
        <f t="shared" si="234"/>
        <v/>
      </c>
      <c r="M957" s="2" t="str">
        <f t="shared" si="239"/>
        <v/>
      </c>
      <c r="N957" s="2" t="str">
        <f t="shared" si="235"/>
        <v/>
      </c>
      <c r="O957" s="8" t="str">
        <f t="shared" si="236"/>
        <v/>
      </c>
      <c r="P957" s="8" t="str">
        <f t="shared" si="237"/>
        <v/>
      </c>
      <c r="Q957" s="40" t="str">
        <f t="shared" si="228"/>
        <v/>
      </c>
      <c r="R957" s="48" t="str">
        <f t="shared" si="238"/>
        <v/>
      </c>
      <c r="S957" s="8"/>
      <c r="U957" s="35">
        <f t="shared" si="229"/>
        <v>0</v>
      </c>
      <c r="V957" s="24">
        <f t="shared" si="230"/>
        <v>0</v>
      </c>
      <c r="W957" s="41">
        <f t="shared" si="241"/>
        <v>0</v>
      </c>
      <c r="X957" s="31"/>
      <c r="Y957" s="31"/>
      <c r="Z957" s="31"/>
      <c r="AA957" s="25">
        <f t="shared" si="231"/>
        <v>9.0359999999999996</v>
      </c>
      <c r="AB957" s="25">
        <f t="shared" si="232"/>
        <v>-184.49199999999999</v>
      </c>
      <c r="AD957" s="24">
        <f>IF(D957="M",IF(AG957&lt;78,BMILMS!$D$5*AG957^3+BMILMS!$E$5*AG957^2+BMILMS!$F$5*AG957+BMILMS!$G$5,IF(AG957&lt;150,BMILMS!$D$6*AG957^3+BMILMS!$E$6*AG957^2+BMILMS!$F$6*AG957+BMILMS!$G$6,BMILMS!$D$7*AG957^3+BMILMS!$E$7*AG957^2+BMILMS!$F$7*AG957+BMILMS!$G$7)),IF(AG957&lt;69,BMILMS!$D$9*AG957^3+BMILMS!$E$9*AG957^2+BMILMS!$F$9*AG957+BMILMS!$G$9,IF(AG957&lt;150,BMILMS!$D$10*AG957^3+BMILMS!$E$10*AG957^2+BMILMS!$F$10*AG957+BMILMS!$G$10,BMILMS!$D$11*AG957^3+BMILMS!$E$11*AG957^2+BMILMS!$F$11*AG957+BMILMS!$G$11)))</f>
        <v>0.79584630099999998</v>
      </c>
      <c r="AE957" s="24">
        <f>IF(D957="M",(IF(AG957&lt;2.5,BMILMS!$D$21*AG957^3+BMILMS!$E$21*AG957^2+BMILMS!$F$21*AG957+BMILMS!$G$21,IF(AG957&lt;9.5,BMILMS!$D$22*AG957^3+BMILMS!$E$22*AG957^2+BMILMS!$F$22*AG957+BMILMS!$G$22,IF(AG957&lt;26.75,BMILMS!$D$23*AG957^3+BMILMS!$E$23*AG957^2+BMILMS!$F$23*AG957+BMILMS!$G$23,IF(AG957&lt;90,BMILMS!$D$24*AG957^3+BMILMS!$E$24*AG957^2+BMILMS!$F$24*AG957+BMILMS!$G$24,BMILMS!$D$25*AG957^3+BMILMS!$E$25*AG957^2+BMILMS!$F$25*AG957+BMILMS!$G$25))))),(IF(AG957&lt;2.5,BMILMS!$D$27*AG957^3+BMILMS!$E$27*AG957^2+BMILMS!$F$27*AG957+BMILMS!$G$27,IF(AG957&lt;9.5,BMILMS!$D$28*AG957^3+BMILMS!$E$28*AG957^2+BMILMS!$F$28*AG957+BMILMS!$G$28,IF(AG957&lt;26.75,BMILMS!$D$29*AG957^3+BMILMS!$E$29*AG957^2+BMILMS!$F$29*AG957+BMILMS!$G$29,IF(AG957&lt;90,BMILMS!$D$30*AG957^3+BMILMS!$E$30*AG957^2+BMILMS!$F$30*AG957+BMILMS!$G$30,IF(AG957&lt;150,BMILMS!$D$31*AG957^3+BMILMS!$E$31*AG957^2+BMILMS!$F$31*AG957+BMILMS!$G$31,BMILMS!$D$32*AG957^3+BMILMS!$E$32*AG957^2+BMILMS!$F$32*AG957+BMILMS!$G$32)))))))</f>
        <v>12.568967990000001</v>
      </c>
      <c r="AF957" s="24">
        <f>IF(D957="M",(IF(AG957&lt;90,BMILMS!$D$14*AG957^3+BMILMS!$E$14*AG957^2+BMILMS!$F$14*AG957+BMILMS!$G$14,BMILMS!$D$15*AG957^3+BMILMS!$E$15*AG957^2+BMILMS!$F$15*AG957+BMILMS!$G$15)),(IF(AG957&lt;90,BMILMS!$D$17*AG957^3+BMILMS!$E$17*AG957^2+BMILMS!$F$17*AG957+BMILMS!$G$17,BMILMS!$D$18*AG957^3+BMILMS!$E$18*AG957^2+BMILMS!$F$18*AG957+BMILMS!$G$18)))</f>
        <v>8.8969350000000003E-2</v>
      </c>
      <c r="AG957" s="24">
        <f t="shared" si="240"/>
        <v>0</v>
      </c>
      <c r="AI957" s="38">
        <f>IF(D957="M",WeightSDS!P$5*$AG957^7+WeightSDS!Q$5*$AG957^6+WeightSDS!R$5*$AG957^5+WeightSDS!S$5*$AG957^4+WeightSDS!T$5*$AG957^3+WeightSDS!U$5*$AG957^2+WeightSDS!V$5*$AG957+WeightSDS!W$5,IF($AG957&lt;186,WeightSDS!P$8*$AG957^7+WeightSDS!Q$8*$AG957^6+WeightSDS!R$8*$AG957^5+WeightSDS!S$8*$AG957^4+WeightSDS!T$8*$AG957^3+WeightSDS!U$8*$AG957^2+WeightSDS!V$8*$AG957+WeightSDS!W$8,WeightSDS!$U$9-WeightSDS!$V$9*($AG957-WeightSDS!$W$9)))</f>
        <v>0.75407122999999998</v>
      </c>
      <c r="AJ957" s="24">
        <f>IF(D957="M",IF($AG957&lt;45,WeightSDS!M$23*$AG957^10+WeightSDS!N$23*$AG957^9+WeightSDS!O$23*$AG957^8+WeightSDS!P$23*$AG957^7+WeightSDS!Q$23*$AG957^6+WeightSDS!R$23*$AG957^5+WeightSDS!S$23*$AG957^4+WeightSDS!T$23*$AG957^3+WeightSDS!U$23*$AG957^2+WeightSDS!V$23*$AG957+WeightSDS!W$23,IF($AG957&lt;153,WeightSDS!M$25*$AG957^10+WeightSDS!N$25*$AG957^9+WeightSDS!O$25*$AG957^8+WeightSDS!P$25*$AG957^7+WeightSDS!Q$25*$AG957^6+WeightSDS!R$25*$AG957^5+WeightSDS!S$25*$AG957^4+WeightSDS!T$25*$AG957^3+WeightSDS!U$25*$AG957^2+WeightSDS!V$25*$AG957+WeightSDS!W$25,WeightSDS!M$27+WeightSDS!N$27/(1+EXP(WeightSDS!O$27+WeightSDS!P$27*$AG957)))),IF($AG957&lt;43.8,WeightSDS!M$29*$AG957^10+WeightSDS!N$29*$AG957^9+WeightSDS!O$29*$AG957^8+WeightSDS!P$29*$AG957^7+WeightSDS!Q$29*$AG957^6+WeightSDS!R$29*$AG957^5+WeightSDS!S$29*$AG957^4+WeightSDS!T$29*$AG957^3+WeightSDS!U$29*$AG957^2+WeightSDS!V$29*$AG957+WeightSDS!W$29-0.010431*(1-$AG957/210),IF($AG957&lt;123,WeightSDS!M$30*$AG957^10+WeightSDS!N$30*$AG957^9+WeightSDS!O$30*$AG957^8+WeightSDS!P$30*$AG957^7+WeightSDS!Q$30*$AG957^6+WeightSDS!R$30*$AG957^5+WeightSDS!S$30*$AG957^4+WeightSDS!T$30*$AG957^3+WeightSDS!U$30*$AG957^2+WeightSDS!V$30*$AG957+WeightSDS!W$30-0.010431*(1-1/$AG957),WeightSDS!M$32+WeightSDS!N$32/(1+EXP(WeightSDS!O$32+WeightSDS!P$32*$AG957))-0.010431*(1-$AG957/210))))</f>
        <v>2.9500001032655536</v>
      </c>
      <c r="AK957" s="24">
        <f>IF(D957="M",IF($AG957&lt;162,WeightSDS!P$12*$AG957^7+WeightSDS!Q$12*$AG957^6+WeightSDS!R$12*$AG957^5+WeightSDS!S$12*$AG957^4+WeightSDS!T$12*$AG957^3+WeightSDS!U$12*$AG957^2+WeightSDS!V$12*$AG957+WeightSDS!W$12,WeightSDS!P$14*$AG957^7+WeightSDS!Q$14*$AG957^6+WeightSDS!R$14*$AG957^5+WeightSDS!S$14*$AG957^4+WeightSDS!T$14*$AG957^3+WeightSDS!U$14*$AG957^2+WeightSDS!V$14*$AG957+WeightSDS!W$14),IF($AG957&lt;156,WeightSDS!O$17*$AG957^8+WeightSDS!P$17*$AG957^7+WeightSDS!Q$17*$AG957^6+WeightSDS!R$17*$AG957^5+WeightSDS!S$17*$AG957^4+WeightSDS!T$17*$AG957^3+WeightSDS!U$17*$AG957^2+WeightSDS!V$17*$AG957+WeightSDS!W$17,IF($AG957&lt;186,WeightSDS!$U$18+(WeightSDS!$V$18-WeightSDS!$U$18)/24*($AG957-186)+WeightSDS!$W$18*(-$AG957+186)^2-0.005,WeightSDS!$U$18+(WeightSDS!$V$18-WeightSDS!$U$18)/24*($AG957-186)-0.005)))</f>
        <v>0.14604529399999999</v>
      </c>
    </row>
    <row r="958" spans="1:37">
      <c r="A958" s="4"/>
      <c r="B958" s="21"/>
      <c r="C958" s="21"/>
      <c r="D958" s="21"/>
      <c r="E958" s="22"/>
      <c r="F958" s="22"/>
      <c r="G958" s="23"/>
      <c r="H958" s="23"/>
      <c r="I958" s="8" t="str">
        <f t="shared" si="226"/>
        <v/>
      </c>
      <c r="J958" s="2" t="str">
        <f t="shared" si="233"/>
        <v/>
      </c>
      <c r="K958" s="2" t="str">
        <f t="shared" si="227"/>
        <v/>
      </c>
      <c r="L958" s="2" t="str">
        <f t="shared" si="234"/>
        <v/>
      </c>
      <c r="M958" s="2" t="str">
        <f t="shared" si="239"/>
        <v/>
      </c>
      <c r="N958" s="2" t="str">
        <f t="shared" si="235"/>
        <v/>
      </c>
      <c r="O958" s="8" t="str">
        <f t="shared" si="236"/>
        <v/>
      </c>
      <c r="P958" s="8" t="str">
        <f t="shared" si="237"/>
        <v/>
      </c>
      <c r="Q958" s="40" t="str">
        <f t="shared" si="228"/>
        <v/>
      </c>
      <c r="R958" s="48" t="str">
        <f t="shared" si="238"/>
        <v/>
      </c>
      <c r="S958" s="8"/>
      <c r="U958" s="35">
        <f t="shared" si="229"/>
        <v>0</v>
      </c>
      <c r="V958" s="24">
        <f t="shared" si="230"/>
        <v>0</v>
      </c>
      <c r="W958" s="41">
        <f t="shared" si="241"/>
        <v>0</v>
      </c>
      <c r="X958" s="31"/>
      <c r="Y958" s="31"/>
      <c r="Z958" s="31"/>
      <c r="AA958" s="25">
        <f t="shared" si="231"/>
        <v>9.0359999999999996</v>
      </c>
      <c r="AB958" s="25">
        <f t="shared" si="232"/>
        <v>-184.49199999999999</v>
      </c>
      <c r="AD958" s="24">
        <f>IF(D958="M",IF(AG958&lt;78,BMILMS!$D$5*AG958^3+BMILMS!$E$5*AG958^2+BMILMS!$F$5*AG958+BMILMS!$G$5,IF(AG958&lt;150,BMILMS!$D$6*AG958^3+BMILMS!$E$6*AG958^2+BMILMS!$F$6*AG958+BMILMS!$G$6,BMILMS!$D$7*AG958^3+BMILMS!$E$7*AG958^2+BMILMS!$F$7*AG958+BMILMS!$G$7)),IF(AG958&lt;69,BMILMS!$D$9*AG958^3+BMILMS!$E$9*AG958^2+BMILMS!$F$9*AG958+BMILMS!$G$9,IF(AG958&lt;150,BMILMS!$D$10*AG958^3+BMILMS!$E$10*AG958^2+BMILMS!$F$10*AG958+BMILMS!$G$10,BMILMS!$D$11*AG958^3+BMILMS!$E$11*AG958^2+BMILMS!$F$11*AG958+BMILMS!$G$11)))</f>
        <v>0.79584630099999998</v>
      </c>
      <c r="AE958" s="24">
        <f>IF(D958="M",(IF(AG958&lt;2.5,BMILMS!$D$21*AG958^3+BMILMS!$E$21*AG958^2+BMILMS!$F$21*AG958+BMILMS!$G$21,IF(AG958&lt;9.5,BMILMS!$D$22*AG958^3+BMILMS!$E$22*AG958^2+BMILMS!$F$22*AG958+BMILMS!$G$22,IF(AG958&lt;26.75,BMILMS!$D$23*AG958^3+BMILMS!$E$23*AG958^2+BMILMS!$F$23*AG958+BMILMS!$G$23,IF(AG958&lt;90,BMILMS!$D$24*AG958^3+BMILMS!$E$24*AG958^2+BMILMS!$F$24*AG958+BMILMS!$G$24,BMILMS!$D$25*AG958^3+BMILMS!$E$25*AG958^2+BMILMS!$F$25*AG958+BMILMS!$G$25))))),(IF(AG958&lt;2.5,BMILMS!$D$27*AG958^3+BMILMS!$E$27*AG958^2+BMILMS!$F$27*AG958+BMILMS!$G$27,IF(AG958&lt;9.5,BMILMS!$D$28*AG958^3+BMILMS!$E$28*AG958^2+BMILMS!$F$28*AG958+BMILMS!$G$28,IF(AG958&lt;26.75,BMILMS!$D$29*AG958^3+BMILMS!$E$29*AG958^2+BMILMS!$F$29*AG958+BMILMS!$G$29,IF(AG958&lt;90,BMILMS!$D$30*AG958^3+BMILMS!$E$30*AG958^2+BMILMS!$F$30*AG958+BMILMS!$G$30,IF(AG958&lt;150,BMILMS!$D$31*AG958^3+BMILMS!$E$31*AG958^2+BMILMS!$F$31*AG958+BMILMS!$G$31,BMILMS!$D$32*AG958^3+BMILMS!$E$32*AG958^2+BMILMS!$F$32*AG958+BMILMS!$G$32)))))))</f>
        <v>12.568967990000001</v>
      </c>
      <c r="AF958" s="24">
        <f>IF(D958="M",(IF(AG958&lt;90,BMILMS!$D$14*AG958^3+BMILMS!$E$14*AG958^2+BMILMS!$F$14*AG958+BMILMS!$G$14,BMILMS!$D$15*AG958^3+BMILMS!$E$15*AG958^2+BMILMS!$F$15*AG958+BMILMS!$G$15)),(IF(AG958&lt;90,BMILMS!$D$17*AG958^3+BMILMS!$E$17*AG958^2+BMILMS!$F$17*AG958+BMILMS!$G$17,BMILMS!$D$18*AG958^3+BMILMS!$E$18*AG958^2+BMILMS!$F$18*AG958+BMILMS!$G$18)))</f>
        <v>8.8969350000000003E-2</v>
      </c>
      <c r="AG958" s="24">
        <f t="shared" si="240"/>
        <v>0</v>
      </c>
      <c r="AI958" s="38">
        <f>IF(D958="M",WeightSDS!P$5*$AG958^7+WeightSDS!Q$5*$AG958^6+WeightSDS!R$5*$AG958^5+WeightSDS!S$5*$AG958^4+WeightSDS!T$5*$AG958^3+WeightSDS!U$5*$AG958^2+WeightSDS!V$5*$AG958+WeightSDS!W$5,IF($AG958&lt;186,WeightSDS!P$8*$AG958^7+WeightSDS!Q$8*$AG958^6+WeightSDS!R$8*$AG958^5+WeightSDS!S$8*$AG958^4+WeightSDS!T$8*$AG958^3+WeightSDS!U$8*$AG958^2+WeightSDS!V$8*$AG958+WeightSDS!W$8,WeightSDS!$U$9-WeightSDS!$V$9*($AG958-WeightSDS!$W$9)))</f>
        <v>0.75407122999999998</v>
      </c>
      <c r="AJ958" s="24">
        <f>IF(D958="M",IF($AG958&lt;45,WeightSDS!M$23*$AG958^10+WeightSDS!N$23*$AG958^9+WeightSDS!O$23*$AG958^8+WeightSDS!P$23*$AG958^7+WeightSDS!Q$23*$AG958^6+WeightSDS!R$23*$AG958^5+WeightSDS!S$23*$AG958^4+WeightSDS!T$23*$AG958^3+WeightSDS!U$23*$AG958^2+WeightSDS!V$23*$AG958+WeightSDS!W$23,IF($AG958&lt;153,WeightSDS!M$25*$AG958^10+WeightSDS!N$25*$AG958^9+WeightSDS!O$25*$AG958^8+WeightSDS!P$25*$AG958^7+WeightSDS!Q$25*$AG958^6+WeightSDS!R$25*$AG958^5+WeightSDS!S$25*$AG958^4+WeightSDS!T$25*$AG958^3+WeightSDS!U$25*$AG958^2+WeightSDS!V$25*$AG958+WeightSDS!W$25,WeightSDS!M$27+WeightSDS!N$27/(1+EXP(WeightSDS!O$27+WeightSDS!P$27*$AG958)))),IF($AG958&lt;43.8,WeightSDS!M$29*$AG958^10+WeightSDS!N$29*$AG958^9+WeightSDS!O$29*$AG958^8+WeightSDS!P$29*$AG958^7+WeightSDS!Q$29*$AG958^6+WeightSDS!R$29*$AG958^5+WeightSDS!S$29*$AG958^4+WeightSDS!T$29*$AG958^3+WeightSDS!U$29*$AG958^2+WeightSDS!V$29*$AG958+WeightSDS!W$29-0.010431*(1-$AG958/210),IF($AG958&lt;123,WeightSDS!M$30*$AG958^10+WeightSDS!N$30*$AG958^9+WeightSDS!O$30*$AG958^8+WeightSDS!P$30*$AG958^7+WeightSDS!Q$30*$AG958^6+WeightSDS!R$30*$AG958^5+WeightSDS!S$30*$AG958^4+WeightSDS!T$30*$AG958^3+WeightSDS!U$30*$AG958^2+WeightSDS!V$30*$AG958+WeightSDS!W$30-0.010431*(1-1/$AG958),WeightSDS!M$32+WeightSDS!N$32/(1+EXP(WeightSDS!O$32+WeightSDS!P$32*$AG958))-0.010431*(1-$AG958/210))))</f>
        <v>2.9500001032655536</v>
      </c>
      <c r="AK958" s="24">
        <f>IF(D958="M",IF($AG958&lt;162,WeightSDS!P$12*$AG958^7+WeightSDS!Q$12*$AG958^6+WeightSDS!R$12*$AG958^5+WeightSDS!S$12*$AG958^4+WeightSDS!T$12*$AG958^3+WeightSDS!U$12*$AG958^2+WeightSDS!V$12*$AG958+WeightSDS!W$12,WeightSDS!P$14*$AG958^7+WeightSDS!Q$14*$AG958^6+WeightSDS!R$14*$AG958^5+WeightSDS!S$14*$AG958^4+WeightSDS!T$14*$AG958^3+WeightSDS!U$14*$AG958^2+WeightSDS!V$14*$AG958+WeightSDS!W$14),IF($AG958&lt;156,WeightSDS!O$17*$AG958^8+WeightSDS!P$17*$AG958^7+WeightSDS!Q$17*$AG958^6+WeightSDS!R$17*$AG958^5+WeightSDS!S$17*$AG958^4+WeightSDS!T$17*$AG958^3+WeightSDS!U$17*$AG958^2+WeightSDS!V$17*$AG958+WeightSDS!W$17,IF($AG958&lt;186,WeightSDS!$U$18+(WeightSDS!$V$18-WeightSDS!$U$18)/24*($AG958-186)+WeightSDS!$W$18*(-$AG958+186)^2-0.005,WeightSDS!$U$18+(WeightSDS!$V$18-WeightSDS!$U$18)/24*($AG958-186)-0.005)))</f>
        <v>0.14604529399999999</v>
      </c>
    </row>
    <row r="959" spans="1:37">
      <c r="A959" s="4"/>
      <c r="B959" s="21"/>
      <c r="C959" s="21"/>
      <c r="D959" s="21"/>
      <c r="E959" s="22"/>
      <c r="F959" s="22"/>
      <c r="G959" s="23"/>
      <c r="H959" s="23"/>
      <c r="I959" s="8" t="str">
        <f t="shared" si="226"/>
        <v/>
      </c>
      <c r="J959" s="2" t="str">
        <f t="shared" si="233"/>
        <v/>
      </c>
      <c r="K959" s="2" t="str">
        <f t="shared" si="227"/>
        <v/>
      </c>
      <c r="L959" s="2" t="str">
        <f t="shared" si="234"/>
        <v/>
      </c>
      <c r="M959" s="2" t="str">
        <f t="shared" si="239"/>
        <v/>
      </c>
      <c r="N959" s="2" t="str">
        <f t="shared" si="235"/>
        <v/>
      </c>
      <c r="O959" s="8" t="str">
        <f t="shared" si="236"/>
        <v/>
      </c>
      <c r="P959" s="8" t="str">
        <f t="shared" si="237"/>
        <v/>
      </c>
      <c r="Q959" s="40" t="str">
        <f t="shared" si="228"/>
        <v/>
      </c>
      <c r="R959" s="48" t="str">
        <f t="shared" si="238"/>
        <v/>
      </c>
      <c r="S959" s="8"/>
      <c r="U959" s="35">
        <f t="shared" si="229"/>
        <v>0</v>
      </c>
      <c r="V959" s="24">
        <f t="shared" si="230"/>
        <v>0</v>
      </c>
      <c r="W959" s="41">
        <f t="shared" si="241"/>
        <v>0</v>
      </c>
      <c r="X959" s="31"/>
      <c r="Y959" s="31"/>
      <c r="Z959" s="31"/>
      <c r="AA959" s="25">
        <f t="shared" si="231"/>
        <v>9.0359999999999996</v>
      </c>
      <c r="AB959" s="25">
        <f t="shared" si="232"/>
        <v>-184.49199999999999</v>
      </c>
      <c r="AD959" s="24">
        <f>IF(D959="M",IF(AG959&lt;78,BMILMS!$D$5*AG959^3+BMILMS!$E$5*AG959^2+BMILMS!$F$5*AG959+BMILMS!$G$5,IF(AG959&lt;150,BMILMS!$D$6*AG959^3+BMILMS!$E$6*AG959^2+BMILMS!$F$6*AG959+BMILMS!$G$6,BMILMS!$D$7*AG959^3+BMILMS!$E$7*AG959^2+BMILMS!$F$7*AG959+BMILMS!$G$7)),IF(AG959&lt;69,BMILMS!$D$9*AG959^3+BMILMS!$E$9*AG959^2+BMILMS!$F$9*AG959+BMILMS!$G$9,IF(AG959&lt;150,BMILMS!$D$10*AG959^3+BMILMS!$E$10*AG959^2+BMILMS!$F$10*AG959+BMILMS!$G$10,BMILMS!$D$11*AG959^3+BMILMS!$E$11*AG959^2+BMILMS!$F$11*AG959+BMILMS!$G$11)))</f>
        <v>0.79584630099999998</v>
      </c>
      <c r="AE959" s="24">
        <f>IF(D959="M",(IF(AG959&lt;2.5,BMILMS!$D$21*AG959^3+BMILMS!$E$21*AG959^2+BMILMS!$F$21*AG959+BMILMS!$G$21,IF(AG959&lt;9.5,BMILMS!$D$22*AG959^3+BMILMS!$E$22*AG959^2+BMILMS!$F$22*AG959+BMILMS!$G$22,IF(AG959&lt;26.75,BMILMS!$D$23*AG959^3+BMILMS!$E$23*AG959^2+BMILMS!$F$23*AG959+BMILMS!$G$23,IF(AG959&lt;90,BMILMS!$D$24*AG959^3+BMILMS!$E$24*AG959^2+BMILMS!$F$24*AG959+BMILMS!$G$24,BMILMS!$D$25*AG959^3+BMILMS!$E$25*AG959^2+BMILMS!$F$25*AG959+BMILMS!$G$25))))),(IF(AG959&lt;2.5,BMILMS!$D$27*AG959^3+BMILMS!$E$27*AG959^2+BMILMS!$F$27*AG959+BMILMS!$G$27,IF(AG959&lt;9.5,BMILMS!$D$28*AG959^3+BMILMS!$E$28*AG959^2+BMILMS!$F$28*AG959+BMILMS!$G$28,IF(AG959&lt;26.75,BMILMS!$D$29*AG959^3+BMILMS!$E$29*AG959^2+BMILMS!$F$29*AG959+BMILMS!$G$29,IF(AG959&lt;90,BMILMS!$D$30*AG959^3+BMILMS!$E$30*AG959^2+BMILMS!$F$30*AG959+BMILMS!$G$30,IF(AG959&lt;150,BMILMS!$D$31*AG959^3+BMILMS!$E$31*AG959^2+BMILMS!$F$31*AG959+BMILMS!$G$31,BMILMS!$D$32*AG959^3+BMILMS!$E$32*AG959^2+BMILMS!$F$32*AG959+BMILMS!$G$32)))))))</f>
        <v>12.568967990000001</v>
      </c>
      <c r="AF959" s="24">
        <f>IF(D959="M",(IF(AG959&lt;90,BMILMS!$D$14*AG959^3+BMILMS!$E$14*AG959^2+BMILMS!$F$14*AG959+BMILMS!$G$14,BMILMS!$D$15*AG959^3+BMILMS!$E$15*AG959^2+BMILMS!$F$15*AG959+BMILMS!$G$15)),(IF(AG959&lt;90,BMILMS!$D$17*AG959^3+BMILMS!$E$17*AG959^2+BMILMS!$F$17*AG959+BMILMS!$G$17,BMILMS!$D$18*AG959^3+BMILMS!$E$18*AG959^2+BMILMS!$F$18*AG959+BMILMS!$G$18)))</f>
        <v>8.8969350000000003E-2</v>
      </c>
      <c r="AG959" s="24">
        <f t="shared" si="240"/>
        <v>0</v>
      </c>
      <c r="AI959" s="38">
        <f>IF(D959="M",WeightSDS!P$5*$AG959^7+WeightSDS!Q$5*$AG959^6+WeightSDS!R$5*$AG959^5+WeightSDS!S$5*$AG959^4+WeightSDS!T$5*$AG959^3+WeightSDS!U$5*$AG959^2+WeightSDS!V$5*$AG959+WeightSDS!W$5,IF($AG959&lt;186,WeightSDS!P$8*$AG959^7+WeightSDS!Q$8*$AG959^6+WeightSDS!R$8*$AG959^5+WeightSDS!S$8*$AG959^4+WeightSDS!T$8*$AG959^3+WeightSDS!U$8*$AG959^2+WeightSDS!V$8*$AG959+WeightSDS!W$8,WeightSDS!$U$9-WeightSDS!$V$9*($AG959-WeightSDS!$W$9)))</f>
        <v>0.75407122999999998</v>
      </c>
      <c r="AJ959" s="24">
        <f>IF(D959="M",IF($AG959&lt;45,WeightSDS!M$23*$AG959^10+WeightSDS!N$23*$AG959^9+WeightSDS!O$23*$AG959^8+WeightSDS!P$23*$AG959^7+WeightSDS!Q$23*$AG959^6+WeightSDS!R$23*$AG959^5+WeightSDS!S$23*$AG959^4+WeightSDS!T$23*$AG959^3+WeightSDS!U$23*$AG959^2+WeightSDS!V$23*$AG959+WeightSDS!W$23,IF($AG959&lt;153,WeightSDS!M$25*$AG959^10+WeightSDS!N$25*$AG959^9+WeightSDS!O$25*$AG959^8+WeightSDS!P$25*$AG959^7+WeightSDS!Q$25*$AG959^6+WeightSDS!R$25*$AG959^5+WeightSDS!S$25*$AG959^4+WeightSDS!T$25*$AG959^3+WeightSDS!U$25*$AG959^2+WeightSDS!V$25*$AG959+WeightSDS!W$25,WeightSDS!M$27+WeightSDS!N$27/(1+EXP(WeightSDS!O$27+WeightSDS!P$27*$AG959)))),IF($AG959&lt;43.8,WeightSDS!M$29*$AG959^10+WeightSDS!N$29*$AG959^9+WeightSDS!O$29*$AG959^8+WeightSDS!P$29*$AG959^7+WeightSDS!Q$29*$AG959^6+WeightSDS!R$29*$AG959^5+WeightSDS!S$29*$AG959^4+WeightSDS!T$29*$AG959^3+WeightSDS!U$29*$AG959^2+WeightSDS!V$29*$AG959+WeightSDS!W$29-0.010431*(1-$AG959/210),IF($AG959&lt;123,WeightSDS!M$30*$AG959^10+WeightSDS!N$30*$AG959^9+WeightSDS!O$30*$AG959^8+WeightSDS!P$30*$AG959^7+WeightSDS!Q$30*$AG959^6+WeightSDS!R$30*$AG959^5+WeightSDS!S$30*$AG959^4+WeightSDS!T$30*$AG959^3+WeightSDS!U$30*$AG959^2+WeightSDS!V$30*$AG959+WeightSDS!W$30-0.010431*(1-1/$AG959),WeightSDS!M$32+WeightSDS!N$32/(1+EXP(WeightSDS!O$32+WeightSDS!P$32*$AG959))-0.010431*(1-$AG959/210))))</f>
        <v>2.9500001032655536</v>
      </c>
      <c r="AK959" s="24">
        <f>IF(D959="M",IF($AG959&lt;162,WeightSDS!P$12*$AG959^7+WeightSDS!Q$12*$AG959^6+WeightSDS!R$12*$AG959^5+WeightSDS!S$12*$AG959^4+WeightSDS!T$12*$AG959^3+WeightSDS!U$12*$AG959^2+WeightSDS!V$12*$AG959+WeightSDS!W$12,WeightSDS!P$14*$AG959^7+WeightSDS!Q$14*$AG959^6+WeightSDS!R$14*$AG959^5+WeightSDS!S$14*$AG959^4+WeightSDS!T$14*$AG959^3+WeightSDS!U$14*$AG959^2+WeightSDS!V$14*$AG959+WeightSDS!W$14),IF($AG959&lt;156,WeightSDS!O$17*$AG959^8+WeightSDS!P$17*$AG959^7+WeightSDS!Q$17*$AG959^6+WeightSDS!R$17*$AG959^5+WeightSDS!S$17*$AG959^4+WeightSDS!T$17*$AG959^3+WeightSDS!U$17*$AG959^2+WeightSDS!V$17*$AG959+WeightSDS!W$17,IF($AG959&lt;186,WeightSDS!$U$18+(WeightSDS!$V$18-WeightSDS!$U$18)/24*($AG959-186)+WeightSDS!$W$18*(-$AG959+186)^2-0.005,WeightSDS!$U$18+(WeightSDS!$V$18-WeightSDS!$U$18)/24*($AG959-186)-0.005)))</f>
        <v>0.14604529399999999</v>
      </c>
    </row>
    <row r="960" spans="1:37">
      <c r="A960" s="4"/>
      <c r="B960" s="21"/>
      <c r="C960" s="21"/>
      <c r="D960" s="21"/>
      <c r="E960" s="22"/>
      <c r="F960" s="22"/>
      <c r="G960" s="23"/>
      <c r="H960" s="23"/>
      <c r="I960" s="8" t="str">
        <f t="shared" si="226"/>
        <v/>
      </c>
      <c r="J960" s="2" t="str">
        <f t="shared" si="233"/>
        <v/>
      </c>
      <c r="K960" s="2" t="str">
        <f t="shared" si="227"/>
        <v/>
      </c>
      <c r="L960" s="2" t="str">
        <f t="shared" si="234"/>
        <v/>
      </c>
      <c r="M960" s="2" t="str">
        <f t="shared" si="239"/>
        <v/>
      </c>
      <c r="N960" s="2" t="str">
        <f t="shared" si="235"/>
        <v/>
      </c>
      <c r="O960" s="8" t="str">
        <f t="shared" si="236"/>
        <v/>
      </c>
      <c r="P960" s="8" t="str">
        <f t="shared" si="237"/>
        <v/>
      </c>
      <c r="Q960" s="40" t="str">
        <f t="shared" si="228"/>
        <v/>
      </c>
      <c r="R960" s="48" t="str">
        <f t="shared" si="238"/>
        <v/>
      </c>
      <c r="S960" s="8"/>
      <c r="U960" s="35">
        <f t="shared" si="229"/>
        <v>0</v>
      </c>
      <c r="V960" s="24">
        <f t="shared" si="230"/>
        <v>0</v>
      </c>
      <c r="W960" s="41">
        <f t="shared" si="241"/>
        <v>0</v>
      </c>
      <c r="X960" s="31"/>
      <c r="Y960" s="31"/>
      <c r="Z960" s="31"/>
      <c r="AA960" s="25">
        <f t="shared" si="231"/>
        <v>9.0359999999999996</v>
      </c>
      <c r="AB960" s="25">
        <f t="shared" si="232"/>
        <v>-184.49199999999999</v>
      </c>
      <c r="AD960" s="24">
        <f>IF(D960="M",IF(AG960&lt;78,BMILMS!$D$5*AG960^3+BMILMS!$E$5*AG960^2+BMILMS!$F$5*AG960+BMILMS!$G$5,IF(AG960&lt;150,BMILMS!$D$6*AG960^3+BMILMS!$E$6*AG960^2+BMILMS!$F$6*AG960+BMILMS!$G$6,BMILMS!$D$7*AG960^3+BMILMS!$E$7*AG960^2+BMILMS!$F$7*AG960+BMILMS!$G$7)),IF(AG960&lt;69,BMILMS!$D$9*AG960^3+BMILMS!$E$9*AG960^2+BMILMS!$F$9*AG960+BMILMS!$G$9,IF(AG960&lt;150,BMILMS!$D$10*AG960^3+BMILMS!$E$10*AG960^2+BMILMS!$F$10*AG960+BMILMS!$G$10,BMILMS!$D$11*AG960^3+BMILMS!$E$11*AG960^2+BMILMS!$F$11*AG960+BMILMS!$G$11)))</f>
        <v>0.79584630099999998</v>
      </c>
      <c r="AE960" s="24">
        <f>IF(D960="M",(IF(AG960&lt;2.5,BMILMS!$D$21*AG960^3+BMILMS!$E$21*AG960^2+BMILMS!$F$21*AG960+BMILMS!$G$21,IF(AG960&lt;9.5,BMILMS!$D$22*AG960^3+BMILMS!$E$22*AG960^2+BMILMS!$F$22*AG960+BMILMS!$G$22,IF(AG960&lt;26.75,BMILMS!$D$23*AG960^3+BMILMS!$E$23*AG960^2+BMILMS!$F$23*AG960+BMILMS!$G$23,IF(AG960&lt;90,BMILMS!$D$24*AG960^3+BMILMS!$E$24*AG960^2+BMILMS!$F$24*AG960+BMILMS!$G$24,BMILMS!$D$25*AG960^3+BMILMS!$E$25*AG960^2+BMILMS!$F$25*AG960+BMILMS!$G$25))))),(IF(AG960&lt;2.5,BMILMS!$D$27*AG960^3+BMILMS!$E$27*AG960^2+BMILMS!$F$27*AG960+BMILMS!$G$27,IF(AG960&lt;9.5,BMILMS!$D$28*AG960^3+BMILMS!$E$28*AG960^2+BMILMS!$F$28*AG960+BMILMS!$G$28,IF(AG960&lt;26.75,BMILMS!$D$29*AG960^3+BMILMS!$E$29*AG960^2+BMILMS!$F$29*AG960+BMILMS!$G$29,IF(AG960&lt;90,BMILMS!$D$30*AG960^3+BMILMS!$E$30*AG960^2+BMILMS!$F$30*AG960+BMILMS!$G$30,IF(AG960&lt;150,BMILMS!$D$31*AG960^3+BMILMS!$E$31*AG960^2+BMILMS!$F$31*AG960+BMILMS!$G$31,BMILMS!$D$32*AG960^3+BMILMS!$E$32*AG960^2+BMILMS!$F$32*AG960+BMILMS!$G$32)))))))</f>
        <v>12.568967990000001</v>
      </c>
      <c r="AF960" s="24">
        <f>IF(D960="M",(IF(AG960&lt;90,BMILMS!$D$14*AG960^3+BMILMS!$E$14*AG960^2+BMILMS!$F$14*AG960+BMILMS!$G$14,BMILMS!$D$15*AG960^3+BMILMS!$E$15*AG960^2+BMILMS!$F$15*AG960+BMILMS!$G$15)),(IF(AG960&lt;90,BMILMS!$D$17*AG960^3+BMILMS!$E$17*AG960^2+BMILMS!$F$17*AG960+BMILMS!$G$17,BMILMS!$D$18*AG960^3+BMILMS!$E$18*AG960^2+BMILMS!$F$18*AG960+BMILMS!$G$18)))</f>
        <v>8.8969350000000003E-2</v>
      </c>
      <c r="AG960" s="24">
        <f t="shared" si="240"/>
        <v>0</v>
      </c>
      <c r="AI960" s="38">
        <f>IF(D960="M",WeightSDS!P$5*$AG960^7+WeightSDS!Q$5*$AG960^6+WeightSDS!R$5*$AG960^5+WeightSDS!S$5*$AG960^4+WeightSDS!T$5*$AG960^3+WeightSDS!U$5*$AG960^2+WeightSDS!V$5*$AG960+WeightSDS!W$5,IF($AG960&lt;186,WeightSDS!P$8*$AG960^7+WeightSDS!Q$8*$AG960^6+WeightSDS!R$8*$AG960^5+WeightSDS!S$8*$AG960^4+WeightSDS!T$8*$AG960^3+WeightSDS!U$8*$AG960^2+WeightSDS!V$8*$AG960+WeightSDS!W$8,WeightSDS!$U$9-WeightSDS!$V$9*($AG960-WeightSDS!$W$9)))</f>
        <v>0.75407122999999998</v>
      </c>
      <c r="AJ960" s="24">
        <f>IF(D960="M",IF($AG960&lt;45,WeightSDS!M$23*$AG960^10+WeightSDS!N$23*$AG960^9+WeightSDS!O$23*$AG960^8+WeightSDS!P$23*$AG960^7+WeightSDS!Q$23*$AG960^6+WeightSDS!R$23*$AG960^5+WeightSDS!S$23*$AG960^4+WeightSDS!T$23*$AG960^3+WeightSDS!U$23*$AG960^2+WeightSDS!V$23*$AG960+WeightSDS!W$23,IF($AG960&lt;153,WeightSDS!M$25*$AG960^10+WeightSDS!N$25*$AG960^9+WeightSDS!O$25*$AG960^8+WeightSDS!P$25*$AG960^7+WeightSDS!Q$25*$AG960^6+WeightSDS!R$25*$AG960^5+WeightSDS!S$25*$AG960^4+WeightSDS!T$25*$AG960^3+WeightSDS!U$25*$AG960^2+WeightSDS!V$25*$AG960+WeightSDS!W$25,WeightSDS!M$27+WeightSDS!N$27/(1+EXP(WeightSDS!O$27+WeightSDS!P$27*$AG960)))),IF($AG960&lt;43.8,WeightSDS!M$29*$AG960^10+WeightSDS!N$29*$AG960^9+WeightSDS!O$29*$AG960^8+WeightSDS!P$29*$AG960^7+WeightSDS!Q$29*$AG960^6+WeightSDS!R$29*$AG960^5+WeightSDS!S$29*$AG960^4+WeightSDS!T$29*$AG960^3+WeightSDS!U$29*$AG960^2+WeightSDS!V$29*$AG960+WeightSDS!W$29-0.010431*(1-$AG960/210),IF($AG960&lt;123,WeightSDS!M$30*$AG960^10+WeightSDS!N$30*$AG960^9+WeightSDS!O$30*$AG960^8+WeightSDS!P$30*$AG960^7+WeightSDS!Q$30*$AG960^6+WeightSDS!R$30*$AG960^5+WeightSDS!S$30*$AG960^4+WeightSDS!T$30*$AG960^3+WeightSDS!U$30*$AG960^2+WeightSDS!V$30*$AG960+WeightSDS!W$30-0.010431*(1-1/$AG960),WeightSDS!M$32+WeightSDS!N$32/(1+EXP(WeightSDS!O$32+WeightSDS!P$32*$AG960))-0.010431*(1-$AG960/210))))</f>
        <v>2.9500001032655536</v>
      </c>
      <c r="AK960" s="24">
        <f>IF(D960="M",IF($AG960&lt;162,WeightSDS!P$12*$AG960^7+WeightSDS!Q$12*$AG960^6+WeightSDS!R$12*$AG960^5+WeightSDS!S$12*$AG960^4+WeightSDS!T$12*$AG960^3+WeightSDS!U$12*$AG960^2+WeightSDS!V$12*$AG960+WeightSDS!W$12,WeightSDS!P$14*$AG960^7+WeightSDS!Q$14*$AG960^6+WeightSDS!R$14*$AG960^5+WeightSDS!S$14*$AG960^4+WeightSDS!T$14*$AG960^3+WeightSDS!U$14*$AG960^2+WeightSDS!V$14*$AG960+WeightSDS!W$14),IF($AG960&lt;156,WeightSDS!O$17*$AG960^8+WeightSDS!P$17*$AG960^7+WeightSDS!Q$17*$AG960^6+WeightSDS!R$17*$AG960^5+WeightSDS!S$17*$AG960^4+WeightSDS!T$17*$AG960^3+WeightSDS!U$17*$AG960^2+WeightSDS!V$17*$AG960+WeightSDS!W$17,IF($AG960&lt;186,WeightSDS!$U$18+(WeightSDS!$V$18-WeightSDS!$U$18)/24*($AG960-186)+WeightSDS!$W$18*(-$AG960+186)^2-0.005,WeightSDS!$U$18+(WeightSDS!$V$18-WeightSDS!$U$18)/24*($AG960-186)-0.005)))</f>
        <v>0.14604529399999999</v>
      </c>
    </row>
    <row r="961" spans="1:37">
      <c r="A961" s="4"/>
      <c r="B961" s="21"/>
      <c r="C961" s="21"/>
      <c r="D961" s="21"/>
      <c r="E961" s="22"/>
      <c r="F961" s="22"/>
      <c r="G961" s="23"/>
      <c r="H961" s="23"/>
      <c r="I961" s="8" t="str">
        <f t="shared" si="226"/>
        <v/>
      </c>
      <c r="J961" s="2" t="str">
        <f t="shared" si="233"/>
        <v/>
      </c>
      <c r="K961" s="2" t="str">
        <f t="shared" si="227"/>
        <v/>
      </c>
      <c r="L961" s="2" t="str">
        <f t="shared" si="234"/>
        <v/>
      </c>
      <c r="M961" s="2" t="str">
        <f t="shared" si="239"/>
        <v/>
      </c>
      <c r="N961" s="2" t="str">
        <f t="shared" si="235"/>
        <v/>
      </c>
      <c r="O961" s="8" t="str">
        <f t="shared" si="236"/>
        <v/>
      </c>
      <c r="P961" s="8" t="str">
        <f t="shared" si="237"/>
        <v/>
      </c>
      <c r="Q961" s="40" t="str">
        <f t="shared" si="228"/>
        <v/>
      </c>
      <c r="R961" s="48" t="str">
        <f t="shared" si="238"/>
        <v/>
      </c>
      <c r="S961" s="8"/>
      <c r="U961" s="35">
        <f t="shared" si="229"/>
        <v>0</v>
      </c>
      <c r="V961" s="24">
        <f t="shared" si="230"/>
        <v>0</v>
      </c>
      <c r="W961" s="41">
        <f t="shared" si="241"/>
        <v>0</v>
      </c>
      <c r="X961" s="31"/>
      <c r="Y961" s="31"/>
      <c r="Z961" s="31"/>
      <c r="AA961" s="25">
        <f t="shared" si="231"/>
        <v>9.0359999999999996</v>
      </c>
      <c r="AB961" s="25">
        <f t="shared" si="232"/>
        <v>-184.49199999999999</v>
      </c>
      <c r="AD961" s="24">
        <f>IF(D961="M",IF(AG961&lt;78,BMILMS!$D$5*AG961^3+BMILMS!$E$5*AG961^2+BMILMS!$F$5*AG961+BMILMS!$G$5,IF(AG961&lt;150,BMILMS!$D$6*AG961^3+BMILMS!$E$6*AG961^2+BMILMS!$F$6*AG961+BMILMS!$G$6,BMILMS!$D$7*AG961^3+BMILMS!$E$7*AG961^2+BMILMS!$F$7*AG961+BMILMS!$G$7)),IF(AG961&lt;69,BMILMS!$D$9*AG961^3+BMILMS!$E$9*AG961^2+BMILMS!$F$9*AG961+BMILMS!$G$9,IF(AG961&lt;150,BMILMS!$D$10*AG961^3+BMILMS!$E$10*AG961^2+BMILMS!$F$10*AG961+BMILMS!$G$10,BMILMS!$D$11*AG961^3+BMILMS!$E$11*AG961^2+BMILMS!$F$11*AG961+BMILMS!$G$11)))</f>
        <v>0.79584630099999998</v>
      </c>
      <c r="AE961" s="24">
        <f>IF(D961="M",(IF(AG961&lt;2.5,BMILMS!$D$21*AG961^3+BMILMS!$E$21*AG961^2+BMILMS!$F$21*AG961+BMILMS!$G$21,IF(AG961&lt;9.5,BMILMS!$D$22*AG961^3+BMILMS!$E$22*AG961^2+BMILMS!$F$22*AG961+BMILMS!$G$22,IF(AG961&lt;26.75,BMILMS!$D$23*AG961^3+BMILMS!$E$23*AG961^2+BMILMS!$F$23*AG961+BMILMS!$G$23,IF(AG961&lt;90,BMILMS!$D$24*AG961^3+BMILMS!$E$24*AG961^2+BMILMS!$F$24*AG961+BMILMS!$G$24,BMILMS!$D$25*AG961^3+BMILMS!$E$25*AG961^2+BMILMS!$F$25*AG961+BMILMS!$G$25))))),(IF(AG961&lt;2.5,BMILMS!$D$27*AG961^3+BMILMS!$E$27*AG961^2+BMILMS!$F$27*AG961+BMILMS!$G$27,IF(AG961&lt;9.5,BMILMS!$D$28*AG961^3+BMILMS!$E$28*AG961^2+BMILMS!$F$28*AG961+BMILMS!$G$28,IF(AG961&lt;26.75,BMILMS!$D$29*AG961^3+BMILMS!$E$29*AG961^2+BMILMS!$F$29*AG961+BMILMS!$G$29,IF(AG961&lt;90,BMILMS!$D$30*AG961^3+BMILMS!$E$30*AG961^2+BMILMS!$F$30*AG961+BMILMS!$G$30,IF(AG961&lt;150,BMILMS!$D$31*AG961^3+BMILMS!$E$31*AG961^2+BMILMS!$F$31*AG961+BMILMS!$G$31,BMILMS!$D$32*AG961^3+BMILMS!$E$32*AG961^2+BMILMS!$F$32*AG961+BMILMS!$G$32)))))))</f>
        <v>12.568967990000001</v>
      </c>
      <c r="AF961" s="24">
        <f>IF(D961="M",(IF(AG961&lt;90,BMILMS!$D$14*AG961^3+BMILMS!$E$14*AG961^2+BMILMS!$F$14*AG961+BMILMS!$G$14,BMILMS!$D$15*AG961^3+BMILMS!$E$15*AG961^2+BMILMS!$F$15*AG961+BMILMS!$G$15)),(IF(AG961&lt;90,BMILMS!$D$17*AG961^3+BMILMS!$E$17*AG961^2+BMILMS!$F$17*AG961+BMILMS!$G$17,BMILMS!$D$18*AG961^3+BMILMS!$E$18*AG961^2+BMILMS!$F$18*AG961+BMILMS!$G$18)))</f>
        <v>8.8969350000000003E-2</v>
      </c>
      <c r="AG961" s="24">
        <f t="shared" si="240"/>
        <v>0</v>
      </c>
      <c r="AI961" s="38">
        <f>IF(D961="M",WeightSDS!P$5*$AG961^7+WeightSDS!Q$5*$AG961^6+WeightSDS!R$5*$AG961^5+WeightSDS!S$5*$AG961^4+WeightSDS!T$5*$AG961^3+WeightSDS!U$5*$AG961^2+WeightSDS!V$5*$AG961+WeightSDS!W$5,IF($AG961&lt;186,WeightSDS!P$8*$AG961^7+WeightSDS!Q$8*$AG961^6+WeightSDS!R$8*$AG961^5+WeightSDS!S$8*$AG961^4+WeightSDS!T$8*$AG961^3+WeightSDS!U$8*$AG961^2+WeightSDS!V$8*$AG961+WeightSDS!W$8,WeightSDS!$U$9-WeightSDS!$V$9*($AG961-WeightSDS!$W$9)))</f>
        <v>0.75407122999999998</v>
      </c>
      <c r="AJ961" s="24">
        <f>IF(D961="M",IF($AG961&lt;45,WeightSDS!M$23*$AG961^10+WeightSDS!N$23*$AG961^9+WeightSDS!O$23*$AG961^8+WeightSDS!P$23*$AG961^7+WeightSDS!Q$23*$AG961^6+WeightSDS!R$23*$AG961^5+WeightSDS!S$23*$AG961^4+WeightSDS!T$23*$AG961^3+WeightSDS!U$23*$AG961^2+WeightSDS!V$23*$AG961+WeightSDS!W$23,IF($AG961&lt;153,WeightSDS!M$25*$AG961^10+WeightSDS!N$25*$AG961^9+WeightSDS!O$25*$AG961^8+WeightSDS!P$25*$AG961^7+WeightSDS!Q$25*$AG961^6+WeightSDS!R$25*$AG961^5+WeightSDS!S$25*$AG961^4+WeightSDS!T$25*$AG961^3+WeightSDS!U$25*$AG961^2+WeightSDS!V$25*$AG961+WeightSDS!W$25,WeightSDS!M$27+WeightSDS!N$27/(1+EXP(WeightSDS!O$27+WeightSDS!P$27*$AG961)))),IF($AG961&lt;43.8,WeightSDS!M$29*$AG961^10+WeightSDS!N$29*$AG961^9+WeightSDS!O$29*$AG961^8+WeightSDS!P$29*$AG961^7+WeightSDS!Q$29*$AG961^6+WeightSDS!R$29*$AG961^5+WeightSDS!S$29*$AG961^4+WeightSDS!T$29*$AG961^3+WeightSDS!U$29*$AG961^2+WeightSDS!V$29*$AG961+WeightSDS!W$29-0.010431*(1-$AG961/210),IF($AG961&lt;123,WeightSDS!M$30*$AG961^10+WeightSDS!N$30*$AG961^9+WeightSDS!O$30*$AG961^8+WeightSDS!P$30*$AG961^7+WeightSDS!Q$30*$AG961^6+WeightSDS!R$30*$AG961^5+WeightSDS!S$30*$AG961^4+WeightSDS!T$30*$AG961^3+WeightSDS!U$30*$AG961^2+WeightSDS!V$30*$AG961+WeightSDS!W$30-0.010431*(1-1/$AG961),WeightSDS!M$32+WeightSDS!N$32/(1+EXP(WeightSDS!O$32+WeightSDS!P$32*$AG961))-0.010431*(1-$AG961/210))))</f>
        <v>2.9500001032655536</v>
      </c>
      <c r="AK961" s="24">
        <f>IF(D961="M",IF($AG961&lt;162,WeightSDS!P$12*$AG961^7+WeightSDS!Q$12*$AG961^6+WeightSDS!R$12*$AG961^5+WeightSDS!S$12*$AG961^4+WeightSDS!T$12*$AG961^3+WeightSDS!U$12*$AG961^2+WeightSDS!V$12*$AG961+WeightSDS!W$12,WeightSDS!P$14*$AG961^7+WeightSDS!Q$14*$AG961^6+WeightSDS!R$14*$AG961^5+WeightSDS!S$14*$AG961^4+WeightSDS!T$14*$AG961^3+WeightSDS!U$14*$AG961^2+WeightSDS!V$14*$AG961+WeightSDS!W$14),IF($AG961&lt;156,WeightSDS!O$17*$AG961^8+WeightSDS!P$17*$AG961^7+WeightSDS!Q$17*$AG961^6+WeightSDS!R$17*$AG961^5+WeightSDS!S$17*$AG961^4+WeightSDS!T$17*$AG961^3+WeightSDS!U$17*$AG961^2+WeightSDS!V$17*$AG961+WeightSDS!W$17,IF($AG961&lt;186,WeightSDS!$U$18+(WeightSDS!$V$18-WeightSDS!$U$18)/24*($AG961-186)+WeightSDS!$W$18*(-$AG961+186)^2-0.005,WeightSDS!$U$18+(WeightSDS!$V$18-WeightSDS!$U$18)/24*($AG961-186)-0.005)))</f>
        <v>0.14604529399999999</v>
      </c>
    </row>
    <row r="962" spans="1:37">
      <c r="A962" s="4"/>
      <c r="B962" s="21"/>
      <c r="C962" s="21"/>
      <c r="D962" s="21"/>
      <c r="E962" s="22"/>
      <c r="F962" s="22"/>
      <c r="G962" s="23"/>
      <c r="H962" s="23"/>
      <c r="I962" s="8" t="str">
        <f t="shared" si="226"/>
        <v/>
      </c>
      <c r="J962" s="2" t="str">
        <f t="shared" si="233"/>
        <v/>
      </c>
      <c r="K962" s="2" t="str">
        <f t="shared" si="227"/>
        <v/>
      </c>
      <c r="L962" s="2" t="str">
        <f t="shared" si="234"/>
        <v/>
      </c>
      <c r="M962" s="2" t="str">
        <f t="shared" si="239"/>
        <v/>
      </c>
      <c r="N962" s="2" t="str">
        <f t="shared" si="235"/>
        <v/>
      </c>
      <c r="O962" s="8" t="str">
        <f t="shared" si="236"/>
        <v/>
      </c>
      <c r="P962" s="8" t="str">
        <f t="shared" si="237"/>
        <v/>
      </c>
      <c r="Q962" s="40" t="str">
        <f t="shared" si="228"/>
        <v/>
      </c>
      <c r="R962" s="48" t="str">
        <f t="shared" si="238"/>
        <v/>
      </c>
      <c r="S962" s="8"/>
      <c r="U962" s="35">
        <f t="shared" si="229"/>
        <v>0</v>
      </c>
      <c r="V962" s="24">
        <f t="shared" si="230"/>
        <v>0</v>
      </c>
      <c r="W962" s="41">
        <f t="shared" si="241"/>
        <v>0</v>
      </c>
      <c r="X962" s="31"/>
      <c r="Y962" s="31"/>
      <c r="Z962" s="31"/>
      <c r="AA962" s="25">
        <f t="shared" si="231"/>
        <v>9.0359999999999996</v>
      </c>
      <c r="AB962" s="25">
        <f t="shared" si="232"/>
        <v>-184.49199999999999</v>
      </c>
      <c r="AD962" s="24">
        <f>IF(D962="M",IF(AG962&lt;78,BMILMS!$D$5*AG962^3+BMILMS!$E$5*AG962^2+BMILMS!$F$5*AG962+BMILMS!$G$5,IF(AG962&lt;150,BMILMS!$D$6*AG962^3+BMILMS!$E$6*AG962^2+BMILMS!$F$6*AG962+BMILMS!$G$6,BMILMS!$D$7*AG962^3+BMILMS!$E$7*AG962^2+BMILMS!$F$7*AG962+BMILMS!$G$7)),IF(AG962&lt;69,BMILMS!$D$9*AG962^3+BMILMS!$E$9*AG962^2+BMILMS!$F$9*AG962+BMILMS!$G$9,IF(AG962&lt;150,BMILMS!$D$10*AG962^3+BMILMS!$E$10*AG962^2+BMILMS!$F$10*AG962+BMILMS!$G$10,BMILMS!$D$11*AG962^3+BMILMS!$E$11*AG962^2+BMILMS!$F$11*AG962+BMILMS!$G$11)))</f>
        <v>0.79584630099999998</v>
      </c>
      <c r="AE962" s="24">
        <f>IF(D962="M",(IF(AG962&lt;2.5,BMILMS!$D$21*AG962^3+BMILMS!$E$21*AG962^2+BMILMS!$F$21*AG962+BMILMS!$G$21,IF(AG962&lt;9.5,BMILMS!$D$22*AG962^3+BMILMS!$E$22*AG962^2+BMILMS!$F$22*AG962+BMILMS!$G$22,IF(AG962&lt;26.75,BMILMS!$D$23*AG962^3+BMILMS!$E$23*AG962^2+BMILMS!$F$23*AG962+BMILMS!$G$23,IF(AG962&lt;90,BMILMS!$D$24*AG962^3+BMILMS!$E$24*AG962^2+BMILMS!$F$24*AG962+BMILMS!$G$24,BMILMS!$D$25*AG962^3+BMILMS!$E$25*AG962^2+BMILMS!$F$25*AG962+BMILMS!$G$25))))),(IF(AG962&lt;2.5,BMILMS!$D$27*AG962^3+BMILMS!$E$27*AG962^2+BMILMS!$F$27*AG962+BMILMS!$G$27,IF(AG962&lt;9.5,BMILMS!$D$28*AG962^3+BMILMS!$E$28*AG962^2+BMILMS!$F$28*AG962+BMILMS!$G$28,IF(AG962&lt;26.75,BMILMS!$D$29*AG962^3+BMILMS!$E$29*AG962^2+BMILMS!$F$29*AG962+BMILMS!$G$29,IF(AG962&lt;90,BMILMS!$D$30*AG962^3+BMILMS!$E$30*AG962^2+BMILMS!$F$30*AG962+BMILMS!$G$30,IF(AG962&lt;150,BMILMS!$D$31*AG962^3+BMILMS!$E$31*AG962^2+BMILMS!$F$31*AG962+BMILMS!$G$31,BMILMS!$D$32*AG962^3+BMILMS!$E$32*AG962^2+BMILMS!$F$32*AG962+BMILMS!$G$32)))))))</f>
        <v>12.568967990000001</v>
      </c>
      <c r="AF962" s="24">
        <f>IF(D962="M",(IF(AG962&lt;90,BMILMS!$D$14*AG962^3+BMILMS!$E$14*AG962^2+BMILMS!$F$14*AG962+BMILMS!$G$14,BMILMS!$D$15*AG962^3+BMILMS!$E$15*AG962^2+BMILMS!$F$15*AG962+BMILMS!$G$15)),(IF(AG962&lt;90,BMILMS!$D$17*AG962^3+BMILMS!$E$17*AG962^2+BMILMS!$F$17*AG962+BMILMS!$G$17,BMILMS!$D$18*AG962^3+BMILMS!$E$18*AG962^2+BMILMS!$F$18*AG962+BMILMS!$G$18)))</f>
        <v>8.8969350000000003E-2</v>
      </c>
      <c r="AG962" s="24">
        <f t="shared" si="240"/>
        <v>0</v>
      </c>
      <c r="AI962" s="38">
        <f>IF(D962="M",WeightSDS!P$5*$AG962^7+WeightSDS!Q$5*$AG962^6+WeightSDS!R$5*$AG962^5+WeightSDS!S$5*$AG962^4+WeightSDS!T$5*$AG962^3+WeightSDS!U$5*$AG962^2+WeightSDS!V$5*$AG962+WeightSDS!W$5,IF($AG962&lt;186,WeightSDS!P$8*$AG962^7+WeightSDS!Q$8*$AG962^6+WeightSDS!R$8*$AG962^5+WeightSDS!S$8*$AG962^4+WeightSDS!T$8*$AG962^3+WeightSDS!U$8*$AG962^2+WeightSDS!V$8*$AG962+WeightSDS!W$8,WeightSDS!$U$9-WeightSDS!$V$9*($AG962-WeightSDS!$W$9)))</f>
        <v>0.75407122999999998</v>
      </c>
      <c r="AJ962" s="24">
        <f>IF(D962="M",IF($AG962&lt;45,WeightSDS!M$23*$AG962^10+WeightSDS!N$23*$AG962^9+WeightSDS!O$23*$AG962^8+WeightSDS!P$23*$AG962^7+WeightSDS!Q$23*$AG962^6+WeightSDS!R$23*$AG962^5+WeightSDS!S$23*$AG962^4+WeightSDS!T$23*$AG962^3+WeightSDS!U$23*$AG962^2+WeightSDS!V$23*$AG962+WeightSDS!W$23,IF($AG962&lt;153,WeightSDS!M$25*$AG962^10+WeightSDS!N$25*$AG962^9+WeightSDS!O$25*$AG962^8+WeightSDS!P$25*$AG962^7+WeightSDS!Q$25*$AG962^6+WeightSDS!R$25*$AG962^5+WeightSDS!S$25*$AG962^4+WeightSDS!T$25*$AG962^3+WeightSDS!U$25*$AG962^2+WeightSDS!V$25*$AG962+WeightSDS!W$25,WeightSDS!M$27+WeightSDS!N$27/(1+EXP(WeightSDS!O$27+WeightSDS!P$27*$AG962)))),IF($AG962&lt;43.8,WeightSDS!M$29*$AG962^10+WeightSDS!N$29*$AG962^9+WeightSDS!O$29*$AG962^8+WeightSDS!P$29*$AG962^7+WeightSDS!Q$29*$AG962^6+WeightSDS!R$29*$AG962^5+WeightSDS!S$29*$AG962^4+WeightSDS!T$29*$AG962^3+WeightSDS!U$29*$AG962^2+WeightSDS!V$29*$AG962+WeightSDS!W$29-0.010431*(1-$AG962/210),IF($AG962&lt;123,WeightSDS!M$30*$AG962^10+WeightSDS!N$30*$AG962^9+WeightSDS!O$30*$AG962^8+WeightSDS!P$30*$AG962^7+WeightSDS!Q$30*$AG962^6+WeightSDS!R$30*$AG962^5+WeightSDS!S$30*$AG962^4+WeightSDS!T$30*$AG962^3+WeightSDS!U$30*$AG962^2+WeightSDS!V$30*$AG962+WeightSDS!W$30-0.010431*(1-1/$AG962),WeightSDS!M$32+WeightSDS!N$32/(1+EXP(WeightSDS!O$32+WeightSDS!P$32*$AG962))-0.010431*(1-$AG962/210))))</f>
        <v>2.9500001032655536</v>
      </c>
      <c r="AK962" s="24">
        <f>IF(D962="M",IF($AG962&lt;162,WeightSDS!P$12*$AG962^7+WeightSDS!Q$12*$AG962^6+WeightSDS!R$12*$AG962^5+WeightSDS!S$12*$AG962^4+WeightSDS!T$12*$AG962^3+WeightSDS!U$12*$AG962^2+WeightSDS!V$12*$AG962+WeightSDS!W$12,WeightSDS!P$14*$AG962^7+WeightSDS!Q$14*$AG962^6+WeightSDS!R$14*$AG962^5+WeightSDS!S$14*$AG962^4+WeightSDS!T$14*$AG962^3+WeightSDS!U$14*$AG962^2+WeightSDS!V$14*$AG962+WeightSDS!W$14),IF($AG962&lt;156,WeightSDS!O$17*$AG962^8+WeightSDS!P$17*$AG962^7+WeightSDS!Q$17*$AG962^6+WeightSDS!R$17*$AG962^5+WeightSDS!S$17*$AG962^4+WeightSDS!T$17*$AG962^3+WeightSDS!U$17*$AG962^2+WeightSDS!V$17*$AG962+WeightSDS!W$17,IF($AG962&lt;186,WeightSDS!$U$18+(WeightSDS!$V$18-WeightSDS!$U$18)/24*($AG962-186)+WeightSDS!$W$18*(-$AG962+186)^2-0.005,WeightSDS!$U$18+(WeightSDS!$V$18-WeightSDS!$U$18)/24*($AG962-186)-0.005)))</f>
        <v>0.14604529399999999</v>
      </c>
    </row>
    <row r="963" spans="1:37">
      <c r="A963" s="4"/>
      <c r="B963" s="21"/>
      <c r="C963" s="21"/>
      <c r="D963" s="21"/>
      <c r="E963" s="22"/>
      <c r="F963" s="22"/>
      <c r="G963" s="23"/>
      <c r="H963" s="23"/>
      <c r="I963" s="8" t="str">
        <f t="shared" ref="I963:I1002" si="242">IF(COUNTA(D963,E963,F963,G963,H963)=5,IF(Q963&gt;17.583,"       *",(G963-(INDEX(IF(D963="F",Hfemalemean,Hmalemean),V963+1,U963+1)))/(INDEX(IF(D963="F",Hfemalesd,Hmalesd),V963+1,U963+1))),"")</f>
        <v/>
      </c>
      <c r="J963" s="2" t="str">
        <f t="shared" si="233"/>
        <v/>
      </c>
      <c r="K963" s="2" t="str">
        <f t="shared" ref="K963:K1002" si="243">IF(COUNTA(D963,E963,F963,G963,H963)&lt;5,"",IF(Q963&lt;6,"       *",IF(Q963&gt;=17.583,"       *",(H963-G963*INDEX(IF(D963="F",muratafemale,muratamale),U963-4,1)-INDEX(IF(D963="F",muratafemale,muratamale),U963-4,2))/(G963*INDEX(IF(D963="F",muratafemale,muratamale),U963-4,1)+INDEX(IF(D963="F",muratafemale,muratamale),U963-4,2))*100)))</f>
        <v/>
      </c>
      <c r="L963" s="2" t="str">
        <f t="shared" si="234"/>
        <v/>
      </c>
      <c r="M963" s="2" t="str">
        <f t="shared" si="239"/>
        <v/>
      </c>
      <c r="N963" s="2" t="str">
        <f t="shared" si="235"/>
        <v/>
      </c>
      <c r="O963" s="8" t="str">
        <f t="shared" si="236"/>
        <v/>
      </c>
      <c r="P963" s="8" t="str">
        <f t="shared" si="237"/>
        <v/>
      </c>
      <c r="Q963" s="40" t="str">
        <f t="shared" ref="Q963:Q1002" si="244">IF(COUNTA(D963,E963,F963,G963,H963)=5,W963,"")</f>
        <v/>
      </c>
      <c r="R963" s="48" t="str">
        <f t="shared" si="238"/>
        <v/>
      </c>
      <c r="S963" s="8"/>
      <c r="U963" s="35">
        <f t="shared" si="229"/>
        <v>0</v>
      </c>
      <c r="V963" s="24">
        <f t="shared" si="230"/>
        <v>0</v>
      </c>
      <c r="W963" s="41">
        <f t="shared" si="241"/>
        <v>0</v>
      </c>
      <c r="X963" s="31"/>
      <c r="Y963" s="31"/>
      <c r="Z963" s="31"/>
      <c r="AA963" s="25">
        <f t="shared" ref="AA963:AA998" si="245">IF(D963="M",2.06*10^-3*G963^2-0.1166*G963+6.5273,2.49*10^-3*G963^2-0.1858*G963+9.036)</f>
        <v>9.0359999999999996</v>
      </c>
      <c r="AB963" s="25">
        <f t="shared" ref="AB963:AB998" si="246">((G963/100)^3*INDEX(itoOI,IF(D963="M",0,3)+IF(G963&lt;140,1,IF(G963&lt;=149,2,3)),1)+(G963/100)^2*INDEX(itoOI,IF(D963="M",0,3)+IF(G963&lt;140,1,IF(G963&lt;=149,2,3)),2)+(G963/100)*INDEX(itoOI,IF(D963="M",0,3)+IF(G963&lt;140,1,IF(G963&lt;=149,2,3)),3)+INDEX(itoOI,IF(D963="M",0,3)+IF(G963&lt;140,1,IF(G963&lt;=149,2,3)),4))</f>
        <v>-184.49199999999999</v>
      </c>
      <c r="AD963" s="24">
        <f>IF(D963="M",IF(AG963&lt;78,BMILMS!$D$5*AG963^3+BMILMS!$E$5*AG963^2+BMILMS!$F$5*AG963+BMILMS!$G$5,IF(AG963&lt;150,BMILMS!$D$6*AG963^3+BMILMS!$E$6*AG963^2+BMILMS!$F$6*AG963+BMILMS!$G$6,BMILMS!$D$7*AG963^3+BMILMS!$E$7*AG963^2+BMILMS!$F$7*AG963+BMILMS!$G$7)),IF(AG963&lt;69,BMILMS!$D$9*AG963^3+BMILMS!$E$9*AG963^2+BMILMS!$F$9*AG963+BMILMS!$G$9,IF(AG963&lt;150,BMILMS!$D$10*AG963^3+BMILMS!$E$10*AG963^2+BMILMS!$F$10*AG963+BMILMS!$G$10,BMILMS!$D$11*AG963^3+BMILMS!$E$11*AG963^2+BMILMS!$F$11*AG963+BMILMS!$G$11)))</f>
        <v>0.79584630099999998</v>
      </c>
      <c r="AE963" s="24">
        <f>IF(D963="M",(IF(AG963&lt;2.5,BMILMS!$D$21*AG963^3+BMILMS!$E$21*AG963^2+BMILMS!$F$21*AG963+BMILMS!$G$21,IF(AG963&lt;9.5,BMILMS!$D$22*AG963^3+BMILMS!$E$22*AG963^2+BMILMS!$F$22*AG963+BMILMS!$G$22,IF(AG963&lt;26.75,BMILMS!$D$23*AG963^3+BMILMS!$E$23*AG963^2+BMILMS!$F$23*AG963+BMILMS!$G$23,IF(AG963&lt;90,BMILMS!$D$24*AG963^3+BMILMS!$E$24*AG963^2+BMILMS!$F$24*AG963+BMILMS!$G$24,BMILMS!$D$25*AG963^3+BMILMS!$E$25*AG963^2+BMILMS!$F$25*AG963+BMILMS!$G$25))))),(IF(AG963&lt;2.5,BMILMS!$D$27*AG963^3+BMILMS!$E$27*AG963^2+BMILMS!$F$27*AG963+BMILMS!$G$27,IF(AG963&lt;9.5,BMILMS!$D$28*AG963^3+BMILMS!$E$28*AG963^2+BMILMS!$F$28*AG963+BMILMS!$G$28,IF(AG963&lt;26.75,BMILMS!$D$29*AG963^3+BMILMS!$E$29*AG963^2+BMILMS!$F$29*AG963+BMILMS!$G$29,IF(AG963&lt;90,BMILMS!$D$30*AG963^3+BMILMS!$E$30*AG963^2+BMILMS!$F$30*AG963+BMILMS!$G$30,IF(AG963&lt;150,BMILMS!$D$31*AG963^3+BMILMS!$E$31*AG963^2+BMILMS!$F$31*AG963+BMILMS!$G$31,BMILMS!$D$32*AG963^3+BMILMS!$E$32*AG963^2+BMILMS!$F$32*AG963+BMILMS!$G$32)))))))</f>
        <v>12.568967990000001</v>
      </c>
      <c r="AF963" s="24">
        <f>IF(D963="M",(IF(AG963&lt;90,BMILMS!$D$14*AG963^3+BMILMS!$E$14*AG963^2+BMILMS!$F$14*AG963+BMILMS!$G$14,BMILMS!$D$15*AG963^3+BMILMS!$E$15*AG963^2+BMILMS!$F$15*AG963+BMILMS!$G$15)),(IF(AG963&lt;90,BMILMS!$D$17*AG963^3+BMILMS!$E$17*AG963^2+BMILMS!$F$17*AG963+BMILMS!$G$17,BMILMS!$D$18*AG963^3+BMILMS!$E$18*AG963^2+BMILMS!$F$18*AG963+BMILMS!$G$18)))</f>
        <v>8.8969350000000003E-2</v>
      </c>
      <c r="AG963" s="24">
        <f t="shared" si="240"/>
        <v>0</v>
      </c>
      <c r="AI963" s="38">
        <f>IF(D963="M",WeightSDS!P$5*$AG963^7+WeightSDS!Q$5*$AG963^6+WeightSDS!R$5*$AG963^5+WeightSDS!S$5*$AG963^4+WeightSDS!T$5*$AG963^3+WeightSDS!U$5*$AG963^2+WeightSDS!V$5*$AG963+WeightSDS!W$5,IF($AG963&lt;186,WeightSDS!P$8*$AG963^7+WeightSDS!Q$8*$AG963^6+WeightSDS!R$8*$AG963^5+WeightSDS!S$8*$AG963^4+WeightSDS!T$8*$AG963^3+WeightSDS!U$8*$AG963^2+WeightSDS!V$8*$AG963+WeightSDS!W$8,WeightSDS!$U$9-WeightSDS!$V$9*($AG963-WeightSDS!$W$9)))</f>
        <v>0.75407122999999998</v>
      </c>
      <c r="AJ963" s="24">
        <f>IF(D963="M",IF($AG963&lt;45,WeightSDS!M$23*$AG963^10+WeightSDS!N$23*$AG963^9+WeightSDS!O$23*$AG963^8+WeightSDS!P$23*$AG963^7+WeightSDS!Q$23*$AG963^6+WeightSDS!R$23*$AG963^5+WeightSDS!S$23*$AG963^4+WeightSDS!T$23*$AG963^3+WeightSDS!U$23*$AG963^2+WeightSDS!V$23*$AG963+WeightSDS!W$23,IF($AG963&lt;153,WeightSDS!M$25*$AG963^10+WeightSDS!N$25*$AG963^9+WeightSDS!O$25*$AG963^8+WeightSDS!P$25*$AG963^7+WeightSDS!Q$25*$AG963^6+WeightSDS!R$25*$AG963^5+WeightSDS!S$25*$AG963^4+WeightSDS!T$25*$AG963^3+WeightSDS!U$25*$AG963^2+WeightSDS!V$25*$AG963+WeightSDS!W$25,WeightSDS!M$27+WeightSDS!N$27/(1+EXP(WeightSDS!O$27+WeightSDS!P$27*$AG963)))),IF($AG963&lt;43.8,WeightSDS!M$29*$AG963^10+WeightSDS!N$29*$AG963^9+WeightSDS!O$29*$AG963^8+WeightSDS!P$29*$AG963^7+WeightSDS!Q$29*$AG963^6+WeightSDS!R$29*$AG963^5+WeightSDS!S$29*$AG963^4+WeightSDS!T$29*$AG963^3+WeightSDS!U$29*$AG963^2+WeightSDS!V$29*$AG963+WeightSDS!W$29-0.010431*(1-$AG963/210),IF($AG963&lt;123,WeightSDS!M$30*$AG963^10+WeightSDS!N$30*$AG963^9+WeightSDS!O$30*$AG963^8+WeightSDS!P$30*$AG963^7+WeightSDS!Q$30*$AG963^6+WeightSDS!R$30*$AG963^5+WeightSDS!S$30*$AG963^4+WeightSDS!T$30*$AG963^3+WeightSDS!U$30*$AG963^2+WeightSDS!V$30*$AG963+WeightSDS!W$30-0.010431*(1-1/$AG963),WeightSDS!M$32+WeightSDS!N$32/(1+EXP(WeightSDS!O$32+WeightSDS!P$32*$AG963))-0.010431*(1-$AG963/210))))</f>
        <v>2.9500001032655536</v>
      </c>
      <c r="AK963" s="24">
        <f>IF(D963="M",IF($AG963&lt;162,WeightSDS!P$12*$AG963^7+WeightSDS!Q$12*$AG963^6+WeightSDS!R$12*$AG963^5+WeightSDS!S$12*$AG963^4+WeightSDS!T$12*$AG963^3+WeightSDS!U$12*$AG963^2+WeightSDS!V$12*$AG963+WeightSDS!W$12,WeightSDS!P$14*$AG963^7+WeightSDS!Q$14*$AG963^6+WeightSDS!R$14*$AG963^5+WeightSDS!S$14*$AG963^4+WeightSDS!T$14*$AG963^3+WeightSDS!U$14*$AG963^2+WeightSDS!V$14*$AG963+WeightSDS!W$14),IF($AG963&lt;156,WeightSDS!O$17*$AG963^8+WeightSDS!P$17*$AG963^7+WeightSDS!Q$17*$AG963^6+WeightSDS!R$17*$AG963^5+WeightSDS!S$17*$AG963^4+WeightSDS!T$17*$AG963^3+WeightSDS!U$17*$AG963^2+WeightSDS!V$17*$AG963+WeightSDS!W$17,IF($AG963&lt;186,WeightSDS!$U$18+(WeightSDS!$V$18-WeightSDS!$U$18)/24*($AG963-186)+WeightSDS!$W$18*(-$AG963+186)^2-0.005,WeightSDS!$U$18+(WeightSDS!$V$18-WeightSDS!$U$18)/24*($AG963-186)-0.005)))</f>
        <v>0.14604529399999999</v>
      </c>
    </row>
    <row r="964" spans="1:37">
      <c r="A964" s="4"/>
      <c r="B964" s="21"/>
      <c r="C964" s="21"/>
      <c r="D964" s="21"/>
      <c r="E964" s="22"/>
      <c r="F964" s="22"/>
      <c r="G964" s="23"/>
      <c r="H964" s="23"/>
      <c r="I964" s="8" t="str">
        <f t="shared" si="242"/>
        <v/>
      </c>
      <c r="J964" s="2" t="str">
        <f t="shared" ref="J964:J1002" si="247">IF(COUNTA(D964,E964,F964,G964,H964)=5,IF(Q964&lt;1,"       *",IF(Q964&gt;=6,"       *",IF(G964&gt;=120,"       *",IF(G964&lt;70,"       *",(H964-AA964)/AA964*100)))),"")</f>
        <v/>
      </c>
      <c r="K964" s="2" t="str">
        <f t="shared" si="243"/>
        <v/>
      </c>
      <c r="L964" s="2" t="str">
        <f t="shared" ref="L964:L1002" si="248">IF(COUNTA(D964,E964,F964,G964,H964)=5,IF(G964&gt;=IF(D964="M",181,174),"*",IF(G964&lt;101,"       *",IF(Q964&lt;6,"       *",IF(Q964&gt;=17.583,"*",(H964-AB964)/AB964*100)))),"")</f>
        <v/>
      </c>
      <c r="M964" s="2" t="str">
        <f t="shared" si="239"/>
        <v/>
      </c>
      <c r="N964" s="2" t="str">
        <f t="shared" ref="N964:N1002" si="249">IF(COUNTA(D964,E964,F964,G964,H964)=5,IF(Q964&gt;17.583,"   *",NORMSDIST(((M964/AE964)^(AD964)-1)/AD964/AF964)*100),"")</f>
        <v/>
      </c>
      <c r="O964" s="8" t="str">
        <f t="shared" ref="O964:O1002" si="250">IF(COUNTA(D964,E964,F964,G964,H964)=5,IF(Q964&gt;17.583,"   *",((M964/AE964)^(AD964)-1)/AD964/AF964),"")</f>
        <v/>
      </c>
      <c r="P964" s="8" t="str">
        <f t="shared" ref="P964:P1002" si="251">IF(COUNTA(D964,E964,F964,G964,H964)=5,IF(Q964&gt;17.583,"   *",((H964/AJ964)^(AI964)-1)/AI964/AK964),"")</f>
        <v/>
      </c>
      <c r="Q964" s="40" t="str">
        <f t="shared" si="244"/>
        <v/>
      </c>
      <c r="R964" s="48" t="str">
        <f t="shared" ref="R964:R1002" si="252">IF(COUNTA(D964,E964,F964,G964,H964)=5,U964&amp;"歳"&amp;V964&amp;"か月","")</f>
        <v/>
      </c>
      <c r="S964" s="8"/>
      <c r="U964" s="35">
        <f t="shared" ref="U964:U1002" si="253">DATEDIF(E964,F964,"Y")</f>
        <v>0</v>
      </c>
      <c r="V964" s="24">
        <f t="shared" si="230"/>
        <v>0</v>
      </c>
      <c r="W964" s="41">
        <f t="shared" si="241"/>
        <v>0</v>
      </c>
      <c r="X964" s="31"/>
      <c r="Y964" s="31"/>
      <c r="Z964" s="31"/>
      <c r="AA964" s="25">
        <f t="shared" si="245"/>
        <v>9.0359999999999996</v>
      </c>
      <c r="AB964" s="25">
        <f t="shared" si="246"/>
        <v>-184.49199999999999</v>
      </c>
      <c r="AD964" s="24">
        <f>IF(D964="M",IF(AG964&lt;78,BMILMS!$D$5*AG964^3+BMILMS!$E$5*AG964^2+BMILMS!$F$5*AG964+BMILMS!$G$5,IF(AG964&lt;150,BMILMS!$D$6*AG964^3+BMILMS!$E$6*AG964^2+BMILMS!$F$6*AG964+BMILMS!$G$6,BMILMS!$D$7*AG964^3+BMILMS!$E$7*AG964^2+BMILMS!$F$7*AG964+BMILMS!$G$7)),IF(AG964&lt;69,BMILMS!$D$9*AG964^3+BMILMS!$E$9*AG964^2+BMILMS!$F$9*AG964+BMILMS!$G$9,IF(AG964&lt;150,BMILMS!$D$10*AG964^3+BMILMS!$E$10*AG964^2+BMILMS!$F$10*AG964+BMILMS!$G$10,BMILMS!$D$11*AG964^3+BMILMS!$E$11*AG964^2+BMILMS!$F$11*AG964+BMILMS!$G$11)))</f>
        <v>0.79584630099999998</v>
      </c>
      <c r="AE964" s="24">
        <f>IF(D964="M",(IF(AG964&lt;2.5,BMILMS!$D$21*AG964^3+BMILMS!$E$21*AG964^2+BMILMS!$F$21*AG964+BMILMS!$G$21,IF(AG964&lt;9.5,BMILMS!$D$22*AG964^3+BMILMS!$E$22*AG964^2+BMILMS!$F$22*AG964+BMILMS!$G$22,IF(AG964&lt;26.75,BMILMS!$D$23*AG964^3+BMILMS!$E$23*AG964^2+BMILMS!$F$23*AG964+BMILMS!$G$23,IF(AG964&lt;90,BMILMS!$D$24*AG964^3+BMILMS!$E$24*AG964^2+BMILMS!$F$24*AG964+BMILMS!$G$24,BMILMS!$D$25*AG964^3+BMILMS!$E$25*AG964^2+BMILMS!$F$25*AG964+BMILMS!$G$25))))),(IF(AG964&lt;2.5,BMILMS!$D$27*AG964^3+BMILMS!$E$27*AG964^2+BMILMS!$F$27*AG964+BMILMS!$G$27,IF(AG964&lt;9.5,BMILMS!$D$28*AG964^3+BMILMS!$E$28*AG964^2+BMILMS!$F$28*AG964+BMILMS!$G$28,IF(AG964&lt;26.75,BMILMS!$D$29*AG964^3+BMILMS!$E$29*AG964^2+BMILMS!$F$29*AG964+BMILMS!$G$29,IF(AG964&lt;90,BMILMS!$D$30*AG964^3+BMILMS!$E$30*AG964^2+BMILMS!$F$30*AG964+BMILMS!$G$30,IF(AG964&lt;150,BMILMS!$D$31*AG964^3+BMILMS!$E$31*AG964^2+BMILMS!$F$31*AG964+BMILMS!$G$31,BMILMS!$D$32*AG964^3+BMILMS!$E$32*AG964^2+BMILMS!$F$32*AG964+BMILMS!$G$32)))))))</f>
        <v>12.568967990000001</v>
      </c>
      <c r="AF964" s="24">
        <f>IF(D964="M",(IF(AG964&lt;90,BMILMS!$D$14*AG964^3+BMILMS!$E$14*AG964^2+BMILMS!$F$14*AG964+BMILMS!$G$14,BMILMS!$D$15*AG964^3+BMILMS!$E$15*AG964^2+BMILMS!$F$15*AG964+BMILMS!$G$15)),(IF(AG964&lt;90,BMILMS!$D$17*AG964^3+BMILMS!$E$17*AG964^2+BMILMS!$F$17*AG964+BMILMS!$G$17,BMILMS!$D$18*AG964^3+BMILMS!$E$18*AG964^2+BMILMS!$F$18*AG964+BMILMS!$G$18)))</f>
        <v>8.8969350000000003E-2</v>
      </c>
      <c r="AG964" s="24">
        <f t="shared" si="240"/>
        <v>0</v>
      </c>
      <c r="AI964" s="38">
        <f>IF(D964="M",WeightSDS!P$5*$AG964^7+WeightSDS!Q$5*$AG964^6+WeightSDS!R$5*$AG964^5+WeightSDS!S$5*$AG964^4+WeightSDS!T$5*$AG964^3+WeightSDS!U$5*$AG964^2+WeightSDS!V$5*$AG964+WeightSDS!W$5,IF($AG964&lt;186,WeightSDS!P$8*$AG964^7+WeightSDS!Q$8*$AG964^6+WeightSDS!R$8*$AG964^5+WeightSDS!S$8*$AG964^4+WeightSDS!T$8*$AG964^3+WeightSDS!U$8*$AG964^2+WeightSDS!V$8*$AG964+WeightSDS!W$8,WeightSDS!$U$9-WeightSDS!$V$9*($AG964-WeightSDS!$W$9)))</f>
        <v>0.75407122999999998</v>
      </c>
      <c r="AJ964" s="24">
        <f>IF(D964="M",IF($AG964&lt;45,WeightSDS!M$23*$AG964^10+WeightSDS!N$23*$AG964^9+WeightSDS!O$23*$AG964^8+WeightSDS!P$23*$AG964^7+WeightSDS!Q$23*$AG964^6+WeightSDS!R$23*$AG964^5+WeightSDS!S$23*$AG964^4+WeightSDS!T$23*$AG964^3+WeightSDS!U$23*$AG964^2+WeightSDS!V$23*$AG964+WeightSDS!W$23,IF($AG964&lt;153,WeightSDS!M$25*$AG964^10+WeightSDS!N$25*$AG964^9+WeightSDS!O$25*$AG964^8+WeightSDS!P$25*$AG964^7+WeightSDS!Q$25*$AG964^6+WeightSDS!R$25*$AG964^5+WeightSDS!S$25*$AG964^4+WeightSDS!T$25*$AG964^3+WeightSDS!U$25*$AG964^2+WeightSDS!V$25*$AG964+WeightSDS!W$25,WeightSDS!M$27+WeightSDS!N$27/(1+EXP(WeightSDS!O$27+WeightSDS!P$27*$AG964)))),IF($AG964&lt;43.8,WeightSDS!M$29*$AG964^10+WeightSDS!N$29*$AG964^9+WeightSDS!O$29*$AG964^8+WeightSDS!P$29*$AG964^7+WeightSDS!Q$29*$AG964^6+WeightSDS!R$29*$AG964^5+WeightSDS!S$29*$AG964^4+WeightSDS!T$29*$AG964^3+WeightSDS!U$29*$AG964^2+WeightSDS!V$29*$AG964+WeightSDS!W$29-0.010431*(1-$AG964/210),IF($AG964&lt;123,WeightSDS!M$30*$AG964^10+WeightSDS!N$30*$AG964^9+WeightSDS!O$30*$AG964^8+WeightSDS!P$30*$AG964^7+WeightSDS!Q$30*$AG964^6+WeightSDS!R$30*$AG964^5+WeightSDS!S$30*$AG964^4+WeightSDS!T$30*$AG964^3+WeightSDS!U$30*$AG964^2+WeightSDS!V$30*$AG964+WeightSDS!W$30-0.010431*(1-1/$AG964),WeightSDS!M$32+WeightSDS!N$32/(1+EXP(WeightSDS!O$32+WeightSDS!P$32*$AG964))-0.010431*(1-$AG964/210))))</f>
        <v>2.9500001032655536</v>
      </c>
      <c r="AK964" s="24">
        <f>IF(D964="M",IF($AG964&lt;162,WeightSDS!P$12*$AG964^7+WeightSDS!Q$12*$AG964^6+WeightSDS!R$12*$AG964^5+WeightSDS!S$12*$AG964^4+WeightSDS!T$12*$AG964^3+WeightSDS!U$12*$AG964^2+WeightSDS!V$12*$AG964+WeightSDS!W$12,WeightSDS!P$14*$AG964^7+WeightSDS!Q$14*$AG964^6+WeightSDS!R$14*$AG964^5+WeightSDS!S$14*$AG964^4+WeightSDS!T$14*$AG964^3+WeightSDS!U$14*$AG964^2+WeightSDS!V$14*$AG964+WeightSDS!W$14),IF($AG964&lt;156,WeightSDS!O$17*$AG964^8+WeightSDS!P$17*$AG964^7+WeightSDS!Q$17*$AG964^6+WeightSDS!R$17*$AG964^5+WeightSDS!S$17*$AG964^4+WeightSDS!T$17*$AG964^3+WeightSDS!U$17*$AG964^2+WeightSDS!V$17*$AG964+WeightSDS!W$17,IF($AG964&lt;186,WeightSDS!$U$18+(WeightSDS!$V$18-WeightSDS!$U$18)/24*($AG964-186)+WeightSDS!$W$18*(-$AG964+186)^2-0.005,WeightSDS!$U$18+(WeightSDS!$V$18-WeightSDS!$U$18)/24*($AG964-186)-0.005)))</f>
        <v>0.14604529399999999</v>
      </c>
    </row>
    <row r="965" spans="1:37">
      <c r="A965" s="4"/>
      <c r="B965" s="21"/>
      <c r="C965" s="21"/>
      <c r="D965" s="21"/>
      <c r="E965" s="22"/>
      <c r="F965" s="22"/>
      <c r="G965" s="23"/>
      <c r="H965" s="23"/>
      <c r="I965" s="8" t="str">
        <f t="shared" si="242"/>
        <v/>
      </c>
      <c r="J965" s="2" t="str">
        <f t="shared" si="247"/>
        <v/>
      </c>
      <c r="K965" s="2" t="str">
        <f t="shared" si="243"/>
        <v/>
      </c>
      <c r="L965" s="2" t="str">
        <f t="shared" si="248"/>
        <v/>
      </c>
      <c r="M965" s="2" t="str">
        <f t="shared" si="239"/>
        <v/>
      </c>
      <c r="N965" s="2" t="str">
        <f t="shared" si="249"/>
        <v/>
      </c>
      <c r="O965" s="8" t="str">
        <f t="shared" si="250"/>
        <v/>
      </c>
      <c r="P965" s="8" t="str">
        <f t="shared" si="251"/>
        <v/>
      </c>
      <c r="Q965" s="40" t="str">
        <f t="shared" si="244"/>
        <v/>
      </c>
      <c r="R965" s="48" t="str">
        <f t="shared" si="252"/>
        <v/>
      </c>
      <c r="S965" s="8"/>
      <c r="U965" s="35">
        <f t="shared" si="253"/>
        <v>0</v>
      </c>
      <c r="V965" s="24">
        <f t="shared" si="230"/>
        <v>0</v>
      </c>
      <c r="W965" s="41">
        <f t="shared" si="241"/>
        <v>0</v>
      </c>
      <c r="X965" s="31"/>
      <c r="Y965" s="31"/>
      <c r="Z965" s="31"/>
      <c r="AA965" s="25">
        <f t="shared" si="245"/>
        <v>9.0359999999999996</v>
      </c>
      <c r="AB965" s="25">
        <f t="shared" si="246"/>
        <v>-184.49199999999999</v>
      </c>
      <c r="AD965" s="24">
        <f>IF(D965="M",IF(AG965&lt;78,BMILMS!$D$5*AG965^3+BMILMS!$E$5*AG965^2+BMILMS!$F$5*AG965+BMILMS!$G$5,IF(AG965&lt;150,BMILMS!$D$6*AG965^3+BMILMS!$E$6*AG965^2+BMILMS!$F$6*AG965+BMILMS!$G$6,BMILMS!$D$7*AG965^3+BMILMS!$E$7*AG965^2+BMILMS!$F$7*AG965+BMILMS!$G$7)),IF(AG965&lt;69,BMILMS!$D$9*AG965^3+BMILMS!$E$9*AG965^2+BMILMS!$F$9*AG965+BMILMS!$G$9,IF(AG965&lt;150,BMILMS!$D$10*AG965^3+BMILMS!$E$10*AG965^2+BMILMS!$F$10*AG965+BMILMS!$G$10,BMILMS!$D$11*AG965^3+BMILMS!$E$11*AG965^2+BMILMS!$F$11*AG965+BMILMS!$G$11)))</f>
        <v>0.79584630099999998</v>
      </c>
      <c r="AE965" s="24">
        <f>IF(D965="M",(IF(AG965&lt;2.5,BMILMS!$D$21*AG965^3+BMILMS!$E$21*AG965^2+BMILMS!$F$21*AG965+BMILMS!$G$21,IF(AG965&lt;9.5,BMILMS!$D$22*AG965^3+BMILMS!$E$22*AG965^2+BMILMS!$F$22*AG965+BMILMS!$G$22,IF(AG965&lt;26.75,BMILMS!$D$23*AG965^3+BMILMS!$E$23*AG965^2+BMILMS!$F$23*AG965+BMILMS!$G$23,IF(AG965&lt;90,BMILMS!$D$24*AG965^3+BMILMS!$E$24*AG965^2+BMILMS!$F$24*AG965+BMILMS!$G$24,BMILMS!$D$25*AG965^3+BMILMS!$E$25*AG965^2+BMILMS!$F$25*AG965+BMILMS!$G$25))))),(IF(AG965&lt;2.5,BMILMS!$D$27*AG965^3+BMILMS!$E$27*AG965^2+BMILMS!$F$27*AG965+BMILMS!$G$27,IF(AG965&lt;9.5,BMILMS!$D$28*AG965^3+BMILMS!$E$28*AG965^2+BMILMS!$F$28*AG965+BMILMS!$G$28,IF(AG965&lt;26.75,BMILMS!$D$29*AG965^3+BMILMS!$E$29*AG965^2+BMILMS!$F$29*AG965+BMILMS!$G$29,IF(AG965&lt;90,BMILMS!$D$30*AG965^3+BMILMS!$E$30*AG965^2+BMILMS!$F$30*AG965+BMILMS!$G$30,IF(AG965&lt;150,BMILMS!$D$31*AG965^3+BMILMS!$E$31*AG965^2+BMILMS!$F$31*AG965+BMILMS!$G$31,BMILMS!$D$32*AG965^3+BMILMS!$E$32*AG965^2+BMILMS!$F$32*AG965+BMILMS!$G$32)))))))</f>
        <v>12.568967990000001</v>
      </c>
      <c r="AF965" s="24">
        <f>IF(D965="M",(IF(AG965&lt;90,BMILMS!$D$14*AG965^3+BMILMS!$E$14*AG965^2+BMILMS!$F$14*AG965+BMILMS!$G$14,BMILMS!$D$15*AG965^3+BMILMS!$E$15*AG965^2+BMILMS!$F$15*AG965+BMILMS!$G$15)),(IF(AG965&lt;90,BMILMS!$D$17*AG965^3+BMILMS!$E$17*AG965^2+BMILMS!$F$17*AG965+BMILMS!$G$17,BMILMS!$D$18*AG965^3+BMILMS!$E$18*AG965^2+BMILMS!$F$18*AG965+BMILMS!$G$18)))</f>
        <v>8.8969350000000003E-2</v>
      </c>
      <c r="AG965" s="24">
        <f t="shared" si="240"/>
        <v>0</v>
      </c>
      <c r="AI965" s="38">
        <f>IF(D965="M",WeightSDS!P$5*$AG965^7+WeightSDS!Q$5*$AG965^6+WeightSDS!R$5*$AG965^5+WeightSDS!S$5*$AG965^4+WeightSDS!T$5*$AG965^3+WeightSDS!U$5*$AG965^2+WeightSDS!V$5*$AG965+WeightSDS!W$5,IF($AG965&lt;186,WeightSDS!P$8*$AG965^7+WeightSDS!Q$8*$AG965^6+WeightSDS!R$8*$AG965^5+WeightSDS!S$8*$AG965^4+WeightSDS!T$8*$AG965^3+WeightSDS!U$8*$AG965^2+WeightSDS!V$8*$AG965+WeightSDS!W$8,WeightSDS!$U$9-WeightSDS!$V$9*($AG965-WeightSDS!$W$9)))</f>
        <v>0.75407122999999998</v>
      </c>
      <c r="AJ965" s="24">
        <f>IF(D965="M",IF($AG965&lt;45,WeightSDS!M$23*$AG965^10+WeightSDS!N$23*$AG965^9+WeightSDS!O$23*$AG965^8+WeightSDS!P$23*$AG965^7+WeightSDS!Q$23*$AG965^6+WeightSDS!R$23*$AG965^5+WeightSDS!S$23*$AG965^4+WeightSDS!T$23*$AG965^3+WeightSDS!U$23*$AG965^2+WeightSDS!V$23*$AG965+WeightSDS!W$23,IF($AG965&lt;153,WeightSDS!M$25*$AG965^10+WeightSDS!N$25*$AG965^9+WeightSDS!O$25*$AG965^8+WeightSDS!P$25*$AG965^7+WeightSDS!Q$25*$AG965^6+WeightSDS!R$25*$AG965^5+WeightSDS!S$25*$AG965^4+WeightSDS!T$25*$AG965^3+WeightSDS!U$25*$AG965^2+WeightSDS!V$25*$AG965+WeightSDS!W$25,WeightSDS!M$27+WeightSDS!N$27/(1+EXP(WeightSDS!O$27+WeightSDS!P$27*$AG965)))),IF($AG965&lt;43.8,WeightSDS!M$29*$AG965^10+WeightSDS!N$29*$AG965^9+WeightSDS!O$29*$AG965^8+WeightSDS!P$29*$AG965^7+WeightSDS!Q$29*$AG965^6+WeightSDS!R$29*$AG965^5+WeightSDS!S$29*$AG965^4+WeightSDS!T$29*$AG965^3+WeightSDS!U$29*$AG965^2+WeightSDS!V$29*$AG965+WeightSDS!W$29-0.010431*(1-$AG965/210),IF($AG965&lt;123,WeightSDS!M$30*$AG965^10+WeightSDS!N$30*$AG965^9+WeightSDS!O$30*$AG965^8+WeightSDS!P$30*$AG965^7+WeightSDS!Q$30*$AG965^6+WeightSDS!R$30*$AG965^5+WeightSDS!S$30*$AG965^4+WeightSDS!T$30*$AG965^3+WeightSDS!U$30*$AG965^2+WeightSDS!V$30*$AG965+WeightSDS!W$30-0.010431*(1-1/$AG965),WeightSDS!M$32+WeightSDS!N$32/(1+EXP(WeightSDS!O$32+WeightSDS!P$32*$AG965))-0.010431*(1-$AG965/210))))</f>
        <v>2.9500001032655536</v>
      </c>
      <c r="AK965" s="24">
        <f>IF(D965="M",IF($AG965&lt;162,WeightSDS!P$12*$AG965^7+WeightSDS!Q$12*$AG965^6+WeightSDS!R$12*$AG965^5+WeightSDS!S$12*$AG965^4+WeightSDS!T$12*$AG965^3+WeightSDS!U$12*$AG965^2+WeightSDS!V$12*$AG965+WeightSDS!W$12,WeightSDS!P$14*$AG965^7+WeightSDS!Q$14*$AG965^6+WeightSDS!R$14*$AG965^5+WeightSDS!S$14*$AG965^4+WeightSDS!T$14*$AG965^3+WeightSDS!U$14*$AG965^2+WeightSDS!V$14*$AG965+WeightSDS!W$14),IF($AG965&lt;156,WeightSDS!O$17*$AG965^8+WeightSDS!P$17*$AG965^7+WeightSDS!Q$17*$AG965^6+WeightSDS!R$17*$AG965^5+WeightSDS!S$17*$AG965^4+WeightSDS!T$17*$AG965^3+WeightSDS!U$17*$AG965^2+WeightSDS!V$17*$AG965+WeightSDS!W$17,IF($AG965&lt;186,WeightSDS!$U$18+(WeightSDS!$V$18-WeightSDS!$U$18)/24*($AG965-186)+WeightSDS!$W$18*(-$AG965+186)^2-0.005,WeightSDS!$U$18+(WeightSDS!$V$18-WeightSDS!$U$18)/24*($AG965-186)-0.005)))</f>
        <v>0.14604529399999999</v>
      </c>
    </row>
    <row r="966" spans="1:37">
      <c r="A966" s="4"/>
      <c r="B966" s="21"/>
      <c r="C966" s="21"/>
      <c r="D966" s="21"/>
      <c r="E966" s="22"/>
      <c r="F966" s="22"/>
      <c r="G966" s="23"/>
      <c r="H966" s="23"/>
      <c r="I966" s="8" t="str">
        <f t="shared" si="242"/>
        <v/>
      </c>
      <c r="J966" s="2" t="str">
        <f t="shared" si="247"/>
        <v/>
      </c>
      <c r="K966" s="2" t="str">
        <f t="shared" si="243"/>
        <v/>
      </c>
      <c r="L966" s="2" t="str">
        <f t="shared" si="248"/>
        <v/>
      </c>
      <c r="M966" s="2" t="str">
        <f t="shared" si="239"/>
        <v/>
      </c>
      <c r="N966" s="2" t="str">
        <f t="shared" si="249"/>
        <v/>
      </c>
      <c r="O966" s="8" t="str">
        <f t="shared" si="250"/>
        <v/>
      </c>
      <c r="P966" s="8" t="str">
        <f t="shared" si="251"/>
        <v/>
      </c>
      <c r="Q966" s="40" t="str">
        <f t="shared" si="244"/>
        <v/>
      </c>
      <c r="R966" s="48" t="str">
        <f t="shared" si="252"/>
        <v/>
      </c>
      <c r="S966" s="8"/>
      <c r="U966" s="35">
        <f t="shared" si="253"/>
        <v>0</v>
      </c>
      <c r="V966" s="24">
        <f t="shared" ref="V966:V1002" si="254">DATEDIF(E966,F966,"YM")</f>
        <v>0</v>
      </c>
      <c r="W966" s="41">
        <f t="shared" si="241"/>
        <v>0</v>
      </c>
      <c r="X966" s="31"/>
      <c r="Y966" s="31"/>
      <c r="Z966" s="31"/>
      <c r="AA966" s="25">
        <f t="shared" si="245"/>
        <v>9.0359999999999996</v>
      </c>
      <c r="AB966" s="25">
        <f t="shared" si="246"/>
        <v>-184.49199999999999</v>
      </c>
      <c r="AD966" s="24">
        <f>IF(D966="M",IF(AG966&lt;78,BMILMS!$D$5*AG966^3+BMILMS!$E$5*AG966^2+BMILMS!$F$5*AG966+BMILMS!$G$5,IF(AG966&lt;150,BMILMS!$D$6*AG966^3+BMILMS!$E$6*AG966^2+BMILMS!$F$6*AG966+BMILMS!$G$6,BMILMS!$D$7*AG966^3+BMILMS!$E$7*AG966^2+BMILMS!$F$7*AG966+BMILMS!$G$7)),IF(AG966&lt;69,BMILMS!$D$9*AG966^3+BMILMS!$E$9*AG966^2+BMILMS!$F$9*AG966+BMILMS!$G$9,IF(AG966&lt;150,BMILMS!$D$10*AG966^3+BMILMS!$E$10*AG966^2+BMILMS!$F$10*AG966+BMILMS!$G$10,BMILMS!$D$11*AG966^3+BMILMS!$E$11*AG966^2+BMILMS!$F$11*AG966+BMILMS!$G$11)))</f>
        <v>0.79584630099999998</v>
      </c>
      <c r="AE966" s="24">
        <f>IF(D966="M",(IF(AG966&lt;2.5,BMILMS!$D$21*AG966^3+BMILMS!$E$21*AG966^2+BMILMS!$F$21*AG966+BMILMS!$G$21,IF(AG966&lt;9.5,BMILMS!$D$22*AG966^3+BMILMS!$E$22*AG966^2+BMILMS!$F$22*AG966+BMILMS!$G$22,IF(AG966&lt;26.75,BMILMS!$D$23*AG966^3+BMILMS!$E$23*AG966^2+BMILMS!$F$23*AG966+BMILMS!$G$23,IF(AG966&lt;90,BMILMS!$D$24*AG966^3+BMILMS!$E$24*AG966^2+BMILMS!$F$24*AG966+BMILMS!$G$24,BMILMS!$D$25*AG966^3+BMILMS!$E$25*AG966^2+BMILMS!$F$25*AG966+BMILMS!$G$25))))),(IF(AG966&lt;2.5,BMILMS!$D$27*AG966^3+BMILMS!$E$27*AG966^2+BMILMS!$F$27*AG966+BMILMS!$G$27,IF(AG966&lt;9.5,BMILMS!$D$28*AG966^3+BMILMS!$E$28*AG966^2+BMILMS!$F$28*AG966+BMILMS!$G$28,IF(AG966&lt;26.75,BMILMS!$D$29*AG966^3+BMILMS!$E$29*AG966^2+BMILMS!$F$29*AG966+BMILMS!$G$29,IF(AG966&lt;90,BMILMS!$D$30*AG966^3+BMILMS!$E$30*AG966^2+BMILMS!$F$30*AG966+BMILMS!$G$30,IF(AG966&lt;150,BMILMS!$D$31*AG966^3+BMILMS!$E$31*AG966^2+BMILMS!$F$31*AG966+BMILMS!$G$31,BMILMS!$D$32*AG966^3+BMILMS!$E$32*AG966^2+BMILMS!$F$32*AG966+BMILMS!$G$32)))))))</f>
        <v>12.568967990000001</v>
      </c>
      <c r="AF966" s="24">
        <f>IF(D966="M",(IF(AG966&lt;90,BMILMS!$D$14*AG966^3+BMILMS!$E$14*AG966^2+BMILMS!$F$14*AG966+BMILMS!$G$14,BMILMS!$D$15*AG966^3+BMILMS!$E$15*AG966^2+BMILMS!$F$15*AG966+BMILMS!$G$15)),(IF(AG966&lt;90,BMILMS!$D$17*AG966^3+BMILMS!$E$17*AG966^2+BMILMS!$F$17*AG966+BMILMS!$G$17,BMILMS!$D$18*AG966^3+BMILMS!$E$18*AG966^2+BMILMS!$F$18*AG966+BMILMS!$G$18)))</f>
        <v>8.8969350000000003E-2</v>
      </c>
      <c r="AG966" s="24">
        <f t="shared" si="240"/>
        <v>0</v>
      </c>
      <c r="AI966" s="38">
        <f>IF(D966="M",WeightSDS!P$5*$AG966^7+WeightSDS!Q$5*$AG966^6+WeightSDS!R$5*$AG966^5+WeightSDS!S$5*$AG966^4+WeightSDS!T$5*$AG966^3+WeightSDS!U$5*$AG966^2+WeightSDS!V$5*$AG966+WeightSDS!W$5,IF($AG966&lt;186,WeightSDS!P$8*$AG966^7+WeightSDS!Q$8*$AG966^6+WeightSDS!R$8*$AG966^5+WeightSDS!S$8*$AG966^4+WeightSDS!T$8*$AG966^3+WeightSDS!U$8*$AG966^2+WeightSDS!V$8*$AG966+WeightSDS!W$8,WeightSDS!$U$9-WeightSDS!$V$9*($AG966-WeightSDS!$W$9)))</f>
        <v>0.75407122999999998</v>
      </c>
      <c r="AJ966" s="24">
        <f>IF(D966="M",IF($AG966&lt;45,WeightSDS!M$23*$AG966^10+WeightSDS!N$23*$AG966^9+WeightSDS!O$23*$AG966^8+WeightSDS!P$23*$AG966^7+WeightSDS!Q$23*$AG966^6+WeightSDS!R$23*$AG966^5+WeightSDS!S$23*$AG966^4+WeightSDS!T$23*$AG966^3+WeightSDS!U$23*$AG966^2+WeightSDS!V$23*$AG966+WeightSDS!W$23,IF($AG966&lt;153,WeightSDS!M$25*$AG966^10+WeightSDS!N$25*$AG966^9+WeightSDS!O$25*$AG966^8+WeightSDS!P$25*$AG966^7+WeightSDS!Q$25*$AG966^6+WeightSDS!R$25*$AG966^5+WeightSDS!S$25*$AG966^4+WeightSDS!T$25*$AG966^3+WeightSDS!U$25*$AG966^2+WeightSDS!V$25*$AG966+WeightSDS!W$25,WeightSDS!M$27+WeightSDS!N$27/(1+EXP(WeightSDS!O$27+WeightSDS!P$27*$AG966)))),IF($AG966&lt;43.8,WeightSDS!M$29*$AG966^10+WeightSDS!N$29*$AG966^9+WeightSDS!O$29*$AG966^8+WeightSDS!P$29*$AG966^7+WeightSDS!Q$29*$AG966^6+WeightSDS!R$29*$AG966^5+WeightSDS!S$29*$AG966^4+WeightSDS!T$29*$AG966^3+WeightSDS!U$29*$AG966^2+WeightSDS!V$29*$AG966+WeightSDS!W$29-0.010431*(1-$AG966/210),IF($AG966&lt;123,WeightSDS!M$30*$AG966^10+WeightSDS!N$30*$AG966^9+WeightSDS!O$30*$AG966^8+WeightSDS!P$30*$AG966^7+WeightSDS!Q$30*$AG966^6+WeightSDS!R$30*$AG966^5+WeightSDS!S$30*$AG966^4+WeightSDS!T$30*$AG966^3+WeightSDS!U$30*$AG966^2+WeightSDS!V$30*$AG966+WeightSDS!W$30-0.010431*(1-1/$AG966),WeightSDS!M$32+WeightSDS!N$32/(1+EXP(WeightSDS!O$32+WeightSDS!P$32*$AG966))-0.010431*(1-$AG966/210))))</f>
        <v>2.9500001032655536</v>
      </c>
      <c r="AK966" s="24">
        <f>IF(D966="M",IF($AG966&lt;162,WeightSDS!P$12*$AG966^7+WeightSDS!Q$12*$AG966^6+WeightSDS!R$12*$AG966^5+WeightSDS!S$12*$AG966^4+WeightSDS!T$12*$AG966^3+WeightSDS!U$12*$AG966^2+WeightSDS!V$12*$AG966+WeightSDS!W$12,WeightSDS!P$14*$AG966^7+WeightSDS!Q$14*$AG966^6+WeightSDS!R$14*$AG966^5+WeightSDS!S$14*$AG966^4+WeightSDS!T$14*$AG966^3+WeightSDS!U$14*$AG966^2+WeightSDS!V$14*$AG966+WeightSDS!W$14),IF($AG966&lt;156,WeightSDS!O$17*$AG966^8+WeightSDS!P$17*$AG966^7+WeightSDS!Q$17*$AG966^6+WeightSDS!R$17*$AG966^5+WeightSDS!S$17*$AG966^4+WeightSDS!T$17*$AG966^3+WeightSDS!U$17*$AG966^2+WeightSDS!V$17*$AG966+WeightSDS!W$17,IF($AG966&lt;186,WeightSDS!$U$18+(WeightSDS!$V$18-WeightSDS!$U$18)/24*($AG966-186)+WeightSDS!$W$18*(-$AG966+186)^2-0.005,WeightSDS!$U$18+(WeightSDS!$V$18-WeightSDS!$U$18)/24*($AG966-186)-0.005)))</f>
        <v>0.14604529399999999</v>
      </c>
    </row>
    <row r="967" spans="1:37">
      <c r="A967" s="4"/>
      <c r="B967" s="21"/>
      <c r="C967" s="21"/>
      <c r="D967" s="21"/>
      <c r="E967" s="22"/>
      <c r="F967" s="22"/>
      <c r="G967" s="23"/>
      <c r="H967" s="23"/>
      <c r="I967" s="8" t="str">
        <f t="shared" si="242"/>
        <v/>
      </c>
      <c r="J967" s="2" t="str">
        <f t="shared" si="247"/>
        <v/>
      </c>
      <c r="K967" s="2" t="str">
        <f t="shared" si="243"/>
        <v/>
      </c>
      <c r="L967" s="2" t="str">
        <f t="shared" si="248"/>
        <v/>
      </c>
      <c r="M967" s="2" t="str">
        <f t="shared" si="239"/>
        <v/>
      </c>
      <c r="N967" s="2" t="str">
        <f t="shared" si="249"/>
        <v/>
      </c>
      <c r="O967" s="8" t="str">
        <f t="shared" si="250"/>
        <v/>
      </c>
      <c r="P967" s="8" t="str">
        <f t="shared" si="251"/>
        <v/>
      </c>
      <c r="Q967" s="40" t="str">
        <f t="shared" si="244"/>
        <v/>
      </c>
      <c r="R967" s="48" t="str">
        <f t="shared" si="252"/>
        <v/>
      </c>
      <c r="S967" s="8"/>
      <c r="U967" s="35">
        <f t="shared" si="253"/>
        <v>0</v>
      </c>
      <c r="V967" s="24">
        <f t="shared" si="254"/>
        <v>0</v>
      </c>
      <c r="W967" s="41">
        <f t="shared" si="241"/>
        <v>0</v>
      </c>
      <c r="X967" s="31"/>
      <c r="Y967" s="31"/>
      <c r="Z967" s="31"/>
      <c r="AA967" s="25">
        <f t="shared" si="245"/>
        <v>9.0359999999999996</v>
      </c>
      <c r="AB967" s="25">
        <f t="shared" si="246"/>
        <v>-184.49199999999999</v>
      </c>
      <c r="AD967" s="24">
        <f>IF(D967="M",IF(AG967&lt;78,BMILMS!$D$5*AG967^3+BMILMS!$E$5*AG967^2+BMILMS!$F$5*AG967+BMILMS!$G$5,IF(AG967&lt;150,BMILMS!$D$6*AG967^3+BMILMS!$E$6*AG967^2+BMILMS!$F$6*AG967+BMILMS!$G$6,BMILMS!$D$7*AG967^3+BMILMS!$E$7*AG967^2+BMILMS!$F$7*AG967+BMILMS!$G$7)),IF(AG967&lt;69,BMILMS!$D$9*AG967^3+BMILMS!$E$9*AG967^2+BMILMS!$F$9*AG967+BMILMS!$G$9,IF(AG967&lt;150,BMILMS!$D$10*AG967^3+BMILMS!$E$10*AG967^2+BMILMS!$F$10*AG967+BMILMS!$G$10,BMILMS!$D$11*AG967^3+BMILMS!$E$11*AG967^2+BMILMS!$F$11*AG967+BMILMS!$G$11)))</f>
        <v>0.79584630099999998</v>
      </c>
      <c r="AE967" s="24">
        <f>IF(D967="M",(IF(AG967&lt;2.5,BMILMS!$D$21*AG967^3+BMILMS!$E$21*AG967^2+BMILMS!$F$21*AG967+BMILMS!$G$21,IF(AG967&lt;9.5,BMILMS!$D$22*AG967^3+BMILMS!$E$22*AG967^2+BMILMS!$F$22*AG967+BMILMS!$G$22,IF(AG967&lt;26.75,BMILMS!$D$23*AG967^3+BMILMS!$E$23*AG967^2+BMILMS!$F$23*AG967+BMILMS!$G$23,IF(AG967&lt;90,BMILMS!$D$24*AG967^3+BMILMS!$E$24*AG967^2+BMILMS!$F$24*AG967+BMILMS!$G$24,BMILMS!$D$25*AG967^3+BMILMS!$E$25*AG967^2+BMILMS!$F$25*AG967+BMILMS!$G$25))))),(IF(AG967&lt;2.5,BMILMS!$D$27*AG967^3+BMILMS!$E$27*AG967^2+BMILMS!$F$27*AG967+BMILMS!$G$27,IF(AG967&lt;9.5,BMILMS!$D$28*AG967^3+BMILMS!$E$28*AG967^2+BMILMS!$F$28*AG967+BMILMS!$G$28,IF(AG967&lt;26.75,BMILMS!$D$29*AG967^3+BMILMS!$E$29*AG967^2+BMILMS!$F$29*AG967+BMILMS!$G$29,IF(AG967&lt;90,BMILMS!$D$30*AG967^3+BMILMS!$E$30*AG967^2+BMILMS!$F$30*AG967+BMILMS!$G$30,IF(AG967&lt;150,BMILMS!$D$31*AG967^3+BMILMS!$E$31*AG967^2+BMILMS!$F$31*AG967+BMILMS!$G$31,BMILMS!$D$32*AG967^3+BMILMS!$E$32*AG967^2+BMILMS!$F$32*AG967+BMILMS!$G$32)))))))</f>
        <v>12.568967990000001</v>
      </c>
      <c r="AF967" s="24">
        <f>IF(D967="M",(IF(AG967&lt;90,BMILMS!$D$14*AG967^3+BMILMS!$E$14*AG967^2+BMILMS!$F$14*AG967+BMILMS!$G$14,BMILMS!$D$15*AG967^3+BMILMS!$E$15*AG967^2+BMILMS!$F$15*AG967+BMILMS!$G$15)),(IF(AG967&lt;90,BMILMS!$D$17*AG967^3+BMILMS!$E$17*AG967^2+BMILMS!$F$17*AG967+BMILMS!$G$17,BMILMS!$D$18*AG967^3+BMILMS!$E$18*AG967^2+BMILMS!$F$18*AG967+BMILMS!$G$18)))</f>
        <v>8.8969350000000003E-2</v>
      </c>
      <c r="AG967" s="24">
        <f t="shared" si="240"/>
        <v>0</v>
      </c>
      <c r="AI967" s="38">
        <f>IF(D967="M",WeightSDS!P$5*$AG967^7+WeightSDS!Q$5*$AG967^6+WeightSDS!R$5*$AG967^5+WeightSDS!S$5*$AG967^4+WeightSDS!T$5*$AG967^3+WeightSDS!U$5*$AG967^2+WeightSDS!V$5*$AG967+WeightSDS!W$5,IF($AG967&lt;186,WeightSDS!P$8*$AG967^7+WeightSDS!Q$8*$AG967^6+WeightSDS!R$8*$AG967^5+WeightSDS!S$8*$AG967^4+WeightSDS!T$8*$AG967^3+WeightSDS!U$8*$AG967^2+WeightSDS!V$8*$AG967+WeightSDS!W$8,WeightSDS!$U$9-WeightSDS!$V$9*($AG967-WeightSDS!$W$9)))</f>
        <v>0.75407122999999998</v>
      </c>
      <c r="AJ967" s="24">
        <f>IF(D967="M",IF($AG967&lt;45,WeightSDS!M$23*$AG967^10+WeightSDS!N$23*$AG967^9+WeightSDS!O$23*$AG967^8+WeightSDS!P$23*$AG967^7+WeightSDS!Q$23*$AG967^6+WeightSDS!R$23*$AG967^5+WeightSDS!S$23*$AG967^4+WeightSDS!T$23*$AG967^3+WeightSDS!U$23*$AG967^2+WeightSDS!V$23*$AG967+WeightSDS!W$23,IF($AG967&lt;153,WeightSDS!M$25*$AG967^10+WeightSDS!N$25*$AG967^9+WeightSDS!O$25*$AG967^8+WeightSDS!P$25*$AG967^7+WeightSDS!Q$25*$AG967^6+WeightSDS!R$25*$AG967^5+WeightSDS!S$25*$AG967^4+WeightSDS!T$25*$AG967^3+WeightSDS!U$25*$AG967^2+WeightSDS!V$25*$AG967+WeightSDS!W$25,WeightSDS!M$27+WeightSDS!N$27/(1+EXP(WeightSDS!O$27+WeightSDS!P$27*$AG967)))),IF($AG967&lt;43.8,WeightSDS!M$29*$AG967^10+WeightSDS!N$29*$AG967^9+WeightSDS!O$29*$AG967^8+WeightSDS!P$29*$AG967^7+WeightSDS!Q$29*$AG967^6+WeightSDS!R$29*$AG967^5+WeightSDS!S$29*$AG967^4+WeightSDS!T$29*$AG967^3+WeightSDS!U$29*$AG967^2+WeightSDS!V$29*$AG967+WeightSDS!W$29-0.010431*(1-$AG967/210),IF($AG967&lt;123,WeightSDS!M$30*$AG967^10+WeightSDS!N$30*$AG967^9+WeightSDS!O$30*$AG967^8+WeightSDS!P$30*$AG967^7+WeightSDS!Q$30*$AG967^6+WeightSDS!R$30*$AG967^5+WeightSDS!S$30*$AG967^4+WeightSDS!T$30*$AG967^3+WeightSDS!U$30*$AG967^2+WeightSDS!V$30*$AG967+WeightSDS!W$30-0.010431*(1-1/$AG967),WeightSDS!M$32+WeightSDS!N$32/(1+EXP(WeightSDS!O$32+WeightSDS!P$32*$AG967))-0.010431*(1-$AG967/210))))</f>
        <v>2.9500001032655536</v>
      </c>
      <c r="AK967" s="24">
        <f>IF(D967="M",IF($AG967&lt;162,WeightSDS!P$12*$AG967^7+WeightSDS!Q$12*$AG967^6+WeightSDS!R$12*$AG967^5+WeightSDS!S$12*$AG967^4+WeightSDS!T$12*$AG967^3+WeightSDS!U$12*$AG967^2+WeightSDS!V$12*$AG967+WeightSDS!W$12,WeightSDS!P$14*$AG967^7+WeightSDS!Q$14*$AG967^6+WeightSDS!R$14*$AG967^5+WeightSDS!S$14*$AG967^4+WeightSDS!T$14*$AG967^3+WeightSDS!U$14*$AG967^2+WeightSDS!V$14*$AG967+WeightSDS!W$14),IF($AG967&lt;156,WeightSDS!O$17*$AG967^8+WeightSDS!P$17*$AG967^7+WeightSDS!Q$17*$AG967^6+WeightSDS!R$17*$AG967^5+WeightSDS!S$17*$AG967^4+WeightSDS!T$17*$AG967^3+WeightSDS!U$17*$AG967^2+WeightSDS!V$17*$AG967+WeightSDS!W$17,IF($AG967&lt;186,WeightSDS!$U$18+(WeightSDS!$V$18-WeightSDS!$U$18)/24*($AG967-186)+WeightSDS!$W$18*(-$AG967+186)^2-0.005,WeightSDS!$U$18+(WeightSDS!$V$18-WeightSDS!$U$18)/24*($AG967-186)-0.005)))</f>
        <v>0.14604529399999999</v>
      </c>
    </row>
    <row r="968" spans="1:37">
      <c r="A968" s="4"/>
      <c r="B968" s="21"/>
      <c r="C968" s="21"/>
      <c r="D968" s="21"/>
      <c r="E968" s="22"/>
      <c r="F968" s="22"/>
      <c r="G968" s="23"/>
      <c r="H968" s="23"/>
      <c r="I968" s="8" t="str">
        <f t="shared" si="242"/>
        <v/>
      </c>
      <c r="J968" s="2" t="str">
        <f t="shared" si="247"/>
        <v/>
      </c>
      <c r="K968" s="2" t="str">
        <f t="shared" si="243"/>
        <v/>
      </c>
      <c r="L968" s="2" t="str">
        <f t="shared" si="248"/>
        <v/>
      </c>
      <c r="M968" s="2" t="str">
        <f t="shared" ref="M968:M1002" si="255">IF(COUNTA(D968,E968,F968,G968,H968)=5,H968/G968^2*10000,"")</f>
        <v/>
      </c>
      <c r="N968" s="2" t="str">
        <f t="shared" si="249"/>
        <v/>
      </c>
      <c r="O968" s="8" t="str">
        <f t="shared" si="250"/>
        <v/>
      </c>
      <c r="P968" s="8" t="str">
        <f t="shared" si="251"/>
        <v/>
      </c>
      <c r="Q968" s="40" t="str">
        <f t="shared" si="244"/>
        <v/>
      </c>
      <c r="R968" s="48" t="str">
        <f t="shared" si="252"/>
        <v/>
      </c>
      <c r="S968" s="8"/>
      <c r="U968" s="35">
        <f t="shared" si="253"/>
        <v>0</v>
      </c>
      <c r="V968" s="24">
        <f t="shared" si="254"/>
        <v>0</v>
      </c>
      <c r="W968" s="41">
        <f t="shared" si="241"/>
        <v>0</v>
      </c>
      <c r="X968" s="31"/>
      <c r="Y968" s="31"/>
      <c r="Z968" s="31"/>
      <c r="AA968" s="25">
        <f t="shared" si="245"/>
        <v>9.0359999999999996</v>
      </c>
      <c r="AB968" s="25">
        <f t="shared" si="246"/>
        <v>-184.49199999999999</v>
      </c>
      <c r="AD968" s="24">
        <f>IF(D968="M",IF(AG968&lt;78,BMILMS!$D$5*AG968^3+BMILMS!$E$5*AG968^2+BMILMS!$F$5*AG968+BMILMS!$G$5,IF(AG968&lt;150,BMILMS!$D$6*AG968^3+BMILMS!$E$6*AG968^2+BMILMS!$F$6*AG968+BMILMS!$G$6,BMILMS!$D$7*AG968^3+BMILMS!$E$7*AG968^2+BMILMS!$F$7*AG968+BMILMS!$G$7)),IF(AG968&lt;69,BMILMS!$D$9*AG968^3+BMILMS!$E$9*AG968^2+BMILMS!$F$9*AG968+BMILMS!$G$9,IF(AG968&lt;150,BMILMS!$D$10*AG968^3+BMILMS!$E$10*AG968^2+BMILMS!$F$10*AG968+BMILMS!$G$10,BMILMS!$D$11*AG968^3+BMILMS!$E$11*AG968^2+BMILMS!$F$11*AG968+BMILMS!$G$11)))</f>
        <v>0.79584630099999998</v>
      </c>
      <c r="AE968" s="24">
        <f>IF(D968="M",(IF(AG968&lt;2.5,BMILMS!$D$21*AG968^3+BMILMS!$E$21*AG968^2+BMILMS!$F$21*AG968+BMILMS!$G$21,IF(AG968&lt;9.5,BMILMS!$D$22*AG968^3+BMILMS!$E$22*AG968^2+BMILMS!$F$22*AG968+BMILMS!$G$22,IF(AG968&lt;26.75,BMILMS!$D$23*AG968^3+BMILMS!$E$23*AG968^2+BMILMS!$F$23*AG968+BMILMS!$G$23,IF(AG968&lt;90,BMILMS!$D$24*AG968^3+BMILMS!$E$24*AG968^2+BMILMS!$F$24*AG968+BMILMS!$G$24,BMILMS!$D$25*AG968^3+BMILMS!$E$25*AG968^2+BMILMS!$F$25*AG968+BMILMS!$G$25))))),(IF(AG968&lt;2.5,BMILMS!$D$27*AG968^3+BMILMS!$E$27*AG968^2+BMILMS!$F$27*AG968+BMILMS!$G$27,IF(AG968&lt;9.5,BMILMS!$D$28*AG968^3+BMILMS!$E$28*AG968^2+BMILMS!$F$28*AG968+BMILMS!$G$28,IF(AG968&lt;26.75,BMILMS!$D$29*AG968^3+BMILMS!$E$29*AG968^2+BMILMS!$F$29*AG968+BMILMS!$G$29,IF(AG968&lt;90,BMILMS!$D$30*AG968^3+BMILMS!$E$30*AG968^2+BMILMS!$F$30*AG968+BMILMS!$G$30,IF(AG968&lt;150,BMILMS!$D$31*AG968^3+BMILMS!$E$31*AG968^2+BMILMS!$F$31*AG968+BMILMS!$G$31,BMILMS!$D$32*AG968^3+BMILMS!$E$32*AG968^2+BMILMS!$F$32*AG968+BMILMS!$G$32)))))))</f>
        <v>12.568967990000001</v>
      </c>
      <c r="AF968" s="24">
        <f>IF(D968="M",(IF(AG968&lt;90,BMILMS!$D$14*AG968^3+BMILMS!$E$14*AG968^2+BMILMS!$F$14*AG968+BMILMS!$G$14,BMILMS!$D$15*AG968^3+BMILMS!$E$15*AG968^2+BMILMS!$F$15*AG968+BMILMS!$G$15)),(IF(AG968&lt;90,BMILMS!$D$17*AG968^3+BMILMS!$E$17*AG968^2+BMILMS!$F$17*AG968+BMILMS!$G$17,BMILMS!$D$18*AG968^3+BMILMS!$E$18*AG968^2+BMILMS!$F$18*AG968+BMILMS!$G$18)))</f>
        <v>8.8969350000000003E-2</v>
      </c>
      <c r="AG968" s="24">
        <f t="shared" ref="AG968:AG1002" si="256">U968*12+V968</f>
        <v>0</v>
      </c>
      <c r="AI968" s="38">
        <f>IF(D968="M",WeightSDS!P$5*$AG968^7+WeightSDS!Q$5*$AG968^6+WeightSDS!R$5*$AG968^5+WeightSDS!S$5*$AG968^4+WeightSDS!T$5*$AG968^3+WeightSDS!U$5*$AG968^2+WeightSDS!V$5*$AG968+WeightSDS!W$5,IF($AG968&lt;186,WeightSDS!P$8*$AG968^7+WeightSDS!Q$8*$AG968^6+WeightSDS!R$8*$AG968^5+WeightSDS!S$8*$AG968^4+WeightSDS!T$8*$AG968^3+WeightSDS!U$8*$AG968^2+WeightSDS!V$8*$AG968+WeightSDS!W$8,WeightSDS!$U$9-WeightSDS!$V$9*($AG968-WeightSDS!$W$9)))</f>
        <v>0.75407122999999998</v>
      </c>
      <c r="AJ968" s="24">
        <f>IF(D968="M",IF($AG968&lt;45,WeightSDS!M$23*$AG968^10+WeightSDS!N$23*$AG968^9+WeightSDS!O$23*$AG968^8+WeightSDS!P$23*$AG968^7+WeightSDS!Q$23*$AG968^6+WeightSDS!R$23*$AG968^5+WeightSDS!S$23*$AG968^4+WeightSDS!T$23*$AG968^3+WeightSDS!U$23*$AG968^2+WeightSDS!V$23*$AG968+WeightSDS!W$23,IF($AG968&lt;153,WeightSDS!M$25*$AG968^10+WeightSDS!N$25*$AG968^9+WeightSDS!O$25*$AG968^8+WeightSDS!P$25*$AG968^7+WeightSDS!Q$25*$AG968^6+WeightSDS!R$25*$AG968^5+WeightSDS!S$25*$AG968^4+WeightSDS!T$25*$AG968^3+WeightSDS!U$25*$AG968^2+WeightSDS!V$25*$AG968+WeightSDS!W$25,WeightSDS!M$27+WeightSDS!N$27/(1+EXP(WeightSDS!O$27+WeightSDS!P$27*$AG968)))),IF($AG968&lt;43.8,WeightSDS!M$29*$AG968^10+WeightSDS!N$29*$AG968^9+WeightSDS!O$29*$AG968^8+WeightSDS!P$29*$AG968^7+WeightSDS!Q$29*$AG968^6+WeightSDS!R$29*$AG968^5+WeightSDS!S$29*$AG968^4+WeightSDS!T$29*$AG968^3+WeightSDS!U$29*$AG968^2+WeightSDS!V$29*$AG968+WeightSDS!W$29-0.010431*(1-$AG968/210),IF($AG968&lt;123,WeightSDS!M$30*$AG968^10+WeightSDS!N$30*$AG968^9+WeightSDS!O$30*$AG968^8+WeightSDS!P$30*$AG968^7+WeightSDS!Q$30*$AG968^6+WeightSDS!R$30*$AG968^5+WeightSDS!S$30*$AG968^4+WeightSDS!T$30*$AG968^3+WeightSDS!U$30*$AG968^2+WeightSDS!V$30*$AG968+WeightSDS!W$30-0.010431*(1-1/$AG968),WeightSDS!M$32+WeightSDS!N$32/(1+EXP(WeightSDS!O$32+WeightSDS!P$32*$AG968))-0.010431*(1-$AG968/210))))</f>
        <v>2.9500001032655536</v>
      </c>
      <c r="AK968" s="24">
        <f>IF(D968="M",IF($AG968&lt;162,WeightSDS!P$12*$AG968^7+WeightSDS!Q$12*$AG968^6+WeightSDS!R$12*$AG968^5+WeightSDS!S$12*$AG968^4+WeightSDS!T$12*$AG968^3+WeightSDS!U$12*$AG968^2+WeightSDS!V$12*$AG968+WeightSDS!W$12,WeightSDS!P$14*$AG968^7+WeightSDS!Q$14*$AG968^6+WeightSDS!R$14*$AG968^5+WeightSDS!S$14*$AG968^4+WeightSDS!T$14*$AG968^3+WeightSDS!U$14*$AG968^2+WeightSDS!V$14*$AG968+WeightSDS!W$14),IF($AG968&lt;156,WeightSDS!O$17*$AG968^8+WeightSDS!P$17*$AG968^7+WeightSDS!Q$17*$AG968^6+WeightSDS!R$17*$AG968^5+WeightSDS!S$17*$AG968^4+WeightSDS!T$17*$AG968^3+WeightSDS!U$17*$AG968^2+WeightSDS!V$17*$AG968+WeightSDS!W$17,IF($AG968&lt;186,WeightSDS!$U$18+(WeightSDS!$V$18-WeightSDS!$U$18)/24*($AG968-186)+WeightSDS!$W$18*(-$AG968+186)^2-0.005,WeightSDS!$U$18+(WeightSDS!$V$18-WeightSDS!$U$18)/24*($AG968-186)-0.005)))</f>
        <v>0.14604529399999999</v>
      </c>
    </row>
    <row r="969" spans="1:37">
      <c r="A969" s="4"/>
      <c r="B969" s="21"/>
      <c r="C969" s="21"/>
      <c r="D969" s="21"/>
      <c r="E969" s="22"/>
      <c r="F969" s="22"/>
      <c r="G969" s="23"/>
      <c r="H969" s="23"/>
      <c r="I969" s="8" t="str">
        <f t="shared" si="242"/>
        <v/>
      </c>
      <c r="J969" s="2" t="str">
        <f t="shared" si="247"/>
        <v/>
      </c>
      <c r="K969" s="2" t="str">
        <f t="shared" si="243"/>
        <v/>
      </c>
      <c r="L969" s="2" t="str">
        <f t="shared" si="248"/>
        <v/>
      </c>
      <c r="M969" s="2" t="str">
        <f t="shared" si="255"/>
        <v/>
      </c>
      <c r="N969" s="2" t="str">
        <f t="shared" si="249"/>
        <v/>
      </c>
      <c r="O969" s="8" t="str">
        <f t="shared" si="250"/>
        <v/>
      </c>
      <c r="P969" s="8" t="str">
        <f t="shared" si="251"/>
        <v/>
      </c>
      <c r="Q969" s="40" t="str">
        <f t="shared" si="244"/>
        <v/>
      </c>
      <c r="R969" s="48" t="str">
        <f t="shared" si="252"/>
        <v/>
      </c>
      <c r="S969" s="8"/>
      <c r="U969" s="35">
        <f t="shared" si="253"/>
        <v>0</v>
      </c>
      <c r="V969" s="24">
        <f t="shared" si="254"/>
        <v>0</v>
      </c>
      <c r="W969" s="41">
        <f t="shared" si="241"/>
        <v>0</v>
      </c>
      <c r="X969" s="31"/>
      <c r="Y969" s="31"/>
      <c r="Z969" s="31"/>
      <c r="AA969" s="25">
        <f t="shared" si="245"/>
        <v>9.0359999999999996</v>
      </c>
      <c r="AB969" s="25">
        <f t="shared" si="246"/>
        <v>-184.49199999999999</v>
      </c>
      <c r="AD969" s="24">
        <f>IF(D969="M",IF(AG969&lt;78,BMILMS!$D$5*AG969^3+BMILMS!$E$5*AG969^2+BMILMS!$F$5*AG969+BMILMS!$G$5,IF(AG969&lt;150,BMILMS!$D$6*AG969^3+BMILMS!$E$6*AG969^2+BMILMS!$F$6*AG969+BMILMS!$G$6,BMILMS!$D$7*AG969^3+BMILMS!$E$7*AG969^2+BMILMS!$F$7*AG969+BMILMS!$G$7)),IF(AG969&lt;69,BMILMS!$D$9*AG969^3+BMILMS!$E$9*AG969^2+BMILMS!$F$9*AG969+BMILMS!$G$9,IF(AG969&lt;150,BMILMS!$D$10*AG969^3+BMILMS!$E$10*AG969^2+BMILMS!$F$10*AG969+BMILMS!$G$10,BMILMS!$D$11*AG969^3+BMILMS!$E$11*AG969^2+BMILMS!$F$11*AG969+BMILMS!$G$11)))</f>
        <v>0.79584630099999998</v>
      </c>
      <c r="AE969" s="24">
        <f>IF(D969="M",(IF(AG969&lt;2.5,BMILMS!$D$21*AG969^3+BMILMS!$E$21*AG969^2+BMILMS!$F$21*AG969+BMILMS!$G$21,IF(AG969&lt;9.5,BMILMS!$D$22*AG969^3+BMILMS!$E$22*AG969^2+BMILMS!$F$22*AG969+BMILMS!$G$22,IF(AG969&lt;26.75,BMILMS!$D$23*AG969^3+BMILMS!$E$23*AG969^2+BMILMS!$F$23*AG969+BMILMS!$G$23,IF(AG969&lt;90,BMILMS!$D$24*AG969^3+BMILMS!$E$24*AG969^2+BMILMS!$F$24*AG969+BMILMS!$G$24,BMILMS!$D$25*AG969^3+BMILMS!$E$25*AG969^2+BMILMS!$F$25*AG969+BMILMS!$G$25))))),(IF(AG969&lt;2.5,BMILMS!$D$27*AG969^3+BMILMS!$E$27*AG969^2+BMILMS!$F$27*AG969+BMILMS!$G$27,IF(AG969&lt;9.5,BMILMS!$D$28*AG969^3+BMILMS!$E$28*AG969^2+BMILMS!$F$28*AG969+BMILMS!$G$28,IF(AG969&lt;26.75,BMILMS!$D$29*AG969^3+BMILMS!$E$29*AG969^2+BMILMS!$F$29*AG969+BMILMS!$G$29,IF(AG969&lt;90,BMILMS!$D$30*AG969^3+BMILMS!$E$30*AG969^2+BMILMS!$F$30*AG969+BMILMS!$G$30,IF(AG969&lt;150,BMILMS!$D$31*AG969^3+BMILMS!$E$31*AG969^2+BMILMS!$F$31*AG969+BMILMS!$G$31,BMILMS!$D$32*AG969^3+BMILMS!$E$32*AG969^2+BMILMS!$F$32*AG969+BMILMS!$G$32)))))))</f>
        <v>12.568967990000001</v>
      </c>
      <c r="AF969" s="24">
        <f>IF(D969="M",(IF(AG969&lt;90,BMILMS!$D$14*AG969^3+BMILMS!$E$14*AG969^2+BMILMS!$F$14*AG969+BMILMS!$G$14,BMILMS!$D$15*AG969^3+BMILMS!$E$15*AG969^2+BMILMS!$F$15*AG969+BMILMS!$G$15)),(IF(AG969&lt;90,BMILMS!$D$17*AG969^3+BMILMS!$E$17*AG969^2+BMILMS!$F$17*AG969+BMILMS!$G$17,BMILMS!$D$18*AG969^3+BMILMS!$E$18*AG969^2+BMILMS!$F$18*AG969+BMILMS!$G$18)))</f>
        <v>8.8969350000000003E-2</v>
      </c>
      <c r="AG969" s="24">
        <f t="shared" si="256"/>
        <v>0</v>
      </c>
      <c r="AI969" s="38">
        <f>IF(D969="M",WeightSDS!P$5*$AG969^7+WeightSDS!Q$5*$AG969^6+WeightSDS!R$5*$AG969^5+WeightSDS!S$5*$AG969^4+WeightSDS!T$5*$AG969^3+WeightSDS!U$5*$AG969^2+WeightSDS!V$5*$AG969+WeightSDS!W$5,IF($AG969&lt;186,WeightSDS!P$8*$AG969^7+WeightSDS!Q$8*$AG969^6+WeightSDS!R$8*$AG969^5+WeightSDS!S$8*$AG969^4+WeightSDS!T$8*$AG969^3+WeightSDS!U$8*$AG969^2+WeightSDS!V$8*$AG969+WeightSDS!W$8,WeightSDS!$U$9-WeightSDS!$V$9*($AG969-WeightSDS!$W$9)))</f>
        <v>0.75407122999999998</v>
      </c>
      <c r="AJ969" s="24">
        <f>IF(D969="M",IF($AG969&lt;45,WeightSDS!M$23*$AG969^10+WeightSDS!N$23*$AG969^9+WeightSDS!O$23*$AG969^8+WeightSDS!P$23*$AG969^7+WeightSDS!Q$23*$AG969^6+WeightSDS!R$23*$AG969^5+WeightSDS!S$23*$AG969^4+WeightSDS!T$23*$AG969^3+WeightSDS!U$23*$AG969^2+WeightSDS!V$23*$AG969+WeightSDS!W$23,IF($AG969&lt;153,WeightSDS!M$25*$AG969^10+WeightSDS!N$25*$AG969^9+WeightSDS!O$25*$AG969^8+WeightSDS!P$25*$AG969^7+WeightSDS!Q$25*$AG969^6+WeightSDS!R$25*$AG969^5+WeightSDS!S$25*$AG969^4+WeightSDS!T$25*$AG969^3+WeightSDS!U$25*$AG969^2+WeightSDS!V$25*$AG969+WeightSDS!W$25,WeightSDS!M$27+WeightSDS!N$27/(1+EXP(WeightSDS!O$27+WeightSDS!P$27*$AG969)))),IF($AG969&lt;43.8,WeightSDS!M$29*$AG969^10+WeightSDS!N$29*$AG969^9+WeightSDS!O$29*$AG969^8+WeightSDS!P$29*$AG969^7+WeightSDS!Q$29*$AG969^6+WeightSDS!R$29*$AG969^5+WeightSDS!S$29*$AG969^4+WeightSDS!T$29*$AG969^3+WeightSDS!U$29*$AG969^2+WeightSDS!V$29*$AG969+WeightSDS!W$29-0.010431*(1-$AG969/210),IF($AG969&lt;123,WeightSDS!M$30*$AG969^10+WeightSDS!N$30*$AG969^9+WeightSDS!O$30*$AG969^8+WeightSDS!P$30*$AG969^7+WeightSDS!Q$30*$AG969^6+WeightSDS!R$30*$AG969^5+WeightSDS!S$30*$AG969^4+WeightSDS!T$30*$AG969^3+WeightSDS!U$30*$AG969^2+WeightSDS!V$30*$AG969+WeightSDS!W$30-0.010431*(1-1/$AG969),WeightSDS!M$32+WeightSDS!N$32/(1+EXP(WeightSDS!O$32+WeightSDS!P$32*$AG969))-0.010431*(1-$AG969/210))))</f>
        <v>2.9500001032655536</v>
      </c>
      <c r="AK969" s="24">
        <f>IF(D969="M",IF($AG969&lt;162,WeightSDS!P$12*$AG969^7+WeightSDS!Q$12*$AG969^6+WeightSDS!R$12*$AG969^5+WeightSDS!S$12*$AG969^4+WeightSDS!T$12*$AG969^3+WeightSDS!U$12*$AG969^2+WeightSDS!V$12*$AG969+WeightSDS!W$12,WeightSDS!P$14*$AG969^7+WeightSDS!Q$14*$AG969^6+WeightSDS!R$14*$AG969^5+WeightSDS!S$14*$AG969^4+WeightSDS!T$14*$AG969^3+WeightSDS!U$14*$AG969^2+WeightSDS!V$14*$AG969+WeightSDS!W$14),IF($AG969&lt;156,WeightSDS!O$17*$AG969^8+WeightSDS!P$17*$AG969^7+WeightSDS!Q$17*$AG969^6+WeightSDS!R$17*$AG969^5+WeightSDS!S$17*$AG969^4+WeightSDS!T$17*$AG969^3+WeightSDS!U$17*$AG969^2+WeightSDS!V$17*$AG969+WeightSDS!W$17,IF($AG969&lt;186,WeightSDS!$U$18+(WeightSDS!$V$18-WeightSDS!$U$18)/24*($AG969-186)+WeightSDS!$W$18*(-$AG969+186)^2-0.005,WeightSDS!$U$18+(WeightSDS!$V$18-WeightSDS!$U$18)/24*($AG969-186)-0.005)))</f>
        <v>0.14604529399999999</v>
      </c>
    </row>
    <row r="970" spans="1:37">
      <c r="A970" s="4"/>
      <c r="B970" s="21"/>
      <c r="C970" s="21"/>
      <c r="D970" s="21"/>
      <c r="E970" s="22"/>
      <c r="F970" s="22"/>
      <c r="G970" s="23"/>
      <c r="H970" s="23"/>
      <c r="I970" s="8" t="str">
        <f t="shared" si="242"/>
        <v/>
      </c>
      <c r="J970" s="2" t="str">
        <f t="shared" si="247"/>
        <v/>
      </c>
      <c r="K970" s="2" t="str">
        <f t="shared" si="243"/>
        <v/>
      </c>
      <c r="L970" s="2" t="str">
        <f t="shared" si="248"/>
        <v/>
      </c>
      <c r="M970" s="2" t="str">
        <f t="shared" si="255"/>
        <v/>
      </c>
      <c r="N970" s="2" t="str">
        <f t="shared" si="249"/>
        <v/>
      </c>
      <c r="O970" s="8" t="str">
        <f t="shared" si="250"/>
        <v/>
      </c>
      <c r="P970" s="8" t="str">
        <f t="shared" si="251"/>
        <v/>
      </c>
      <c r="Q970" s="40" t="str">
        <f t="shared" si="244"/>
        <v/>
      </c>
      <c r="R970" s="48" t="str">
        <f t="shared" si="252"/>
        <v/>
      </c>
      <c r="S970" s="8"/>
      <c r="U970" s="35">
        <f t="shared" si="253"/>
        <v>0</v>
      </c>
      <c r="V970" s="24">
        <f t="shared" si="254"/>
        <v>0</v>
      </c>
      <c r="W970" s="41">
        <f t="shared" si="241"/>
        <v>0</v>
      </c>
      <c r="X970" s="31"/>
      <c r="Y970" s="31"/>
      <c r="Z970" s="31"/>
      <c r="AA970" s="25">
        <f t="shared" si="245"/>
        <v>9.0359999999999996</v>
      </c>
      <c r="AB970" s="25">
        <f t="shared" si="246"/>
        <v>-184.49199999999999</v>
      </c>
      <c r="AD970" s="24">
        <f>IF(D970="M",IF(AG970&lt;78,BMILMS!$D$5*AG970^3+BMILMS!$E$5*AG970^2+BMILMS!$F$5*AG970+BMILMS!$G$5,IF(AG970&lt;150,BMILMS!$D$6*AG970^3+BMILMS!$E$6*AG970^2+BMILMS!$F$6*AG970+BMILMS!$G$6,BMILMS!$D$7*AG970^3+BMILMS!$E$7*AG970^2+BMILMS!$F$7*AG970+BMILMS!$G$7)),IF(AG970&lt;69,BMILMS!$D$9*AG970^3+BMILMS!$E$9*AG970^2+BMILMS!$F$9*AG970+BMILMS!$G$9,IF(AG970&lt;150,BMILMS!$D$10*AG970^3+BMILMS!$E$10*AG970^2+BMILMS!$F$10*AG970+BMILMS!$G$10,BMILMS!$D$11*AG970^3+BMILMS!$E$11*AG970^2+BMILMS!$F$11*AG970+BMILMS!$G$11)))</f>
        <v>0.79584630099999998</v>
      </c>
      <c r="AE970" s="24">
        <f>IF(D970="M",(IF(AG970&lt;2.5,BMILMS!$D$21*AG970^3+BMILMS!$E$21*AG970^2+BMILMS!$F$21*AG970+BMILMS!$G$21,IF(AG970&lt;9.5,BMILMS!$D$22*AG970^3+BMILMS!$E$22*AG970^2+BMILMS!$F$22*AG970+BMILMS!$G$22,IF(AG970&lt;26.75,BMILMS!$D$23*AG970^3+BMILMS!$E$23*AG970^2+BMILMS!$F$23*AG970+BMILMS!$G$23,IF(AG970&lt;90,BMILMS!$D$24*AG970^3+BMILMS!$E$24*AG970^2+BMILMS!$F$24*AG970+BMILMS!$G$24,BMILMS!$D$25*AG970^3+BMILMS!$E$25*AG970^2+BMILMS!$F$25*AG970+BMILMS!$G$25))))),(IF(AG970&lt;2.5,BMILMS!$D$27*AG970^3+BMILMS!$E$27*AG970^2+BMILMS!$F$27*AG970+BMILMS!$G$27,IF(AG970&lt;9.5,BMILMS!$D$28*AG970^3+BMILMS!$E$28*AG970^2+BMILMS!$F$28*AG970+BMILMS!$G$28,IF(AG970&lt;26.75,BMILMS!$D$29*AG970^3+BMILMS!$E$29*AG970^2+BMILMS!$F$29*AG970+BMILMS!$G$29,IF(AG970&lt;90,BMILMS!$D$30*AG970^3+BMILMS!$E$30*AG970^2+BMILMS!$F$30*AG970+BMILMS!$G$30,IF(AG970&lt;150,BMILMS!$D$31*AG970^3+BMILMS!$E$31*AG970^2+BMILMS!$F$31*AG970+BMILMS!$G$31,BMILMS!$D$32*AG970^3+BMILMS!$E$32*AG970^2+BMILMS!$F$32*AG970+BMILMS!$G$32)))))))</f>
        <v>12.568967990000001</v>
      </c>
      <c r="AF970" s="24">
        <f>IF(D970="M",(IF(AG970&lt;90,BMILMS!$D$14*AG970^3+BMILMS!$E$14*AG970^2+BMILMS!$F$14*AG970+BMILMS!$G$14,BMILMS!$D$15*AG970^3+BMILMS!$E$15*AG970^2+BMILMS!$F$15*AG970+BMILMS!$G$15)),(IF(AG970&lt;90,BMILMS!$D$17*AG970^3+BMILMS!$E$17*AG970^2+BMILMS!$F$17*AG970+BMILMS!$G$17,BMILMS!$D$18*AG970^3+BMILMS!$E$18*AG970^2+BMILMS!$F$18*AG970+BMILMS!$G$18)))</f>
        <v>8.8969350000000003E-2</v>
      </c>
      <c r="AG970" s="24">
        <f t="shared" si="256"/>
        <v>0</v>
      </c>
      <c r="AI970" s="38">
        <f>IF(D970="M",WeightSDS!P$5*$AG970^7+WeightSDS!Q$5*$AG970^6+WeightSDS!R$5*$AG970^5+WeightSDS!S$5*$AG970^4+WeightSDS!T$5*$AG970^3+WeightSDS!U$5*$AG970^2+WeightSDS!V$5*$AG970+WeightSDS!W$5,IF($AG970&lt;186,WeightSDS!P$8*$AG970^7+WeightSDS!Q$8*$AG970^6+WeightSDS!R$8*$AG970^5+WeightSDS!S$8*$AG970^4+WeightSDS!T$8*$AG970^3+WeightSDS!U$8*$AG970^2+WeightSDS!V$8*$AG970+WeightSDS!W$8,WeightSDS!$U$9-WeightSDS!$V$9*($AG970-WeightSDS!$W$9)))</f>
        <v>0.75407122999999998</v>
      </c>
      <c r="AJ970" s="24">
        <f>IF(D970="M",IF($AG970&lt;45,WeightSDS!M$23*$AG970^10+WeightSDS!N$23*$AG970^9+WeightSDS!O$23*$AG970^8+WeightSDS!P$23*$AG970^7+WeightSDS!Q$23*$AG970^6+WeightSDS!R$23*$AG970^5+WeightSDS!S$23*$AG970^4+WeightSDS!T$23*$AG970^3+WeightSDS!U$23*$AG970^2+WeightSDS!V$23*$AG970+WeightSDS!W$23,IF($AG970&lt;153,WeightSDS!M$25*$AG970^10+WeightSDS!N$25*$AG970^9+WeightSDS!O$25*$AG970^8+WeightSDS!P$25*$AG970^7+WeightSDS!Q$25*$AG970^6+WeightSDS!R$25*$AG970^5+WeightSDS!S$25*$AG970^4+WeightSDS!T$25*$AG970^3+WeightSDS!U$25*$AG970^2+WeightSDS!V$25*$AG970+WeightSDS!W$25,WeightSDS!M$27+WeightSDS!N$27/(1+EXP(WeightSDS!O$27+WeightSDS!P$27*$AG970)))),IF($AG970&lt;43.8,WeightSDS!M$29*$AG970^10+WeightSDS!N$29*$AG970^9+WeightSDS!O$29*$AG970^8+WeightSDS!P$29*$AG970^7+WeightSDS!Q$29*$AG970^6+WeightSDS!R$29*$AG970^5+WeightSDS!S$29*$AG970^4+WeightSDS!T$29*$AG970^3+WeightSDS!U$29*$AG970^2+WeightSDS!V$29*$AG970+WeightSDS!W$29-0.010431*(1-$AG970/210),IF($AG970&lt;123,WeightSDS!M$30*$AG970^10+WeightSDS!N$30*$AG970^9+WeightSDS!O$30*$AG970^8+WeightSDS!P$30*$AG970^7+WeightSDS!Q$30*$AG970^6+WeightSDS!R$30*$AG970^5+WeightSDS!S$30*$AG970^4+WeightSDS!T$30*$AG970^3+WeightSDS!U$30*$AG970^2+WeightSDS!V$30*$AG970+WeightSDS!W$30-0.010431*(1-1/$AG970),WeightSDS!M$32+WeightSDS!N$32/(1+EXP(WeightSDS!O$32+WeightSDS!P$32*$AG970))-0.010431*(1-$AG970/210))))</f>
        <v>2.9500001032655536</v>
      </c>
      <c r="AK970" s="24">
        <f>IF(D970="M",IF($AG970&lt;162,WeightSDS!P$12*$AG970^7+WeightSDS!Q$12*$AG970^6+WeightSDS!R$12*$AG970^5+WeightSDS!S$12*$AG970^4+WeightSDS!T$12*$AG970^3+WeightSDS!U$12*$AG970^2+WeightSDS!V$12*$AG970+WeightSDS!W$12,WeightSDS!P$14*$AG970^7+WeightSDS!Q$14*$AG970^6+WeightSDS!R$14*$AG970^5+WeightSDS!S$14*$AG970^4+WeightSDS!T$14*$AG970^3+WeightSDS!U$14*$AG970^2+WeightSDS!V$14*$AG970+WeightSDS!W$14),IF($AG970&lt;156,WeightSDS!O$17*$AG970^8+WeightSDS!P$17*$AG970^7+WeightSDS!Q$17*$AG970^6+WeightSDS!R$17*$AG970^5+WeightSDS!S$17*$AG970^4+WeightSDS!T$17*$AG970^3+WeightSDS!U$17*$AG970^2+WeightSDS!V$17*$AG970+WeightSDS!W$17,IF($AG970&lt;186,WeightSDS!$U$18+(WeightSDS!$V$18-WeightSDS!$U$18)/24*($AG970-186)+WeightSDS!$W$18*(-$AG970+186)^2-0.005,WeightSDS!$U$18+(WeightSDS!$V$18-WeightSDS!$U$18)/24*($AG970-186)-0.005)))</f>
        <v>0.14604529399999999</v>
      </c>
    </row>
    <row r="971" spans="1:37">
      <c r="A971" s="4"/>
      <c r="B971" s="21"/>
      <c r="C971" s="21"/>
      <c r="D971" s="21"/>
      <c r="E971" s="22"/>
      <c r="F971" s="22"/>
      <c r="G971" s="23"/>
      <c r="H971" s="23"/>
      <c r="I971" s="8" t="str">
        <f t="shared" si="242"/>
        <v/>
      </c>
      <c r="J971" s="2" t="str">
        <f t="shared" si="247"/>
        <v/>
      </c>
      <c r="K971" s="2" t="str">
        <f t="shared" si="243"/>
        <v/>
      </c>
      <c r="L971" s="2" t="str">
        <f t="shared" si="248"/>
        <v/>
      </c>
      <c r="M971" s="2" t="str">
        <f t="shared" si="255"/>
        <v/>
      </c>
      <c r="N971" s="2" t="str">
        <f t="shared" si="249"/>
        <v/>
      </c>
      <c r="O971" s="8" t="str">
        <f t="shared" si="250"/>
        <v/>
      </c>
      <c r="P971" s="8" t="str">
        <f t="shared" si="251"/>
        <v/>
      </c>
      <c r="Q971" s="40" t="str">
        <f t="shared" si="244"/>
        <v/>
      </c>
      <c r="R971" s="48" t="str">
        <f t="shared" si="252"/>
        <v/>
      </c>
      <c r="S971" s="8"/>
      <c r="U971" s="35">
        <f t="shared" si="253"/>
        <v>0</v>
      </c>
      <c r="V971" s="24">
        <f t="shared" si="254"/>
        <v>0</v>
      </c>
      <c r="W971" s="41">
        <f t="shared" si="241"/>
        <v>0</v>
      </c>
      <c r="X971" s="31"/>
      <c r="Y971" s="31"/>
      <c r="Z971" s="31"/>
      <c r="AA971" s="25">
        <f t="shared" si="245"/>
        <v>9.0359999999999996</v>
      </c>
      <c r="AB971" s="25">
        <f t="shared" si="246"/>
        <v>-184.49199999999999</v>
      </c>
      <c r="AD971" s="24">
        <f>IF(D971="M",IF(AG971&lt;78,BMILMS!$D$5*AG971^3+BMILMS!$E$5*AG971^2+BMILMS!$F$5*AG971+BMILMS!$G$5,IF(AG971&lt;150,BMILMS!$D$6*AG971^3+BMILMS!$E$6*AG971^2+BMILMS!$F$6*AG971+BMILMS!$G$6,BMILMS!$D$7*AG971^3+BMILMS!$E$7*AG971^2+BMILMS!$F$7*AG971+BMILMS!$G$7)),IF(AG971&lt;69,BMILMS!$D$9*AG971^3+BMILMS!$E$9*AG971^2+BMILMS!$F$9*AG971+BMILMS!$G$9,IF(AG971&lt;150,BMILMS!$D$10*AG971^3+BMILMS!$E$10*AG971^2+BMILMS!$F$10*AG971+BMILMS!$G$10,BMILMS!$D$11*AG971^3+BMILMS!$E$11*AG971^2+BMILMS!$F$11*AG971+BMILMS!$G$11)))</f>
        <v>0.79584630099999998</v>
      </c>
      <c r="AE971" s="24">
        <f>IF(D971="M",(IF(AG971&lt;2.5,BMILMS!$D$21*AG971^3+BMILMS!$E$21*AG971^2+BMILMS!$F$21*AG971+BMILMS!$G$21,IF(AG971&lt;9.5,BMILMS!$D$22*AG971^3+BMILMS!$E$22*AG971^2+BMILMS!$F$22*AG971+BMILMS!$G$22,IF(AG971&lt;26.75,BMILMS!$D$23*AG971^3+BMILMS!$E$23*AG971^2+BMILMS!$F$23*AG971+BMILMS!$G$23,IF(AG971&lt;90,BMILMS!$D$24*AG971^3+BMILMS!$E$24*AG971^2+BMILMS!$F$24*AG971+BMILMS!$G$24,BMILMS!$D$25*AG971^3+BMILMS!$E$25*AG971^2+BMILMS!$F$25*AG971+BMILMS!$G$25))))),(IF(AG971&lt;2.5,BMILMS!$D$27*AG971^3+BMILMS!$E$27*AG971^2+BMILMS!$F$27*AG971+BMILMS!$G$27,IF(AG971&lt;9.5,BMILMS!$D$28*AG971^3+BMILMS!$E$28*AG971^2+BMILMS!$F$28*AG971+BMILMS!$G$28,IF(AG971&lt;26.75,BMILMS!$D$29*AG971^3+BMILMS!$E$29*AG971^2+BMILMS!$F$29*AG971+BMILMS!$G$29,IF(AG971&lt;90,BMILMS!$D$30*AG971^3+BMILMS!$E$30*AG971^2+BMILMS!$F$30*AG971+BMILMS!$G$30,IF(AG971&lt;150,BMILMS!$D$31*AG971^3+BMILMS!$E$31*AG971^2+BMILMS!$F$31*AG971+BMILMS!$G$31,BMILMS!$D$32*AG971^3+BMILMS!$E$32*AG971^2+BMILMS!$F$32*AG971+BMILMS!$G$32)))))))</f>
        <v>12.568967990000001</v>
      </c>
      <c r="AF971" s="24">
        <f>IF(D971="M",(IF(AG971&lt;90,BMILMS!$D$14*AG971^3+BMILMS!$E$14*AG971^2+BMILMS!$F$14*AG971+BMILMS!$G$14,BMILMS!$D$15*AG971^3+BMILMS!$E$15*AG971^2+BMILMS!$F$15*AG971+BMILMS!$G$15)),(IF(AG971&lt;90,BMILMS!$D$17*AG971^3+BMILMS!$E$17*AG971^2+BMILMS!$F$17*AG971+BMILMS!$G$17,BMILMS!$D$18*AG971^3+BMILMS!$E$18*AG971^2+BMILMS!$F$18*AG971+BMILMS!$G$18)))</f>
        <v>8.8969350000000003E-2</v>
      </c>
      <c r="AG971" s="24">
        <f t="shared" si="256"/>
        <v>0</v>
      </c>
      <c r="AI971" s="38">
        <f>IF(D971="M",WeightSDS!P$5*$AG971^7+WeightSDS!Q$5*$AG971^6+WeightSDS!R$5*$AG971^5+WeightSDS!S$5*$AG971^4+WeightSDS!T$5*$AG971^3+WeightSDS!U$5*$AG971^2+WeightSDS!V$5*$AG971+WeightSDS!W$5,IF($AG971&lt;186,WeightSDS!P$8*$AG971^7+WeightSDS!Q$8*$AG971^6+WeightSDS!R$8*$AG971^5+WeightSDS!S$8*$AG971^4+WeightSDS!T$8*$AG971^3+WeightSDS!U$8*$AG971^2+WeightSDS!V$8*$AG971+WeightSDS!W$8,WeightSDS!$U$9-WeightSDS!$V$9*($AG971-WeightSDS!$W$9)))</f>
        <v>0.75407122999999998</v>
      </c>
      <c r="AJ971" s="24">
        <f>IF(D971="M",IF($AG971&lt;45,WeightSDS!M$23*$AG971^10+WeightSDS!N$23*$AG971^9+WeightSDS!O$23*$AG971^8+WeightSDS!P$23*$AG971^7+WeightSDS!Q$23*$AG971^6+WeightSDS!R$23*$AG971^5+WeightSDS!S$23*$AG971^4+WeightSDS!T$23*$AG971^3+WeightSDS!U$23*$AG971^2+WeightSDS!V$23*$AG971+WeightSDS!W$23,IF($AG971&lt;153,WeightSDS!M$25*$AG971^10+WeightSDS!N$25*$AG971^9+WeightSDS!O$25*$AG971^8+WeightSDS!P$25*$AG971^7+WeightSDS!Q$25*$AG971^6+WeightSDS!R$25*$AG971^5+WeightSDS!S$25*$AG971^4+WeightSDS!T$25*$AG971^3+WeightSDS!U$25*$AG971^2+WeightSDS!V$25*$AG971+WeightSDS!W$25,WeightSDS!M$27+WeightSDS!N$27/(1+EXP(WeightSDS!O$27+WeightSDS!P$27*$AG971)))),IF($AG971&lt;43.8,WeightSDS!M$29*$AG971^10+WeightSDS!N$29*$AG971^9+WeightSDS!O$29*$AG971^8+WeightSDS!P$29*$AG971^7+WeightSDS!Q$29*$AG971^6+WeightSDS!R$29*$AG971^5+WeightSDS!S$29*$AG971^4+WeightSDS!T$29*$AG971^3+WeightSDS!U$29*$AG971^2+WeightSDS!V$29*$AG971+WeightSDS!W$29-0.010431*(1-$AG971/210),IF($AG971&lt;123,WeightSDS!M$30*$AG971^10+WeightSDS!N$30*$AG971^9+WeightSDS!O$30*$AG971^8+WeightSDS!P$30*$AG971^7+WeightSDS!Q$30*$AG971^6+WeightSDS!R$30*$AG971^5+WeightSDS!S$30*$AG971^4+WeightSDS!T$30*$AG971^3+WeightSDS!U$30*$AG971^2+WeightSDS!V$30*$AG971+WeightSDS!W$30-0.010431*(1-1/$AG971),WeightSDS!M$32+WeightSDS!N$32/(1+EXP(WeightSDS!O$32+WeightSDS!P$32*$AG971))-0.010431*(1-$AG971/210))))</f>
        <v>2.9500001032655536</v>
      </c>
      <c r="AK971" s="24">
        <f>IF(D971="M",IF($AG971&lt;162,WeightSDS!P$12*$AG971^7+WeightSDS!Q$12*$AG971^6+WeightSDS!R$12*$AG971^5+WeightSDS!S$12*$AG971^4+WeightSDS!T$12*$AG971^3+WeightSDS!U$12*$AG971^2+WeightSDS!V$12*$AG971+WeightSDS!W$12,WeightSDS!P$14*$AG971^7+WeightSDS!Q$14*$AG971^6+WeightSDS!R$14*$AG971^5+WeightSDS!S$14*$AG971^4+WeightSDS!T$14*$AG971^3+WeightSDS!U$14*$AG971^2+WeightSDS!V$14*$AG971+WeightSDS!W$14),IF($AG971&lt;156,WeightSDS!O$17*$AG971^8+WeightSDS!P$17*$AG971^7+WeightSDS!Q$17*$AG971^6+WeightSDS!R$17*$AG971^5+WeightSDS!S$17*$AG971^4+WeightSDS!T$17*$AG971^3+WeightSDS!U$17*$AG971^2+WeightSDS!V$17*$AG971+WeightSDS!W$17,IF($AG971&lt;186,WeightSDS!$U$18+(WeightSDS!$V$18-WeightSDS!$U$18)/24*($AG971-186)+WeightSDS!$W$18*(-$AG971+186)^2-0.005,WeightSDS!$U$18+(WeightSDS!$V$18-WeightSDS!$U$18)/24*($AG971-186)-0.005)))</f>
        <v>0.14604529399999999</v>
      </c>
    </row>
    <row r="972" spans="1:37">
      <c r="A972" s="4"/>
      <c r="B972" s="21"/>
      <c r="C972" s="21"/>
      <c r="D972" s="21"/>
      <c r="E972" s="22"/>
      <c r="F972" s="22"/>
      <c r="G972" s="23"/>
      <c r="H972" s="23"/>
      <c r="I972" s="8" t="str">
        <f t="shared" si="242"/>
        <v/>
      </c>
      <c r="J972" s="2" t="str">
        <f t="shared" si="247"/>
        <v/>
      </c>
      <c r="K972" s="2" t="str">
        <f t="shared" si="243"/>
        <v/>
      </c>
      <c r="L972" s="2" t="str">
        <f t="shared" si="248"/>
        <v/>
      </c>
      <c r="M972" s="2" t="str">
        <f t="shared" si="255"/>
        <v/>
      </c>
      <c r="N972" s="2" t="str">
        <f t="shared" si="249"/>
        <v/>
      </c>
      <c r="O972" s="8" t="str">
        <f t="shared" si="250"/>
        <v/>
      </c>
      <c r="P972" s="8" t="str">
        <f t="shared" si="251"/>
        <v/>
      </c>
      <c r="Q972" s="40" t="str">
        <f t="shared" si="244"/>
        <v/>
      </c>
      <c r="R972" s="48" t="str">
        <f t="shared" si="252"/>
        <v/>
      </c>
      <c r="S972" s="8"/>
      <c r="U972" s="35">
        <f t="shared" si="253"/>
        <v>0</v>
      </c>
      <c r="V972" s="24">
        <f t="shared" si="254"/>
        <v>0</v>
      </c>
      <c r="W972" s="41">
        <f t="shared" si="241"/>
        <v>0</v>
      </c>
      <c r="X972" s="31"/>
      <c r="Y972" s="31"/>
      <c r="Z972" s="31"/>
      <c r="AA972" s="25">
        <f t="shared" si="245"/>
        <v>9.0359999999999996</v>
      </c>
      <c r="AB972" s="25">
        <f t="shared" si="246"/>
        <v>-184.49199999999999</v>
      </c>
      <c r="AD972" s="24">
        <f>IF(D972="M",IF(AG972&lt;78,BMILMS!$D$5*AG972^3+BMILMS!$E$5*AG972^2+BMILMS!$F$5*AG972+BMILMS!$G$5,IF(AG972&lt;150,BMILMS!$D$6*AG972^3+BMILMS!$E$6*AG972^2+BMILMS!$F$6*AG972+BMILMS!$G$6,BMILMS!$D$7*AG972^3+BMILMS!$E$7*AG972^2+BMILMS!$F$7*AG972+BMILMS!$G$7)),IF(AG972&lt;69,BMILMS!$D$9*AG972^3+BMILMS!$E$9*AG972^2+BMILMS!$F$9*AG972+BMILMS!$G$9,IF(AG972&lt;150,BMILMS!$D$10*AG972^3+BMILMS!$E$10*AG972^2+BMILMS!$F$10*AG972+BMILMS!$G$10,BMILMS!$D$11*AG972^3+BMILMS!$E$11*AG972^2+BMILMS!$F$11*AG972+BMILMS!$G$11)))</f>
        <v>0.79584630099999998</v>
      </c>
      <c r="AE972" s="24">
        <f>IF(D972="M",(IF(AG972&lt;2.5,BMILMS!$D$21*AG972^3+BMILMS!$E$21*AG972^2+BMILMS!$F$21*AG972+BMILMS!$G$21,IF(AG972&lt;9.5,BMILMS!$D$22*AG972^3+BMILMS!$E$22*AG972^2+BMILMS!$F$22*AG972+BMILMS!$G$22,IF(AG972&lt;26.75,BMILMS!$D$23*AG972^3+BMILMS!$E$23*AG972^2+BMILMS!$F$23*AG972+BMILMS!$G$23,IF(AG972&lt;90,BMILMS!$D$24*AG972^3+BMILMS!$E$24*AG972^2+BMILMS!$F$24*AG972+BMILMS!$G$24,BMILMS!$D$25*AG972^3+BMILMS!$E$25*AG972^2+BMILMS!$F$25*AG972+BMILMS!$G$25))))),(IF(AG972&lt;2.5,BMILMS!$D$27*AG972^3+BMILMS!$E$27*AG972^2+BMILMS!$F$27*AG972+BMILMS!$G$27,IF(AG972&lt;9.5,BMILMS!$D$28*AG972^3+BMILMS!$E$28*AG972^2+BMILMS!$F$28*AG972+BMILMS!$G$28,IF(AG972&lt;26.75,BMILMS!$D$29*AG972^3+BMILMS!$E$29*AG972^2+BMILMS!$F$29*AG972+BMILMS!$G$29,IF(AG972&lt;90,BMILMS!$D$30*AG972^3+BMILMS!$E$30*AG972^2+BMILMS!$F$30*AG972+BMILMS!$G$30,IF(AG972&lt;150,BMILMS!$D$31*AG972^3+BMILMS!$E$31*AG972^2+BMILMS!$F$31*AG972+BMILMS!$G$31,BMILMS!$D$32*AG972^3+BMILMS!$E$32*AG972^2+BMILMS!$F$32*AG972+BMILMS!$G$32)))))))</f>
        <v>12.568967990000001</v>
      </c>
      <c r="AF972" s="24">
        <f>IF(D972="M",(IF(AG972&lt;90,BMILMS!$D$14*AG972^3+BMILMS!$E$14*AG972^2+BMILMS!$F$14*AG972+BMILMS!$G$14,BMILMS!$D$15*AG972^3+BMILMS!$E$15*AG972^2+BMILMS!$F$15*AG972+BMILMS!$G$15)),(IF(AG972&lt;90,BMILMS!$D$17*AG972^3+BMILMS!$E$17*AG972^2+BMILMS!$F$17*AG972+BMILMS!$G$17,BMILMS!$D$18*AG972^3+BMILMS!$E$18*AG972^2+BMILMS!$F$18*AG972+BMILMS!$G$18)))</f>
        <v>8.8969350000000003E-2</v>
      </c>
      <c r="AG972" s="24">
        <f t="shared" si="256"/>
        <v>0</v>
      </c>
      <c r="AI972" s="38">
        <f>IF(D972="M",WeightSDS!P$5*$AG972^7+WeightSDS!Q$5*$AG972^6+WeightSDS!R$5*$AG972^5+WeightSDS!S$5*$AG972^4+WeightSDS!T$5*$AG972^3+WeightSDS!U$5*$AG972^2+WeightSDS!V$5*$AG972+WeightSDS!W$5,IF($AG972&lt;186,WeightSDS!P$8*$AG972^7+WeightSDS!Q$8*$AG972^6+WeightSDS!R$8*$AG972^5+WeightSDS!S$8*$AG972^4+WeightSDS!T$8*$AG972^3+WeightSDS!U$8*$AG972^2+WeightSDS!V$8*$AG972+WeightSDS!W$8,WeightSDS!$U$9-WeightSDS!$V$9*($AG972-WeightSDS!$W$9)))</f>
        <v>0.75407122999999998</v>
      </c>
      <c r="AJ972" s="24">
        <f>IF(D972="M",IF($AG972&lt;45,WeightSDS!M$23*$AG972^10+WeightSDS!N$23*$AG972^9+WeightSDS!O$23*$AG972^8+WeightSDS!P$23*$AG972^7+WeightSDS!Q$23*$AG972^6+WeightSDS!R$23*$AG972^5+WeightSDS!S$23*$AG972^4+WeightSDS!T$23*$AG972^3+WeightSDS!U$23*$AG972^2+WeightSDS!V$23*$AG972+WeightSDS!W$23,IF($AG972&lt;153,WeightSDS!M$25*$AG972^10+WeightSDS!N$25*$AG972^9+WeightSDS!O$25*$AG972^8+WeightSDS!P$25*$AG972^7+WeightSDS!Q$25*$AG972^6+WeightSDS!R$25*$AG972^5+WeightSDS!S$25*$AG972^4+WeightSDS!T$25*$AG972^3+WeightSDS!U$25*$AG972^2+WeightSDS!V$25*$AG972+WeightSDS!W$25,WeightSDS!M$27+WeightSDS!N$27/(1+EXP(WeightSDS!O$27+WeightSDS!P$27*$AG972)))),IF($AG972&lt;43.8,WeightSDS!M$29*$AG972^10+WeightSDS!N$29*$AG972^9+WeightSDS!O$29*$AG972^8+WeightSDS!P$29*$AG972^7+WeightSDS!Q$29*$AG972^6+WeightSDS!R$29*$AG972^5+WeightSDS!S$29*$AG972^4+WeightSDS!T$29*$AG972^3+WeightSDS!U$29*$AG972^2+WeightSDS!V$29*$AG972+WeightSDS!W$29-0.010431*(1-$AG972/210),IF($AG972&lt;123,WeightSDS!M$30*$AG972^10+WeightSDS!N$30*$AG972^9+WeightSDS!O$30*$AG972^8+WeightSDS!P$30*$AG972^7+WeightSDS!Q$30*$AG972^6+WeightSDS!R$30*$AG972^5+WeightSDS!S$30*$AG972^4+WeightSDS!T$30*$AG972^3+WeightSDS!U$30*$AG972^2+WeightSDS!V$30*$AG972+WeightSDS!W$30-0.010431*(1-1/$AG972),WeightSDS!M$32+WeightSDS!N$32/(1+EXP(WeightSDS!O$32+WeightSDS!P$32*$AG972))-0.010431*(1-$AG972/210))))</f>
        <v>2.9500001032655536</v>
      </c>
      <c r="AK972" s="24">
        <f>IF(D972="M",IF($AG972&lt;162,WeightSDS!P$12*$AG972^7+WeightSDS!Q$12*$AG972^6+WeightSDS!R$12*$AG972^5+WeightSDS!S$12*$AG972^4+WeightSDS!T$12*$AG972^3+WeightSDS!U$12*$AG972^2+WeightSDS!V$12*$AG972+WeightSDS!W$12,WeightSDS!P$14*$AG972^7+WeightSDS!Q$14*$AG972^6+WeightSDS!R$14*$AG972^5+WeightSDS!S$14*$AG972^4+WeightSDS!T$14*$AG972^3+WeightSDS!U$14*$AG972^2+WeightSDS!V$14*$AG972+WeightSDS!W$14),IF($AG972&lt;156,WeightSDS!O$17*$AG972^8+WeightSDS!P$17*$AG972^7+WeightSDS!Q$17*$AG972^6+WeightSDS!R$17*$AG972^5+WeightSDS!S$17*$AG972^4+WeightSDS!T$17*$AG972^3+WeightSDS!U$17*$AG972^2+WeightSDS!V$17*$AG972+WeightSDS!W$17,IF($AG972&lt;186,WeightSDS!$U$18+(WeightSDS!$V$18-WeightSDS!$U$18)/24*($AG972-186)+WeightSDS!$W$18*(-$AG972+186)^2-0.005,WeightSDS!$U$18+(WeightSDS!$V$18-WeightSDS!$U$18)/24*($AG972-186)-0.005)))</f>
        <v>0.14604529399999999</v>
      </c>
    </row>
    <row r="973" spans="1:37">
      <c r="A973" s="4"/>
      <c r="B973" s="21"/>
      <c r="C973" s="21"/>
      <c r="D973" s="21"/>
      <c r="E973" s="22"/>
      <c r="F973" s="22"/>
      <c r="G973" s="23"/>
      <c r="H973" s="23"/>
      <c r="I973" s="8" t="str">
        <f t="shared" si="242"/>
        <v/>
      </c>
      <c r="J973" s="2" t="str">
        <f t="shared" si="247"/>
        <v/>
      </c>
      <c r="K973" s="2" t="str">
        <f t="shared" si="243"/>
        <v/>
      </c>
      <c r="L973" s="2" t="str">
        <f t="shared" si="248"/>
        <v/>
      </c>
      <c r="M973" s="2" t="str">
        <f t="shared" si="255"/>
        <v/>
      </c>
      <c r="N973" s="2" t="str">
        <f t="shared" si="249"/>
        <v/>
      </c>
      <c r="O973" s="8" t="str">
        <f t="shared" si="250"/>
        <v/>
      </c>
      <c r="P973" s="8" t="str">
        <f t="shared" si="251"/>
        <v/>
      </c>
      <c r="Q973" s="40" t="str">
        <f t="shared" si="244"/>
        <v/>
      </c>
      <c r="R973" s="48" t="str">
        <f t="shared" si="252"/>
        <v/>
      </c>
      <c r="S973" s="8"/>
      <c r="U973" s="35">
        <f t="shared" si="253"/>
        <v>0</v>
      </c>
      <c r="V973" s="24">
        <f t="shared" si="254"/>
        <v>0</v>
      </c>
      <c r="W973" s="41">
        <f t="shared" si="241"/>
        <v>0</v>
      </c>
      <c r="X973" s="31"/>
      <c r="Y973" s="31"/>
      <c r="Z973" s="31"/>
      <c r="AA973" s="25">
        <f t="shared" si="245"/>
        <v>9.0359999999999996</v>
      </c>
      <c r="AB973" s="25">
        <f t="shared" si="246"/>
        <v>-184.49199999999999</v>
      </c>
      <c r="AD973" s="24">
        <f>IF(D973="M",IF(AG973&lt;78,BMILMS!$D$5*AG973^3+BMILMS!$E$5*AG973^2+BMILMS!$F$5*AG973+BMILMS!$G$5,IF(AG973&lt;150,BMILMS!$D$6*AG973^3+BMILMS!$E$6*AG973^2+BMILMS!$F$6*AG973+BMILMS!$G$6,BMILMS!$D$7*AG973^3+BMILMS!$E$7*AG973^2+BMILMS!$F$7*AG973+BMILMS!$G$7)),IF(AG973&lt;69,BMILMS!$D$9*AG973^3+BMILMS!$E$9*AG973^2+BMILMS!$F$9*AG973+BMILMS!$G$9,IF(AG973&lt;150,BMILMS!$D$10*AG973^3+BMILMS!$E$10*AG973^2+BMILMS!$F$10*AG973+BMILMS!$G$10,BMILMS!$D$11*AG973^3+BMILMS!$E$11*AG973^2+BMILMS!$F$11*AG973+BMILMS!$G$11)))</f>
        <v>0.79584630099999998</v>
      </c>
      <c r="AE973" s="24">
        <f>IF(D973="M",(IF(AG973&lt;2.5,BMILMS!$D$21*AG973^3+BMILMS!$E$21*AG973^2+BMILMS!$F$21*AG973+BMILMS!$G$21,IF(AG973&lt;9.5,BMILMS!$D$22*AG973^3+BMILMS!$E$22*AG973^2+BMILMS!$F$22*AG973+BMILMS!$G$22,IF(AG973&lt;26.75,BMILMS!$D$23*AG973^3+BMILMS!$E$23*AG973^2+BMILMS!$F$23*AG973+BMILMS!$G$23,IF(AG973&lt;90,BMILMS!$D$24*AG973^3+BMILMS!$E$24*AG973^2+BMILMS!$F$24*AG973+BMILMS!$G$24,BMILMS!$D$25*AG973^3+BMILMS!$E$25*AG973^2+BMILMS!$F$25*AG973+BMILMS!$G$25))))),(IF(AG973&lt;2.5,BMILMS!$D$27*AG973^3+BMILMS!$E$27*AG973^2+BMILMS!$F$27*AG973+BMILMS!$G$27,IF(AG973&lt;9.5,BMILMS!$D$28*AG973^3+BMILMS!$E$28*AG973^2+BMILMS!$F$28*AG973+BMILMS!$G$28,IF(AG973&lt;26.75,BMILMS!$D$29*AG973^3+BMILMS!$E$29*AG973^2+BMILMS!$F$29*AG973+BMILMS!$G$29,IF(AG973&lt;90,BMILMS!$D$30*AG973^3+BMILMS!$E$30*AG973^2+BMILMS!$F$30*AG973+BMILMS!$G$30,IF(AG973&lt;150,BMILMS!$D$31*AG973^3+BMILMS!$E$31*AG973^2+BMILMS!$F$31*AG973+BMILMS!$G$31,BMILMS!$D$32*AG973^3+BMILMS!$E$32*AG973^2+BMILMS!$F$32*AG973+BMILMS!$G$32)))))))</f>
        <v>12.568967990000001</v>
      </c>
      <c r="AF973" s="24">
        <f>IF(D973="M",(IF(AG973&lt;90,BMILMS!$D$14*AG973^3+BMILMS!$E$14*AG973^2+BMILMS!$F$14*AG973+BMILMS!$G$14,BMILMS!$D$15*AG973^3+BMILMS!$E$15*AG973^2+BMILMS!$F$15*AG973+BMILMS!$G$15)),(IF(AG973&lt;90,BMILMS!$D$17*AG973^3+BMILMS!$E$17*AG973^2+BMILMS!$F$17*AG973+BMILMS!$G$17,BMILMS!$D$18*AG973^3+BMILMS!$E$18*AG973^2+BMILMS!$F$18*AG973+BMILMS!$G$18)))</f>
        <v>8.8969350000000003E-2</v>
      </c>
      <c r="AG973" s="24">
        <f t="shared" si="256"/>
        <v>0</v>
      </c>
      <c r="AI973" s="38">
        <f>IF(D973="M",WeightSDS!P$5*$AG973^7+WeightSDS!Q$5*$AG973^6+WeightSDS!R$5*$AG973^5+WeightSDS!S$5*$AG973^4+WeightSDS!T$5*$AG973^3+WeightSDS!U$5*$AG973^2+WeightSDS!V$5*$AG973+WeightSDS!W$5,IF($AG973&lt;186,WeightSDS!P$8*$AG973^7+WeightSDS!Q$8*$AG973^6+WeightSDS!R$8*$AG973^5+WeightSDS!S$8*$AG973^4+WeightSDS!T$8*$AG973^3+WeightSDS!U$8*$AG973^2+WeightSDS!V$8*$AG973+WeightSDS!W$8,WeightSDS!$U$9-WeightSDS!$V$9*($AG973-WeightSDS!$W$9)))</f>
        <v>0.75407122999999998</v>
      </c>
      <c r="AJ973" s="24">
        <f>IF(D973="M",IF($AG973&lt;45,WeightSDS!M$23*$AG973^10+WeightSDS!N$23*$AG973^9+WeightSDS!O$23*$AG973^8+WeightSDS!P$23*$AG973^7+WeightSDS!Q$23*$AG973^6+WeightSDS!R$23*$AG973^5+WeightSDS!S$23*$AG973^4+WeightSDS!T$23*$AG973^3+WeightSDS!U$23*$AG973^2+WeightSDS!V$23*$AG973+WeightSDS!W$23,IF($AG973&lt;153,WeightSDS!M$25*$AG973^10+WeightSDS!N$25*$AG973^9+WeightSDS!O$25*$AG973^8+WeightSDS!P$25*$AG973^7+WeightSDS!Q$25*$AG973^6+WeightSDS!R$25*$AG973^5+WeightSDS!S$25*$AG973^4+WeightSDS!T$25*$AG973^3+WeightSDS!U$25*$AG973^2+WeightSDS!V$25*$AG973+WeightSDS!W$25,WeightSDS!M$27+WeightSDS!N$27/(1+EXP(WeightSDS!O$27+WeightSDS!P$27*$AG973)))),IF($AG973&lt;43.8,WeightSDS!M$29*$AG973^10+WeightSDS!N$29*$AG973^9+WeightSDS!O$29*$AG973^8+WeightSDS!P$29*$AG973^7+WeightSDS!Q$29*$AG973^6+WeightSDS!R$29*$AG973^5+WeightSDS!S$29*$AG973^4+WeightSDS!T$29*$AG973^3+WeightSDS!U$29*$AG973^2+WeightSDS!V$29*$AG973+WeightSDS!W$29-0.010431*(1-$AG973/210),IF($AG973&lt;123,WeightSDS!M$30*$AG973^10+WeightSDS!N$30*$AG973^9+WeightSDS!O$30*$AG973^8+WeightSDS!P$30*$AG973^7+WeightSDS!Q$30*$AG973^6+WeightSDS!R$30*$AG973^5+WeightSDS!S$30*$AG973^4+WeightSDS!T$30*$AG973^3+WeightSDS!U$30*$AG973^2+WeightSDS!V$30*$AG973+WeightSDS!W$30-0.010431*(1-1/$AG973),WeightSDS!M$32+WeightSDS!N$32/(1+EXP(WeightSDS!O$32+WeightSDS!P$32*$AG973))-0.010431*(1-$AG973/210))))</f>
        <v>2.9500001032655536</v>
      </c>
      <c r="AK973" s="24">
        <f>IF(D973="M",IF($AG973&lt;162,WeightSDS!P$12*$AG973^7+WeightSDS!Q$12*$AG973^6+WeightSDS!R$12*$AG973^5+WeightSDS!S$12*$AG973^4+WeightSDS!T$12*$AG973^3+WeightSDS!U$12*$AG973^2+WeightSDS!V$12*$AG973+WeightSDS!W$12,WeightSDS!P$14*$AG973^7+WeightSDS!Q$14*$AG973^6+WeightSDS!R$14*$AG973^5+WeightSDS!S$14*$AG973^4+WeightSDS!T$14*$AG973^3+WeightSDS!U$14*$AG973^2+WeightSDS!V$14*$AG973+WeightSDS!W$14),IF($AG973&lt;156,WeightSDS!O$17*$AG973^8+WeightSDS!P$17*$AG973^7+WeightSDS!Q$17*$AG973^6+WeightSDS!R$17*$AG973^5+WeightSDS!S$17*$AG973^4+WeightSDS!T$17*$AG973^3+WeightSDS!U$17*$AG973^2+WeightSDS!V$17*$AG973+WeightSDS!W$17,IF($AG973&lt;186,WeightSDS!$U$18+(WeightSDS!$V$18-WeightSDS!$U$18)/24*($AG973-186)+WeightSDS!$W$18*(-$AG973+186)^2-0.005,WeightSDS!$U$18+(WeightSDS!$V$18-WeightSDS!$U$18)/24*($AG973-186)-0.005)))</f>
        <v>0.14604529399999999</v>
      </c>
    </row>
    <row r="974" spans="1:37">
      <c r="A974" s="4"/>
      <c r="B974" s="21"/>
      <c r="C974" s="21"/>
      <c r="D974" s="21"/>
      <c r="E974" s="22"/>
      <c r="F974" s="22"/>
      <c r="G974" s="23"/>
      <c r="H974" s="23"/>
      <c r="I974" s="8" t="str">
        <f t="shared" si="242"/>
        <v/>
      </c>
      <c r="J974" s="2" t="str">
        <f t="shared" si="247"/>
        <v/>
      </c>
      <c r="K974" s="2" t="str">
        <f t="shared" si="243"/>
        <v/>
      </c>
      <c r="L974" s="2" t="str">
        <f t="shared" si="248"/>
        <v/>
      </c>
      <c r="M974" s="2" t="str">
        <f t="shared" si="255"/>
        <v/>
      </c>
      <c r="N974" s="2" t="str">
        <f t="shared" si="249"/>
        <v/>
      </c>
      <c r="O974" s="8" t="str">
        <f t="shared" si="250"/>
        <v/>
      </c>
      <c r="P974" s="8" t="str">
        <f t="shared" si="251"/>
        <v/>
      </c>
      <c r="Q974" s="40" t="str">
        <f t="shared" si="244"/>
        <v/>
      </c>
      <c r="R974" s="48" t="str">
        <f t="shared" si="252"/>
        <v/>
      </c>
      <c r="S974" s="8"/>
      <c r="U974" s="35">
        <f t="shared" si="253"/>
        <v>0</v>
      </c>
      <c r="V974" s="24">
        <f t="shared" si="254"/>
        <v>0</v>
      </c>
      <c r="W974" s="41">
        <f t="shared" si="241"/>
        <v>0</v>
      </c>
      <c r="X974" s="31"/>
      <c r="Y974" s="31"/>
      <c r="Z974" s="31"/>
      <c r="AA974" s="25">
        <f t="shared" si="245"/>
        <v>9.0359999999999996</v>
      </c>
      <c r="AB974" s="25">
        <f t="shared" si="246"/>
        <v>-184.49199999999999</v>
      </c>
      <c r="AD974" s="24">
        <f>IF(D974="M",IF(AG974&lt;78,BMILMS!$D$5*AG974^3+BMILMS!$E$5*AG974^2+BMILMS!$F$5*AG974+BMILMS!$G$5,IF(AG974&lt;150,BMILMS!$D$6*AG974^3+BMILMS!$E$6*AG974^2+BMILMS!$F$6*AG974+BMILMS!$G$6,BMILMS!$D$7*AG974^3+BMILMS!$E$7*AG974^2+BMILMS!$F$7*AG974+BMILMS!$G$7)),IF(AG974&lt;69,BMILMS!$D$9*AG974^3+BMILMS!$E$9*AG974^2+BMILMS!$F$9*AG974+BMILMS!$G$9,IF(AG974&lt;150,BMILMS!$D$10*AG974^3+BMILMS!$E$10*AG974^2+BMILMS!$F$10*AG974+BMILMS!$G$10,BMILMS!$D$11*AG974^3+BMILMS!$E$11*AG974^2+BMILMS!$F$11*AG974+BMILMS!$G$11)))</f>
        <v>0.79584630099999998</v>
      </c>
      <c r="AE974" s="24">
        <f>IF(D974="M",(IF(AG974&lt;2.5,BMILMS!$D$21*AG974^3+BMILMS!$E$21*AG974^2+BMILMS!$F$21*AG974+BMILMS!$G$21,IF(AG974&lt;9.5,BMILMS!$D$22*AG974^3+BMILMS!$E$22*AG974^2+BMILMS!$F$22*AG974+BMILMS!$G$22,IF(AG974&lt;26.75,BMILMS!$D$23*AG974^3+BMILMS!$E$23*AG974^2+BMILMS!$F$23*AG974+BMILMS!$G$23,IF(AG974&lt;90,BMILMS!$D$24*AG974^3+BMILMS!$E$24*AG974^2+BMILMS!$F$24*AG974+BMILMS!$G$24,BMILMS!$D$25*AG974^3+BMILMS!$E$25*AG974^2+BMILMS!$F$25*AG974+BMILMS!$G$25))))),(IF(AG974&lt;2.5,BMILMS!$D$27*AG974^3+BMILMS!$E$27*AG974^2+BMILMS!$F$27*AG974+BMILMS!$G$27,IF(AG974&lt;9.5,BMILMS!$D$28*AG974^3+BMILMS!$E$28*AG974^2+BMILMS!$F$28*AG974+BMILMS!$G$28,IF(AG974&lt;26.75,BMILMS!$D$29*AG974^3+BMILMS!$E$29*AG974^2+BMILMS!$F$29*AG974+BMILMS!$G$29,IF(AG974&lt;90,BMILMS!$D$30*AG974^3+BMILMS!$E$30*AG974^2+BMILMS!$F$30*AG974+BMILMS!$G$30,IF(AG974&lt;150,BMILMS!$D$31*AG974^3+BMILMS!$E$31*AG974^2+BMILMS!$F$31*AG974+BMILMS!$G$31,BMILMS!$D$32*AG974^3+BMILMS!$E$32*AG974^2+BMILMS!$F$32*AG974+BMILMS!$G$32)))))))</f>
        <v>12.568967990000001</v>
      </c>
      <c r="AF974" s="24">
        <f>IF(D974="M",(IF(AG974&lt;90,BMILMS!$D$14*AG974^3+BMILMS!$E$14*AG974^2+BMILMS!$F$14*AG974+BMILMS!$G$14,BMILMS!$D$15*AG974^3+BMILMS!$E$15*AG974^2+BMILMS!$F$15*AG974+BMILMS!$G$15)),(IF(AG974&lt;90,BMILMS!$D$17*AG974^3+BMILMS!$E$17*AG974^2+BMILMS!$F$17*AG974+BMILMS!$G$17,BMILMS!$D$18*AG974^3+BMILMS!$E$18*AG974^2+BMILMS!$F$18*AG974+BMILMS!$G$18)))</f>
        <v>8.8969350000000003E-2</v>
      </c>
      <c r="AG974" s="24">
        <f t="shared" si="256"/>
        <v>0</v>
      </c>
      <c r="AI974" s="38">
        <f>IF(D974="M",WeightSDS!P$5*$AG974^7+WeightSDS!Q$5*$AG974^6+WeightSDS!R$5*$AG974^5+WeightSDS!S$5*$AG974^4+WeightSDS!T$5*$AG974^3+WeightSDS!U$5*$AG974^2+WeightSDS!V$5*$AG974+WeightSDS!W$5,IF($AG974&lt;186,WeightSDS!P$8*$AG974^7+WeightSDS!Q$8*$AG974^6+WeightSDS!R$8*$AG974^5+WeightSDS!S$8*$AG974^4+WeightSDS!T$8*$AG974^3+WeightSDS!U$8*$AG974^2+WeightSDS!V$8*$AG974+WeightSDS!W$8,WeightSDS!$U$9-WeightSDS!$V$9*($AG974-WeightSDS!$W$9)))</f>
        <v>0.75407122999999998</v>
      </c>
      <c r="AJ974" s="24">
        <f>IF(D974="M",IF($AG974&lt;45,WeightSDS!M$23*$AG974^10+WeightSDS!N$23*$AG974^9+WeightSDS!O$23*$AG974^8+WeightSDS!P$23*$AG974^7+WeightSDS!Q$23*$AG974^6+WeightSDS!R$23*$AG974^5+WeightSDS!S$23*$AG974^4+WeightSDS!T$23*$AG974^3+WeightSDS!U$23*$AG974^2+WeightSDS!V$23*$AG974+WeightSDS!W$23,IF($AG974&lt;153,WeightSDS!M$25*$AG974^10+WeightSDS!N$25*$AG974^9+WeightSDS!O$25*$AG974^8+WeightSDS!P$25*$AG974^7+WeightSDS!Q$25*$AG974^6+WeightSDS!R$25*$AG974^5+WeightSDS!S$25*$AG974^4+WeightSDS!T$25*$AG974^3+WeightSDS!U$25*$AG974^2+WeightSDS!V$25*$AG974+WeightSDS!W$25,WeightSDS!M$27+WeightSDS!N$27/(1+EXP(WeightSDS!O$27+WeightSDS!P$27*$AG974)))),IF($AG974&lt;43.8,WeightSDS!M$29*$AG974^10+WeightSDS!N$29*$AG974^9+WeightSDS!O$29*$AG974^8+WeightSDS!P$29*$AG974^7+WeightSDS!Q$29*$AG974^6+WeightSDS!R$29*$AG974^5+WeightSDS!S$29*$AG974^4+WeightSDS!T$29*$AG974^3+WeightSDS!U$29*$AG974^2+WeightSDS!V$29*$AG974+WeightSDS!W$29-0.010431*(1-$AG974/210),IF($AG974&lt;123,WeightSDS!M$30*$AG974^10+WeightSDS!N$30*$AG974^9+WeightSDS!O$30*$AG974^8+WeightSDS!P$30*$AG974^7+WeightSDS!Q$30*$AG974^6+WeightSDS!R$30*$AG974^5+WeightSDS!S$30*$AG974^4+WeightSDS!T$30*$AG974^3+WeightSDS!U$30*$AG974^2+WeightSDS!V$30*$AG974+WeightSDS!W$30-0.010431*(1-1/$AG974),WeightSDS!M$32+WeightSDS!N$32/(1+EXP(WeightSDS!O$32+WeightSDS!P$32*$AG974))-0.010431*(1-$AG974/210))))</f>
        <v>2.9500001032655536</v>
      </c>
      <c r="AK974" s="24">
        <f>IF(D974="M",IF($AG974&lt;162,WeightSDS!P$12*$AG974^7+WeightSDS!Q$12*$AG974^6+WeightSDS!R$12*$AG974^5+WeightSDS!S$12*$AG974^4+WeightSDS!T$12*$AG974^3+WeightSDS!U$12*$AG974^2+WeightSDS!V$12*$AG974+WeightSDS!W$12,WeightSDS!P$14*$AG974^7+WeightSDS!Q$14*$AG974^6+WeightSDS!R$14*$AG974^5+WeightSDS!S$14*$AG974^4+WeightSDS!T$14*$AG974^3+WeightSDS!U$14*$AG974^2+WeightSDS!V$14*$AG974+WeightSDS!W$14),IF($AG974&lt;156,WeightSDS!O$17*$AG974^8+WeightSDS!P$17*$AG974^7+WeightSDS!Q$17*$AG974^6+WeightSDS!R$17*$AG974^5+WeightSDS!S$17*$AG974^4+WeightSDS!T$17*$AG974^3+WeightSDS!U$17*$AG974^2+WeightSDS!V$17*$AG974+WeightSDS!W$17,IF($AG974&lt;186,WeightSDS!$U$18+(WeightSDS!$V$18-WeightSDS!$U$18)/24*($AG974-186)+WeightSDS!$W$18*(-$AG974+186)^2-0.005,WeightSDS!$U$18+(WeightSDS!$V$18-WeightSDS!$U$18)/24*($AG974-186)-0.005)))</f>
        <v>0.14604529399999999</v>
      </c>
    </row>
    <row r="975" spans="1:37">
      <c r="A975" s="4"/>
      <c r="B975" s="21"/>
      <c r="C975" s="21"/>
      <c r="D975" s="21"/>
      <c r="E975" s="22"/>
      <c r="F975" s="22"/>
      <c r="G975" s="23"/>
      <c r="H975" s="23"/>
      <c r="I975" s="8" t="str">
        <f t="shared" si="242"/>
        <v/>
      </c>
      <c r="J975" s="2" t="str">
        <f t="shared" si="247"/>
        <v/>
      </c>
      <c r="K975" s="2" t="str">
        <f t="shared" si="243"/>
        <v/>
      </c>
      <c r="L975" s="2" t="str">
        <f t="shared" si="248"/>
        <v/>
      </c>
      <c r="M975" s="2" t="str">
        <f t="shared" si="255"/>
        <v/>
      </c>
      <c r="N975" s="2" t="str">
        <f t="shared" si="249"/>
        <v/>
      </c>
      <c r="O975" s="8" t="str">
        <f t="shared" si="250"/>
        <v/>
      </c>
      <c r="P975" s="8" t="str">
        <f t="shared" si="251"/>
        <v/>
      </c>
      <c r="Q975" s="40" t="str">
        <f t="shared" si="244"/>
        <v/>
      </c>
      <c r="R975" s="48" t="str">
        <f t="shared" si="252"/>
        <v/>
      </c>
      <c r="S975" s="8"/>
      <c r="U975" s="35">
        <f t="shared" si="253"/>
        <v>0</v>
      </c>
      <c r="V975" s="24">
        <f t="shared" si="254"/>
        <v>0</v>
      </c>
      <c r="W975" s="41">
        <f t="shared" si="241"/>
        <v>0</v>
      </c>
      <c r="X975" s="31"/>
      <c r="Y975" s="31"/>
      <c r="Z975" s="31"/>
      <c r="AA975" s="25">
        <f t="shared" si="245"/>
        <v>9.0359999999999996</v>
      </c>
      <c r="AB975" s="25">
        <f t="shared" si="246"/>
        <v>-184.49199999999999</v>
      </c>
      <c r="AD975" s="24">
        <f>IF(D975="M",IF(AG975&lt;78,BMILMS!$D$5*AG975^3+BMILMS!$E$5*AG975^2+BMILMS!$F$5*AG975+BMILMS!$G$5,IF(AG975&lt;150,BMILMS!$D$6*AG975^3+BMILMS!$E$6*AG975^2+BMILMS!$F$6*AG975+BMILMS!$G$6,BMILMS!$D$7*AG975^3+BMILMS!$E$7*AG975^2+BMILMS!$F$7*AG975+BMILMS!$G$7)),IF(AG975&lt;69,BMILMS!$D$9*AG975^3+BMILMS!$E$9*AG975^2+BMILMS!$F$9*AG975+BMILMS!$G$9,IF(AG975&lt;150,BMILMS!$D$10*AG975^3+BMILMS!$E$10*AG975^2+BMILMS!$F$10*AG975+BMILMS!$G$10,BMILMS!$D$11*AG975^3+BMILMS!$E$11*AG975^2+BMILMS!$F$11*AG975+BMILMS!$G$11)))</f>
        <v>0.79584630099999998</v>
      </c>
      <c r="AE975" s="24">
        <f>IF(D975="M",(IF(AG975&lt;2.5,BMILMS!$D$21*AG975^3+BMILMS!$E$21*AG975^2+BMILMS!$F$21*AG975+BMILMS!$G$21,IF(AG975&lt;9.5,BMILMS!$D$22*AG975^3+BMILMS!$E$22*AG975^2+BMILMS!$F$22*AG975+BMILMS!$G$22,IF(AG975&lt;26.75,BMILMS!$D$23*AG975^3+BMILMS!$E$23*AG975^2+BMILMS!$F$23*AG975+BMILMS!$G$23,IF(AG975&lt;90,BMILMS!$D$24*AG975^3+BMILMS!$E$24*AG975^2+BMILMS!$F$24*AG975+BMILMS!$G$24,BMILMS!$D$25*AG975^3+BMILMS!$E$25*AG975^2+BMILMS!$F$25*AG975+BMILMS!$G$25))))),(IF(AG975&lt;2.5,BMILMS!$D$27*AG975^3+BMILMS!$E$27*AG975^2+BMILMS!$F$27*AG975+BMILMS!$G$27,IF(AG975&lt;9.5,BMILMS!$D$28*AG975^3+BMILMS!$E$28*AG975^2+BMILMS!$F$28*AG975+BMILMS!$G$28,IF(AG975&lt;26.75,BMILMS!$D$29*AG975^3+BMILMS!$E$29*AG975^2+BMILMS!$F$29*AG975+BMILMS!$G$29,IF(AG975&lt;90,BMILMS!$D$30*AG975^3+BMILMS!$E$30*AG975^2+BMILMS!$F$30*AG975+BMILMS!$G$30,IF(AG975&lt;150,BMILMS!$D$31*AG975^3+BMILMS!$E$31*AG975^2+BMILMS!$F$31*AG975+BMILMS!$G$31,BMILMS!$D$32*AG975^3+BMILMS!$E$32*AG975^2+BMILMS!$F$32*AG975+BMILMS!$G$32)))))))</f>
        <v>12.568967990000001</v>
      </c>
      <c r="AF975" s="24">
        <f>IF(D975="M",(IF(AG975&lt;90,BMILMS!$D$14*AG975^3+BMILMS!$E$14*AG975^2+BMILMS!$F$14*AG975+BMILMS!$G$14,BMILMS!$D$15*AG975^3+BMILMS!$E$15*AG975^2+BMILMS!$F$15*AG975+BMILMS!$G$15)),(IF(AG975&lt;90,BMILMS!$D$17*AG975^3+BMILMS!$E$17*AG975^2+BMILMS!$F$17*AG975+BMILMS!$G$17,BMILMS!$D$18*AG975^3+BMILMS!$E$18*AG975^2+BMILMS!$F$18*AG975+BMILMS!$G$18)))</f>
        <v>8.8969350000000003E-2</v>
      </c>
      <c r="AG975" s="24">
        <f t="shared" si="256"/>
        <v>0</v>
      </c>
      <c r="AI975" s="38">
        <f>IF(D975="M",WeightSDS!P$5*$AG975^7+WeightSDS!Q$5*$AG975^6+WeightSDS!R$5*$AG975^5+WeightSDS!S$5*$AG975^4+WeightSDS!T$5*$AG975^3+WeightSDS!U$5*$AG975^2+WeightSDS!V$5*$AG975+WeightSDS!W$5,IF($AG975&lt;186,WeightSDS!P$8*$AG975^7+WeightSDS!Q$8*$AG975^6+WeightSDS!R$8*$AG975^5+WeightSDS!S$8*$AG975^4+WeightSDS!T$8*$AG975^3+WeightSDS!U$8*$AG975^2+WeightSDS!V$8*$AG975+WeightSDS!W$8,WeightSDS!$U$9-WeightSDS!$V$9*($AG975-WeightSDS!$W$9)))</f>
        <v>0.75407122999999998</v>
      </c>
      <c r="AJ975" s="24">
        <f>IF(D975="M",IF($AG975&lt;45,WeightSDS!M$23*$AG975^10+WeightSDS!N$23*$AG975^9+WeightSDS!O$23*$AG975^8+WeightSDS!P$23*$AG975^7+WeightSDS!Q$23*$AG975^6+WeightSDS!R$23*$AG975^5+WeightSDS!S$23*$AG975^4+WeightSDS!T$23*$AG975^3+WeightSDS!U$23*$AG975^2+WeightSDS!V$23*$AG975+WeightSDS!W$23,IF($AG975&lt;153,WeightSDS!M$25*$AG975^10+WeightSDS!N$25*$AG975^9+WeightSDS!O$25*$AG975^8+WeightSDS!P$25*$AG975^7+WeightSDS!Q$25*$AG975^6+WeightSDS!R$25*$AG975^5+WeightSDS!S$25*$AG975^4+WeightSDS!T$25*$AG975^3+WeightSDS!U$25*$AG975^2+WeightSDS!V$25*$AG975+WeightSDS!W$25,WeightSDS!M$27+WeightSDS!N$27/(1+EXP(WeightSDS!O$27+WeightSDS!P$27*$AG975)))),IF($AG975&lt;43.8,WeightSDS!M$29*$AG975^10+WeightSDS!N$29*$AG975^9+WeightSDS!O$29*$AG975^8+WeightSDS!P$29*$AG975^7+WeightSDS!Q$29*$AG975^6+WeightSDS!R$29*$AG975^5+WeightSDS!S$29*$AG975^4+WeightSDS!T$29*$AG975^3+WeightSDS!U$29*$AG975^2+WeightSDS!V$29*$AG975+WeightSDS!W$29-0.010431*(1-$AG975/210),IF($AG975&lt;123,WeightSDS!M$30*$AG975^10+WeightSDS!N$30*$AG975^9+WeightSDS!O$30*$AG975^8+WeightSDS!P$30*$AG975^7+WeightSDS!Q$30*$AG975^6+WeightSDS!R$30*$AG975^5+WeightSDS!S$30*$AG975^4+WeightSDS!T$30*$AG975^3+WeightSDS!U$30*$AG975^2+WeightSDS!V$30*$AG975+WeightSDS!W$30-0.010431*(1-1/$AG975),WeightSDS!M$32+WeightSDS!N$32/(1+EXP(WeightSDS!O$32+WeightSDS!P$32*$AG975))-0.010431*(1-$AG975/210))))</f>
        <v>2.9500001032655536</v>
      </c>
      <c r="AK975" s="24">
        <f>IF(D975="M",IF($AG975&lt;162,WeightSDS!P$12*$AG975^7+WeightSDS!Q$12*$AG975^6+WeightSDS!R$12*$AG975^5+WeightSDS!S$12*$AG975^4+WeightSDS!T$12*$AG975^3+WeightSDS!U$12*$AG975^2+WeightSDS!V$12*$AG975+WeightSDS!W$12,WeightSDS!P$14*$AG975^7+WeightSDS!Q$14*$AG975^6+WeightSDS!R$14*$AG975^5+WeightSDS!S$14*$AG975^4+WeightSDS!T$14*$AG975^3+WeightSDS!U$14*$AG975^2+WeightSDS!V$14*$AG975+WeightSDS!W$14),IF($AG975&lt;156,WeightSDS!O$17*$AG975^8+WeightSDS!P$17*$AG975^7+WeightSDS!Q$17*$AG975^6+WeightSDS!R$17*$AG975^5+WeightSDS!S$17*$AG975^4+WeightSDS!T$17*$AG975^3+WeightSDS!U$17*$AG975^2+WeightSDS!V$17*$AG975+WeightSDS!W$17,IF($AG975&lt;186,WeightSDS!$U$18+(WeightSDS!$V$18-WeightSDS!$U$18)/24*($AG975-186)+WeightSDS!$W$18*(-$AG975+186)^2-0.005,WeightSDS!$U$18+(WeightSDS!$V$18-WeightSDS!$U$18)/24*($AG975-186)-0.005)))</f>
        <v>0.14604529399999999</v>
      </c>
    </row>
    <row r="976" spans="1:37">
      <c r="A976" s="4"/>
      <c r="B976" s="21"/>
      <c r="C976" s="21"/>
      <c r="D976" s="21"/>
      <c r="E976" s="22"/>
      <c r="F976" s="22"/>
      <c r="G976" s="23"/>
      <c r="H976" s="23"/>
      <c r="I976" s="8" t="str">
        <f t="shared" si="242"/>
        <v/>
      </c>
      <c r="J976" s="2" t="str">
        <f t="shared" si="247"/>
        <v/>
      </c>
      <c r="K976" s="2" t="str">
        <f t="shared" si="243"/>
        <v/>
      </c>
      <c r="L976" s="2" t="str">
        <f t="shared" si="248"/>
        <v/>
      </c>
      <c r="M976" s="2" t="str">
        <f t="shared" si="255"/>
        <v/>
      </c>
      <c r="N976" s="2" t="str">
        <f t="shared" si="249"/>
        <v/>
      </c>
      <c r="O976" s="8" t="str">
        <f t="shared" si="250"/>
        <v/>
      </c>
      <c r="P976" s="8" t="str">
        <f t="shared" si="251"/>
        <v/>
      </c>
      <c r="Q976" s="40" t="str">
        <f t="shared" si="244"/>
        <v/>
      </c>
      <c r="R976" s="48" t="str">
        <f t="shared" si="252"/>
        <v/>
      </c>
      <c r="S976" s="8"/>
      <c r="U976" s="35">
        <f t="shared" si="253"/>
        <v>0</v>
      </c>
      <c r="V976" s="24">
        <f t="shared" si="254"/>
        <v>0</v>
      </c>
      <c r="W976" s="41">
        <f t="shared" si="241"/>
        <v>0</v>
      </c>
      <c r="X976" s="31"/>
      <c r="Y976" s="31"/>
      <c r="Z976" s="31"/>
      <c r="AA976" s="25">
        <f t="shared" si="245"/>
        <v>9.0359999999999996</v>
      </c>
      <c r="AB976" s="25">
        <f t="shared" si="246"/>
        <v>-184.49199999999999</v>
      </c>
      <c r="AD976" s="24">
        <f>IF(D976="M",IF(AG976&lt;78,BMILMS!$D$5*AG976^3+BMILMS!$E$5*AG976^2+BMILMS!$F$5*AG976+BMILMS!$G$5,IF(AG976&lt;150,BMILMS!$D$6*AG976^3+BMILMS!$E$6*AG976^2+BMILMS!$F$6*AG976+BMILMS!$G$6,BMILMS!$D$7*AG976^3+BMILMS!$E$7*AG976^2+BMILMS!$F$7*AG976+BMILMS!$G$7)),IF(AG976&lt;69,BMILMS!$D$9*AG976^3+BMILMS!$E$9*AG976^2+BMILMS!$F$9*AG976+BMILMS!$G$9,IF(AG976&lt;150,BMILMS!$D$10*AG976^3+BMILMS!$E$10*AG976^2+BMILMS!$F$10*AG976+BMILMS!$G$10,BMILMS!$D$11*AG976^3+BMILMS!$E$11*AG976^2+BMILMS!$F$11*AG976+BMILMS!$G$11)))</f>
        <v>0.79584630099999998</v>
      </c>
      <c r="AE976" s="24">
        <f>IF(D976="M",(IF(AG976&lt;2.5,BMILMS!$D$21*AG976^3+BMILMS!$E$21*AG976^2+BMILMS!$F$21*AG976+BMILMS!$G$21,IF(AG976&lt;9.5,BMILMS!$D$22*AG976^3+BMILMS!$E$22*AG976^2+BMILMS!$F$22*AG976+BMILMS!$G$22,IF(AG976&lt;26.75,BMILMS!$D$23*AG976^3+BMILMS!$E$23*AG976^2+BMILMS!$F$23*AG976+BMILMS!$G$23,IF(AG976&lt;90,BMILMS!$D$24*AG976^3+BMILMS!$E$24*AG976^2+BMILMS!$F$24*AG976+BMILMS!$G$24,BMILMS!$D$25*AG976^3+BMILMS!$E$25*AG976^2+BMILMS!$F$25*AG976+BMILMS!$G$25))))),(IF(AG976&lt;2.5,BMILMS!$D$27*AG976^3+BMILMS!$E$27*AG976^2+BMILMS!$F$27*AG976+BMILMS!$G$27,IF(AG976&lt;9.5,BMILMS!$D$28*AG976^3+BMILMS!$E$28*AG976^2+BMILMS!$F$28*AG976+BMILMS!$G$28,IF(AG976&lt;26.75,BMILMS!$D$29*AG976^3+BMILMS!$E$29*AG976^2+BMILMS!$F$29*AG976+BMILMS!$G$29,IF(AG976&lt;90,BMILMS!$D$30*AG976^3+BMILMS!$E$30*AG976^2+BMILMS!$F$30*AG976+BMILMS!$G$30,IF(AG976&lt;150,BMILMS!$D$31*AG976^3+BMILMS!$E$31*AG976^2+BMILMS!$F$31*AG976+BMILMS!$G$31,BMILMS!$D$32*AG976^3+BMILMS!$E$32*AG976^2+BMILMS!$F$32*AG976+BMILMS!$G$32)))))))</f>
        <v>12.568967990000001</v>
      </c>
      <c r="AF976" s="24">
        <f>IF(D976="M",(IF(AG976&lt;90,BMILMS!$D$14*AG976^3+BMILMS!$E$14*AG976^2+BMILMS!$F$14*AG976+BMILMS!$G$14,BMILMS!$D$15*AG976^3+BMILMS!$E$15*AG976^2+BMILMS!$F$15*AG976+BMILMS!$G$15)),(IF(AG976&lt;90,BMILMS!$D$17*AG976^3+BMILMS!$E$17*AG976^2+BMILMS!$F$17*AG976+BMILMS!$G$17,BMILMS!$D$18*AG976^3+BMILMS!$E$18*AG976^2+BMILMS!$F$18*AG976+BMILMS!$G$18)))</f>
        <v>8.8969350000000003E-2</v>
      </c>
      <c r="AG976" s="24">
        <f t="shared" si="256"/>
        <v>0</v>
      </c>
      <c r="AI976" s="38">
        <f>IF(D976="M",WeightSDS!P$5*$AG976^7+WeightSDS!Q$5*$AG976^6+WeightSDS!R$5*$AG976^5+WeightSDS!S$5*$AG976^4+WeightSDS!T$5*$AG976^3+WeightSDS!U$5*$AG976^2+WeightSDS!V$5*$AG976+WeightSDS!W$5,IF($AG976&lt;186,WeightSDS!P$8*$AG976^7+WeightSDS!Q$8*$AG976^6+WeightSDS!R$8*$AG976^5+WeightSDS!S$8*$AG976^4+WeightSDS!T$8*$AG976^3+WeightSDS!U$8*$AG976^2+WeightSDS!V$8*$AG976+WeightSDS!W$8,WeightSDS!$U$9-WeightSDS!$V$9*($AG976-WeightSDS!$W$9)))</f>
        <v>0.75407122999999998</v>
      </c>
      <c r="AJ976" s="24">
        <f>IF(D976="M",IF($AG976&lt;45,WeightSDS!M$23*$AG976^10+WeightSDS!N$23*$AG976^9+WeightSDS!O$23*$AG976^8+WeightSDS!P$23*$AG976^7+WeightSDS!Q$23*$AG976^6+WeightSDS!R$23*$AG976^5+WeightSDS!S$23*$AG976^4+WeightSDS!T$23*$AG976^3+WeightSDS!U$23*$AG976^2+WeightSDS!V$23*$AG976+WeightSDS!W$23,IF($AG976&lt;153,WeightSDS!M$25*$AG976^10+WeightSDS!N$25*$AG976^9+WeightSDS!O$25*$AG976^8+WeightSDS!P$25*$AG976^7+WeightSDS!Q$25*$AG976^6+WeightSDS!R$25*$AG976^5+WeightSDS!S$25*$AG976^4+WeightSDS!T$25*$AG976^3+WeightSDS!U$25*$AG976^2+WeightSDS!V$25*$AG976+WeightSDS!W$25,WeightSDS!M$27+WeightSDS!N$27/(1+EXP(WeightSDS!O$27+WeightSDS!P$27*$AG976)))),IF($AG976&lt;43.8,WeightSDS!M$29*$AG976^10+WeightSDS!N$29*$AG976^9+WeightSDS!O$29*$AG976^8+WeightSDS!P$29*$AG976^7+WeightSDS!Q$29*$AG976^6+WeightSDS!R$29*$AG976^5+WeightSDS!S$29*$AG976^4+WeightSDS!T$29*$AG976^3+WeightSDS!U$29*$AG976^2+WeightSDS!V$29*$AG976+WeightSDS!W$29-0.010431*(1-$AG976/210),IF($AG976&lt;123,WeightSDS!M$30*$AG976^10+WeightSDS!N$30*$AG976^9+WeightSDS!O$30*$AG976^8+WeightSDS!P$30*$AG976^7+WeightSDS!Q$30*$AG976^6+WeightSDS!R$30*$AG976^5+WeightSDS!S$30*$AG976^4+WeightSDS!T$30*$AG976^3+WeightSDS!U$30*$AG976^2+WeightSDS!V$30*$AG976+WeightSDS!W$30-0.010431*(1-1/$AG976),WeightSDS!M$32+WeightSDS!N$32/(1+EXP(WeightSDS!O$32+WeightSDS!P$32*$AG976))-0.010431*(1-$AG976/210))))</f>
        <v>2.9500001032655536</v>
      </c>
      <c r="AK976" s="24">
        <f>IF(D976="M",IF($AG976&lt;162,WeightSDS!P$12*$AG976^7+WeightSDS!Q$12*$AG976^6+WeightSDS!R$12*$AG976^5+WeightSDS!S$12*$AG976^4+WeightSDS!T$12*$AG976^3+WeightSDS!U$12*$AG976^2+WeightSDS!V$12*$AG976+WeightSDS!W$12,WeightSDS!P$14*$AG976^7+WeightSDS!Q$14*$AG976^6+WeightSDS!R$14*$AG976^5+WeightSDS!S$14*$AG976^4+WeightSDS!T$14*$AG976^3+WeightSDS!U$14*$AG976^2+WeightSDS!V$14*$AG976+WeightSDS!W$14),IF($AG976&lt;156,WeightSDS!O$17*$AG976^8+WeightSDS!P$17*$AG976^7+WeightSDS!Q$17*$AG976^6+WeightSDS!R$17*$AG976^5+WeightSDS!S$17*$AG976^4+WeightSDS!T$17*$AG976^3+WeightSDS!U$17*$AG976^2+WeightSDS!V$17*$AG976+WeightSDS!W$17,IF($AG976&lt;186,WeightSDS!$U$18+(WeightSDS!$V$18-WeightSDS!$U$18)/24*($AG976-186)+WeightSDS!$W$18*(-$AG976+186)^2-0.005,WeightSDS!$U$18+(WeightSDS!$V$18-WeightSDS!$U$18)/24*($AG976-186)-0.005)))</f>
        <v>0.14604529399999999</v>
      </c>
    </row>
    <row r="977" spans="1:37">
      <c r="A977" s="4"/>
      <c r="B977" s="21"/>
      <c r="C977" s="21"/>
      <c r="D977" s="21"/>
      <c r="E977" s="22"/>
      <c r="F977" s="22"/>
      <c r="G977" s="23"/>
      <c r="H977" s="23"/>
      <c r="I977" s="8" t="str">
        <f t="shared" si="242"/>
        <v/>
      </c>
      <c r="J977" s="2" t="str">
        <f t="shared" si="247"/>
        <v/>
      </c>
      <c r="K977" s="2" t="str">
        <f t="shared" si="243"/>
        <v/>
      </c>
      <c r="L977" s="2" t="str">
        <f t="shared" si="248"/>
        <v/>
      </c>
      <c r="M977" s="2" t="str">
        <f t="shared" si="255"/>
        <v/>
      </c>
      <c r="N977" s="2" t="str">
        <f t="shared" si="249"/>
        <v/>
      </c>
      <c r="O977" s="8" t="str">
        <f t="shared" si="250"/>
        <v/>
      </c>
      <c r="P977" s="8" t="str">
        <f t="shared" si="251"/>
        <v/>
      </c>
      <c r="Q977" s="40" t="str">
        <f t="shared" si="244"/>
        <v/>
      </c>
      <c r="R977" s="48" t="str">
        <f t="shared" si="252"/>
        <v/>
      </c>
      <c r="S977" s="8"/>
      <c r="U977" s="35">
        <f t="shared" si="253"/>
        <v>0</v>
      </c>
      <c r="V977" s="24">
        <f t="shared" si="254"/>
        <v>0</v>
      </c>
      <c r="W977" s="41">
        <f t="shared" si="241"/>
        <v>0</v>
      </c>
      <c r="X977" s="31"/>
      <c r="Y977" s="31"/>
      <c r="Z977" s="31"/>
      <c r="AA977" s="25">
        <f t="shared" si="245"/>
        <v>9.0359999999999996</v>
      </c>
      <c r="AB977" s="25">
        <f t="shared" si="246"/>
        <v>-184.49199999999999</v>
      </c>
      <c r="AD977" s="24">
        <f>IF(D977="M",IF(AG977&lt;78,BMILMS!$D$5*AG977^3+BMILMS!$E$5*AG977^2+BMILMS!$F$5*AG977+BMILMS!$G$5,IF(AG977&lt;150,BMILMS!$D$6*AG977^3+BMILMS!$E$6*AG977^2+BMILMS!$F$6*AG977+BMILMS!$G$6,BMILMS!$D$7*AG977^3+BMILMS!$E$7*AG977^2+BMILMS!$F$7*AG977+BMILMS!$G$7)),IF(AG977&lt;69,BMILMS!$D$9*AG977^3+BMILMS!$E$9*AG977^2+BMILMS!$F$9*AG977+BMILMS!$G$9,IF(AG977&lt;150,BMILMS!$D$10*AG977^3+BMILMS!$E$10*AG977^2+BMILMS!$F$10*AG977+BMILMS!$G$10,BMILMS!$D$11*AG977^3+BMILMS!$E$11*AG977^2+BMILMS!$F$11*AG977+BMILMS!$G$11)))</f>
        <v>0.79584630099999998</v>
      </c>
      <c r="AE977" s="24">
        <f>IF(D977="M",(IF(AG977&lt;2.5,BMILMS!$D$21*AG977^3+BMILMS!$E$21*AG977^2+BMILMS!$F$21*AG977+BMILMS!$G$21,IF(AG977&lt;9.5,BMILMS!$D$22*AG977^3+BMILMS!$E$22*AG977^2+BMILMS!$F$22*AG977+BMILMS!$G$22,IF(AG977&lt;26.75,BMILMS!$D$23*AG977^3+BMILMS!$E$23*AG977^2+BMILMS!$F$23*AG977+BMILMS!$G$23,IF(AG977&lt;90,BMILMS!$D$24*AG977^3+BMILMS!$E$24*AG977^2+BMILMS!$F$24*AG977+BMILMS!$G$24,BMILMS!$D$25*AG977^3+BMILMS!$E$25*AG977^2+BMILMS!$F$25*AG977+BMILMS!$G$25))))),(IF(AG977&lt;2.5,BMILMS!$D$27*AG977^3+BMILMS!$E$27*AG977^2+BMILMS!$F$27*AG977+BMILMS!$G$27,IF(AG977&lt;9.5,BMILMS!$D$28*AG977^3+BMILMS!$E$28*AG977^2+BMILMS!$F$28*AG977+BMILMS!$G$28,IF(AG977&lt;26.75,BMILMS!$D$29*AG977^3+BMILMS!$E$29*AG977^2+BMILMS!$F$29*AG977+BMILMS!$G$29,IF(AG977&lt;90,BMILMS!$D$30*AG977^3+BMILMS!$E$30*AG977^2+BMILMS!$F$30*AG977+BMILMS!$G$30,IF(AG977&lt;150,BMILMS!$D$31*AG977^3+BMILMS!$E$31*AG977^2+BMILMS!$F$31*AG977+BMILMS!$G$31,BMILMS!$D$32*AG977^3+BMILMS!$E$32*AG977^2+BMILMS!$F$32*AG977+BMILMS!$G$32)))))))</f>
        <v>12.568967990000001</v>
      </c>
      <c r="AF977" s="24">
        <f>IF(D977="M",(IF(AG977&lt;90,BMILMS!$D$14*AG977^3+BMILMS!$E$14*AG977^2+BMILMS!$F$14*AG977+BMILMS!$G$14,BMILMS!$D$15*AG977^3+BMILMS!$E$15*AG977^2+BMILMS!$F$15*AG977+BMILMS!$G$15)),(IF(AG977&lt;90,BMILMS!$D$17*AG977^3+BMILMS!$E$17*AG977^2+BMILMS!$F$17*AG977+BMILMS!$G$17,BMILMS!$D$18*AG977^3+BMILMS!$E$18*AG977^2+BMILMS!$F$18*AG977+BMILMS!$G$18)))</f>
        <v>8.8969350000000003E-2</v>
      </c>
      <c r="AG977" s="24">
        <f t="shared" si="256"/>
        <v>0</v>
      </c>
      <c r="AI977" s="38">
        <f>IF(D977="M",WeightSDS!P$5*$AG977^7+WeightSDS!Q$5*$AG977^6+WeightSDS!R$5*$AG977^5+WeightSDS!S$5*$AG977^4+WeightSDS!T$5*$AG977^3+WeightSDS!U$5*$AG977^2+WeightSDS!V$5*$AG977+WeightSDS!W$5,IF($AG977&lt;186,WeightSDS!P$8*$AG977^7+WeightSDS!Q$8*$AG977^6+WeightSDS!R$8*$AG977^5+WeightSDS!S$8*$AG977^4+WeightSDS!T$8*$AG977^3+WeightSDS!U$8*$AG977^2+WeightSDS!V$8*$AG977+WeightSDS!W$8,WeightSDS!$U$9-WeightSDS!$V$9*($AG977-WeightSDS!$W$9)))</f>
        <v>0.75407122999999998</v>
      </c>
      <c r="AJ977" s="24">
        <f>IF(D977="M",IF($AG977&lt;45,WeightSDS!M$23*$AG977^10+WeightSDS!N$23*$AG977^9+WeightSDS!O$23*$AG977^8+WeightSDS!P$23*$AG977^7+WeightSDS!Q$23*$AG977^6+WeightSDS!R$23*$AG977^5+WeightSDS!S$23*$AG977^4+WeightSDS!T$23*$AG977^3+WeightSDS!U$23*$AG977^2+WeightSDS!V$23*$AG977+WeightSDS!W$23,IF($AG977&lt;153,WeightSDS!M$25*$AG977^10+WeightSDS!N$25*$AG977^9+WeightSDS!O$25*$AG977^8+WeightSDS!P$25*$AG977^7+WeightSDS!Q$25*$AG977^6+WeightSDS!R$25*$AG977^5+WeightSDS!S$25*$AG977^4+WeightSDS!T$25*$AG977^3+WeightSDS!U$25*$AG977^2+WeightSDS!V$25*$AG977+WeightSDS!W$25,WeightSDS!M$27+WeightSDS!N$27/(1+EXP(WeightSDS!O$27+WeightSDS!P$27*$AG977)))),IF($AG977&lt;43.8,WeightSDS!M$29*$AG977^10+WeightSDS!N$29*$AG977^9+WeightSDS!O$29*$AG977^8+WeightSDS!P$29*$AG977^7+WeightSDS!Q$29*$AG977^6+WeightSDS!R$29*$AG977^5+WeightSDS!S$29*$AG977^4+WeightSDS!T$29*$AG977^3+WeightSDS!U$29*$AG977^2+WeightSDS!V$29*$AG977+WeightSDS!W$29-0.010431*(1-$AG977/210),IF($AG977&lt;123,WeightSDS!M$30*$AG977^10+WeightSDS!N$30*$AG977^9+WeightSDS!O$30*$AG977^8+WeightSDS!P$30*$AG977^7+WeightSDS!Q$30*$AG977^6+WeightSDS!R$30*$AG977^5+WeightSDS!S$30*$AG977^4+WeightSDS!T$30*$AG977^3+WeightSDS!U$30*$AG977^2+WeightSDS!V$30*$AG977+WeightSDS!W$30-0.010431*(1-1/$AG977),WeightSDS!M$32+WeightSDS!N$32/(1+EXP(WeightSDS!O$32+WeightSDS!P$32*$AG977))-0.010431*(1-$AG977/210))))</f>
        <v>2.9500001032655536</v>
      </c>
      <c r="AK977" s="24">
        <f>IF(D977="M",IF($AG977&lt;162,WeightSDS!P$12*$AG977^7+WeightSDS!Q$12*$AG977^6+WeightSDS!R$12*$AG977^5+WeightSDS!S$12*$AG977^4+WeightSDS!T$12*$AG977^3+WeightSDS!U$12*$AG977^2+WeightSDS!V$12*$AG977+WeightSDS!W$12,WeightSDS!P$14*$AG977^7+WeightSDS!Q$14*$AG977^6+WeightSDS!R$14*$AG977^5+WeightSDS!S$14*$AG977^4+WeightSDS!T$14*$AG977^3+WeightSDS!U$14*$AG977^2+WeightSDS!V$14*$AG977+WeightSDS!W$14),IF($AG977&lt;156,WeightSDS!O$17*$AG977^8+WeightSDS!P$17*$AG977^7+WeightSDS!Q$17*$AG977^6+WeightSDS!R$17*$AG977^5+WeightSDS!S$17*$AG977^4+WeightSDS!T$17*$AG977^3+WeightSDS!U$17*$AG977^2+WeightSDS!V$17*$AG977+WeightSDS!W$17,IF($AG977&lt;186,WeightSDS!$U$18+(WeightSDS!$V$18-WeightSDS!$U$18)/24*($AG977-186)+WeightSDS!$W$18*(-$AG977+186)^2-0.005,WeightSDS!$U$18+(WeightSDS!$V$18-WeightSDS!$U$18)/24*($AG977-186)-0.005)))</f>
        <v>0.14604529399999999</v>
      </c>
    </row>
    <row r="978" spans="1:37">
      <c r="A978" s="4"/>
      <c r="B978" s="21"/>
      <c r="C978" s="21"/>
      <c r="D978" s="21"/>
      <c r="E978" s="22"/>
      <c r="F978" s="22"/>
      <c r="G978" s="23"/>
      <c r="H978" s="23"/>
      <c r="I978" s="8" t="str">
        <f t="shared" si="242"/>
        <v/>
      </c>
      <c r="J978" s="2" t="str">
        <f t="shared" si="247"/>
        <v/>
      </c>
      <c r="K978" s="2" t="str">
        <f t="shared" si="243"/>
        <v/>
      </c>
      <c r="L978" s="2" t="str">
        <f t="shared" si="248"/>
        <v/>
      </c>
      <c r="M978" s="2" t="str">
        <f t="shared" si="255"/>
        <v/>
      </c>
      <c r="N978" s="2" t="str">
        <f t="shared" si="249"/>
        <v/>
      </c>
      <c r="O978" s="8" t="str">
        <f t="shared" si="250"/>
        <v/>
      </c>
      <c r="P978" s="8" t="str">
        <f t="shared" si="251"/>
        <v/>
      </c>
      <c r="Q978" s="40" t="str">
        <f t="shared" si="244"/>
        <v/>
      </c>
      <c r="R978" s="48" t="str">
        <f t="shared" si="252"/>
        <v/>
      </c>
      <c r="S978" s="8"/>
      <c r="U978" s="35">
        <f t="shared" si="253"/>
        <v>0</v>
      </c>
      <c r="V978" s="24">
        <f t="shared" si="254"/>
        <v>0</v>
      </c>
      <c r="W978" s="41">
        <f t="shared" si="241"/>
        <v>0</v>
      </c>
      <c r="X978" s="31"/>
      <c r="Y978" s="31"/>
      <c r="Z978" s="31"/>
      <c r="AA978" s="25">
        <f t="shared" si="245"/>
        <v>9.0359999999999996</v>
      </c>
      <c r="AB978" s="25">
        <f t="shared" si="246"/>
        <v>-184.49199999999999</v>
      </c>
      <c r="AD978" s="24">
        <f>IF(D978="M",IF(AG978&lt;78,BMILMS!$D$5*AG978^3+BMILMS!$E$5*AG978^2+BMILMS!$F$5*AG978+BMILMS!$G$5,IF(AG978&lt;150,BMILMS!$D$6*AG978^3+BMILMS!$E$6*AG978^2+BMILMS!$F$6*AG978+BMILMS!$G$6,BMILMS!$D$7*AG978^3+BMILMS!$E$7*AG978^2+BMILMS!$F$7*AG978+BMILMS!$G$7)),IF(AG978&lt;69,BMILMS!$D$9*AG978^3+BMILMS!$E$9*AG978^2+BMILMS!$F$9*AG978+BMILMS!$G$9,IF(AG978&lt;150,BMILMS!$D$10*AG978^3+BMILMS!$E$10*AG978^2+BMILMS!$F$10*AG978+BMILMS!$G$10,BMILMS!$D$11*AG978^3+BMILMS!$E$11*AG978^2+BMILMS!$F$11*AG978+BMILMS!$G$11)))</f>
        <v>0.79584630099999998</v>
      </c>
      <c r="AE978" s="24">
        <f>IF(D978="M",(IF(AG978&lt;2.5,BMILMS!$D$21*AG978^3+BMILMS!$E$21*AG978^2+BMILMS!$F$21*AG978+BMILMS!$G$21,IF(AG978&lt;9.5,BMILMS!$D$22*AG978^3+BMILMS!$E$22*AG978^2+BMILMS!$F$22*AG978+BMILMS!$G$22,IF(AG978&lt;26.75,BMILMS!$D$23*AG978^3+BMILMS!$E$23*AG978^2+BMILMS!$F$23*AG978+BMILMS!$G$23,IF(AG978&lt;90,BMILMS!$D$24*AG978^3+BMILMS!$E$24*AG978^2+BMILMS!$F$24*AG978+BMILMS!$G$24,BMILMS!$D$25*AG978^3+BMILMS!$E$25*AG978^2+BMILMS!$F$25*AG978+BMILMS!$G$25))))),(IF(AG978&lt;2.5,BMILMS!$D$27*AG978^3+BMILMS!$E$27*AG978^2+BMILMS!$F$27*AG978+BMILMS!$G$27,IF(AG978&lt;9.5,BMILMS!$D$28*AG978^3+BMILMS!$E$28*AG978^2+BMILMS!$F$28*AG978+BMILMS!$G$28,IF(AG978&lt;26.75,BMILMS!$D$29*AG978^3+BMILMS!$E$29*AG978^2+BMILMS!$F$29*AG978+BMILMS!$G$29,IF(AG978&lt;90,BMILMS!$D$30*AG978^3+BMILMS!$E$30*AG978^2+BMILMS!$F$30*AG978+BMILMS!$G$30,IF(AG978&lt;150,BMILMS!$D$31*AG978^3+BMILMS!$E$31*AG978^2+BMILMS!$F$31*AG978+BMILMS!$G$31,BMILMS!$D$32*AG978^3+BMILMS!$E$32*AG978^2+BMILMS!$F$32*AG978+BMILMS!$G$32)))))))</f>
        <v>12.568967990000001</v>
      </c>
      <c r="AF978" s="24">
        <f>IF(D978="M",(IF(AG978&lt;90,BMILMS!$D$14*AG978^3+BMILMS!$E$14*AG978^2+BMILMS!$F$14*AG978+BMILMS!$G$14,BMILMS!$D$15*AG978^3+BMILMS!$E$15*AG978^2+BMILMS!$F$15*AG978+BMILMS!$G$15)),(IF(AG978&lt;90,BMILMS!$D$17*AG978^3+BMILMS!$E$17*AG978^2+BMILMS!$F$17*AG978+BMILMS!$G$17,BMILMS!$D$18*AG978^3+BMILMS!$E$18*AG978^2+BMILMS!$F$18*AG978+BMILMS!$G$18)))</f>
        <v>8.8969350000000003E-2</v>
      </c>
      <c r="AG978" s="24">
        <f t="shared" si="256"/>
        <v>0</v>
      </c>
      <c r="AI978" s="38">
        <f>IF(D978="M",WeightSDS!P$5*$AG978^7+WeightSDS!Q$5*$AG978^6+WeightSDS!R$5*$AG978^5+WeightSDS!S$5*$AG978^4+WeightSDS!T$5*$AG978^3+WeightSDS!U$5*$AG978^2+WeightSDS!V$5*$AG978+WeightSDS!W$5,IF($AG978&lt;186,WeightSDS!P$8*$AG978^7+WeightSDS!Q$8*$AG978^6+WeightSDS!R$8*$AG978^5+WeightSDS!S$8*$AG978^4+WeightSDS!T$8*$AG978^3+WeightSDS!U$8*$AG978^2+WeightSDS!V$8*$AG978+WeightSDS!W$8,WeightSDS!$U$9-WeightSDS!$V$9*($AG978-WeightSDS!$W$9)))</f>
        <v>0.75407122999999998</v>
      </c>
      <c r="AJ978" s="24">
        <f>IF(D978="M",IF($AG978&lt;45,WeightSDS!M$23*$AG978^10+WeightSDS!N$23*$AG978^9+WeightSDS!O$23*$AG978^8+WeightSDS!P$23*$AG978^7+WeightSDS!Q$23*$AG978^6+WeightSDS!R$23*$AG978^5+WeightSDS!S$23*$AG978^4+WeightSDS!T$23*$AG978^3+WeightSDS!U$23*$AG978^2+WeightSDS!V$23*$AG978+WeightSDS!W$23,IF($AG978&lt;153,WeightSDS!M$25*$AG978^10+WeightSDS!N$25*$AG978^9+WeightSDS!O$25*$AG978^8+WeightSDS!P$25*$AG978^7+WeightSDS!Q$25*$AG978^6+WeightSDS!R$25*$AG978^5+WeightSDS!S$25*$AG978^4+WeightSDS!T$25*$AG978^3+WeightSDS!U$25*$AG978^2+WeightSDS!V$25*$AG978+WeightSDS!W$25,WeightSDS!M$27+WeightSDS!N$27/(1+EXP(WeightSDS!O$27+WeightSDS!P$27*$AG978)))),IF($AG978&lt;43.8,WeightSDS!M$29*$AG978^10+WeightSDS!N$29*$AG978^9+WeightSDS!O$29*$AG978^8+WeightSDS!P$29*$AG978^7+WeightSDS!Q$29*$AG978^6+WeightSDS!R$29*$AG978^5+WeightSDS!S$29*$AG978^4+WeightSDS!T$29*$AG978^3+WeightSDS!U$29*$AG978^2+WeightSDS!V$29*$AG978+WeightSDS!W$29-0.010431*(1-$AG978/210),IF($AG978&lt;123,WeightSDS!M$30*$AG978^10+WeightSDS!N$30*$AG978^9+WeightSDS!O$30*$AG978^8+WeightSDS!P$30*$AG978^7+WeightSDS!Q$30*$AG978^6+WeightSDS!R$30*$AG978^5+WeightSDS!S$30*$AG978^4+WeightSDS!T$30*$AG978^3+WeightSDS!U$30*$AG978^2+WeightSDS!V$30*$AG978+WeightSDS!W$30-0.010431*(1-1/$AG978),WeightSDS!M$32+WeightSDS!N$32/(1+EXP(WeightSDS!O$32+WeightSDS!P$32*$AG978))-0.010431*(1-$AG978/210))))</f>
        <v>2.9500001032655536</v>
      </c>
      <c r="AK978" s="24">
        <f>IF(D978="M",IF($AG978&lt;162,WeightSDS!P$12*$AG978^7+WeightSDS!Q$12*$AG978^6+WeightSDS!R$12*$AG978^5+WeightSDS!S$12*$AG978^4+WeightSDS!T$12*$AG978^3+WeightSDS!U$12*$AG978^2+WeightSDS!V$12*$AG978+WeightSDS!W$12,WeightSDS!P$14*$AG978^7+WeightSDS!Q$14*$AG978^6+WeightSDS!R$14*$AG978^5+WeightSDS!S$14*$AG978^4+WeightSDS!T$14*$AG978^3+WeightSDS!U$14*$AG978^2+WeightSDS!V$14*$AG978+WeightSDS!W$14),IF($AG978&lt;156,WeightSDS!O$17*$AG978^8+WeightSDS!P$17*$AG978^7+WeightSDS!Q$17*$AG978^6+WeightSDS!R$17*$AG978^5+WeightSDS!S$17*$AG978^4+WeightSDS!T$17*$AG978^3+WeightSDS!U$17*$AG978^2+WeightSDS!V$17*$AG978+WeightSDS!W$17,IF($AG978&lt;186,WeightSDS!$U$18+(WeightSDS!$V$18-WeightSDS!$U$18)/24*($AG978-186)+WeightSDS!$W$18*(-$AG978+186)^2-0.005,WeightSDS!$U$18+(WeightSDS!$V$18-WeightSDS!$U$18)/24*($AG978-186)-0.005)))</f>
        <v>0.14604529399999999</v>
      </c>
    </row>
    <row r="979" spans="1:37">
      <c r="A979" s="4"/>
      <c r="B979" s="21"/>
      <c r="C979" s="21"/>
      <c r="D979" s="21"/>
      <c r="E979" s="22"/>
      <c r="F979" s="22"/>
      <c r="G979" s="23"/>
      <c r="H979" s="23"/>
      <c r="I979" s="8" t="str">
        <f t="shared" si="242"/>
        <v/>
      </c>
      <c r="J979" s="2" t="str">
        <f t="shared" si="247"/>
        <v/>
      </c>
      <c r="K979" s="2" t="str">
        <f t="shared" si="243"/>
        <v/>
      </c>
      <c r="L979" s="2" t="str">
        <f t="shared" si="248"/>
        <v/>
      </c>
      <c r="M979" s="2" t="str">
        <f t="shared" si="255"/>
        <v/>
      </c>
      <c r="N979" s="2" t="str">
        <f t="shared" si="249"/>
        <v/>
      </c>
      <c r="O979" s="8" t="str">
        <f t="shared" si="250"/>
        <v/>
      </c>
      <c r="P979" s="8" t="str">
        <f t="shared" si="251"/>
        <v/>
      </c>
      <c r="Q979" s="40" t="str">
        <f t="shared" si="244"/>
        <v/>
      </c>
      <c r="R979" s="48" t="str">
        <f t="shared" si="252"/>
        <v/>
      </c>
      <c r="S979" s="8"/>
      <c r="U979" s="35">
        <f t="shared" si="253"/>
        <v>0</v>
      </c>
      <c r="V979" s="24">
        <f t="shared" si="254"/>
        <v>0</v>
      </c>
      <c r="W979" s="41">
        <f t="shared" si="241"/>
        <v>0</v>
      </c>
      <c r="X979" s="31"/>
      <c r="Y979" s="31"/>
      <c r="Z979" s="31"/>
      <c r="AA979" s="25">
        <f t="shared" si="245"/>
        <v>9.0359999999999996</v>
      </c>
      <c r="AB979" s="25">
        <f t="shared" si="246"/>
        <v>-184.49199999999999</v>
      </c>
      <c r="AD979" s="24">
        <f>IF(D979="M",IF(AG979&lt;78,BMILMS!$D$5*AG979^3+BMILMS!$E$5*AG979^2+BMILMS!$F$5*AG979+BMILMS!$G$5,IF(AG979&lt;150,BMILMS!$D$6*AG979^3+BMILMS!$E$6*AG979^2+BMILMS!$F$6*AG979+BMILMS!$G$6,BMILMS!$D$7*AG979^3+BMILMS!$E$7*AG979^2+BMILMS!$F$7*AG979+BMILMS!$G$7)),IF(AG979&lt;69,BMILMS!$D$9*AG979^3+BMILMS!$E$9*AG979^2+BMILMS!$F$9*AG979+BMILMS!$G$9,IF(AG979&lt;150,BMILMS!$D$10*AG979^3+BMILMS!$E$10*AG979^2+BMILMS!$F$10*AG979+BMILMS!$G$10,BMILMS!$D$11*AG979^3+BMILMS!$E$11*AG979^2+BMILMS!$F$11*AG979+BMILMS!$G$11)))</f>
        <v>0.79584630099999998</v>
      </c>
      <c r="AE979" s="24">
        <f>IF(D979="M",(IF(AG979&lt;2.5,BMILMS!$D$21*AG979^3+BMILMS!$E$21*AG979^2+BMILMS!$F$21*AG979+BMILMS!$G$21,IF(AG979&lt;9.5,BMILMS!$D$22*AG979^3+BMILMS!$E$22*AG979^2+BMILMS!$F$22*AG979+BMILMS!$G$22,IF(AG979&lt;26.75,BMILMS!$D$23*AG979^3+BMILMS!$E$23*AG979^2+BMILMS!$F$23*AG979+BMILMS!$G$23,IF(AG979&lt;90,BMILMS!$D$24*AG979^3+BMILMS!$E$24*AG979^2+BMILMS!$F$24*AG979+BMILMS!$G$24,BMILMS!$D$25*AG979^3+BMILMS!$E$25*AG979^2+BMILMS!$F$25*AG979+BMILMS!$G$25))))),(IF(AG979&lt;2.5,BMILMS!$D$27*AG979^3+BMILMS!$E$27*AG979^2+BMILMS!$F$27*AG979+BMILMS!$G$27,IF(AG979&lt;9.5,BMILMS!$D$28*AG979^3+BMILMS!$E$28*AG979^2+BMILMS!$F$28*AG979+BMILMS!$G$28,IF(AG979&lt;26.75,BMILMS!$D$29*AG979^3+BMILMS!$E$29*AG979^2+BMILMS!$F$29*AG979+BMILMS!$G$29,IF(AG979&lt;90,BMILMS!$D$30*AG979^3+BMILMS!$E$30*AG979^2+BMILMS!$F$30*AG979+BMILMS!$G$30,IF(AG979&lt;150,BMILMS!$D$31*AG979^3+BMILMS!$E$31*AG979^2+BMILMS!$F$31*AG979+BMILMS!$G$31,BMILMS!$D$32*AG979^3+BMILMS!$E$32*AG979^2+BMILMS!$F$32*AG979+BMILMS!$G$32)))))))</f>
        <v>12.568967990000001</v>
      </c>
      <c r="AF979" s="24">
        <f>IF(D979="M",(IF(AG979&lt;90,BMILMS!$D$14*AG979^3+BMILMS!$E$14*AG979^2+BMILMS!$F$14*AG979+BMILMS!$G$14,BMILMS!$D$15*AG979^3+BMILMS!$E$15*AG979^2+BMILMS!$F$15*AG979+BMILMS!$G$15)),(IF(AG979&lt;90,BMILMS!$D$17*AG979^3+BMILMS!$E$17*AG979^2+BMILMS!$F$17*AG979+BMILMS!$G$17,BMILMS!$D$18*AG979^3+BMILMS!$E$18*AG979^2+BMILMS!$F$18*AG979+BMILMS!$G$18)))</f>
        <v>8.8969350000000003E-2</v>
      </c>
      <c r="AG979" s="24">
        <f t="shared" si="256"/>
        <v>0</v>
      </c>
      <c r="AI979" s="38">
        <f>IF(D979="M",WeightSDS!P$5*$AG979^7+WeightSDS!Q$5*$AG979^6+WeightSDS!R$5*$AG979^5+WeightSDS!S$5*$AG979^4+WeightSDS!T$5*$AG979^3+WeightSDS!U$5*$AG979^2+WeightSDS!V$5*$AG979+WeightSDS!W$5,IF($AG979&lt;186,WeightSDS!P$8*$AG979^7+WeightSDS!Q$8*$AG979^6+WeightSDS!R$8*$AG979^5+WeightSDS!S$8*$AG979^4+WeightSDS!T$8*$AG979^3+WeightSDS!U$8*$AG979^2+WeightSDS!V$8*$AG979+WeightSDS!W$8,WeightSDS!$U$9-WeightSDS!$V$9*($AG979-WeightSDS!$W$9)))</f>
        <v>0.75407122999999998</v>
      </c>
      <c r="AJ979" s="24">
        <f>IF(D979="M",IF($AG979&lt;45,WeightSDS!M$23*$AG979^10+WeightSDS!N$23*$AG979^9+WeightSDS!O$23*$AG979^8+WeightSDS!P$23*$AG979^7+WeightSDS!Q$23*$AG979^6+WeightSDS!R$23*$AG979^5+WeightSDS!S$23*$AG979^4+WeightSDS!T$23*$AG979^3+WeightSDS!U$23*$AG979^2+WeightSDS!V$23*$AG979+WeightSDS!W$23,IF($AG979&lt;153,WeightSDS!M$25*$AG979^10+WeightSDS!N$25*$AG979^9+WeightSDS!O$25*$AG979^8+WeightSDS!P$25*$AG979^7+WeightSDS!Q$25*$AG979^6+WeightSDS!R$25*$AG979^5+WeightSDS!S$25*$AG979^4+WeightSDS!T$25*$AG979^3+WeightSDS!U$25*$AG979^2+WeightSDS!V$25*$AG979+WeightSDS!W$25,WeightSDS!M$27+WeightSDS!N$27/(1+EXP(WeightSDS!O$27+WeightSDS!P$27*$AG979)))),IF($AG979&lt;43.8,WeightSDS!M$29*$AG979^10+WeightSDS!N$29*$AG979^9+WeightSDS!O$29*$AG979^8+WeightSDS!P$29*$AG979^7+WeightSDS!Q$29*$AG979^6+WeightSDS!R$29*$AG979^5+WeightSDS!S$29*$AG979^4+WeightSDS!T$29*$AG979^3+WeightSDS!U$29*$AG979^2+WeightSDS!V$29*$AG979+WeightSDS!W$29-0.010431*(1-$AG979/210),IF($AG979&lt;123,WeightSDS!M$30*$AG979^10+WeightSDS!N$30*$AG979^9+WeightSDS!O$30*$AG979^8+WeightSDS!P$30*$AG979^7+WeightSDS!Q$30*$AG979^6+WeightSDS!R$30*$AG979^5+WeightSDS!S$30*$AG979^4+WeightSDS!T$30*$AG979^3+WeightSDS!U$30*$AG979^2+WeightSDS!V$30*$AG979+WeightSDS!W$30-0.010431*(1-1/$AG979),WeightSDS!M$32+WeightSDS!N$32/(1+EXP(WeightSDS!O$32+WeightSDS!P$32*$AG979))-0.010431*(1-$AG979/210))))</f>
        <v>2.9500001032655536</v>
      </c>
      <c r="AK979" s="24">
        <f>IF(D979="M",IF($AG979&lt;162,WeightSDS!P$12*$AG979^7+WeightSDS!Q$12*$AG979^6+WeightSDS!R$12*$AG979^5+WeightSDS!S$12*$AG979^4+WeightSDS!T$12*$AG979^3+WeightSDS!U$12*$AG979^2+WeightSDS!V$12*$AG979+WeightSDS!W$12,WeightSDS!P$14*$AG979^7+WeightSDS!Q$14*$AG979^6+WeightSDS!R$14*$AG979^5+WeightSDS!S$14*$AG979^4+WeightSDS!T$14*$AG979^3+WeightSDS!U$14*$AG979^2+WeightSDS!V$14*$AG979+WeightSDS!W$14),IF($AG979&lt;156,WeightSDS!O$17*$AG979^8+WeightSDS!P$17*$AG979^7+WeightSDS!Q$17*$AG979^6+WeightSDS!R$17*$AG979^5+WeightSDS!S$17*$AG979^4+WeightSDS!T$17*$AG979^3+WeightSDS!U$17*$AG979^2+WeightSDS!V$17*$AG979+WeightSDS!W$17,IF($AG979&lt;186,WeightSDS!$U$18+(WeightSDS!$V$18-WeightSDS!$U$18)/24*($AG979-186)+WeightSDS!$W$18*(-$AG979+186)^2-0.005,WeightSDS!$U$18+(WeightSDS!$V$18-WeightSDS!$U$18)/24*($AG979-186)-0.005)))</f>
        <v>0.14604529399999999</v>
      </c>
    </row>
    <row r="980" spans="1:37">
      <c r="A980" s="4"/>
      <c r="B980" s="21"/>
      <c r="C980" s="21"/>
      <c r="D980" s="21"/>
      <c r="E980" s="22"/>
      <c r="F980" s="22"/>
      <c r="G980" s="23"/>
      <c r="H980" s="23"/>
      <c r="I980" s="8" t="str">
        <f t="shared" si="242"/>
        <v/>
      </c>
      <c r="J980" s="2" t="str">
        <f t="shared" si="247"/>
        <v/>
      </c>
      <c r="K980" s="2" t="str">
        <f t="shared" si="243"/>
        <v/>
      </c>
      <c r="L980" s="2" t="str">
        <f t="shared" si="248"/>
        <v/>
      </c>
      <c r="M980" s="2" t="str">
        <f t="shared" si="255"/>
        <v/>
      </c>
      <c r="N980" s="2" t="str">
        <f t="shared" si="249"/>
        <v/>
      </c>
      <c r="O980" s="8" t="str">
        <f t="shared" si="250"/>
        <v/>
      </c>
      <c r="P980" s="8" t="str">
        <f t="shared" si="251"/>
        <v/>
      </c>
      <c r="Q980" s="40" t="str">
        <f t="shared" si="244"/>
        <v/>
      </c>
      <c r="R980" s="48" t="str">
        <f t="shared" si="252"/>
        <v/>
      </c>
      <c r="S980" s="8"/>
      <c r="U980" s="35">
        <f t="shared" si="253"/>
        <v>0</v>
      </c>
      <c r="V980" s="24">
        <f t="shared" si="254"/>
        <v>0</v>
      </c>
      <c r="W980" s="41">
        <f t="shared" si="241"/>
        <v>0</v>
      </c>
      <c r="X980" s="31"/>
      <c r="Y980" s="31"/>
      <c r="Z980" s="31"/>
      <c r="AA980" s="25">
        <f t="shared" si="245"/>
        <v>9.0359999999999996</v>
      </c>
      <c r="AB980" s="25">
        <f t="shared" si="246"/>
        <v>-184.49199999999999</v>
      </c>
      <c r="AD980" s="24">
        <f>IF(D980="M",IF(AG980&lt;78,BMILMS!$D$5*AG980^3+BMILMS!$E$5*AG980^2+BMILMS!$F$5*AG980+BMILMS!$G$5,IF(AG980&lt;150,BMILMS!$D$6*AG980^3+BMILMS!$E$6*AG980^2+BMILMS!$F$6*AG980+BMILMS!$G$6,BMILMS!$D$7*AG980^3+BMILMS!$E$7*AG980^2+BMILMS!$F$7*AG980+BMILMS!$G$7)),IF(AG980&lt;69,BMILMS!$D$9*AG980^3+BMILMS!$E$9*AG980^2+BMILMS!$F$9*AG980+BMILMS!$G$9,IF(AG980&lt;150,BMILMS!$D$10*AG980^3+BMILMS!$E$10*AG980^2+BMILMS!$F$10*AG980+BMILMS!$G$10,BMILMS!$D$11*AG980^3+BMILMS!$E$11*AG980^2+BMILMS!$F$11*AG980+BMILMS!$G$11)))</f>
        <v>0.79584630099999998</v>
      </c>
      <c r="AE980" s="24">
        <f>IF(D980="M",(IF(AG980&lt;2.5,BMILMS!$D$21*AG980^3+BMILMS!$E$21*AG980^2+BMILMS!$F$21*AG980+BMILMS!$G$21,IF(AG980&lt;9.5,BMILMS!$D$22*AG980^3+BMILMS!$E$22*AG980^2+BMILMS!$F$22*AG980+BMILMS!$G$22,IF(AG980&lt;26.75,BMILMS!$D$23*AG980^3+BMILMS!$E$23*AG980^2+BMILMS!$F$23*AG980+BMILMS!$G$23,IF(AG980&lt;90,BMILMS!$D$24*AG980^3+BMILMS!$E$24*AG980^2+BMILMS!$F$24*AG980+BMILMS!$G$24,BMILMS!$D$25*AG980^3+BMILMS!$E$25*AG980^2+BMILMS!$F$25*AG980+BMILMS!$G$25))))),(IF(AG980&lt;2.5,BMILMS!$D$27*AG980^3+BMILMS!$E$27*AG980^2+BMILMS!$F$27*AG980+BMILMS!$G$27,IF(AG980&lt;9.5,BMILMS!$D$28*AG980^3+BMILMS!$E$28*AG980^2+BMILMS!$F$28*AG980+BMILMS!$G$28,IF(AG980&lt;26.75,BMILMS!$D$29*AG980^3+BMILMS!$E$29*AG980^2+BMILMS!$F$29*AG980+BMILMS!$G$29,IF(AG980&lt;90,BMILMS!$D$30*AG980^3+BMILMS!$E$30*AG980^2+BMILMS!$F$30*AG980+BMILMS!$G$30,IF(AG980&lt;150,BMILMS!$D$31*AG980^3+BMILMS!$E$31*AG980^2+BMILMS!$F$31*AG980+BMILMS!$G$31,BMILMS!$D$32*AG980^3+BMILMS!$E$32*AG980^2+BMILMS!$F$32*AG980+BMILMS!$G$32)))))))</f>
        <v>12.568967990000001</v>
      </c>
      <c r="AF980" s="24">
        <f>IF(D980="M",(IF(AG980&lt;90,BMILMS!$D$14*AG980^3+BMILMS!$E$14*AG980^2+BMILMS!$F$14*AG980+BMILMS!$G$14,BMILMS!$D$15*AG980^3+BMILMS!$E$15*AG980^2+BMILMS!$F$15*AG980+BMILMS!$G$15)),(IF(AG980&lt;90,BMILMS!$D$17*AG980^3+BMILMS!$E$17*AG980^2+BMILMS!$F$17*AG980+BMILMS!$G$17,BMILMS!$D$18*AG980^3+BMILMS!$E$18*AG980^2+BMILMS!$F$18*AG980+BMILMS!$G$18)))</f>
        <v>8.8969350000000003E-2</v>
      </c>
      <c r="AG980" s="24">
        <f t="shared" si="256"/>
        <v>0</v>
      </c>
      <c r="AI980" s="38">
        <f>IF(D980="M",WeightSDS!P$5*$AG980^7+WeightSDS!Q$5*$AG980^6+WeightSDS!R$5*$AG980^5+WeightSDS!S$5*$AG980^4+WeightSDS!T$5*$AG980^3+WeightSDS!U$5*$AG980^2+WeightSDS!V$5*$AG980+WeightSDS!W$5,IF($AG980&lt;186,WeightSDS!P$8*$AG980^7+WeightSDS!Q$8*$AG980^6+WeightSDS!R$8*$AG980^5+WeightSDS!S$8*$AG980^4+WeightSDS!T$8*$AG980^3+WeightSDS!U$8*$AG980^2+WeightSDS!V$8*$AG980+WeightSDS!W$8,WeightSDS!$U$9-WeightSDS!$V$9*($AG980-WeightSDS!$W$9)))</f>
        <v>0.75407122999999998</v>
      </c>
      <c r="AJ980" s="24">
        <f>IF(D980="M",IF($AG980&lt;45,WeightSDS!M$23*$AG980^10+WeightSDS!N$23*$AG980^9+WeightSDS!O$23*$AG980^8+WeightSDS!P$23*$AG980^7+WeightSDS!Q$23*$AG980^6+WeightSDS!R$23*$AG980^5+WeightSDS!S$23*$AG980^4+WeightSDS!T$23*$AG980^3+WeightSDS!U$23*$AG980^2+WeightSDS!V$23*$AG980+WeightSDS!W$23,IF($AG980&lt;153,WeightSDS!M$25*$AG980^10+WeightSDS!N$25*$AG980^9+WeightSDS!O$25*$AG980^8+WeightSDS!P$25*$AG980^7+WeightSDS!Q$25*$AG980^6+WeightSDS!R$25*$AG980^5+WeightSDS!S$25*$AG980^4+WeightSDS!T$25*$AG980^3+WeightSDS!U$25*$AG980^2+WeightSDS!V$25*$AG980+WeightSDS!W$25,WeightSDS!M$27+WeightSDS!N$27/(1+EXP(WeightSDS!O$27+WeightSDS!P$27*$AG980)))),IF($AG980&lt;43.8,WeightSDS!M$29*$AG980^10+WeightSDS!N$29*$AG980^9+WeightSDS!O$29*$AG980^8+WeightSDS!P$29*$AG980^7+WeightSDS!Q$29*$AG980^6+WeightSDS!R$29*$AG980^5+WeightSDS!S$29*$AG980^4+WeightSDS!T$29*$AG980^3+WeightSDS!U$29*$AG980^2+WeightSDS!V$29*$AG980+WeightSDS!W$29-0.010431*(1-$AG980/210),IF($AG980&lt;123,WeightSDS!M$30*$AG980^10+WeightSDS!N$30*$AG980^9+WeightSDS!O$30*$AG980^8+WeightSDS!P$30*$AG980^7+WeightSDS!Q$30*$AG980^6+WeightSDS!R$30*$AG980^5+WeightSDS!S$30*$AG980^4+WeightSDS!T$30*$AG980^3+WeightSDS!U$30*$AG980^2+WeightSDS!V$30*$AG980+WeightSDS!W$30-0.010431*(1-1/$AG980),WeightSDS!M$32+WeightSDS!N$32/(1+EXP(WeightSDS!O$32+WeightSDS!P$32*$AG980))-0.010431*(1-$AG980/210))))</f>
        <v>2.9500001032655536</v>
      </c>
      <c r="AK980" s="24">
        <f>IF(D980="M",IF($AG980&lt;162,WeightSDS!P$12*$AG980^7+WeightSDS!Q$12*$AG980^6+WeightSDS!R$12*$AG980^5+WeightSDS!S$12*$AG980^4+WeightSDS!T$12*$AG980^3+WeightSDS!U$12*$AG980^2+WeightSDS!V$12*$AG980+WeightSDS!W$12,WeightSDS!P$14*$AG980^7+WeightSDS!Q$14*$AG980^6+WeightSDS!R$14*$AG980^5+WeightSDS!S$14*$AG980^4+WeightSDS!T$14*$AG980^3+WeightSDS!U$14*$AG980^2+WeightSDS!V$14*$AG980+WeightSDS!W$14),IF($AG980&lt;156,WeightSDS!O$17*$AG980^8+WeightSDS!P$17*$AG980^7+WeightSDS!Q$17*$AG980^6+WeightSDS!R$17*$AG980^5+WeightSDS!S$17*$AG980^4+WeightSDS!T$17*$AG980^3+WeightSDS!U$17*$AG980^2+WeightSDS!V$17*$AG980+WeightSDS!W$17,IF($AG980&lt;186,WeightSDS!$U$18+(WeightSDS!$V$18-WeightSDS!$U$18)/24*($AG980-186)+WeightSDS!$W$18*(-$AG980+186)^2-0.005,WeightSDS!$U$18+(WeightSDS!$V$18-WeightSDS!$U$18)/24*($AG980-186)-0.005)))</f>
        <v>0.14604529399999999</v>
      </c>
    </row>
    <row r="981" spans="1:37">
      <c r="A981" s="4"/>
      <c r="B981" s="21"/>
      <c r="C981" s="21"/>
      <c r="D981" s="21"/>
      <c r="E981" s="22"/>
      <c r="F981" s="22"/>
      <c r="G981" s="23"/>
      <c r="H981" s="23"/>
      <c r="I981" s="8" t="str">
        <f t="shared" si="242"/>
        <v/>
      </c>
      <c r="J981" s="2" t="str">
        <f t="shared" si="247"/>
        <v/>
      </c>
      <c r="K981" s="2" t="str">
        <f t="shared" si="243"/>
        <v/>
      </c>
      <c r="L981" s="2" t="str">
        <f t="shared" si="248"/>
        <v/>
      </c>
      <c r="M981" s="2" t="str">
        <f t="shared" si="255"/>
        <v/>
      </c>
      <c r="N981" s="2" t="str">
        <f t="shared" si="249"/>
        <v/>
      </c>
      <c r="O981" s="8" t="str">
        <f t="shared" si="250"/>
        <v/>
      </c>
      <c r="P981" s="8" t="str">
        <f t="shared" si="251"/>
        <v/>
      </c>
      <c r="Q981" s="40" t="str">
        <f t="shared" si="244"/>
        <v/>
      </c>
      <c r="R981" s="48" t="str">
        <f t="shared" si="252"/>
        <v/>
      </c>
      <c r="S981" s="8"/>
      <c r="U981" s="35">
        <f t="shared" si="253"/>
        <v>0</v>
      </c>
      <c r="V981" s="24">
        <f t="shared" si="254"/>
        <v>0</v>
      </c>
      <c r="W981" s="41">
        <f t="shared" si="241"/>
        <v>0</v>
      </c>
      <c r="X981" s="31"/>
      <c r="Y981" s="31"/>
      <c r="Z981" s="31"/>
      <c r="AA981" s="25">
        <f t="shared" si="245"/>
        <v>9.0359999999999996</v>
      </c>
      <c r="AB981" s="25">
        <f t="shared" si="246"/>
        <v>-184.49199999999999</v>
      </c>
      <c r="AD981" s="24">
        <f>IF(D981="M",IF(AG981&lt;78,BMILMS!$D$5*AG981^3+BMILMS!$E$5*AG981^2+BMILMS!$F$5*AG981+BMILMS!$G$5,IF(AG981&lt;150,BMILMS!$D$6*AG981^3+BMILMS!$E$6*AG981^2+BMILMS!$F$6*AG981+BMILMS!$G$6,BMILMS!$D$7*AG981^3+BMILMS!$E$7*AG981^2+BMILMS!$F$7*AG981+BMILMS!$G$7)),IF(AG981&lt;69,BMILMS!$D$9*AG981^3+BMILMS!$E$9*AG981^2+BMILMS!$F$9*AG981+BMILMS!$G$9,IF(AG981&lt;150,BMILMS!$D$10*AG981^3+BMILMS!$E$10*AG981^2+BMILMS!$F$10*AG981+BMILMS!$G$10,BMILMS!$D$11*AG981^3+BMILMS!$E$11*AG981^2+BMILMS!$F$11*AG981+BMILMS!$G$11)))</f>
        <v>0.79584630099999998</v>
      </c>
      <c r="AE981" s="24">
        <f>IF(D981="M",(IF(AG981&lt;2.5,BMILMS!$D$21*AG981^3+BMILMS!$E$21*AG981^2+BMILMS!$F$21*AG981+BMILMS!$G$21,IF(AG981&lt;9.5,BMILMS!$D$22*AG981^3+BMILMS!$E$22*AG981^2+BMILMS!$F$22*AG981+BMILMS!$G$22,IF(AG981&lt;26.75,BMILMS!$D$23*AG981^3+BMILMS!$E$23*AG981^2+BMILMS!$F$23*AG981+BMILMS!$G$23,IF(AG981&lt;90,BMILMS!$D$24*AG981^3+BMILMS!$E$24*AG981^2+BMILMS!$F$24*AG981+BMILMS!$G$24,BMILMS!$D$25*AG981^3+BMILMS!$E$25*AG981^2+BMILMS!$F$25*AG981+BMILMS!$G$25))))),(IF(AG981&lt;2.5,BMILMS!$D$27*AG981^3+BMILMS!$E$27*AG981^2+BMILMS!$F$27*AG981+BMILMS!$G$27,IF(AG981&lt;9.5,BMILMS!$D$28*AG981^3+BMILMS!$E$28*AG981^2+BMILMS!$F$28*AG981+BMILMS!$G$28,IF(AG981&lt;26.75,BMILMS!$D$29*AG981^3+BMILMS!$E$29*AG981^2+BMILMS!$F$29*AG981+BMILMS!$G$29,IF(AG981&lt;90,BMILMS!$D$30*AG981^3+BMILMS!$E$30*AG981^2+BMILMS!$F$30*AG981+BMILMS!$G$30,IF(AG981&lt;150,BMILMS!$D$31*AG981^3+BMILMS!$E$31*AG981^2+BMILMS!$F$31*AG981+BMILMS!$G$31,BMILMS!$D$32*AG981^3+BMILMS!$E$32*AG981^2+BMILMS!$F$32*AG981+BMILMS!$G$32)))))))</f>
        <v>12.568967990000001</v>
      </c>
      <c r="AF981" s="24">
        <f>IF(D981="M",(IF(AG981&lt;90,BMILMS!$D$14*AG981^3+BMILMS!$E$14*AG981^2+BMILMS!$F$14*AG981+BMILMS!$G$14,BMILMS!$D$15*AG981^3+BMILMS!$E$15*AG981^2+BMILMS!$F$15*AG981+BMILMS!$G$15)),(IF(AG981&lt;90,BMILMS!$D$17*AG981^3+BMILMS!$E$17*AG981^2+BMILMS!$F$17*AG981+BMILMS!$G$17,BMILMS!$D$18*AG981^3+BMILMS!$E$18*AG981^2+BMILMS!$F$18*AG981+BMILMS!$G$18)))</f>
        <v>8.8969350000000003E-2</v>
      </c>
      <c r="AG981" s="24">
        <f t="shared" si="256"/>
        <v>0</v>
      </c>
      <c r="AI981" s="38">
        <f>IF(D981="M",WeightSDS!P$5*$AG981^7+WeightSDS!Q$5*$AG981^6+WeightSDS!R$5*$AG981^5+WeightSDS!S$5*$AG981^4+WeightSDS!T$5*$AG981^3+WeightSDS!U$5*$AG981^2+WeightSDS!V$5*$AG981+WeightSDS!W$5,IF($AG981&lt;186,WeightSDS!P$8*$AG981^7+WeightSDS!Q$8*$AG981^6+WeightSDS!R$8*$AG981^5+WeightSDS!S$8*$AG981^4+WeightSDS!T$8*$AG981^3+WeightSDS!U$8*$AG981^2+WeightSDS!V$8*$AG981+WeightSDS!W$8,WeightSDS!$U$9-WeightSDS!$V$9*($AG981-WeightSDS!$W$9)))</f>
        <v>0.75407122999999998</v>
      </c>
      <c r="AJ981" s="24">
        <f>IF(D981="M",IF($AG981&lt;45,WeightSDS!M$23*$AG981^10+WeightSDS!N$23*$AG981^9+WeightSDS!O$23*$AG981^8+WeightSDS!P$23*$AG981^7+WeightSDS!Q$23*$AG981^6+WeightSDS!R$23*$AG981^5+WeightSDS!S$23*$AG981^4+WeightSDS!T$23*$AG981^3+WeightSDS!U$23*$AG981^2+WeightSDS!V$23*$AG981+WeightSDS!W$23,IF($AG981&lt;153,WeightSDS!M$25*$AG981^10+WeightSDS!N$25*$AG981^9+WeightSDS!O$25*$AG981^8+WeightSDS!P$25*$AG981^7+WeightSDS!Q$25*$AG981^6+WeightSDS!R$25*$AG981^5+WeightSDS!S$25*$AG981^4+WeightSDS!T$25*$AG981^3+WeightSDS!U$25*$AG981^2+WeightSDS!V$25*$AG981+WeightSDS!W$25,WeightSDS!M$27+WeightSDS!N$27/(1+EXP(WeightSDS!O$27+WeightSDS!P$27*$AG981)))),IF($AG981&lt;43.8,WeightSDS!M$29*$AG981^10+WeightSDS!N$29*$AG981^9+WeightSDS!O$29*$AG981^8+WeightSDS!P$29*$AG981^7+WeightSDS!Q$29*$AG981^6+WeightSDS!R$29*$AG981^5+WeightSDS!S$29*$AG981^4+WeightSDS!T$29*$AG981^3+WeightSDS!U$29*$AG981^2+WeightSDS!V$29*$AG981+WeightSDS!W$29-0.010431*(1-$AG981/210),IF($AG981&lt;123,WeightSDS!M$30*$AG981^10+WeightSDS!N$30*$AG981^9+WeightSDS!O$30*$AG981^8+WeightSDS!P$30*$AG981^7+WeightSDS!Q$30*$AG981^6+WeightSDS!R$30*$AG981^5+WeightSDS!S$30*$AG981^4+WeightSDS!T$30*$AG981^3+WeightSDS!U$30*$AG981^2+WeightSDS!V$30*$AG981+WeightSDS!W$30-0.010431*(1-1/$AG981),WeightSDS!M$32+WeightSDS!N$32/(1+EXP(WeightSDS!O$32+WeightSDS!P$32*$AG981))-0.010431*(1-$AG981/210))))</f>
        <v>2.9500001032655536</v>
      </c>
      <c r="AK981" s="24">
        <f>IF(D981="M",IF($AG981&lt;162,WeightSDS!P$12*$AG981^7+WeightSDS!Q$12*$AG981^6+WeightSDS!R$12*$AG981^5+WeightSDS!S$12*$AG981^4+WeightSDS!T$12*$AG981^3+WeightSDS!U$12*$AG981^2+WeightSDS!V$12*$AG981+WeightSDS!W$12,WeightSDS!P$14*$AG981^7+WeightSDS!Q$14*$AG981^6+WeightSDS!R$14*$AG981^5+WeightSDS!S$14*$AG981^4+WeightSDS!T$14*$AG981^3+WeightSDS!U$14*$AG981^2+WeightSDS!V$14*$AG981+WeightSDS!W$14),IF($AG981&lt;156,WeightSDS!O$17*$AG981^8+WeightSDS!P$17*$AG981^7+WeightSDS!Q$17*$AG981^6+WeightSDS!R$17*$AG981^5+WeightSDS!S$17*$AG981^4+WeightSDS!T$17*$AG981^3+WeightSDS!U$17*$AG981^2+WeightSDS!V$17*$AG981+WeightSDS!W$17,IF($AG981&lt;186,WeightSDS!$U$18+(WeightSDS!$V$18-WeightSDS!$U$18)/24*($AG981-186)+WeightSDS!$W$18*(-$AG981+186)^2-0.005,WeightSDS!$U$18+(WeightSDS!$V$18-WeightSDS!$U$18)/24*($AG981-186)-0.005)))</f>
        <v>0.14604529399999999</v>
      </c>
    </row>
    <row r="982" spans="1:37">
      <c r="A982" s="4"/>
      <c r="B982" s="21"/>
      <c r="C982" s="21"/>
      <c r="D982" s="21"/>
      <c r="E982" s="22"/>
      <c r="F982" s="22"/>
      <c r="G982" s="23"/>
      <c r="H982" s="23"/>
      <c r="I982" s="8" t="str">
        <f t="shared" si="242"/>
        <v/>
      </c>
      <c r="J982" s="2" t="str">
        <f t="shared" si="247"/>
        <v/>
      </c>
      <c r="K982" s="2" t="str">
        <f t="shared" si="243"/>
        <v/>
      </c>
      <c r="L982" s="2" t="str">
        <f t="shared" si="248"/>
        <v/>
      </c>
      <c r="M982" s="2" t="str">
        <f t="shared" si="255"/>
        <v/>
      </c>
      <c r="N982" s="2" t="str">
        <f t="shared" si="249"/>
        <v/>
      </c>
      <c r="O982" s="8" t="str">
        <f t="shared" si="250"/>
        <v/>
      </c>
      <c r="P982" s="8" t="str">
        <f t="shared" si="251"/>
        <v/>
      </c>
      <c r="Q982" s="40" t="str">
        <f t="shared" si="244"/>
        <v/>
      </c>
      <c r="R982" s="48" t="str">
        <f t="shared" si="252"/>
        <v/>
      </c>
      <c r="S982" s="8"/>
      <c r="U982" s="35">
        <f t="shared" si="253"/>
        <v>0</v>
      </c>
      <c r="V982" s="24">
        <f t="shared" si="254"/>
        <v>0</v>
      </c>
      <c r="W982" s="41">
        <f t="shared" si="241"/>
        <v>0</v>
      </c>
      <c r="X982" s="31"/>
      <c r="Y982" s="31"/>
      <c r="Z982" s="31"/>
      <c r="AA982" s="25">
        <f t="shared" si="245"/>
        <v>9.0359999999999996</v>
      </c>
      <c r="AB982" s="25">
        <f t="shared" si="246"/>
        <v>-184.49199999999999</v>
      </c>
      <c r="AD982" s="24">
        <f>IF(D982="M",IF(AG982&lt;78,BMILMS!$D$5*AG982^3+BMILMS!$E$5*AG982^2+BMILMS!$F$5*AG982+BMILMS!$G$5,IF(AG982&lt;150,BMILMS!$D$6*AG982^3+BMILMS!$E$6*AG982^2+BMILMS!$F$6*AG982+BMILMS!$G$6,BMILMS!$D$7*AG982^3+BMILMS!$E$7*AG982^2+BMILMS!$F$7*AG982+BMILMS!$G$7)),IF(AG982&lt;69,BMILMS!$D$9*AG982^3+BMILMS!$E$9*AG982^2+BMILMS!$F$9*AG982+BMILMS!$G$9,IF(AG982&lt;150,BMILMS!$D$10*AG982^3+BMILMS!$E$10*AG982^2+BMILMS!$F$10*AG982+BMILMS!$G$10,BMILMS!$D$11*AG982^3+BMILMS!$E$11*AG982^2+BMILMS!$F$11*AG982+BMILMS!$G$11)))</f>
        <v>0.79584630099999998</v>
      </c>
      <c r="AE982" s="24">
        <f>IF(D982="M",(IF(AG982&lt;2.5,BMILMS!$D$21*AG982^3+BMILMS!$E$21*AG982^2+BMILMS!$F$21*AG982+BMILMS!$G$21,IF(AG982&lt;9.5,BMILMS!$D$22*AG982^3+BMILMS!$E$22*AG982^2+BMILMS!$F$22*AG982+BMILMS!$G$22,IF(AG982&lt;26.75,BMILMS!$D$23*AG982^3+BMILMS!$E$23*AG982^2+BMILMS!$F$23*AG982+BMILMS!$G$23,IF(AG982&lt;90,BMILMS!$D$24*AG982^3+BMILMS!$E$24*AG982^2+BMILMS!$F$24*AG982+BMILMS!$G$24,BMILMS!$D$25*AG982^3+BMILMS!$E$25*AG982^2+BMILMS!$F$25*AG982+BMILMS!$G$25))))),(IF(AG982&lt;2.5,BMILMS!$D$27*AG982^3+BMILMS!$E$27*AG982^2+BMILMS!$F$27*AG982+BMILMS!$G$27,IF(AG982&lt;9.5,BMILMS!$D$28*AG982^3+BMILMS!$E$28*AG982^2+BMILMS!$F$28*AG982+BMILMS!$G$28,IF(AG982&lt;26.75,BMILMS!$D$29*AG982^3+BMILMS!$E$29*AG982^2+BMILMS!$F$29*AG982+BMILMS!$G$29,IF(AG982&lt;90,BMILMS!$D$30*AG982^3+BMILMS!$E$30*AG982^2+BMILMS!$F$30*AG982+BMILMS!$G$30,IF(AG982&lt;150,BMILMS!$D$31*AG982^3+BMILMS!$E$31*AG982^2+BMILMS!$F$31*AG982+BMILMS!$G$31,BMILMS!$D$32*AG982^3+BMILMS!$E$32*AG982^2+BMILMS!$F$32*AG982+BMILMS!$G$32)))))))</f>
        <v>12.568967990000001</v>
      </c>
      <c r="AF982" s="24">
        <f>IF(D982="M",(IF(AG982&lt;90,BMILMS!$D$14*AG982^3+BMILMS!$E$14*AG982^2+BMILMS!$F$14*AG982+BMILMS!$G$14,BMILMS!$D$15*AG982^3+BMILMS!$E$15*AG982^2+BMILMS!$F$15*AG982+BMILMS!$G$15)),(IF(AG982&lt;90,BMILMS!$D$17*AG982^3+BMILMS!$E$17*AG982^2+BMILMS!$F$17*AG982+BMILMS!$G$17,BMILMS!$D$18*AG982^3+BMILMS!$E$18*AG982^2+BMILMS!$F$18*AG982+BMILMS!$G$18)))</f>
        <v>8.8969350000000003E-2</v>
      </c>
      <c r="AG982" s="24">
        <f t="shared" si="256"/>
        <v>0</v>
      </c>
      <c r="AI982" s="38">
        <f>IF(D982="M",WeightSDS!P$5*$AG982^7+WeightSDS!Q$5*$AG982^6+WeightSDS!R$5*$AG982^5+WeightSDS!S$5*$AG982^4+WeightSDS!T$5*$AG982^3+WeightSDS!U$5*$AG982^2+WeightSDS!V$5*$AG982+WeightSDS!W$5,IF($AG982&lt;186,WeightSDS!P$8*$AG982^7+WeightSDS!Q$8*$AG982^6+WeightSDS!R$8*$AG982^5+WeightSDS!S$8*$AG982^4+WeightSDS!T$8*$AG982^3+WeightSDS!U$8*$AG982^2+WeightSDS!V$8*$AG982+WeightSDS!W$8,WeightSDS!$U$9-WeightSDS!$V$9*($AG982-WeightSDS!$W$9)))</f>
        <v>0.75407122999999998</v>
      </c>
      <c r="AJ982" s="24">
        <f>IF(D982="M",IF($AG982&lt;45,WeightSDS!M$23*$AG982^10+WeightSDS!N$23*$AG982^9+WeightSDS!O$23*$AG982^8+WeightSDS!P$23*$AG982^7+WeightSDS!Q$23*$AG982^6+WeightSDS!R$23*$AG982^5+WeightSDS!S$23*$AG982^4+WeightSDS!T$23*$AG982^3+WeightSDS!U$23*$AG982^2+WeightSDS!V$23*$AG982+WeightSDS!W$23,IF($AG982&lt;153,WeightSDS!M$25*$AG982^10+WeightSDS!N$25*$AG982^9+WeightSDS!O$25*$AG982^8+WeightSDS!P$25*$AG982^7+WeightSDS!Q$25*$AG982^6+WeightSDS!R$25*$AG982^5+WeightSDS!S$25*$AG982^4+WeightSDS!T$25*$AG982^3+WeightSDS!U$25*$AG982^2+WeightSDS!V$25*$AG982+WeightSDS!W$25,WeightSDS!M$27+WeightSDS!N$27/(1+EXP(WeightSDS!O$27+WeightSDS!P$27*$AG982)))),IF($AG982&lt;43.8,WeightSDS!M$29*$AG982^10+WeightSDS!N$29*$AG982^9+WeightSDS!O$29*$AG982^8+WeightSDS!P$29*$AG982^7+WeightSDS!Q$29*$AG982^6+WeightSDS!R$29*$AG982^5+WeightSDS!S$29*$AG982^4+WeightSDS!T$29*$AG982^3+WeightSDS!U$29*$AG982^2+WeightSDS!V$29*$AG982+WeightSDS!W$29-0.010431*(1-$AG982/210),IF($AG982&lt;123,WeightSDS!M$30*$AG982^10+WeightSDS!N$30*$AG982^9+WeightSDS!O$30*$AG982^8+WeightSDS!P$30*$AG982^7+WeightSDS!Q$30*$AG982^6+WeightSDS!R$30*$AG982^5+WeightSDS!S$30*$AG982^4+WeightSDS!T$30*$AG982^3+WeightSDS!U$30*$AG982^2+WeightSDS!V$30*$AG982+WeightSDS!W$30-0.010431*(1-1/$AG982),WeightSDS!M$32+WeightSDS!N$32/(1+EXP(WeightSDS!O$32+WeightSDS!P$32*$AG982))-0.010431*(1-$AG982/210))))</f>
        <v>2.9500001032655536</v>
      </c>
      <c r="AK982" s="24">
        <f>IF(D982="M",IF($AG982&lt;162,WeightSDS!P$12*$AG982^7+WeightSDS!Q$12*$AG982^6+WeightSDS!R$12*$AG982^5+WeightSDS!S$12*$AG982^4+WeightSDS!T$12*$AG982^3+WeightSDS!U$12*$AG982^2+WeightSDS!V$12*$AG982+WeightSDS!W$12,WeightSDS!P$14*$AG982^7+WeightSDS!Q$14*$AG982^6+WeightSDS!R$14*$AG982^5+WeightSDS!S$14*$AG982^4+WeightSDS!T$14*$AG982^3+WeightSDS!U$14*$AG982^2+WeightSDS!V$14*$AG982+WeightSDS!W$14),IF($AG982&lt;156,WeightSDS!O$17*$AG982^8+WeightSDS!P$17*$AG982^7+WeightSDS!Q$17*$AG982^6+WeightSDS!R$17*$AG982^5+WeightSDS!S$17*$AG982^4+WeightSDS!T$17*$AG982^3+WeightSDS!U$17*$AG982^2+WeightSDS!V$17*$AG982+WeightSDS!W$17,IF($AG982&lt;186,WeightSDS!$U$18+(WeightSDS!$V$18-WeightSDS!$U$18)/24*($AG982-186)+WeightSDS!$W$18*(-$AG982+186)^2-0.005,WeightSDS!$U$18+(WeightSDS!$V$18-WeightSDS!$U$18)/24*($AG982-186)-0.005)))</f>
        <v>0.14604529399999999</v>
      </c>
    </row>
    <row r="983" spans="1:37">
      <c r="A983" s="4"/>
      <c r="B983" s="21"/>
      <c r="C983" s="21"/>
      <c r="D983" s="21"/>
      <c r="E983" s="22"/>
      <c r="F983" s="22"/>
      <c r="G983" s="23"/>
      <c r="H983" s="23"/>
      <c r="I983" s="8" t="str">
        <f t="shared" si="242"/>
        <v/>
      </c>
      <c r="J983" s="2" t="str">
        <f t="shared" si="247"/>
        <v/>
      </c>
      <c r="K983" s="2" t="str">
        <f t="shared" si="243"/>
        <v/>
      </c>
      <c r="L983" s="2" t="str">
        <f t="shared" si="248"/>
        <v/>
      </c>
      <c r="M983" s="2" t="str">
        <f t="shared" si="255"/>
        <v/>
      </c>
      <c r="N983" s="2" t="str">
        <f t="shared" si="249"/>
        <v/>
      </c>
      <c r="O983" s="8" t="str">
        <f t="shared" si="250"/>
        <v/>
      </c>
      <c r="P983" s="8" t="str">
        <f t="shared" si="251"/>
        <v/>
      </c>
      <c r="Q983" s="40" t="str">
        <f t="shared" si="244"/>
        <v/>
      </c>
      <c r="R983" s="48" t="str">
        <f t="shared" si="252"/>
        <v/>
      </c>
      <c r="S983" s="8"/>
      <c r="U983" s="35">
        <f t="shared" si="253"/>
        <v>0</v>
      </c>
      <c r="V983" s="24">
        <f t="shared" si="254"/>
        <v>0</v>
      </c>
      <c r="W983" s="41">
        <f t="shared" si="241"/>
        <v>0</v>
      </c>
      <c r="X983" s="31"/>
      <c r="Y983" s="31"/>
      <c r="Z983" s="31"/>
      <c r="AA983" s="25">
        <f t="shared" si="245"/>
        <v>9.0359999999999996</v>
      </c>
      <c r="AB983" s="25">
        <f t="shared" si="246"/>
        <v>-184.49199999999999</v>
      </c>
      <c r="AD983" s="24">
        <f>IF(D983="M",IF(AG983&lt;78,BMILMS!$D$5*AG983^3+BMILMS!$E$5*AG983^2+BMILMS!$F$5*AG983+BMILMS!$G$5,IF(AG983&lt;150,BMILMS!$D$6*AG983^3+BMILMS!$E$6*AG983^2+BMILMS!$F$6*AG983+BMILMS!$G$6,BMILMS!$D$7*AG983^3+BMILMS!$E$7*AG983^2+BMILMS!$F$7*AG983+BMILMS!$G$7)),IF(AG983&lt;69,BMILMS!$D$9*AG983^3+BMILMS!$E$9*AG983^2+BMILMS!$F$9*AG983+BMILMS!$G$9,IF(AG983&lt;150,BMILMS!$D$10*AG983^3+BMILMS!$E$10*AG983^2+BMILMS!$F$10*AG983+BMILMS!$G$10,BMILMS!$D$11*AG983^3+BMILMS!$E$11*AG983^2+BMILMS!$F$11*AG983+BMILMS!$G$11)))</f>
        <v>0.79584630099999998</v>
      </c>
      <c r="AE983" s="24">
        <f>IF(D983="M",(IF(AG983&lt;2.5,BMILMS!$D$21*AG983^3+BMILMS!$E$21*AG983^2+BMILMS!$F$21*AG983+BMILMS!$G$21,IF(AG983&lt;9.5,BMILMS!$D$22*AG983^3+BMILMS!$E$22*AG983^2+BMILMS!$F$22*AG983+BMILMS!$G$22,IF(AG983&lt;26.75,BMILMS!$D$23*AG983^3+BMILMS!$E$23*AG983^2+BMILMS!$F$23*AG983+BMILMS!$G$23,IF(AG983&lt;90,BMILMS!$D$24*AG983^3+BMILMS!$E$24*AG983^2+BMILMS!$F$24*AG983+BMILMS!$G$24,BMILMS!$D$25*AG983^3+BMILMS!$E$25*AG983^2+BMILMS!$F$25*AG983+BMILMS!$G$25))))),(IF(AG983&lt;2.5,BMILMS!$D$27*AG983^3+BMILMS!$E$27*AG983^2+BMILMS!$F$27*AG983+BMILMS!$G$27,IF(AG983&lt;9.5,BMILMS!$D$28*AG983^3+BMILMS!$E$28*AG983^2+BMILMS!$F$28*AG983+BMILMS!$G$28,IF(AG983&lt;26.75,BMILMS!$D$29*AG983^3+BMILMS!$E$29*AG983^2+BMILMS!$F$29*AG983+BMILMS!$G$29,IF(AG983&lt;90,BMILMS!$D$30*AG983^3+BMILMS!$E$30*AG983^2+BMILMS!$F$30*AG983+BMILMS!$G$30,IF(AG983&lt;150,BMILMS!$D$31*AG983^3+BMILMS!$E$31*AG983^2+BMILMS!$F$31*AG983+BMILMS!$G$31,BMILMS!$D$32*AG983^3+BMILMS!$E$32*AG983^2+BMILMS!$F$32*AG983+BMILMS!$G$32)))))))</f>
        <v>12.568967990000001</v>
      </c>
      <c r="AF983" s="24">
        <f>IF(D983="M",(IF(AG983&lt;90,BMILMS!$D$14*AG983^3+BMILMS!$E$14*AG983^2+BMILMS!$F$14*AG983+BMILMS!$G$14,BMILMS!$D$15*AG983^3+BMILMS!$E$15*AG983^2+BMILMS!$F$15*AG983+BMILMS!$G$15)),(IF(AG983&lt;90,BMILMS!$D$17*AG983^3+BMILMS!$E$17*AG983^2+BMILMS!$F$17*AG983+BMILMS!$G$17,BMILMS!$D$18*AG983^3+BMILMS!$E$18*AG983^2+BMILMS!$F$18*AG983+BMILMS!$G$18)))</f>
        <v>8.8969350000000003E-2</v>
      </c>
      <c r="AG983" s="24">
        <f t="shared" si="256"/>
        <v>0</v>
      </c>
      <c r="AI983" s="38">
        <f>IF(D983="M",WeightSDS!P$5*$AG983^7+WeightSDS!Q$5*$AG983^6+WeightSDS!R$5*$AG983^5+WeightSDS!S$5*$AG983^4+WeightSDS!T$5*$AG983^3+WeightSDS!U$5*$AG983^2+WeightSDS!V$5*$AG983+WeightSDS!W$5,IF($AG983&lt;186,WeightSDS!P$8*$AG983^7+WeightSDS!Q$8*$AG983^6+WeightSDS!R$8*$AG983^5+WeightSDS!S$8*$AG983^4+WeightSDS!T$8*$AG983^3+WeightSDS!U$8*$AG983^2+WeightSDS!V$8*$AG983+WeightSDS!W$8,WeightSDS!$U$9-WeightSDS!$V$9*($AG983-WeightSDS!$W$9)))</f>
        <v>0.75407122999999998</v>
      </c>
      <c r="AJ983" s="24">
        <f>IF(D983="M",IF($AG983&lt;45,WeightSDS!M$23*$AG983^10+WeightSDS!N$23*$AG983^9+WeightSDS!O$23*$AG983^8+WeightSDS!P$23*$AG983^7+WeightSDS!Q$23*$AG983^6+WeightSDS!R$23*$AG983^5+WeightSDS!S$23*$AG983^4+WeightSDS!T$23*$AG983^3+WeightSDS!U$23*$AG983^2+WeightSDS!V$23*$AG983+WeightSDS!W$23,IF($AG983&lt;153,WeightSDS!M$25*$AG983^10+WeightSDS!N$25*$AG983^9+WeightSDS!O$25*$AG983^8+WeightSDS!P$25*$AG983^7+WeightSDS!Q$25*$AG983^6+WeightSDS!R$25*$AG983^5+WeightSDS!S$25*$AG983^4+WeightSDS!T$25*$AG983^3+WeightSDS!U$25*$AG983^2+WeightSDS!V$25*$AG983+WeightSDS!W$25,WeightSDS!M$27+WeightSDS!N$27/(1+EXP(WeightSDS!O$27+WeightSDS!P$27*$AG983)))),IF($AG983&lt;43.8,WeightSDS!M$29*$AG983^10+WeightSDS!N$29*$AG983^9+WeightSDS!O$29*$AG983^8+WeightSDS!P$29*$AG983^7+WeightSDS!Q$29*$AG983^6+WeightSDS!R$29*$AG983^5+WeightSDS!S$29*$AG983^4+WeightSDS!T$29*$AG983^3+WeightSDS!U$29*$AG983^2+WeightSDS!V$29*$AG983+WeightSDS!W$29-0.010431*(1-$AG983/210),IF($AG983&lt;123,WeightSDS!M$30*$AG983^10+WeightSDS!N$30*$AG983^9+WeightSDS!O$30*$AG983^8+WeightSDS!P$30*$AG983^7+WeightSDS!Q$30*$AG983^6+WeightSDS!R$30*$AG983^5+WeightSDS!S$30*$AG983^4+WeightSDS!T$30*$AG983^3+WeightSDS!U$30*$AG983^2+WeightSDS!V$30*$AG983+WeightSDS!W$30-0.010431*(1-1/$AG983),WeightSDS!M$32+WeightSDS!N$32/(1+EXP(WeightSDS!O$32+WeightSDS!P$32*$AG983))-0.010431*(1-$AG983/210))))</f>
        <v>2.9500001032655536</v>
      </c>
      <c r="AK983" s="24">
        <f>IF(D983="M",IF($AG983&lt;162,WeightSDS!P$12*$AG983^7+WeightSDS!Q$12*$AG983^6+WeightSDS!R$12*$AG983^5+WeightSDS!S$12*$AG983^4+WeightSDS!T$12*$AG983^3+WeightSDS!U$12*$AG983^2+WeightSDS!V$12*$AG983+WeightSDS!W$12,WeightSDS!P$14*$AG983^7+WeightSDS!Q$14*$AG983^6+WeightSDS!R$14*$AG983^5+WeightSDS!S$14*$AG983^4+WeightSDS!T$14*$AG983^3+WeightSDS!U$14*$AG983^2+WeightSDS!V$14*$AG983+WeightSDS!W$14),IF($AG983&lt;156,WeightSDS!O$17*$AG983^8+WeightSDS!P$17*$AG983^7+WeightSDS!Q$17*$AG983^6+WeightSDS!R$17*$AG983^5+WeightSDS!S$17*$AG983^4+WeightSDS!T$17*$AG983^3+WeightSDS!U$17*$AG983^2+WeightSDS!V$17*$AG983+WeightSDS!W$17,IF($AG983&lt;186,WeightSDS!$U$18+(WeightSDS!$V$18-WeightSDS!$U$18)/24*($AG983-186)+WeightSDS!$W$18*(-$AG983+186)^2-0.005,WeightSDS!$U$18+(WeightSDS!$V$18-WeightSDS!$U$18)/24*($AG983-186)-0.005)))</f>
        <v>0.14604529399999999</v>
      </c>
    </row>
    <row r="984" spans="1:37">
      <c r="A984" s="4"/>
      <c r="B984" s="21"/>
      <c r="C984" s="21"/>
      <c r="D984" s="21"/>
      <c r="E984" s="22"/>
      <c r="F984" s="22"/>
      <c r="G984" s="23"/>
      <c r="H984" s="23"/>
      <c r="I984" s="8" t="str">
        <f t="shared" si="242"/>
        <v/>
      </c>
      <c r="J984" s="2" t="str">
        <f t="shared" si="247"/>
        <v/>
      </c>
      <c r="K984" s="2" t="str">
        <f t="shared" si="243"/>
        <v/>
      </c>
      <c r="L984" s="2" t="str">
        <f t="shared" si="248"/>
        <v/>
      </c>
      <c r="M984" s="2" t="str">
        <f t="shared" si="255"/>
        <v/>
      </c>
      <c r="N984" s="2" t="str">
        <f t="shared" si="249"/>
        <v/>
      </c>
      <c r="O984" s="8" t="str">
        <f t="shared" si="250"/>
        <v/>
      </c>
      <c r="P984" s="8" t="str">
        <f t="shared" si="251"/>
        <v/>
      </c>
      <c r="Q984" s="40" t="str">
        <f t="shared" si="244"/>
        <v/>
      </c>
      <c r="R984" s="48" t="str">
        <f t="shared" si="252"/>
        <v/>
      </c>
      <c r="S984" s="8"/>
      <c r="U984" s="35">
        <f t="shared" si="253"/>
        <v>0</v>
      </c>
      <c r="V984" s="24">
        <f t="shared" si="254"/>
        <v>0</v>
      </c>
      <c r="W984" s="41">
        <f t="shared" si="241"/>
        <v>0</v>
      </c>
      <c r="X984" s="31"/>
      <c r="Y984" s="31"/>
      <c r="Z984" s="31"/>
      <c r="AA984" s="25">
        <f t="shared" si="245"/>
        <v>9.0359999999999996</v>
      </c>
      <c r="AB984" s="25">
        <f t="shared" si="246"/>
        <v>-184.49199999999999</v>
      </c>
      <c r="AD984" s="24">
        <f>IF(D984="M",IF(AG984&lt;78,BMILMS!$D$5*AG984^3+BMILMS!$E$5*AG984^2+BMILMS!$F$5*AG984+BMILMS!$G$5,IF(AG984&lt;150,BMILMS!$D$6*AG984^3+BMILMS!$E$6*AG984^2+BMILMS!$F$6*AG984+BMILMS!$G$6,BMILMS!$D$7*AG984^3+BMILMS!$E$7*AG984^2+BMILMS!$F$7*AG984+BMILMS!$G$7)),IF(AG984&lt;69,BMILMS!$D$9*AG984^3+BMILMS!$E$9*AG984^2+BMILMS!$F$9*AG984+BMILMS!$G$9,IF(AG984&lt;150,BMILMS!$D$10*AG984^3+BMILMS!$E$10*AG984^2+BMILMS!$F$10*AG984+BMILMS!$G$10,BMILMS!$D$11*AG984^3+BMILMS!$E$11*AG984^2+BMILMS!$F$11*AG984+BMILMS!$G$11)))</f>
        <v>0.79584630099999998</v>
      </c>
      <c r="AE984" s="24">
        <f>IF(D984="M",(IF(AG984&lt;2.5,BMILMS!$D$21*AG984^3+BMILMS!$E$21*AG984^2+BMILMS!$F$21*AG984+BMILMS!$G$21,IF(AG984&lt;9.5,BMILMS!$D$22*AG984^3+BMILMS!$E$22*AG984^2+BMILMS!$F$22*AG984+BMILMS!$G$22,IF(AG984&lt;26.75,BMILMS!$D$23*AG984^3+BMILMS!$E$23*AG984^2+BMILMS!$F$23*AG984+BMILMS!$G$23,IF(AG984&lt;90,BMILMS!$D$24*AG984^3+BMILMS!$E$24*AG984^2+BMILMS!$F$24*AG984+BMILMS!$G$24,BMILMS!$D$25*AG984^3+BMILMS!$E$25*AG984^2+BMILMS!$F$25*AG984+BMILMS!$G$25))))),(IF(AG984&lt;2.5,BMILMS!$D$27*AG984^3+BMILMS!$E$27*AG984^2+BMILMS!$F$27*AG984+BMILMS!$G$27,IF(AG984&lt;9.5,BMILMS!$D$28*AG984^3+BMILMS!$E$28*AG984^2+BMILMS!$F$28*AG984+BMILMS!$G$28,IF(AG984&lt;26.75,BMILMS!$D$29*AG984^3+BMILMS!$E$29*AG984^2+BMILMS!$F$29*AG984+BMILMS!$G$29,IF(AG984&lt;90,BMILMS!$D$30*AG984^3+BMILMS!$E$30*AG984^2+BMILMS!$F$30*AG984+BMILMS!$G$30,IF(AG984&lt;150,BMILMS!$D$31*AG984^3+BMILMS!$E$31*AG984^2+BMILMS!$F$31*AG984+BMILMS!$G$31,BMILMS!$D$32*AG984^3+BMILMS!$E$32*AG984^2+BMILMS!$F$32*AG984+BMILMS!$G$32)))))))</f>
        <v>12.568967990000001</v>
      </c>
      <c r="AF984" s="24">
        <f>IF(D984="M",(IF(AG984&lt;90,BMILMS!$D$14*AG984^3+BMILMS!$E$14*AG984^2+BMILMS!$F$14*AG984+BMILMS!$G$14,BMILMS!$D$15*AG984^3+BMILMS!$E$15*AG984^2+BMILMS!$F$15*AG984+BMILMS!$G$15)),(IF(AG984&lt;90,BMILMS!$D$17*AG984^3+BMILMS!$E$17*AG984^2+BMILMS!$F$17*AG984+BMILMS!$G$17,BMILMS!$D$18*AG984^3+BMILMS!$E$18*AG984^2+BMILMS!$F$18*AG984+BMILMS!$G$18)))</f>
        <v>8.8969350000000003E-2</v>
      </c>
      <c r="AG984" s="24">
        <f t="shared" si="256"/>
        <v>0</v>
      </c>
      <c r="AI984" s="38">
        <f>IF(D984="M",WeightSDS!P$5*$AG984^7+WeightSDS!Q$5*$AG984^6+WeightSDS!R$5*$AG984^5+WeightSDS!S$5*$AG984^4+WeightSDS!T$5*$AG984^3+WeightSDS!U$5*$AG984^2+WeightSDS!V$5*$AG984+WeightSDS!W$5,IF($AG984&lt;186,WeightSDS!P$8*$AG984^7+WeightSDS!Q$8*$AG984^6+WeightSDS!R$8*$AG984^5+WeightSDS!S$8*$AG984^4+WeightSDS!T$8*$AG984^3+WeightSDS!U$8*$AG984^2+WeightSDS!V$8*$AG984+WeightSDS!W$8,WeightSDS!$U$9-WeightSDS!$V$9*($AG984-WeightSDS!$W$9)))</f>
        <v>0.75407122999999998</v>
      </c>
      <c r="AJ984" s="24">
        <f>IF(D984="M",IF($AG984&lt;45,WeightSDS!M$23*$AG984^10+WeightSDS!N$23*$AG984^9+WeightSDS!O$23*$AG984^8+WeightSDS!P$23*$AG984^7+WeightSDS!Q$23*$AG984^6+WeightSDS!R$23*$AG984^5+WeightSDS!S$23*$AG984^4+WeightSDS!T$23*$AG984^3+WeightSDS!U$23*$AG984^2+WeightSDS!V$23*$AG984+WeightSDS!W$23,IF($AG984&lt;153,WeightSDS!M$25*$AG984^10+WeightSDS!N$25*$AG984^9+WeightSDS!O$25*$AG984^8+WeightSDS!P$25*$AG984^7+WeightSDS!Q$25*$AG984^6+WeightSDS!R$25*$AG984^5+WeightSDS!S$25*$AG984^4+WeightSDS!T$25*$AG984^3+WeightSDS!U$25*$AG984^2+WeightSDS!V$25*$AG984+WeightSDS!W$25,WeightSDS!M$27+WeightSDS!N$27/(1+EXP(WeightSDS!O$27+WeightSDS!P$27*$AG984)))),IF($AG984&lt;43.8,WeightSDS!M$29*$AG984^10+WeightSDS!N$29*$AG984^9+WeightSDS!O$29*$AG984^8+WeightSDS!P$29*$AG984^7+WeightSDS!Q$29*$AG984^6+WeightSDS!R$29*$AG984^5+WeightSDS!S$29*$AG984^4+WeightSDS!T$29*$AG984^3+WeightSDS!U$29*$AG984^2+WeightSDS!V$29*$AG984+WeightSDS!W$29-0.010431*(1-$AG984/210),IF($AG984&lt;123,WeightSDS!M$30*$AG984^10+WeightSDS!N$30*$AG984^9+WeightSDS!O$30*$AG984^8+WeightSDS!P$30*$AG984^7+WeightSDS!Q$30*$AG984^6+WeightSDS!R$30*$AG984^5+WeightSDS!S$30*$AG984^4+WeightSDS!T$30*$AG984^3+WeightSDS!U$30*$AG984^2+WeightSDS!V$30*$AG984+WeightSDS!W$30-0.010431*(1-1/$AG984),WeightSDS!M$32+WeightSDS!N$32/(1+EXP(WeightSDS!O$32+WeightSDS!P$32*$AG984))-0.010431*(1-$AG984/210))))</f>
        <v>2.9500001032655536</v>
      </c>
      <c r="AK984" s="24">
        <f>IF(D984="M",IF($AG984&lt;162,WeightSDS!P$12*$AG984^7+WeightSDS!Q$12*$AG984^6+WeightSDS!R$12*$AG984^5+WeightSDS!S$12*$AG984^4+WeightSDS!T$12*$AG984^3+WeightSDS!U$12*$AG984^2+WeightSDS!V$12*$AG984+WeightSDS!W$12,WeightSDS!P$14*$AG984^7+WeightSDS!Q$14*$AG984^6+WeightSDS!R$14*$AG984^5+WeightSDS!S$14*$AG984^4+WeightSDS!T$14*$AG984^3+WeightSDS!U$14*$AG984^2+WeightSDS!V$14*$AG984+WeightSDS!W$14),IF($AG984&lt;156,WeightSDS!O$17*$AG984^8+WeightSDS!P$17*$AG984^7+WeightSDS!Q$17*$AG984^6+WeightSDS!R$17*$AG984^5+WeightSDS!S$17*$AG984^4+WeightSDS!T$17*$AG984^3+WeightSDS!U$17*$AG984^2+WeightSDS!V$17*$AG984+WeightSDS!W$17,IF($AG984&lt;186,WeightSDS!$U$18+(WeightSDS!$V$18-WeightSDS!$U$18)/24*($AG984-186)+WeightSDS!$W$18*(-$AG984+186)^2-0.005,WeightSDS!$U$18+(WeightSDS!$V$18-WeightSDS!$U$18)/24*($AG984-186)-0.005)))</f>
        <v>0.14604529399999999</v>
      </c>
    </row>
    <row r="985" spans="1:37">
      <c r="A985" s="4"/>
      <c r="B985" s="21"/>
      <c r="C985" s="21"/>
      <c r="D985" s="21"/>
      <c r="E985" s="22"/>
      <c r="F985" s="22"/>
      <c r="G985" s="23"/>
      <c r="H985" s="23"/>
      <c r="I985" s="8" t="str">
        <f t="shared" si="242"/>
        <v/>
      </c>
      <c r="J985" s="2" t="str">
        <f t="shared" si="247"/>
        <v/>
      </c>
      <c r="K985" s="2" t="str">
        <f t="shared" si="243"/>
        <v/>
      </c>
      <c r="L985" s="2" t="str">
        <f t="shared" si="248"/>
        <v/>
      </c>
      <c r="M985" s="2" t="str">
        <f t="shared" si="255"/>
        <v/>
      </c>
      <c r="N985" s="2" t="str">
        <f t="shared" si="249"/>
        <v/>
      </c>
      <c r="O985" s="8" t="str">
        <f t="shared" si="250"/>
        <v/>
      </c>
      <c r="P985" s="8" t="str">
        <f t="shared" si="251"/>
        <v/>
      </c>
      <c r="Q985" s="40" t="str">
        <f t="shared" si="244"/>
        <v/>
      </c>
      <c r="R985" s="48" t="str">
        <f t="shared" si="252"/>
        <v/>
      </c>
      <c r="S985" s="8"/>
      <c r="U985" s="35">
        <f t="shared" si="253"/>
        <v>0</v>
      </c>
      <c r="V985" s="24">
        <f t="shared" si="254"/>
        <v>0</v>
      </c>
      <c r="W985" s="41">
        <f t="shared" si="241"/>
        <v>0</v>
      </c>
      <c r="X985" s="31"/>
      <c r="Y985" s="31"/>
      <c r="Z985" s="31"/>
      <c r="AA985" s="25">
        <f t="shared" si="245"/>
        <v>9.0359999999999996</v>
      </c>
      <c r="AB985" s="25">
        <f t="shared" si="246"/>
        <v>-184.49199999999999</v>
      </c>
      <c r="AD985" s="24">
        <f>IF(D985="M",IF(AG985&lt;78,BMILMS!$D$5*AG985^3+BMILMS!$E$5*AG985^2+BMILMS!$F$5*AG985+BMILMS!$G$5,IF(AG985&lt;150,BMILMS!$D$6*AG985^3+BMILMS!$E$6*AG985^2+BMILMS!$F$6*AG985+BMILMS!$G$6,BMILMS!$D$7*AG985^3+BMILMS!$E$7*AG985^2+BMILMS!$F$7*AG985+BMILMS!$G$7)),IF(AG985&lt;69,BMILMS!$D$9*AG985^3+BMILMS!$E$9*AG985^2+BMILMS!$F$9*AG985+BMILMS!$G$9,IF(AG985&lt;150,BMILMS!$D$10*AG985^3+BMILMS!$E$10*AG985^2+BMILMS!$F$10*AG985+BMILMS!$G$10,BMILMS!$D$11*AG985^3+BMILMS!$E$11*AG985^2+BMILMS!$F$11*AG985+BMILMS!$G$11)))</f>
        <v>0.79584630099999998</v>
      </c>
      <c r="AE985" s="24">
        <f>IF(D985="M",(IF(AG985&lt;2.5,BMILMS!$D$21*AG985^3+BMILMS!$E$21*AG985^2+BMILMS!$F$21*AG985+BMILMS!$G$21,IF(AG985&lt;9.5,BMILMS!$D$22*AG985^3+BMILMS!$E$22*AG985^2+BMILMS!$F$22*AG985+BMILMS!$G$22,IF(AG985&lt;26.75,BMILMS!$D$23*AG985^3+BMILMS!$E$23*AG985^2+BMILMS!$F$23*AG985+BMILMS!$G$23,IF(AG985&lt;90,BMILMS!$D$24*AG985^3+BMILMS!$E$24*AG985^2+BMILMS!$F$24*AG985+BMILMS!$G$24,BMILMS!$D$25*AG985^3+BMILMS!$E$25*AG985^2+BMILMS!$F$25*AG985+BMILMS!$G$25))))),(IF(AG985&lt;2.5,BMILMS!$D$27*AG985^3+BMILMS!$E$27*AG985^2+BMILMS!$F$27*AG985+BMILMS!$G$27,IF(AG985&lt;9.5,BMILMS!$D$28*AG985^3+BMILMS!$E$28*AG985^2+BMILMS!$F$28*AG985+BMILMS!$G$28,IF(AG985&lt;26.75,BMILMS!$D$29*AG985^3+BMILMS!$E$29*AG985^2+BMILMS!$F$29*AG985+BMILMS!$G$29,IF(AG985&lt;90,BMILMS!$D$30*AG985^3+BMILMS!$E$30*AG985^2+BMILMS!$F$30*AG985+BMILMS!$G$30,IF(AG985&lt;150,BMILMS!$D$31*AG985^3+BMILMS!$E$31*AG985^2+BMILMS!$F$31*AG985+BMILMS!$G$31,BMILMS!$D$32*AG985^3+BMILMS!$E$32*AG985^2+BMILMS!$F$32*AG985+BMILMS!$G$32)))))))</f>
        <v>12.568967990000001</v>
      </c>
      <c r="AF985" s="24">
        <f>IF(D985="M",(IF(AG985&lt;90,BMILMS!$D$14*AG985^3+BMILMS!$E$14*AG985^2+BMILMS!$F$14*AG985+BMILMS!$G$14,BMILMS!$D$15*AG985^3+BMILMS!$E$15*AG985^2+BMILMS!$F$15*AG985+BMILMS!$G$15)),(IF(AG985&lt;90,BMILMS!$D$17*AG985^3+BMILMS!$E$17*AG985^2+BMILMS!$F$17*AG985+BMILMS!$G$17,BMILMS!$D$18*AG985^3+BMILMS!$E$18*AG985^2+BMILMS!$F$18*AG985+BMILMS!$G$18)))</f>
        <v>8.8969350000000003E-2</v>
      </c>
      <c r="AG985" s="24">
        <f t="shared" si="256"/>
        <v>0</v>
      </c>
      <c r="AI985" s="38">
        <f>IF(D985="M",WeightSDS!P$5*$AG985^7+WeightSDS!Q$5*$AG985^6+WeightSDS!R$5*$AG985^5+WeightSDS!S$5*$AG985^4+WeightSDS!T$5*$AG985^3+WeightSDS!U$5*$AG985^2+WeightSDS!V$5*$AG985+WeightSDS!W$5,IF($AG985&lt;186,WeightSDS!P$8*$AG985^7+WeightSDS!Q$8*$AG985^6+WeightSDS!R$8*$AG985^5+WeightSDS!S$8*$AG985^4+WeightSDS!T$8*$AG985^3+WeightSDS!U$8*$AG985^2+WeightSDS!V$8*$AG985+WeightSDS!W$8,WeightSDS!$U$9-WeightSDS!$V$9*($AG985-WeightSDS!$W$9)))</f>
        <v>0.75407122999999998</v>
      </c>
      <c r="AJ985" s="24">
        <f>IF(D985="M",IF($AG985&lt;45,WeightSDS!M$23*$AG985^10+WeightSDS!N$23*$AG985^9+WeightSDS!O$23*$AG985^8+WeightSDS!P$23*$AG985^7+WeightSDS!Q$23*$AG985^6+WeightSDS!R$23*$AG985^5+WeightSDS!S$23*$AG985^4+WeightSDS!T$23*$AG985^3+WeightSDS!U$23*$AG985^2+WeightSDS!V$23*$AG985+WeightSDS!W$23,IF($AG985&lt;153,WeightSDS!M$25*$AG985^10+WeightSDS!N$25*$AG985^9+WeightSDS!O$25*$AG985^8+WeightSDS!P$25*$AG985^7+WeightSDS!Q$25*$AG985^6+WeightSDS!R$25*$AG985^5+WeightSDS!S$25*$AG985^4+WeightSDS!T$25*$AG985^3+WeightSDS!U$25*$AG985^2+WeightSDS!V$25*$AG985+WeightSDS!W$25,WeightSDS!M$27+WeightSDS!N$27/(1+EXP(WeightSDS!O$27+WeightSDS!P$27*$AG985)))),IF($AG985&lt;43.8,WeightSDS!M$29*$AG985^10+WeightSDS!N$29*$AG985^9+WeightSDS!O$29*$AG985^8+WeightSDS!P$29*$AG985^7+WeightSDS!Q$29*$AG985^6+WeightSDS!R$29*$AG985^5+WeightSDS!S$29*$AG985^4+WeightSDS!T$29*$AG985^3+WeightSDS!U$29*$AG985^2+WeightSDS!V$29*$AG985+WeightSDS!W$29-0.010431*(1-$AG985/210),IF($AG985&lt;123,WeightSDS!M$30*$AG985^10+WeightSDS!N$30*$AG985^9+WeightSDS!O$30*$AG985^8+WeightSDS!P$30*$AG985^7+WeightSDS!Q$30*$AG985^6+WeightSDS!R$30*$AG985^5+WeightSDS!S$30*$AG985^4+WeightSDS!T$30*$AG985^3+WeightSDS!U$30*$AG985^2+WeightSDS!V$30*$AG985+WeightSDS!W$30-0.010431*(1-1/$AG985),WeightSDS!M$32+WeightSDS!N$32/(1+EXP(WeightSDS!O$32+WeightSDS!P$32*$AG985))-0.010431*(1-$AG985/210))))</f>
        <v>2.9500001032655536</v>
      </c>
      <c r="AK985" s="24">
        <f>IF(D985="M",IF($AG985&lt;162,WeightSDS!P$12*$AG985^7+WeightSDS!Q$12*$AG985^6+WeightSDS!R$12*$AG985^5+WeightSDS!S$12*$AG985^4+WeightSDS!T$12*$AG985^3+WeightSDS!U$12*$AG985^2+WeightSDS!V$12*$AG985+WeightSDS!W$12,WeightSDS!P$14*$AG985^7+WeightSDS!Q$14*$AG985^6+WeightSDS!R$14*$AG985^5+WeightSDS!S$14*$AG985^4+WeightSDS!T$14*$AG985^3+WeightSDS!U$14*$AG985^2+WeightSDS!V$14*$AG985+WeightSDS!W$14),IF($AG985&lt;156,WeightSDS!O$17*$AG985^8+WeightSDS!P$17*$AG985^7+WeightSDS!Q$17*$AG985^6+WeightSDS!R$17*$AG985^5+WeightSDS!S$17*$AG985^4+WeightSDS!T$17*$AG985^3+WeightSDS!U$17*$AG985^2+WeightSDS!V$17*$AG985+WeightSDS!W$17,IF($AG985&lt;186,WeightSDS!$U$18+(WeightSDS!$V$18-WeightSDS!$U$18)/24*($AG985-186)+WeightSDS!$W$18*(-$AG985+186)^2-0.005,WeightSDS!$U$18+(WeightSDS!$V$18-WeightSDS!$U$18)/24*($AG985-186)-0.005)))</f>
        <v>0.14604529399999999</v>
      </c>
    </row>
    <row r="986" spans="1:37">
      <c r="A986" s="4"/>
      <c r="B986" s="21"/>
      <c r="C986" s="21"/>
      <c r="D986" s="21"/>
      <c r="E986" s="22"/>
      <c r="F986" s="22"/>
      <c r="G986" s="23"/>
      <c r="H986" s="23"/>
      <c r="I986" s="8" t="str">
        <f t="shared" si="242"/>
        <v/>
      </c>
      <c r="J986" s="2" t="str">
        <f t="shared" si="247"/>
        <v/>
      </c>
      <c r="K986" s="2" t="str">
        <f t="shared" si="243"/>
        <v/>
      </c>
      <c r="L986" s="2" t="str">
        <f t="shared" si="248"/>
        <v/>
      </c>
      <c r="M986" s="2" t="str">
        <f t="shared" si="255"/>
        <v/>
      </c>
      <c r="N986" s="2" t="str">
        <f t="shared" si="249"/>
        <v/>
      </c>
      <c r="O986" s="8" t="str">
        <f t="shared" si="250"/>
        <v/>
      </c>
      <c r="P986" s="8" t="str">
        <f t="shared" si="251"/>
        <v/>
      </c>
      <c r="Q986" s="40" t="str">
        <f t="shared" si="244"/>
        <v/>
      </c>
      <c r="R986" s="48" t="str">
        <f t="shared" si="252"/>
        <v/>
      </c>
      <c r="S986" s="8"/>
      <c r="U986" s="35">
        <f t="shared" si="253"/>
        <v>0</v>
      </c>
      <c r="V986" s="24">
        <f t="shared" si="254"/>
        <v>0</v>
      </c>
      <c r="W986" s="41">
        <f t="shared" si="241"/>
        <v>0</v>
      </c>
      <c r="X986" s="31"/>
      <c r="Y986" s="31"/>
      <c r="Z986" s="31"/>
      <c r="AA986" s="25">
        <f t="shared" si="245"/>
        <v>9.0359999999999996</v>
      </c>
      <c r="AB986" s="25">
        <f t="shared" si="246"/>
        <v>-184.49199999999999</v>
      </c>
      <c r="AD986" s="24">
        <f>IF(D986="M",IF(AG986&lt;78,BMILMS!$D$5*AG986^3+BMILMS!$E$5*AG986^2+BMILMS!$F$5*AG986+BMILMS!$G$5,IF(AG986&lt;150,BMILMS!$D$6*AG986^3+BMILMS!$E$6*AG986^2+BMILMS!$F$6*AG986+BMILMS!$G$6,BMILMS!$D$7*AG986^3+BMILMS!$E$7*AG986^2+BMILMS!$F$7*AG986+BMILMS!$G$7)),IF(AG986&lt;69,BMILMS!$D$9*AG986^3+BMILMS!$E$9*AG986^2+BMILMS!$F$9*AG986+BMILMS!$G$9,IF(AG986&lt;150,BMILMS!$D$10*AG986^3+BMILMS!$E$10*AG986^2+BMILMS!$F$10*AG986+BMILMS!$G$10,BMILMS!$D$11*AG986^3+BMILMS!$E$11*AG986^2+BMILMS!$F$11*AG986+BMILMS!$G$11)))</f>
        <v>0.79584630099999998</v>
      </c>
      <c r="AE986" s="24">
        <f>IF(D986="M",(IF(AG986&lt;2.5,BMILMS!$D$21*AG986^3+BMILMS!$E$21*AG986^2+BMILMS!$F$21*AG986+BMILMS!$G$21,IF(AG986&lt;9.5,BMILMS!$D$22*AG986^3+BMILMS!$E$22*AG986^2+BMILMS!$F$22*AG986+BMILMS!$G$22,IF(AG986&lt;26.75,BMILMS!$D$23*AG986^3+BMILMS!$E$23*AG986^2+BMILMS!$F$23*AG986+BMILMS!$G$23,IF(AG986&lt;90,BMILMS!$D$24*AG986^3+BMILMS!$E$24*AG986^2+BMILMS!$F$24*AG986+BMILMS!$G$24,BMILMS!$D$25*AG986^3+BMILMS!$E$25*AG986^2+BMILMS!$F$25*AG986+BMILMS!$G$25))))),(IF(AG986&lt;2.5,BMILMS!$D$27*AG986^3+BMILMS!$E$27*AG986^2+BMILMS!$F$27*AG986+BMILMS!$G$27,IF(AG986&lt;9.5,BMILMS!$D$28*AG986^3+BMILMS!$E$28*AG986^2+BMILMS!$F$28*AG986+BMILMS!$G$28,IF(AG986&lt;26.75,BMILMS!$D$29*AG986^3+BMILMS!$E$29*AG986^2+BMILMS!$F$29*AG986+BMILMS!$G$29,IF(AG986&lt;90,BMILMS!$D$30*AG986^3+BMILMS!$E$30*AG986^2+BMILMS!$F$30*AG986+BMILMS!$G$30,IF(AG986&lt;150,BMILMS!$D$31*AG986^3+BMILMS!$E$31*AG986^2+BMILMS!$F$31*AG986+BMILMS!$G$31,BMILMS!$D$32*AG986^3+BMILMS!$E$32*AG986^2+BMILMS!$F$32*AG986+BMILMS!$G$32)))))))</f>
        <v>12.568967990000001</v>
      </c>
      <c r="AF986" s="24">
        <f>IF(D986="M",(IF(AG986&lt;90,BMILMS!$D$14*AG986^3+BMILMS!$E$14*AG986^2+BMILMS!$F$14*AG986+BMILMS!$G$14,BMILMS!$D$15*AG986^3+BMILMS!$E$15*AG986^2+BMILMS!$F$15*AG986+BMILMS!$G$15)),(IF(AG986&lt;90,BMILMS!$D$17*AG986^3+BMILMS!$E$17*AG986^2+BMILMS!$F$17*AG986+BMILMS!$G$17,BMILMS!$D$18*AG986^3+BMILMS!$E$18*AG986^2+BMILMS!$F$18*AG986+BMILMS!$G$18)))</f>
        <v>8.8969350000000003E-2</v>
      </c>
      <c r="AG986" s="24">
        <f t="shared" si="256"/>
        <v>0</v>
      </c>
      <c r="AI986" s="38">
        <f>IF(D986="M",WeightSDS!P$5*$AG986^7+WeightSDS!Q$5*$AG986^6+WeightSDS!R$5*$AG986^5+WeightSDS!S$5*$AG986^4+WeightSDS!T$5*$AG986^3+WeightSDS!U$5*$AG986^2+WeightSDS!V$5*$AG986+WeightSDS!W$5,IF($AG986&lt;186,WeightSDS!P$8*$AG986^7+WeightSDS!Q$8*$AG986^6+WeightSDS!R$8*$AG986^5+WeightSDS!S$8*$AG986^4+WeightSDS!T$8*$AG986^3+WeightSDS!U$8*$AG986^2+WeightSDS!V$8*$AG986+WeightSDS!W$8,WeightSDS!$U$9-WeightSDS!$V$9*($AG986-WeightSDS!$W$9)))</f>
        <v>0.75407122999999998</v>
      </c>
      <c r="AJ986" s="24">
        <f>IF(D986="M",IF($AG986&lt;45,WeightSDS!M$23*$AG986^10+WeightSDS!N$23*$AG986^9+WeightSDS!O$23*$AG986^8+WeightSDS!P$23*$AG986^7+WeightSDS!Q$23*$AG986^6+WeightSDS!R$23*$AG986^5+WeightSDS!S$23*$AG986^4+WeightSDS!T$23*$AG986^3+WeightSDS!U$23*$AG986^2+WeightSDS!V$23*$AG986+WeightSDS!W$23,IF($AG986&lt;153,WeightSDS!M$25*$AG986^10+WeightSDS!N$25*$AG986^9+WeightSDS!O$25*$AG986^8+WeightSDS!P$25*$AG986^7+WeightSDS!Q$25*$AG986^6+WeightSDS!R$25*$AG986^5+WeightSDS!S$25*$AG986^4+WeightSDS!T$25*$AG986^3+WeightSDS!U$25*$AG986^2+WeightSDS!V$25*$AG986+WeightSDS!W$25,WeightSDS!M$27+WeightSDS!N$27/(1+EXP(WeightSDS!O$27+WeightSDS!P$27*$AG986)))),IF($AG986&lt;43.8,WeightSDS!M$29*$AG986^10+WeightSDS!N$29*$AG986^9+WeightSDS!O$29*$AG986^8+WeightSDS!P$29*$AG986^7+WeightSDS!Q$29*$AG986^6+WeightSDS!R$29*$AG986^5+WeightSDS!S$29*$AG986^4+WeightSDS!T$29*$AG986^3+WeightSDS!U$29*$AG986^2+WeightSDS!V$29*$AG986+WeightSDS!W$29-0.010431*(1-$AG986/210),IF($AG986&lt;123,WeightSDS!M$30*$AG986^10+WeightSDS!N$30*$AG986^9+WeightSDS!O$30*$AG986^8+WeightSDS!P$30*$AG986^7+WeightSDS!Q$30*$AG986^6+WeightSDS!R$30*$AG986^5+WeightSDS!S$30*$AG986^4+WeightSDS!T$30*$AG986^3+WeightSDS!U$30*$AG986^2+WeightSDS!V$30*$AG986+WeightSDS!W$30-0.010431*(1-1/$AG986),WeightSDS!M$32+WeightSDS!N$32/(1+EXP(WeightSDS!O$32+WeightSDS!P$32*$AG986))-0.010431*(1-$AG986/210))))</f>
        <v>2.9500001032655536</v>
      </c>
      <c r="AK986" s="24">
        <f>IF(D986="M",IF($AG986&lt;162,WeightSDS!P$12*$AG986^7+WeightSDS!Q$12*$AG986^6+WeightSDS!R$12*$AG986^5+WeightSDS!S$12*$AG986^4+WeightSDS!T$12*$AG986^3+WeightSDS!U$12*$AG986^2+WeightSDS!V$12*$AG986+WeightSDS!W$12,WeightSDS!P$14*$AG986^7+WeightSDS!Q$14*$AG986^6+WeightSDS!R$14*$AG986^5+WeightSDS!S$14*$AG986^4+WeightSDS!T$14*$AG986^3+WeightSDS!U$14*$AG986^2+WeightSDS!V$14*$AG986+WeightSDS!W$14),IF($AG986&lt;156,WeightSDS!O$17*$AG986^8+WeightSDS!P$17*$AG986^7+WeightSDS!Q$17*$AG986^6+WeightSDS!R$17*$AG986^5+WeightSDS!S$17*$AG986^4+WeightSDS!T$17*$AG986^3+WeightSDS!U$17*$AG986^2+WeightSDS!V$17*$AG986+WeightSDS!W$17,IF($AG986&lt;186,WeightSDS!$U$18+(WeightSDS!$V$18-WeightSDS!$U$18)/24*($AG986-186)+WeightSDS!$W$18*(-$AG986+186)^2-0.005,WeightSDS!$U$18+(WeightSDS!$V$18-WeightSDS!$U$18)/24*($AG986-186)-0.005)))</f>
        <v>0.14604529399999999</v>
      </c>
    </row>
    <row r="987" spans="1:37">
      <c r="A987" s="4"/>
      <c r="B987" s="21"/>
      <c r="C987" s="21"/>
      <c r="D987" s="21"/>
      <c r="E987" s="22"/>
      <c r="F987" s="22"/>
      <c r="G987" s="23"/>
      <c r="H987" s="23"/>
      <c r="I987" s="8" t="str">
        <f t="shared" si="242"/>
        <v/>
      </c>
      <c r="J987" s="2" t="str">
        <f t="shared" si="247"/>
        <v/>
      </c>
      <c r="K987" s="2" t="str">
        <f t="shared" si="243"/>
        <v/>
      </c>
      <c r="L987" s="2" t="str">
        <f t="shared" si="248"/>
        <v/>
      </c>
      <c r="M987" s="2" t="str">
        <f t="shared" si="255"/>
        <v/>
      </c>
      <c r="N987" s="2" t="str">
        <f t="shared" si="249"/>
        <v/>
      </c>
      <c r="O987" s="8" t="str">
        <f t="shared" si="250"/>
        <v/>
      </c>
      <c r="P987" s="8" t="str">
        <f t="shared" si="251"/>
        <v/>
      </c>
      <c r="Q987" s="40" t="str">
        <f t="shared" si="244"/>
        <v/>
      </c>
      <c r="R987" s="48" t="str">
        <f t="shared" si="252"/>
        <v/>
      </c>
      <c r="S987" s="8"/>
      <c r="U987" s="35">
        <f t="shared" si="253"/>
        <v>0</v>
      </c>
      <c r="V987" s="24">
        <f t="shared" si="254"/>
        <v>0</v>
      </c>
      <c r="W987" s="41">
        <f t="shared" si="241"/>
        <v>0</v>
      </c>
      <c r="X987" s="31"/>
      <c r="Y987" s="31"/>
      <c r="Z987" s="31"/>
      <c r="AA987" s="25">
        <f t="shared" si="245"/>
        <v>9.0359999999999996</v>
      </c>
      <c r="AB987" s="25">
        <f t="shared" si="246"/>
        <v>-184.49199999999999</v>
      </c>
      <c r="AD987" s="24">
        <f>IF(D987="M",IF(AG987&lt;78,BMILMS!$D$5*AG987^3+BMILMS!$E$5*AG987^2+BMILMS!$F$5*AG987+BMILMS!$G$5,IF(AG987&lt;150,BMILMS!$D$6*AG987^3+BMILMS!$E$6*AG987^2+BMILMS!$F$6*AG987+BMILMS!$G$6,BMILMS!$D$7*AG987^3+BMILMS!$E$7*AG987^2+BMILMS!$F$7*AG987+BMILMS!$G$7)),IF(AG987&lt;69,BMILMS!$D$9*AG987^3+BMILMS!$E$9*AG987^2+BMILMS!$F$9*AG987+BMILMS!$G$9,IF(AG987&lt;150,BMILMS!$D$10*AG987^3+BMILMS!$E$10*AG987^2+BMILMS!$F$10*AG987+BMILMS!$G$10,BMILMS!$D$11*AG987^3+BMILMS!$E$11*AG987^2+BMILMS!$F$11*AG987+BMILMS!$G$11)))</f>
        <v>0.79584630099999998</v>
      </c>
      <c r="AE987" s="24">
        <f>IF(D987="M",(IF(AG987&lt;2.5,BMILMS!$D$21*AG987^3+BMILMS!$E$21*AG987^2+BMILMS!$F$21*AG987+BMILMS!$G$21,IF(AG987&lt;9.5,BMILMS!$D$22*AG987^3+BMILMS!$E$22*AG987^2+BMILMS!$F$22*AG987+BMILMS!$G$22,IF(AG987&lt;26.75,BMILMS!$D$23*AG987^3+BMILMS!$E$23*AG987^2+BMILMS!$F$23*AG987+BMILMS!$G$23,IF(AG987&lt;90,BMILMS!$D$24*AG987^3+BMILMS!$E$24*AG987^2+BMILMS!$F$24*AG987+BMILMS!$G$24,BMILMS!$D$25*AG987^3+BMILMS!$E$25*AG987^2+BMILMS!$F$25*AG987+BMILMS!$G$25))))),(IF(AG987&lt;2.5,BMILMS!$D$27*AG987^3+BMILMS!$E$27*AG987^2+BMILMS!$F$27*AG987+BMILMS!$G$27,IF(AG987&lt;9.5,BMILMS!$D$28*AG987^3+BMILMS!$E$28*AG987^2+BMILMS!$F$28*AG987+BMILMS!$G$28,IF(AG987&lt;26.75,BMILMS!$D$29*AG987^3+BMILMS!$E$29*AG987^2+BMILMS!$F$29*AG987+BMILMS!$G$29,IF(AG987&lt;90,BMILMS!$D$30*AG987^3+BMILMS!$E$30*AG987^2+BMILMS!$F$30*AG987+BMILMS!$G$30,IF(AG987&lt;150,BMILMS!$D$31*AG987^3+BMILMS!$E$31*AG987^2+BMILMS!$F$31*AG987+BMILMS!$G$31,BMILMS!$D$32*AG987^3+BMILMS!$E$32*AG987^2+BMILMS!$F$32*AG987+BMILMS!$G$32)))))))</f>
        <v>12.568967990000001</v>
      </c>
      <c r="AF987" s="24">
        <f>IF(D987="M",(IF(AG987&lt;90,BMILMS!$D$14*AG987^3+BMILMS!$E$14*AG987^2+BMILMS!$F$14*AG987+BMILMS!$G$14,BMILMS!$D$15*AG987^3+BMILMS!$E$15*AG987^2+BMILMS!$F$15*AG987+BMILMS!$G$15)),(IF(AG987&lt;90,BMILMS!$D$17*AG987^3+BMILMS!$E$17*AG987^2+BMILMS!$F$17*AG987+BMILMS!$G$17,BMILMS!$D$18*AG987^3+BMILMS!$E$18*AG987^2+BMILMS!$F$18*AG987+BMILMS!$G$18)))</f>
        <v>8.8969350000000003E-2</v>
      </c>
      <c r="AG987" s="24">
        <f t="shared" si="256"/>
        <v>0</v>
      </c>
      <c r="AI987" s="38">
        <f>IF(D987="M",WeightSDS!P$5*$AG987^7+WeightSDS!Q$5*$AG987^6+WeightSDS!R$5*$AG987^5+WeightSDS!S$5*$AG987^4+WeightSDS!T$5*$AG987^3+WeightSDS!U$5*$AG987^2+WeightSDS!V$5*$AG987+WeightSDS!W$5,IF($AG987&lt;186,WeightSDS!P$8*$AG987^7+WeightSDS!Q$8*$AG987^6+WeightSDS!R$8*$AG987^5+WeightSDS!S$8*$AG987^4+WeightSDS!T$8*$AG987^3+WeightSDS!U$8*$AG987^2+WeightSDS!V$8*$AG987+WeightSDS!W$8,WeightSDS!$U$9-WeightSDS!$V$9*($AG987-WeightSDS!$W$9)))</f>
        <v>0.75407122999999998</v>
      </c>
      <c r="AJ987" s="24">
        <f>IF(D987="M",IF($AG987&lt;45,WeightSDS!M$23*$AG987^10+WeightSDS!N$23*$AG987^9+WeightSDS!O$23*$AG987^8+WeightSDS!P$23*$AG987^7+WeightSDS!Q$23*$AG987^6+WeightSDS!R$23*$AG987^5+WeightSDS!S$23*$AG987^4+WeightSDS!T$23*$AG987^3+WeightSDS!U$23*$AG987^2+WeightSDS!V$23*$AG987+WeightSDS!W$23,IF($AG987&lt;153,WeightSDS!M$25*$AG987^10+WeightSDS!N$25*$AG987^9+WeightSDS!O$25*$AG987^8+WeightSDS!P$25*$AG987^7+WeightSDS!Q$25*$AG987^6+WeightSDS!R$25*$AG987^5+WeightSDS!S$25*$AG987^4+WeightSDS!T$25*$AG987^3+WeightSDS!U$25*$AG987^2+WeightSDS!V$25*$AG987+WeightSDS!W$25,WeightSDS!M$27+WeightSDS!N$27/(1+EXP(WeightSDS!O$27+WeightSDS!P$27*$AG987)))),IF($AG987&lt;43.8,WeightSDS!M$29*$AG987^10+WeightSDS!N$29*$AG987^9+WeightSDS!O$29*$AG987^8+WeightSDS!P$29*$AG987^7+WeightSDS!Q$29*$AG987^6+WeightSDS!R$29*$AG987^5+WeightSDS!S$29*$AG987^4+WeightSDS!T$29*$AG987^3+WeightSDS!U$29*$AG987^2+WeightSDS!V$29*$AG987+WeightSDS!W$29-0.010431*(1-$AG987/210),IF($AG987&lt;123,WeightSDS!M$30*$AG987^10+WeightSDS!N$30*$AG987^9+WeightSDS!O$30*$AG987^8+WeightSDS!P$30*$AG987^7+WeightSDS!Q$30*$AG987^6+WeightSDS!R$30*$AG987^5+WeightSDS!S$30*$AG987^4+WeightSDS!T$30*$AG987^3+WeightSDS!U$30*$AG987^2+WeightSDS!V$30*$AG987+WeightSDS!W$30-0.010431*(1-1/$AG987),WeightSDS!M$32+WeightSDS!N$32/(1+EXP(WeightSDS!O$32+WeightSDS!P$32*$AG987))-0.010431*(1-$AG987/210))))</f>
        <v>2.9500001032655536</v>
      </c>
      <c r="AK987" s="24">
        <f>IF(D987="M",IF($AG987&lt;162,WeightSDS!P$12*$AG987^7+WeightSDS!Q$12*$AG987^6+WeightSDS!R$12*$AG987^5+WeightSDS!S$12*$AG987^4+WeightSDS!T$12*$AG987^3+WeightSDS!U$12*$AG987^2+WeightSDS!V$12*$AG987+WeightSDS!W$12,WeightSDS!P$14*$AG987^7+WeightSDS!Q$14*$AG987^6+WeightSDS!R$14*$AG987^5+WeightSDS!S$14*$AG987^4+WeightSDS!T$14*$AG987^3+WeightSDS!U$14*$AG987^2+WeightSDS!V$14*$AG987+WeightSDS!W$14),IF($AG987&lt;156,WeightSDS!O$17*$AG987^8+WeightSDS!P$17*$AG987^7+WeightSDS!Q$17*$AG987^6+WeightSDS!R$17*$AG987^5+WeightSDS!S$17*$AG987^4+WeightSDS!T$17*$AG987^3+WeightSDS!U$17*$AG987^2+WeightSDS!V$17*$AG987+WeightSDS!W$17,IF($AG987&lt;186,WeightSDS!$U$18+(WeightSDS!$V$18-WeightSDS!$U$18)/24*($AG987-186)+WeightSDS!$W$18*(-$AG987+186)^2-0.005,WeightSDS!$U$18+(WeightSDS!$V$18-WeightSDS!$U$18)/24*($AG987-186)-0.005)))</f>
        <v>0.14604529399999999</v>
      </c>
    </row>
    <row r="988" spans="1:37">
      <c r="A988" s="4"/>
      <c r="B988" s="21"/>
      <c r="C988" s="21"/>
      <c r="D988" s="21"/>
      <c r="E988" s="22"/>
      <c r="F988" s="22"/>
      <c r="G988" s="23"/>
      <c r="H988" s="23"/>
      <c r="I988" s="8" t="str">
        <f t="shared" si="242"/>
        <v/>
      </c>
      <c r="J988" s="2" t="str">
        <f t="shared" si="247"/>
        <v/>
      </c>
      <c r="K988" s="2" t="str">
        <f t="shared" si="243"/>
        <v/>
      </c>
      <c r="L988" s="2" t="str">
        <f t="shared" si="248"/>
        <v/>
      </c>
      <c r="M988" s="2" t="str">
        <f t="shared" si="255"/>
        <v/>
      </c>
      <c r="N988" s="2" t="str">
        <f t="shared" si="249"/>
        <v/>
      </c>
      <c r="O988" s="8" t="str">
        <f t="shared" si="250"/>
        <v/>
      </c>
      <c r="P988" s="8" t="str">
        <f t="shared" si="251"/>
        <v/>
      </c>
      <c r="Q988" s="40" t="str">
        <f t="shared" si="244"/>
        <v/>
      </c>
      <c r="R988" s="48" t="str">
        <f t="shared" si="252"/>
        <v/>
      </c>
      <c r="S988" s="8"/>
      <c r="U988" s="35">
        <f t="shared" si="253"/>
        <v>0</v>
      </c>
      <c r="V988" s="24">
        <f t="shared" si="254"/>
        <v>0</v>
      </c>
      <c r="W988" s="41">
        <f t="shared" si="241"/>
        <v>0</v>
      </c>
      <c r="X988" s="31"/>
      <c r="Y988" s="31"/>
      <c r="Z988" s="31"/>
      <c r="AA988" s="25">
        <f t="shared" si="245"/>
        <v>9.0359999999999996</v>
      </c>
      <c r="AB988" s="25">
        <f t="shared" si="246"/>
        <v>-184.49199999999999</v>
      </c>
      <c r="AD988" s="24">
        <f>IF(D988="M",IF(AG988&lt;78,BMILMS!$D$5*AG988^3+BMILMS!$E$5*AG988^2+BMILMS!$F$5*AG988+BMILMS!$G$5,IF(AG988&lt;150,BMILMS!$D$6*AG988^3+BMILMS!$E$6*AG988^2+BMILMS!$F$6*AG988+BMILMS!$G$6,BMILMS!$D$7*AG988^3+BMILMS!$E$7*AG988^2+BMILMS!$F$7*AG988+BMILMS!$G$7)),IF(AG988&lt;69,BMILMS!$D$9*AG988^3+BMILMS!$E$9*AG988^2+BMILMS!$F$9*AG988+BMILMS!$G$9,IF(AG988&lt;150,BMILMS!$D$10*AG988^3+BMILMS!$E$10*AG988^2+BMILMS!$F$10*AG988+BMILMS!$G$10,BMILMS!$D$11*AG988^3+BMILMS!$E$11*AG988^2+BMILMS!$F$11*AG988+BMILMS!$G$11)))</f>
        <v>0.79584630099999998</v>
      </c>
      <c r="AE988" s="24">
        <f>IF(D988="M",(IF(AG988&lt;2.5,BMILMS!$D$21*AG988^3+BMILMS!$E$21*AG988^2+BMILMS!$F$21*AG988+BMILMS!$G$21,IF(AG988&lt;9.5,BMILMS!$D$22*AG988^3+BMILMS!$E$22*AG988^2+BMILMS!$F$22*AG988+BMILMS!$G$22,IF(AG988&lt;26.75,BMILMS!$D$23*AG988^3+BMILMS!$E$23*AG988^2+BMILMS!$F$23*AG988+BMILMS!$G$23,IF(AG988&lt;90,BMILMS!$D$24*AG988^3+BMILMS!$E$24*AG988^2+BMILMS!$F$24*AG988+BMILMS!$G$24,BMILMS!$D$25*AG988^3+BMILMS!$E$25*AG988^2+BMILMS!$F$25*AG988+BMILMS!$G$25))))),(IF(AG988&lt;2.5,BMILMS!$D$27*AG988^3+BMILMS!$E$27*AG988^2+BMILMS!$F$27*AG988+BMILMS!$G$27,IF(AG988&lt;9.5,BMILMS!$D$28*AG988^3+BMILMS!$E$28*AG988^2+BMILMS!$F$28*AG988+BMILMS!$G$28,IF(AG988&lt;26.75,BMILMS!$D$29*AG988^3+BMILMS!$E$29*AG988^2+BMILMS!$F$29*AG988+BMILMS!$G$29,IF(AG988&lt;90,BMILMS!$D$30*AG988^3+BMILMS!$E$30*AG988^2+BMILMS!$F$30*AG988+BMILMS!$G$30,IF(AG988&lt;150,BMILMS!$D$31*AG988^3+BMILMS!$E$31*AG988^2+BMILMS!$F$31*AG988+BMILMS!$G$31,BMILMS!$D$32*AG988^3+BMILMS!$E$32*AG988^2+BMILMS!$F$32*AG988+BMILMS!$G$32)))))))</f>
        <v>12.568967990000001</v>
      </c>
      <c r="AF988" s="24">
        <f>IF(D988="M",(IF(AG988&lt;90,BMILMS!$D$14*AG988^3+BMILMS!$E$14*AG988^2+BMILMS!$F$14*AG988+BMILMS!$G$14,BMILMS!$D$15*AG988^3+BMILMS!$E$15*AG988^2+BMILMS!$F$15*AG988+BMILMS!$G$15)),(IF(AG988&lt;90,BMILMS!$D$17*AG988^3+BMILMS!$E$17*AG988^2+BMILMS!$F$17*AG988+BMILMS!$G$17,BMILMS!$D$18*AG988^3+BMILMS!$E$18*AG988^2+BMILMS!$F$18*AG988+BMILMS!$G$18)))</f>
        <v>8.8969350000000003E-2</v>
      </c>
      <c r="AG988" s="24">
        <f t="shared" si="256"/>
        <v>0</v>
      </c>
      <c r="AI988" s="38">
        <f>IF(D988="M",WeightSDS!P$5*$AG988^7+WeightSDS!Q$5*$AG988^6+WeightSDS!R$5*$AG988^5+WeightSDS!S$5*$AG988^4+WeightSDS!T$5*$AG988^3+WeightSDS!U$5*$AG988^2+WeightSDS!V$5*$AG988+WeightSDS!W$5,IF($AG988&lt;186,WeightSDS!P$8*$AG988^7+WeightSDS!Q$8*$AG988^6+WeightSDS!R$8*$AG988^5+WeightSDS!S$8*$AG988^4+WeightSDS!T$8*$AG988^3+WeightSDS!U$8*$AG988^2+WeightSDS!V$8*$AG988+WeightSDS!W$8,WeightSDS!$U$9-WeightSDS!$V$9*($AG988-WeightSDS!$W$9)))</f>
        <v>0.75407122999999998</v>
      </c>
      <c r="AJ988" s="24">
        <f>IF(D988="M",IF($AG988&lt;45,WeightSDS!M$23*$AG988^10+WeightSDS!N$23*$AG988^9+WeightSDS!O$23*$AG988^8+WeightSDS!P$23*$AG988^7+WeightSDS!Q$23*$AG988^6+WeightSDS!R$23*$AG988^5+WeightSDS!S$23*$AG988^4+WeightSDS!T$23*$AG988^3+WeightSDS!U$23*$AG988^2+WeightSDS!V$23*$AG988+WeightSDS!W$23,IF($AG988&lt;153,WeightSDS!M$25*$AG988^10+WeightSDS!N$25*$AG988^9+WeightSDS!O$25*$AG988^8+WeightSDS!P$25*$AG988^7+WeightSDS!Q$25*$AG988^6+WeightSDS!R$25*$AG988^5+WeightSDS!S$25*$AG988^4+WeightSDS!T$25*$AG988^3+WeightSDS!U$25*$AG988^2+WeightSDS!V$25*$AG988+WeightSDS!W$25,WeightSDS!M$27+WeightSDS!N$27/(1+EXP(WeightSDS!O$27+WeightSDS!P$27*$AG988)))),IF($AG988&lt;43.8,WeightSDS!M$29*$AG988^10+WeightSDS!N$29*$AG988^9+WeightSDS!O$29*$AG988^8+WeightSDS!P$29*$AG988^7+WeightSDS!Q$29*$AG988^6+WeightSDS!R$29*$AG988^5+WeightSDS!S$29*$AG988^4+WeightSDS!T$29*$AG988^3+WeightSDS!U$29*$AG988^2+WeightSDS!V$29*$AG988+WeightSDS!W$29-0.010431*(1-$AG988/210),IF($AG988&lt;123,WeightSDS!M$30*$AG988^10+WeightSDS!N$30*$AG988^9+WeightSDS!O$30*$AG988^8+WeightSDS!P$30*$AG988^7+WeightSDS!Q$30*$AG988^6+WeightSDS!R$30*$AG988^5+WeightSDS!S$30*$AG988^4+WeightSDS!T$30*$AG988^3+WeightSDS!U$30*$AG988^2+WeightSDS!V$30*$AG988+WeightSDS!W$30-0.010431*(1-1/$AG988),WeightSDS!M$32+WeightSDS!N$32/(1+EXP(WeightSDS!O$32+WeightSDS!P$32*$AG988))-0.010431*(1-$AG988/210))))</f>
        <v>2.9500001032655536</v>
      </c>
      <c r="AK988" s="24">
        <f>IF(D988="M",IF($AG988&lt;162,WeightSDS!P$12*$AG988^7+WeightSDS!Q$12*$AG988^6+WeightSDS!R$12*$AG988^5+WeightSDS!S$12*$AG988^4+WeightSDS!T$12*$AG988^3+WeightSDS!U$12*$AG988^2+WeightSDS!V$12*$AG988+WeightSDS!W$12,WeightSDS!P$14*$AG988^7+WeightSDS!Q$14*$AG988^6+WeightSDS!R$14*$AG988^5+WeightSDS!S$14*$AG988^4+WeightSDS!T$14*$AG988^3+WeightSDS!U$14*$AG988^2+WeightSDS!V$14*$AG988+WeightSDS!W$14),IF($AG988&lt;156,WeightSDS!O$17*$AG988^8+WeightSDS!P$17*$AG988^7+WeightSDS!Q$17*$AG988^6+WeightSDS!R$17*$AG988^5+WeightSDS!S$17*$AG988^4+WeightSDS!T$17*$AG988^3+WeightSDS!U$17*$AG988^2+WeightSDS!V$17*$AG988+WeightSDS!W$17,IF($AG988&lt;186,WeightSDS!$U$18+(WeightSDS!$V$18-WeightSDS!$U$18)/24*($AG988-186)+WeightSDS!$W$18*(-$AG988+186)^2-0.005,WeightSDS!$U$18+(WeightSDS!$V$18-WeightSDS!$U$18)/24*($AG988-186)-0.005)))</f>
        <v>0.14604529399999999</v>
      </c>
    </row>
    <row r="989" spans="1:37">
      <c r="A989" s="4"/>
      <c r="B989" s="21"/>
      <c r="C989" s="21"/>
      <c r="D989" s="21"/>
      <c r="E989" s="22"/>
      <c r="F989" s="22"/>
      <c r="G989" s="23"/>
      <c r="H989" s="23"/>
      <c r="I989" s="8" t="str">
        <f t="shared" si="242"/>
        <v/>
      </c>
      <c r="J989" s="2" t="str">
        <f t="shared" si="247"/>
        <v/>
      </c>
      <c r="K989" s="2" t="str">
        <f t="shared" si="243"/>
        <v/>
      </c>
      <c r="L989" s="2" t="str">
        <f t="shared" si="248"/>
        <v/>
      </c>
      <c r="M989" s="2" t="str">
        <f t="shared" si="255"/>
        <v/>
      </c>
      <c r="N989" s="2" t="str">
        <f t="shared" si="249"/>
        <v/>
      </c>
      <c r="O989" s="8" t="str">
        <f t="shared" si="250"/>
        <v/>
      </c>
      <c r="P989" s="8" t="str">
        <f t="shared" si="251"/>
        <v/>
      </c>
      <c r="Q989" s="40" t="str">
        <f t="shared" si="244"/>
        <v/>
      </c>
      <c r="R989" s="48" t="str">
        <f t="shared" si="252"/>
        <v/>
      </c>
      <c r="S989" s="8"/>
      <c r="U989" s="35">
        <f t="shared" si="253"/>
        <v>0</v>
      </c>
      <c r="V989" s="24">
        <f t="shared" si="254"/>
        <v>0</v>
      </c>
      <c r="W989" s="41">
        <f t="shared" si="241"/>
        <v>0</v>
      </c>
      <c r="X989" s="31"/>
      <c r="Y989" s="31"/>
      <c r="Z989" s="31"/>
      <c r="AA989" s="25">
        <f t="shared" si="245"/>
        <v>9.0359999999999996</v>
      </c>
      <c r="AB989" s="25">
        <f t="shared" si="246"/>
        <v>-184.49199999999999</v>
      </c>
      <c r="AD989" s="24">
        <f>IF(D989="M",IF(AG989&lt;78,BMILMS!$D$5*AG989^3+BMILMS!$E$5*AG989^2+BMILMS!$F$5*AG989+BMILMS!$G$5,IF(AG989&lt;150,BMILMS!$D$6*AG989^3+BMILMS!$E$6*AG989^2+BMILMS!$F$6*AG989+BMILMS!$G$6,BMILMS!$D$7*AG989^3+BMILMS!$E$7*AG989^2+BMILMS!$F$7*AG989+BMILMS!$G$7)),IF(AG989&lt;69,BMILMS!$D$9*AG989^3+BMILMS!$E$9*AG989^2+BMILMS!$F$9*AG989+BMILMS!$G$9,IF(AG989&lt;150,BMILMS!$D$10*AG989^3+BMILMS!$E$10*AG989^2+BMILMS!$F$10*AG989+BMILMS!$G$10,BMILMS!$D$11*AG989^3+BMILMS!$E$11*AG989^2+BMILMS!$F$11*AG989+BMILMS!$G$11)))</f>
        <v>0.79584630099999998</v>
      </c>
      <c r="AE989" s="24">
        <f>IF(D989="M",(IF(AG989&lt;2.5,BMILMS!$D$21*AG989^3+BMILMS!$E$21*AG989^2+BMILMS!$F$21*AG989+BMILMS!$G$21,IF(AG989&lt;9.5,BMILMS!$D$22*AG989^3+BMILMS!$E$22*AG989^2+BMILMS!$F$22*AG989+BMILMS!$G$22,IF(AG989&lt;26.75,BMILMS!$D$23*AG989^3+BMILMS!$E$23*AG989^2+BMILMS!$F$23*AG989+BMILMS!$G$23,IF(AG989&lt;90,BMILMS!$D$24*AG989^3+BMILMS!$E$24*AG989^2+BMILMS!$F$24*AG989+BMILMS!$G$24,BMILMS!$D$25*AG989^3+BMILMS!$E$25*AG989^2+BMILMS!$F$25*AG989+BMILMS!$G$25))))),(IF(AG989&lt;2.5,BMILMS!$D$27*AG989^3+BMILMS!$E$27*AG989^2+BMILMS!$F$27*AG989+BMILMS!$G$27,IF(AG989&lt;9.5,BMILMS!$D$28*AG989^3+BMILMS!$E$28*AG989^2+BMILMS!$F$28*AG989+BMILMS!$G$28,IF(AG989&lt;26.75,BMILMS!$D$29*AG989^3+BMILMS!$E$29*AG989^2+BMILMS!$F$29*AG989+BMILMS!$G$29,IF(AG989&lt;90,BMILMS!$D$30*AG989^3+BMILMS!$E$30*AG989^2+BMILMS!$F$30*AG989+BMILMS!$G$30,IF(AG989&lt;150,BMILMS!$D$31*AG989^3+BMILMS!$E$31*AG989^2+BMILMS!$F$31*AG989+BMILMS!$G$31,BMILMS!$D$32*AG989^3+BMILMS!$E$32*AG989^2+BMILMS!$F$32*AG989+BMILMS!$G$32)))))))</f>
        <v>12.568967990000001</v>
      </c>
      <c r="AF989" s="24">
        <f>IF(D989="M",(IF(AG989&lt;90,BMILMS!$D$14*AG989^3+BMILMS!$E$14*AG989^2+BMILMS!$F$14*AG989+BMILMS!$G$14,BMILMS!$D$15*AG989^3+BMILMS!$E$15*AG989^2+BMILMS!$F$15*AG989+BMILMS!$G$15)),(IF(AG989&lt;90,BMILMS!$D$17*AG989^3+BMILMS!$E$17*AG989^2+BMILMS!$F$17*AG989+BMILMS!$G$17,BMILMS!$D$18*AG989^3+BMILMS!$E$18*AG989^2+BMILMS!$F$18*AG989+BMILMS!$G$18)))</f>
        <v>8.8969350000000003E-2</v>
      </c>
      <c r="AG989" s="24">
        <f t="shared" si="256"/>
        <v>0</v>
      </c>
      <c r="AI989" s="38">
        <f>IF(D989="M",WeightSDS!P$5*$AG989^7+WeightSDS!Q$5*$AG989^6+WeightSDS!R$5*$AG989^5+WeightSDS!S$5*$AG989^4+WeightSDS!T$5*$AG989^3+WeightSDS!U$5*$AG989^2+WeightSDS!V$5*$AG989+WeightSDS!W$5,IF($AG989&lt;186,WeightSDS!P$8*$AG989^7+WeightSDS!Q$8*$AG989^6+WeightSDS!R$8*$AG989^5+WeightSDS!S$8*$AG989^4+WeightSDS!T$8*$AG989^3+WeightSDS!U$8*$AG989^2+WeightSDS!V$8*$AG989+WeightSDS!W$8,WeightSDS!$U$9-WeightSDS!$V$9*($AG989-WeightSDS!$W$9)))</f>
        <v>0.75407122999999998</v>
      </c>
      <c r="AJ989" s="24">
        <f>IF(D989="M",IF($AG989&lt;45,WeightSDS!M$23*$AG989^10+WeightSDS!N$23*$AG989^9+WeightSDS!O$23*$AG989^8+WeightSDS!P$23*$AG989^7+WeightSDS!Q$23*$AG989^6+WeightSDS!R$23*$AG989^5+WeightSDS!S$23*$AG989^4+WeightSDS!T$23*$AG989^3+WeightSDS!U$23*$AG989^2+WeightSDS!V$23*$AG989+WeightSDS!W$23,IF($AG989&lt;153,WeightSDS!M$25*$AG989^10+WeightSDS!N$25*$AG989^9+WeightSDS!O$25*$AG989^8+WeightSDS!P$25*$AG989^7+WeightSDS!Q$25*$AG989^6+WeightSDS!R$25*$AG989^5+WeightSDS!S$25*$AG989^4+WeightSDS!T$25*$AG989^3+WeightSDS!U$25*$AG989^2+WeightSDS!V$25*$AG989+WeightSDS!W$25,WeightSDS!M$27+WeightSDS!N$27/(1+EXP(WeightSDS!O$27+WeightSDS!P$27*$AG989)))),IF($AG989&lt;43.8,WeightSDS!M$29*$AG989^10+WeightSDS!N$29*$AG989^9+WeightSDS!O$29*$AG989^8+WeightSDS!P$29*$AG989^7+WeightSDS!Q$29*$AG989^6+WeightSDS!R$29*$AG989^5+WeightSDS!S$29*$AG989^4+WeightSDS!T$29*$AG989^3+WeightSDS!U$29*$AG989^2+WeightSDS!V$29*$AG989+WeightSDS!W$29-0.010431*(1-$AG989/210),IF($AG989&lt;123,WeightSDS!M$30*$AG989^10+WeightSDS!N$30*$AG989^9+WeightSDS!O$30*$AG989^8+WeightSDS!P$30*$AG989^7+WeightSDS!Q$30*$AG989^6+WeightSDS!R$30*$AG989^5+WeightSDS!S$30*$AG989^4+WeightSDS!T$30*$AG989^3+WeightSDS!U$30*$AG989^2+WeightSDS!V$30*$AG989+WeightSDS!W$30-0.010431*(1-1/$AG989),WeightSDS!M$32+WeightSDS!N$32/(1+EXP(WeightSDS!O$32+WeightSDS!P$32*$AG989))-0.010431*(1-$AG989/210))))</f>
        <v>2.9500001032655536</v>
      </c>
      <c r="AK989" s="24">
        <f>IF(D989="M",IF($AG989&lt;162,WeightSDS!P$12*$AG989^7+WeightSDS!Q$12*$AG989^6+WeightSDS!R$12*$AG989^5+WeightSDS!S$12*$AG989^4+WeightSDS!T$12*$AG989^3+WeightSDS!U$12*$AG989^2+WeightSDS!V$12*$AG989+WeightSDS!W$12,WeightSDS!P$14*$AG989^7+WeightSDS!Q$14*$AG989^6+WeightSDS!R$14*$AG989^5+WeightSDS!S$14*$AG989^4+WeightSDS!T$14*$AG989^3+WeightSDS!U$14*$AG989^2+WeightSDS!V$14*$AG989+WeightSDS!W$14),IF($AG989&lt;156,WeightSDS!O$17*$AG989^8+WeightSDS!P$17*$AG989^7+WeightSDS!Q$17*$AG989^6+WeightSDS!R$17*$AG989^5+WeightSDS!S$17*$AG989^4+WeightSDS!T$17*$AG989^3+WeightSDS!U$17*$AG989^2+WeightSDS!V$17*$AG989+WeightSDS!W$17,IF($AG989&lt;186,WeightSDS!$U$18+(WeightSDS!$V$18-WeightSDS!$U$18)/24*($AG989-186)+WeightSDS!$W$18*(-$AG989+186)^2-0.005,WeightSDS!$U$18+(WeightSDS!$V$18-WeightSDS!$U$18)/24*($AG989-186)-0.005)))</f>
        <v>0.14604529399999999</v>
      </c>
    </row>
    <row r="990" spans="1:37">
      <c r="A990" s="4"/>
      <c r="B990" s="21"/>
      <c r="C990" s="21"/>
      <c r="D990" s="21"/>
      <c r="E990" s="22"/>
      <c r="F990" s="22"/>
      <c r="G990" s="23"/>
      <c r="H990" s="23"/>
      <c r="I990" s="8" t="str">
        <f t="shared" si="242"/>
        <v/>
      </c>
      <c r="J990" s="2" t="str">
        <f t="shared" si="247"/>
        <v/>
      </c>
      <c r="K990" s="2" t="str">
        <f t="shared" si="243"/>
        <v/>
      </c>
      <c r="L990" s="2" t="str">
        <f t="shared" si="248"/>
        <v/>
      </c>
      <c r="M990" s="2" t="str">
        <f t="shared" si="255"/>
        <v/>
      </c>
      <c r="N990" s="2" t="str">
        <f t="shared" si="249"/>
        <v/>
      </c>
      <c r="O990" s="8" t="str">
        <f t="shared" si="250"/>
        <v/>
      </c>
      <c r="P990" s="8" t="str">
        <f t="shared" si="251"/>
        <v/>
      </c>
      <c r="Q990" s="40" t="str">
        <f t="shared" si="244"/>
        <v/>
      </c>
      <c r="R990" s="48" t="str">
        <f t="shared" si="252"/>
        <v/>
      </c>
      <c r="S990" s="8"/>
      <c r="U990" s="35">
        <f t="shared" si="253"/>
        <v>0</v>
      </c>
      <c r="V990" s="24">
        <f t="shared" si="254"/>
        <v>0</v>
      </c>
      <c r="W990" s="41">
        <f t="shared" ref="W990:W1002" si="257">DATEDIF(E990,F990,"Y")+(F990-(DATE(YEAR(E990)+DATEDIF(E990,F990,"Y"),MONTH(E990),DAY(E990))))/(365+IF(MOD(YEAR((DATE(YEAR(F990)-1,MONTH(E990),DAY(E990)))),4)=0,IF((DATE(YEAR(F990)-1,MONTH(E990),DAY(E990)))&gt;DATE(YEAR((DATE(YEAR(F990)-1,MONTH(E990),DAY(E990)))),2,29),0,1),0)+IF(MOD(YEAR(F990),4)=0,IF(F990&gt;DATE(YEAR(F990),2,29),1,0),0))</f>
        <v>0</v>
      </c>
      <c r="X990" s="31"/>
      <c r="Y990" s="31"/>
      <c r="Z990" s="31"/>
      <c r="AA990" s="25">
        <f t="shared" si="245"/>
        <v>9.0359999999999996</v>
      </c>
      <c r="AB990" s="25">
        <f t="shared" si="246"/>
        <v>-184.49199999999999</v>
      </c>
      <c r="AD990" s="24">
        <f>IF(D990="M",IF(AG990&lt;78,BMILMS!$D$5*AG990^3+BMILMS!$E$5*AG990^2+BMILMS!$F$5*AG990+BMILMS!$G$5,IF(AG990&lt;150,BMILMS!$D$6*AG990^3+BMILMS!$E$6*AG990^2+BMILMS!$F$6*AG990+BMILMS!$G$6,BMILMS!$D$7*AG990^3+BMILMS!$E$7*AG990^2+BMILMS!$F$7*AG990+BMILMS!$G$7)),IF(AG990&lt;69,BMILMS!$D$9*AG990^3+BMILMS!$E$9*AG990^2+BMILMS!$F$9*AG990+BMILMS!$G$9,IF(AG990&lt;150,BMILMS!$D$10*AG990^3+BMILMS!$E$10*AG990^2+BMILMS!$F$10*AG990+BMILMS!$G$10,BMILMS!$D$11*AG990^3+BMILMS!$E$11*AG990^2+BMILMS!$F$11*AG990+BMILMS!$G$11)))</f>
        <v>0.79584630099999998</v>
      </c>
      <c r="AE990" s="24">
        <f>IF(D990="M",(IF(AG990&lt;2.5,BMILMS!$D$21*AG990^3+BMILMS!$E$21*AG990^2+BMILMS!$F$21*AG990+BMILMS!$G$21,IF(AG990&lt;9.5,BMILMS!$D$22*AG990^3+BMILMS!$E$22*AG990^2+BMILMS!$F$22*AG990+BMILMS!$G$22,IF(AG990&lt;26.75,BMILMS!$D$23*AG990^3+BMILMS!$E$23*AG990^2+BMILMS!$F$23*AG990+BMILMS!$G$23,IF(AG990&lt;90,BMILMS!$D$24*AG990^3+BMILMS!$E$24*AG990^2+BMILMS!$F$24*AG990+BMILMS!$G$24,BMILMS!$D$25*AG990^3+BMILMS!$E$25*AG990^2+BMILMS!$F$25*AG990+BMILMS!$G$25))))),(IF(AG990&lt;2.5,BMILMS!$D$27*AG990^3+BMILMS!$E$27*AG990^2+BMILMS!$F$27*AG990+BMILMS!$G$27,IF(AG990&lt;9.5,BMILMS!$D$28*AG990^3+BMILMS!$E$28*AG990^2+BMILMS!$F$28*AG990+BMILMS!$G$28,IF(AG990&lt;26.75,BMILMS!$D$29*AG990^3+BMILMS!$E$29*AG990^2+BMILMS!$F$29*AG990+BMILMS!$G$29,IF(AG990&lt;90,BMILMS!$D$30*AG990^3+BMILMS!$E$30*AG990^2+BMILMS!$F$30*AG990+BMILMS!$G$30,IF(AG990&lt;150,BMILMS!$D$31*AG990^3+BMILMS!$E$31*AG990^2+BMILMS!$F$31*AG990+BMILMS!$G$31,BMILMS!$D$32*AG990^3+BMILMS!$E$32*AG990^2+BMILMS!$F$32*AG990+BMILMS!$G$32)))))))</f>
        <v>12.568967990000001</v>
      </c>
      <c r="AF990" s="24">
        <f>IF(D990="M",(IF(AG990&lt;90,BMILMS!$D$14*AG990^3+BMILMS!$E$14*AG990^2+BMILMS!$F$14*AG990+BMILMS!$G$14,BMILMS!$D$15*AG990^3+BMILMS!$E$15*AG990^2+BMILMS!$F$15*AG990+BMILMS!$G$15)),(IF(AG990&lt;90,BMILMS!$D$17*AG990^3+BMILMS!$E$17*AG990^2+BMILMS!$F$17*AG990+BMILMS!$G$17,BMILMS!$D$18*AG990^3+BMILMS!$E$18*AG990^2+BMILMS!$F$18*AG990+BMILMS!$G$18)))</f>
        <v>8.8969350000000003E-2</v>
      </c>
      <c r="AG990" s="24">
        <f t="shared" si="256"/>
        <v>0</v>
      </c>
      <c r="AI990" s="38">
        <f>IF(D990="M",WeightSDS!P$5*$AG990^7+WeightSDS!Q$5*$AG990^6+WeightSDS!R$5*$AG990^5+WeightSDS!S$5*$AG990^4+WeightSDS!T$5*$AG990^3+WeightSDS!U$5*$AG990^2+WeightSDS!V$5*$AG990+WeightSDS!W$5,IF($AG990&lt;186,WeightSDS!P$8*$AG990^7+WeightSDS!Q$8*$AG990^6+WeightSDS!R$8*$AG990^5+WeightSDS!S$8*$AG990^4+WeightSDS!T$8*$AG990^3+WeightSDS!U$8*$AG990^2+WeightSDS!V$8*$AG990+WeightSDS!W$8,WeightSDS!$U$9-WeightSDS!$V$9*($AG990-WeightSDS!$W$9)))</f>
        <v>0.75407122999999998</v>
      </c>
      <c r="AJ990" s="24">
        <f>IF(D990="M",IF($AG990&lt;45,WeightSDS!M$23*$AG990^10+WeightSDS!N$23*$AG990^9+WeightSDS!O$23*$AG990^8+WeightSDS!P$23*$AG990^7+WeightSDS!Q$23*$AG990^6+WeightSDS!R$23*$AG990^5+WeightSDS!S$23*$AG990^4+WeightSDS!T$23*$AG990^3+WeightSDS!U$23*$AG990^2+WeightSDS!V$23*$AG990+WeightSDS!W$23,IF($AG990&lt;153,WeightSDS!M$25*$AG990^10+WeightSDS!N$25*$AG990^9+WeightSDS!O$25*$AG990^8+WeightSDS!P$25*$AG990^7+WeightSDS!Q$25*$AG990^6+WeightSDS!R$25*$AG990^5+WeightSDS!S$25*$AG990^4+WeightSDS!T$25*$AG990^3+WeightSDS!U$25*$AG990^2+WeightSDS!V$25*$AG990+WeightSDS!W$25,WeightSDS!M$27+WeightSDS!N$27/(1+EXP(WeightSDS!O$27+WeightSDS!P$27*$AG990)))),IF($AG990&lt;43.8,WeightSDS!M$29*$AG990^10+WeightSDS!N$29*$AG990^9+WeightSDS!O$29*$AG990^8+WeightSDS!P$29*$AG990^7+WeightSDS!Q$29*$AG990^6+WeightSDS!R$29*$AG990^5+WeightSDS!S$29*$AG990^4+WeightSDS!T$29*$AG990^3+WeightSDS!U$29*$AG990^2+WeightSDS!V$29*$AG990+WeightSDS!W$29-0.010431*(1-$AG990/210),IF($AG990&lt;123,WeightSDS!M$30*$AG990^10+WeightSDS!N$30*$AG990^9+WeightSDS!O$30*$AG990^8+WeightSDS!P$30*$AG990^7+WeightSDS!Q$30*$AG990^6+WeightSDS!R$30*$AG990^5+WeightSDS!S$30*$AG990^4+WeightSDS!T$30*$AG990^3+WeightSDS!U$30*$AG990^2+WeightSDS!V$30*$AG990+WeightSDS!W$30-0.010431*(1-1/$AG990),WeightSDS!M$32+WeightSDS!N$32/(1+EXP(WeightSDS!O$32+WeightSDS!P$32*$AG990))-0.010431*(1-$AG990/210))))</f>
        <v>2.9500001032655536</v>
      </c>
      <c r="AK990" s="24">
        <f>IF(D990="M",IF($AG990&lt;162,WeightSDS!P$12*$AG990^7+WeightSDS!Q$12*$AG990^6+WeightSDS!R$12*$AG990^5+WeightSDS!S$12*$AG990^4+WeightSDS!T$12*$AG990^3+WeightSDS!U$12*$AG990^2+WeightSDS!V$12*$AG990+WeightSDS!W$12,WeightSDS!P$14*$AG990^7+WeightSDS!Q$14*$AG990^6+WeightSDS!R$14*$AG990^5+WeightSDS!S$14*$AG990^4+WeightSDS!T$14*$AG990^3+WeightSDS!U$14*$AG990^2+WeightSDS!V$14*$AG990+WeightSDS!W$14),IF($AG990&lt;156,WeightSDS!O$17*$AG990^8+WeightSDS!P$17*$AG990^7+WeightSDS!Q$17*$AG990^6+WeightSDS!R$17*$AG990^5+WeightSDS!S$17*$AG990^4+WeightSDS!T$17*$AG990^3+WeightSDS!U$17*$AG990^2+WeightSDS!V$17*$AG990+WeightSDS!W$17,IF($AG990&lt;186,WeightSDS!$U$18+(WeightSDS!$V$18-WeightSDS!$U$18)/24*($AG990-186)+WeightSDS!$W$18*(-$AG990+186)^2-0.005,WeightSDS!$U$18+(WeightSDS!$V$18-WeightSDS!$U$18)/24*($AG990-186)-0.005)))</f>
        <v>0.14604529399999999</v>
      </c>
    </row>
    <row r="991" spans="1:37">
      <c r="A991" s="4"/>
      <c r="B991" s="21"/>
      <c r="C991" s="21"/>
      <c r="D991" s="21"/>
      <c r="E991" s="22"/>
      <c r="F991" s="22"/>
      <c r="G991" s="23"/>
      <c r="H991" s="23"/>
      <c r="I991" s="8" t="str">
        <f t="shared" si="242"/>
        <v/>
      </c>
      <c r="J991" s="2" t="str">
        <f t="shared" si="247"/>
        <v/>
      </c>
      <c r="K991" s="2" t="str">
        <f t="shared" si="243"/>
        <v/>
      </c>
      <c r="L991" s="2" t="str">
        <f t="shared" si="248"/>
        <v/>
      </c>
      <c r="M991" s="2" t="str">
        <f t="shared" si="255"/>
        <v/>
      </c>
      <c r="N991" s="2" t="str">
        <f t="shared" si="249"/>
        <v/>
      </c>
      <c r="O991" s="8" t="str">
        <f t="shared" si="250"/>
        <v/>
      </c>
      <c r="P991" s="8" t="str">
        <f t="shared" si="251"/>
        <v/>
      </c>
      <c r="Q991" s="40" t="str">
        <f t="shared" si="244"/>
        <v/>
      </c>
      <c r="R991" s="48" t="str">
        <f t="shared" si="252"/>
        <v/>
      </c>
      <c r="S991" s="8"/>
      <c r="U991" s="35">
        <f t="shared" si="253"/>
        <v>0</v>
      </c>
      <c r="V991" s="24">
        <f t="shared" si="254"/>
        <v>0</v>
      </c>
      <c r="W991" s="41">
        <f t="shared" si="257"/>
        <v>0</v>
      </c>
      <c r="X991" s="31"/>
      <c r="Y991" s="31"/>
      <c r="Z991" s="31"/>
      <c r="AA991" s="25">
        <f t="shared" si="245"/>
        <v>9.0359999999999996</v>
      </c>
      <c r="AB991" s="25">
        <f t="shared" si="246"/>
        <v>-184.49199999999999</v>
      </c>
      <c r="AD991" s="24">
        <f>IF(D991="M",IF(AG991&lt;78,BMILMS!$D$5*AG991^3+BMILMS!$E$5*AG991^2+BMILMS!$F$5*AG991+BMILMS!$G$5,IF(AG991&lt;150,BMILMS!$D$6*AG991^3+BMILMS!$E$6*AG991^2+BMILMS!$F$6*AG991+BMILMS!$G$6,BMILMS!$D$7*AG991^3+BMILMS!$E$7*AG991^2+BMILMS!$F$7*AG991+BMILMS!$G$7)),IF(AG991&lt;69,BMILMS!$D$9*AG991^3+BMILMS!$E$9*AG991^2+BMILMS!$F$9*AG991+BMILMS!$G$9,IF(AG991&lt;150,BMILMS!$D$10*AG991^3+BMILMS!$E$10*AG991^2+BMILMS!$F$10*AG991+BMILMS!$G$10,BMILMS!$D$11*AG991^3+BMILMS!$E$11*AG991^2+BMILMS!$F$11*AG991+BMILMS!$G$11)))</f>
        <v>0.79584630099999998</v>
      </c>
      <c r="AE991" s="24">
        <f>IF(D991="M",(IF(AG991&lt;2.5,BMILMS!$D$21*AG991^3+BMILMS!$E$21*AG991^2+BMILMS!$F$21*AG991+BMILMS!$G$21,IF(AG991&lt;9.5,BMILMS!$D$22*AG991^3+BMILMS!$E$22*AG991^2+BMILMS!$F$22*AG991+BMILMS!$G$22,IF(AG991&lt;26.75,BMILMS!$D$23*AG991^3+BMILMS!$E$23*AG991^2+BMILMS!$F$23*AG991+BMILMS!$G$23,IF(AG991&lt;90,BMILMS!$D$24*AG991^3+BMILMS!$E$24*AG991^2+BMILMS!$F$24*AG991+BMILMS!$G$24,BMILMS!$D$25*AG991^3+BMILMS!$E$25*AG991^2+BMILMS!$F$25*AG991+BMILMS!$G$25))))),(IF(AG991&lt;2.5,BMILMS!$D$27*AG991^3+BMILMS!$E$27*AG991^2+BMILMS!$F$27*AG991+BMILMS!$G$27,IF(AG991&lt;9.5,BMILMS!$D$28*AG991^3+BMILMS!$E$28*AG991^2+BMILMS!$F$28*AG991+BMILMS!$G$28,IF(AG991&lt;26.75,BMILMS!$D$29*AG991^3+BMILMS!$E$29*AG991^2+BMILMS!$F$29*AG991+BMILMS!$G$29,IF(AG991&lt;90,BMILMS!$D$30*AG991^3+BMILMS!$E$30*AG991^2+BMILMS!$F$30*AG991+BMILMS!$G$30,IF(AG991&lt;150,BMILMS!$D$31*AG991^3+BMILMS!$E$31*AG991^2+BMILMS!$F$31*AG991+BMILMS!$G$31,BMILMS!$D$32*AG991^3+BMILMS!$E$32*AG991^2+BMILMS!$F$32*AG991+BMILMS!$G$32)))))))</f>
        <v>12.568967990000001</v>
      </c>
      <c r="AF991" s="24">
        <f>IF(D991="M",(IF(AG991&lt;90,BMILMS!$D$14*AG991^3+BMILMS!$E$14*AG991^2+BMILMS!$F$14*AG991+BMILMS!$G$14,BMILMS!$D$15*AG991^3+BMILMS!$E$15*AG991^2+BMILMS!$F$15*AG991+BMILMS!$G$15)),(IF(AG991&lt;90,BMILMS!$D$17*AG991^3+BMILMS!$E$17*AG991^2+BMILMS!$F$17*AG991+BMILMS!$G$17,BMILMS!$D$18*AG991^3+BMILMS!$E$18*AG991^2+BMILMS!$F$18*AG991+BMILMS!$G$18)))</f>
        <v>8.8969350000000003E-2</v>
      </c>
      <c r="AG991" s="24">
        <f t="shared" si="256"/>
        <v>0</v>
      </c>
      <c r="AI991" s="38">
        <f>IF(D991="M",WeightSDS!P$5*$AG991^7+WeightSDS!Q$5*$AG991^6+WeightSDS!R$5*$AG991^5+WeightSDS!S$5*$AG991^4+WeightSDS!T$5*$AG991^3+WeightSDS!U$5*$AG991^2+WeightSDS!V$5*$AG991+WeightSDS!W$5,IF($AG991&lt;186,WeightSDS!P$8*$AG991^7+WeightSDS!Q$8*$AG991^6+WeightSDS!R$8*$AG991^5+WeightSDS!S$8*$AG991^4+WeightSDS!T$8*$AG991^3+WeightSDS!U$8*$AG991^2+WeightSDS!V$8*$AG991+WeightSDS!W$8,WeightSDS!$U$9-WeightSDS!$V$9*($AG991-WeightSDS!$W$9)))</f>
        <v>0.75407122999999998</v>
      </c>
      <c r="AJ991" s="24">
        <f>IF(D991="M",IF($AG991&lt;45,WeightSDS!M$23*$AG991^10+WeightSDS!N$23*$AG991^9+WeightSDS!O$23*$AG991^8+WeightSDS!P$23*$AG991^7+WeightSDS!Q$23*$AG991^6+WeightSDS!R$23*$AG991^5+WeightSDS!S$23*$AG991^4+WeightSDS!T$23*$AG991^3+WeightSDS!U$23*$AG991^2+WeightSDS!V$23*$AG991+WeightSDS!W$23,IF($AG991&lt;153,WeightSDS!M$25*$AG991^10+WeightSDS!N$25*$AG991^9+WeightSDS!O$25*$AG991^8+WeightSDS!P$25*$AG991^7+WeightSDS!Q$25*$AG991^6+WeightSDS!R$25*$AG991^5+WeightSDS!S$25*$AG991^4+WeightSDS!T$25*$AG991^3+WeightSDS!U$25*$AG991^2+WeightSDS!V$25*$AG991+WeightSDS!W$25,WeightSDS!M$27+WeightSDS!N$27/(1+EXP(WeightSDS!O$27+WeightSDS!P$27*$AG991)))),IF($AG991&lt;43.8,WeightSDS!M$29*$AG991^10+WeightSDS!N$29*$AG991^9+WeightSDS!O$29*$AG991^8+WeightSDS!P$29*$AG991^7+WeightSDS!Q$29*$AG991^6+WeightSDS!R$29*$AG991^5+WeightSDS!S$29*$AG991^4+WeightSDS!T$29*$AG991^3+WeightSDS!U$29*$AG991^2+WeightSDS!V$29*$AG991+WeightSDS!W$29-0.010431*(1-$AG991/210),IF($AG991&lt;123,WeightSDS!M$30*$AG991^10+WeightSDS!N$30*$AG991^9+WeightSDS!O$30*$AG991^8+WeightSDS!P$30*$AG991^7+WeightSDS!Q$30*$AG991^6+WeightSDS!R$30*$AG991^5+WeightSDS!S$30*$AG991^4+WeightSDS!T$30*$AG991^3+WeightSDS!U$30*$AG991^2+WeightSDS!V$30*$AG991+WeightSDS!W$30-0.010431*(1-1/$AG991),WeightSDS!M$32+WeightSDS!N$32/(1+EXP(WeightSDS!O$32+WeightSDS!P$32*$AG991))-0.010431*(1-$AG991/210))))</f>
        <v>2.9500001032655536</v>
      </c>
      <c r="AK991" s="24">
        <f>IF(D991="M",IF($AG991&lt;162,WeightSDS!P$12*$AG991^7+WeightSDS!Q$12*$AG991^6+WeightSDS!R$12*$AG991^5+WeightSDS!S$12*$AG991^4+WeightSDS!T$12*$AG991^3+WeightSDS!U$12*$AG991^2+WeightSDS!V$12*$AG991+WeightSDS!W$12,WeightSDS!P$14*$AG991^7+WeightSDS!Q$14*$AG991^6+WeightSDS!R$14*$AG991^5+WeightSDS!S$14*$AG991^4+WeightSDS!T$14*$AG991^3+WeightSDS!U$14*$AG991^2+WeightSDS!V$14*$AG991+WeightSDS!W$14),IF($AG991&lt;156,WeightSDS!O$17*$AG991^8+WeightSDS!P$17*$AG991^7+WeightSDS!Q$17*$AG991^6+WeightSDS!R$17*$AG991^5+WeightSDS!S$17*$AG991^4+WeightSDS!T$17*$AG991^3+WeightSDS!U$17*$AG991^2+WeightSDS!V$17*$AG991+WeightSDS!W$17,IF($AG991&lt;186,WeightSDS!$U$18+(WeightSDS!$V$18-WeightSDS!$U$18)/24*($AG991-186)+WeightSDS!$W$18*(-$AG991+186)^2-0.005,WeightSDS!$U$18+(WeightSDS!$V$18-WeightSDS!$U$18)/24*($AG991-186)-0.005)))</f>
        <v>0.14604529399999999</v>
      </c>
    </row>
    <row r="992" spans="1:37">
      <c r="A992" s="4"/>
      <c r="B992" s="21"/>
      <c r="C992" s="21"/>
      <c r="D992" s="21"/>
      <c r="E992" s="22"/>
      <c r="F992" s="22"/>
      <c r="G992" s="23"/>
      <c r="H992" s="23"/>
      <c r="I992" s="8" t="str">
        <f t="shared" si="242"/>
        <v/>
      </c>
      <c r="J992" s="2" t="str">
        <f t="shared" si="247"/>
        <v/>
      </c>
      <c r="K992" s="2" t="str">
        <f t="shared" si="243"/>
        <v/>
      </c>
      <c r="L992" s="2" t="str">
        <f t="shared" si="248"/>
        <v/>
      </c>
      <c r="M992" s="2" t="str">
        <f t="shared" si="255"/>
        <v/>
      </c>
      <c r="N992" s="2" t="str">
        <f t="shared" si="249"/>
        <v/>
      </c>
      <c r="O992" s="8" t="str">
        <f t="shared" si="250"/>
        <v/>
      </c>
      <c r="P992" s="8" t="str">
        <f t="shared" si="251"/>
        <v/>
      </c>
      <c r="Q992" s="40" t="str">
        <f t="shared" si="244"/>
        <v/>
      </c>
      <c r="R992" s="48" t="str">
        <f t="shared" si="252"/>
        <v/>
      </c>
      <c r="S992" s="8"/>
      <c r="U992" s="35">
        <f t="shared" si="253"/>
        <v>0</v>
      </c>
      <c r="V992" s="24">
        <f t="shared" si="254"/>
        <v>0</v>
      </c>
      <c r="W992" s="41">
        <f t="shared" si="257"/>
        <v>0</v>
      </c>
      <c r="X992" s="31"/>
      <c r="Y992" s="31"/>
      <c r="Z992" s="31"/>
      <c r="AA992" s="25">
        <f t="shared" si="245"/>
        <v>9.0359999999999996</v>
      </c>
      <c r="AB992" s="25">
        <f t="shared" si="246"/>
        <v>-184.49199999999999</v>
      </c>
      <c r="AD992" s="24">
        <f>IF(D992="M",IF(AG992&lt;78,BMILMS!$D$5*AG992^3+BMILMS!$E$5*AG992^2+BMILMS!$F$5*AG992+BMILMS!$G$5,IF(AG992&lt;150,BMILMS!$D$6*AG992^3+BMILMS!$E$6*AG992^2+BMILMS!$F$6*AG992+BMILMS!$G$6,BMILMS!$D$7*AG992^3+BMILMS!$E$7*AG992^2+BMILMS!$F$7*AG992+BMILMS!$G$7)),IF(AG992&lt;69,BMILMS!$D$9*AG992^3+BMILMS!$E$9*AG992^2+BMILMS!$F$9*AG992+BMILMS!$G$9,IF(AG992&lt;150,BMILMS!$D$10*AG992^3+BMILMS!$E$10*AG992^2+BMILMS!$F$10*AG992+BMILMS!$G$10,BMILMS!$D$11*AG992^3+BMILMS!$E$11*AG992^2+BMILMS!$F$11*AG992+BMILMS!$G$11)))</f>
        <v>0.79584630099999998</v>
      </c>
      <c r="AE992" s="24">
        <f>IF(D992="M",(IF(AG992&lt;2.5,BMILMS!$D$21*AG992^3+BMILMS!$E$21*AG992^2+BMILMS!$F$21*AG992+BMILMS!$G$21,IF(AG992&lt;9.5,BMILMS!$D$22*AG992^3+BMILMS!$E$22*AG992^2+BMILMS!$F$22*AG992+BMILMS!$G$22,IF(AG992&lt;26.75,BMILMS!$D$23*AG992^3+BMILMS!$E$23*AG992^2+BMILMS!$F$23*AG992+BMILMS!$G$23,IF(AG992&lt;90,BMILMS!$D$24*AG992^3+BMILMS!$E$24*AG992^2+BMILMS!$F$24*AG992+BMILMS!$G$24,BMILMS!$D$25*AG992^3+BMILMS!$E$25*AG992^2+BMILMS!$F$25*AG992+BMILMS!$G$25))))),(IF(AG992&lt;2.5,BMILMS!$D$27*AG992^3+BMILMS!$E$27*AG992^2+BMILMS!$F$27*AG992+BMILMS!$G$27,IF(AG992&lt;9.5,BMILMS!$D$28*AG992^3+BMILMS!$E$28*AG992^2+BMILMS!$F$28*AG992+BMILMS!$G$28,IF(AG992&lt;26.75,BMILMS!$D$29*AG992^3+BMILMS!$E$29*AG992^2+BMILMS!$F$29*AG992+BMILMS!$G$29,IF(AG992&lt;90,BMILMS!$D$30*AG992^3+BMILMS!$E$30*AG992^2+BMILMS!$F$30*AG992+BMILMS!$G$30,IF(AG992&lt;150,BMILMS!$D$31*AG992^3+BMILMS!$E$31*AG992^2+BMILMS!$F$31*AG992+BMILMS!$G$31,BMILMS!$D$32*AG992^3+BMILMS!$E$32*AG992^2+BMILMS!$F$32*AG992+BMILMS!$G$32)))))))</f>
        <v>12.568967990000001</v>
      </c>
      <c r="AF992" s="24">
        <f>IF(D992="M",(IF(AG992&lt;90,BMILMS!$D$14*AG992^3+BMILMS!$E$14*AG992^2+BMILMS!$F$14*AG992+BMILMS!$G$14,BMILMS!$D$15*AG992^3+BMILMS!$E$15*AG992^2+BMILMS!$F$15*AG992+BMILMS!$G$15)),(IF(AG992&lt;90,BMILMS!$D$17*AG992^3+BMILMS!$E$17*AG992^2+BMILMS!$F$17*AG992+BMILMS!$G$17,BMILMS!$D$18*AG992^3+BMILMS!$E$18*AG992^2+BMILMS!$F$18*AG992+BMILMS!$G$18)))</f>
        <v>8.8969350000000003E-2</v>
      </c>
      <c r="AG992" s="24">
        <f t="shared" si="256"/>
        <v>0</v>
      </c>
      <c r="AI992" s="38">
        <f>IF(D992="M",WeightSDS!P$5*$AG992^7+WeightSDS!Q$5*$AG992^6+WeightSDS!R$5*$AG992^5+WeightSDS!S$5*$AG992^4+WeightSDS!T$5*$AG992^3+WeightSDS!U$5*$AG992^2+WeightSDS!V$5*$AG992+WeightSDS!W$5,IF($AG992&lt;186,WeightSDS!P$8*$AG992^7+WeightSDS!Q$8*$AG992^6+WeightSDS!R$8*$AG992^5+WeightSDS!S$8*$AG992^4+WeightSDS!T$8*$AG992^3+WeightSDS!U$8*$AG992^2+WeightSDS!V$8*$AG992+WeightSDS!W$8,WeightSDS!$U$9-WeightSDS!$V$9*($AG992-WeightSDS!$W$9)))</f>
        <v>0.75407122999999998</v>
      </c>
      <c r="AJ992" s="24">
        <f>IF(D992="M",IF($AG992&lt;45,WeightSDS!M$23*$AG992^10+WeightSDS!N$23*$AG992^9+WeightSDS!O$23*$AG992^8+WeightSDS!P$23*$AG992^7+WeightSDS!Q$23*$AG992^6+WeightSDS!R$23*$AG992^5+WeightSDS!S$23*$AG992^4+WeightSDS!T$23*$AG992^3+WeightSDS!U$23*$AG992^2+WeightSDS!V$23*$AG992+WeightSDS!W$23,IF($AG992&lt;153,WeightSDS!M$25*$AG992^10+WeightSDS!N$25*$AG992^9+WeightSDS!O$25*$AG992^8+WeightSDS!P$25*$AG992^7+WeightSDS!Q$25*$AG992^6+WeightSDS!R$25*$AG992^5+WeightSDS!S$25*$AG992^4+WeightSDS!T$25*$AG992^3+WeightSDS!U$25*$AG992^2+WeightSDS!V$25*$AG992+WeightSDS!W$25,WeightSDS!M$27+WeightSDS!N$27/(1+EXP(WeightSDS!O$27+WeightSDS!P$27*$AG992)))),IF($AG992&lt;43.8,WeightSDS!M$29*$AG992^10+WeightSDS!N$29*$AG992^9+WeightSDS!O$29*$AG992^8+WeightSDS!P$29*$AG992^7+WeightSDS!Q$29*$AG992^6+WeightSDS!R$29*$AG992^5+WeightSDS!S$29*$AG992^4+WeightSDS!T$29*$AG992^3+WeightSDS!U$29*$AG992^2+WeightSDS!V$29*$AG992+WeightSDS!W$29-0.010431*(1-$AG992/210),IF($AG992&lt;123,WeightSDS!M$30*$AG992^10+WeightSDS!N$30*$AG992^9+WeightSDS!O$30*$AG992^8+WeightSDS!P$30*$AG992^7+WeightSDS!Q$30*$AG992^6+WeightSDS!R$30*$AG992^5+WeightSDS!S$30*$AG992^4+WeightSDS!T$30*$AG992^3+WeightSDS!U$30*$AG992^2+WeightSDS!V$30*$AG992+WeightSDS!W$30-0.010431*(1-1/$AG992),WeightSDS!M$32+WeightSDS!N$32/(1+EXP(WeightSDS!O$32+WeightSDS!P$32*$AG992))-0.010431*(1-$AG992/210))))</f>
        <v>2.9500001032655536</v>
      </c>
      <c r="AK992" s="24">
        <f>IF(D992="M",IF($AG992&lt;162,WeightSDS!P$12*$AG992^7+WeightSDS!Q$12*$AG992^6+WeightSDS!R$12*$AG992^5+WeightSDS!S$12*$AG992^4+WeightSDS!T$12*$AG992^3+WeightSDS!U$12*$AG992^2+WeightSDS!V$12*$AG992+WeightSDS!W$12,WeightSDS!P$14*$AG992^7+WeightSDS!Q$14*$AG992^6+WeightSDS!R$14*$AG992^5+WeightSDS!S$14*$AG992^4+WeightSDS!T$14*$AG992^3+WeightSDS!U$14*$AG992^2+WeightSDS!V$14*$AG992+WeightSDS!W$14),IF($AG992&lt;156,WeightSDS!O$17*$AG992^8+WeightSDS!P$17*$AG992^7+WeightSDS!Q$17*$AG992^6+WeightSDS!R$17*$AG992^5+WeightSDS!S$17*$AG992^4+WeightSDS!T$17*$AG992^3+WeightSDS!U$17*$AG992^2+WeightSDS!V$17*$AG992+WeightSDS!W$17,IF($AG992&lt;186,WeightSDS!$U$18+(WeightSDS!$V$18-WeightSDS!$U$18)/24*($AG992-186)+WeightSDS!$W$18*(-$AG992+186)^2-0.005,WeightSDS!$U$18+(WeightSDS!$V$18-WeightSDS!$U$18)/24*($AG992-186)-0.005)))</f>
        <v>0.14604529399999999</v>
      </c>
    </row>
    <row r="993" spans="1:37">
      <c r="A993" s="4"/>
      <c r="B993" s="21"/>
      <c r="C993" s="21"/>
      <c r="D993" s="21"/>
      <c r="E993" s="22"/>
      <c r="F993" s="22"/>
      <c r="G993" s="23"/>
      <c r="H993" s="23"/>
      <c r="I993" s="8" t="str">
        <f t="shared" si="242"/>
        <v/>
      </c>
      <c r="J993" s="2" t="str">
        <f t="shared" si="247"/>
        <v/>
      </c>
      <c r="K993" s="2" t="str">
        <f t="shared" si="243"/>
        <v/>
      </c>
      <c r="L993" s="2" t="str">
        <f t="shared" si="248"/>
        <v/>
      </c>
      <c r="M993" s="2" t="str">
        <f t="shared" si="255"/>
        <v/>
      </c>
      <c r="N993" s="2" t="str">
        <f t="shared" si="249"/>
        <v/>
      </c>
      <c r="O993" s="8" t="str">
        <f t="shared" si="250"/>
        <v/>
      </c>
      <c r="P993" s="8" t="str">
        <f t="shared" si="251"/>
        <v/>
      </c>
      <c r="Q993" s="40" t="str">
        <f t="shared" si="244"/>
        <v/>
      </c>
      <c r="R993" s="48" t="str">
        <f t="shared" si="252"/>
        <v/>
      </c>
      <c r="S993" s="8"/>
      <c r="U993" s="35">
        <f t="shared" si="253"/>
        <v>0</v>
      </c>
      <c r="V993" s="24">
        <f t="shared" si="254"/>
        <v>0</v>
      </c>
      <c r="W993" s="41">
        <f t="shared" si="257"/>
        <v>0</v>
      </c>
      <c r="X993" s="31"/>
      <c r="Y993" s="31"/>
      <c r="Z993" s="31"/>
      <c r="AA993" s="25">
        <f t="shared" si="245"/>
        <v>9.0359999999999996</v>
      </c>
      <c r="AB993" s="25">
        <f t="shared" si="246"/>
        <v>-184.49199999999999</v>
      </c>
      <c r="AD993" s="24">
        <f>IF(D993="M",IF(AG993&lt;78,BMILMS!$D$5*AG993^3+BMILMS!$E$5*AG993^2+BMILMS!$F$5*AG993+BMILMS!$G$5,IF(AG993&lt;150,BMILMS!$D$6*AG993^3+BMILMS!$E$6*AG993^2+BMILMS!$F$6*AG993+BMILMS!$G$6,BMILMS!$D$7*AG993^3+BMILMS!$E$7*AG993^2+BMILMS!$F$7*AG993+BMILMS!$G$7)),IF(AG993&lt;69,BMILMS!$D$9*AG993^3+BMILMS!$E$9*AG993^2+BMILMS!$F$9*AG993+BMILMS!$G$9,IF(AG993&lt;150,BMILMS!$D$10*AG993^3+BMILMS!$E$10*AG993^2+BMILMS!$F$10*AG993+BMILMS!$G$10,BMILMS!$D$11*AG993^3+BMILMS!$E$11*AG993^2+BMILMS!$F$11*AG993+BMILMS!$G$11)))</f>
        <v>0.79584630099999998</v>
      </c>
      <c r="AE993" s="24">
        <f>IF(D993="M",(IF(AG993&lt;2.5,BMILMS!$D$21*AG993^3+BMILMS!$E$21*AG993^2+BMILMS!$F$21*AG993+BMILMS!$G$21,IF(AG993&lt;9.5,BMILMS!$D$22*AG993^3+BMILMS!$E$22*AG993^2+BMILMS!$F$22*AG993+BMILMS!$G$22,IF(AG993&lt;26.75,BMILMS!$D$23*AG993^3+BMILMS!$E$23*AG993^2+BMILMS!$F$23*AG993+BMILMS!$G$23,IF(AG993&lt;90,BMILMS!$D$24*AG993^3+BMILMS!$E$24*AG993^2+BMILMS!$F$24*AG993+BMILMS!$G$24,BMILMS!$D$25*AG993^3+BMILMS!$E$25*AG993^2+BMILMS!$F$25*AG993+BMILMS!$G$25))))),(IF(AG993&lt;2.5,BMILMS!$D$27*AG993^3+BMILMS!$E$27*AG993^2+BMILMS!$F$27*AG993+BMILMS!$G$27,IF(AG993&lt;9.5,BMILMS!$D$28*AG993^3+BMILMS!$E$28*AG993^2+BMILMS!$F$28*AG993+BMILMS!$G$28,IF(AG993&lt;26.75,BMILMS!$D$29*AG993^3+BMILMS!$E$29*AG993^2+BMILMS!$F$29*AG993+BMILMS!$G$29,IF(AG993&lt;90,BMILMS!$D$30*AG993^3+BMILMS!$E$30*AG993^2+BMILMS!$F$30*AG993+BMILMS!$G$30,IF(AG993&lt;150,BMILMS!$D$31*AG993^3+BMILMS!$E$31*AG993^2+BMILMS!$F$31*AG993+BMILMS!$G$31,BMILMS!$D$32*AG993^3+BMILMS!$E$32*AG993^2+BMILMS!$F$32*AG993+BMILMS!$G$32)))))))</f>
        <v>12.568967990000001</v>
      </c>
      <c r="AF993" s="24">
        <f>IF(D993="M",(IF(AG993&lt;90,BMILMS!$D$14*AG993^3+BMILMS!$E$14*AG993^2+BMILMS!$F$14*AG993+BMILMS!$G$14,BMILMS!$D$15*AG993^3+BMILMS!$E$15*AG993^2+BMILMS!$F$15*AG993+BMILMS!$G$15)),(IF(AG993&lt;90,BMILMS!$D$17*AG993^3+BMILMS!$E$17*AG993^2+BMILMS!$F$17*AG993+BMILMS!$G$17,BMILMS!$D$18*AG993^3+BMILMS!$E$18*AG993^2+BMILMS!$F$18*AG993+BMILMS!$G$18)))</f>
        <v>8.8969350000000003E-2</v>
      </c>
      <c r="AG993" s="24">
        <f t="shared" si="256"/>
        <v>0</v>
      </c>
      <c r="AI993" s="38">
        <f>IF(D993="M",WeightSDS!P$5*$AG993^7+WeightSDS!Q$5*$AG993^6+WeightSDS!R$5*$AG993^5+WeightSDS!S$5*$AG993^4+WeightSDS!T$5*$AG993^3+WeightSDS!U$5*$AG993^2+WeightSDS!V$5*$AG993+WeightSDS!W$5,IF($AG993&lt;186,WeightSDS!P$8*$AG993^7+WeightSDS!Q$8*$AG993^6+WeightSDS!R$8*$AG993^5+WeightSDS!S$8*$AG993^4+WeightSDS!T$8*$AG993^3+WeightSDS!U$8*$AG993^2+WeightSDS!V$8*$AG993+WeightSDS!W$8,WeightSDS!$U$9-WeightSDS!$V$9*($AG993-WeightSDS!$W$9)))</f>
        <v>0.75407122999999998</v>
      </c>
      <c r="AJ993" s="24">
        <f>IF(D993="M",IF($AG993&lt;45,WeightSDS!M$23*$AG993^10+WeightSDS!N$23*$AG993^9+WeightSDS!O$23*$AG993^8+WeightSDS!P$23*$AG993^7+WeightSDS!Q$23*$AG993^6+WeightSDS!R$23*$AG993^5+WeightSDS!S$23*$AG993^4+WeightSDS!T$23*$AG993^3+WeightSDS!U$23*$AG993^2+WeightSDS!V$23*$AG993+WeightSDS!W$23,IF($AG993&lt;153,WeightSDS!M$25*$AG993^10+WeightSDS!N$25*$AG993^9+WeightSDS!O$25*$AG993^8+WeightSDS!P$25*$AG993^7+WeightSDS!Q$25*$AG993^6+WeightSDS!R$25*$AG993^5+WeightSDS!S$25*$AG993^4+WeightSDS!T$25*$AG993^3+WeightSDS!U$25*$AG993^2+WeightSDS!V$25*$AG993+WeightSDS!W$25,WeightSDS!M$27+WeightSDS!N$27/(1+EXP(WeightSDS!O$27+WeightSDS!P$27*$AG993)))),IF($AG993&lt;43.8,WeightSDS!M$29*$AG993^10+WeightSDS!N$29*$AG993^9+WeightSDS!O$29*$AG993^8+WeightSDS!P$29*$AG993^7+WeightSDS!Q$29*$AG993^6+WeightSDS!R$29*$AG993^5+WeightSDS!S$29*$AG993^4+WeightSDS!T$29*$AG993^3+WeightSDS!U$29*$AG993^2+WeightSDS!V$29*$AG993+WeightSDS!W$29-0.010431*(1-$AG993/210),IF($AG993&lt;123,WeightSDS!M$30*$AG993^10+WeightSDS!N$30*$AG993^9+WeightSDS!O$30*$AG993^8+WeightSDS!P$30*$AG993^7+WeightSDS!Q$30*$AG993^6+WeightSDS!R$30*$AG993^5+WeightSDS!S$30*$AG993^4+WeightSDS!T$30*$AG993^3+WeightSDS!U$30*$AG993^2+WeightSDS!V$30*$AG993+WeightSDS!W$30-0.010431*(1-1/$AG993),WeightSDS!M$32+WeightSDS!N$32/(1+EXP(WeightSDS!O$32+WeightSDS!P$32*$AG993))-0.010431*(1-$AG993/210))))</f>
        <v>2.9500001032655536</v>
      </c>
      <c r="AK993" s="24">
        <f>IF(D993="M",IF($AG993&lt;162,WeightSDS!P$12*$AG993^7+WeightSDS!Q$12*$AG993^6+WeightSDS!R$12*$AG993^5+WeightSDS!S$12*$AG993^4+WeightSDS!T$12*$AG993^3+WeightSDS!U$12*$AG993^2+WeightSDS!V$12*$AG993+WeightSDS!W$12,WeightSDS!P$14*$AG993^7+WeightSDS!Q$14*$AG993^6+WeightSDS!R$14*$AG993^5+WeightSDS!S$14*$AG993^4+WeightSDS!T$14*$AG993^3+WeightSDS!U$14*$AG993^2+WeightSDS!V$14*$AG993+WeightSDS!W$14),IF($AG993&lt;156,WeightSDS!O$17*$AG993^8+WeightSDS!P$17*$AG993^7+WeightSDS!Q$17*$AG993^6+WeightSDS!R$17*$AG993^5+WeightSDS!S$17*$AG993^4+WeightSDS!T$17*$AG993^3+WeightSDS!U$17*$AG993^2+WeightSDS!V$17*$AG993+WeightSDS!W$17,IF($AG993&lt;186,WeightSDS!$U$18+(WeightSDS!$V$18-WeightSDS!$U$18)/24*($AG993-186)+WeightSDS!$W$18*(-$AG993+186)^2-0.005,WeightSDS!$U$18+(WeightSDS!$V$18-WeightSDS!$U$18)/24*($AG993-186)-0.005)))</f>
        <v>0.14604529399999999</v>
      </c>
    </row>
    <row r="994" spans="1:37">
      <c r="A994" s="4"/>
      <c r="B994" s="21"/>
      <c r="C994" s="21"/>
      <c r="D994" s="21"/>
      <c r="E994" s="22"/>
      <c r="F994" s="22"/>
      <c r="G994" s="23"/>
      <c r="H994" s="23"/>
      <c r="I994" s="8" t="str">
        <f t="shared" si="242"/>
        <v/>
      </c>
      <c r="J994" s="2" t="str">
        <f t="shared" si="247"/>
        <v/>
      </c>
      <c r="K994" s="2" t="str">
        <f t="shared" si="243"/>
        <v/>
      </c>
      <c r="L994" s="2" t="str">
        <f t="shared" si="248"/>
        <v/>
      </c>
      <c r="M994" s="2" t="str">
        <f t="shared" si="255"/>
        <v/>
      </c>
      <c r="N994" s="2" t="str">
        <f t="shared" si="249"/>
        <v/>
      </c>
      <c r="O994" s="8" t="str">
        <f t="shared" si="250"/>
        <v/>
      </c>
      <c r="P994" s="8" t="str">
        <f t="shared" si="251"/>
        <v/>
      </c>
      <c r="Q994" s="40" t="str">
        <f t="shared" si="244"/>
        <v/>
      </c>
      <c r="R994" s="48" t="str">
        <f t="shared" si="252"/>
        <v/>
      </c>
      <c r="S994" s="8"/>
      <c r="U994" s="35">
        <f t="shared" si="253"/>
        <v>0</v>
      </c>
      <c r="V994" s="24">
        <f t="shared" si="254"/>
        <v>0</v>
      </c>
      <c r="W994" s="41">
        <f t="shared" si="257"/>
        <v>0</v>
      </c>
      <c r="X994" s="31"/>
      <c r="Y994" s="31"/>
      <c r="Z994" s="31"/>
      <c r="AA994" s="25">
        <f t="shared" si="245"/>
        <v>9.0359999999999996</v>
      </c>
      <c r="AB994" s="25">
        <f t="shared" si="246"/>
        <v>-184.49199999999999</v>
      </c>
      <c r="AD994" s="24">
        <f>IF(D994="M",IF(AG994&lt;78,BMILMS!$D$5*AG994^3+BMILMS!$E$5*AG994^2+BMILMS!$F$5*AG994+BMILMS!$G$5,IF(AG994&lt;150,BMILMS!$D$6*AG994^3+BMILMS!$E$6*AG994^2+BMILMS!$F$6*AG994+BMILMS!$G$6,BMILMS!$D$7*AG994^3+BMILMS!$E$7*AG994^2+BMILMS!$F$7*AG994+BMILMS!$G$7)),IF(AG994&lt;69,BMILMS!$D$9*AG994^3+BMILMS!$E$9*AG994^2+BMILMS!$F$9*AG994+BMILMS!$G$9,IF(AG994&lt;150,BMILMS!$D$10*AG994^3+BMILMS!$E$10*AG994^2+BMILMS!$F$10*AG994+BMILMS!$G$10,BMILMS!$D$11*AG994^3+BMILMS!$E$11*AG994^2+BMILMS!$F$11*AG994+BMILMS!$G$11)))</f>
        <v>0.79584630099999998</v>
      </c>
      <c r="AE994" s="24">
        <f>IF(D994="M",(IF(AG994&lt;2.5,BMILMS!$D$21*AG994^3+BMILMS!$E$21*AG994^2+BMILMS!$F$21*AG994+BMILMS!$G$21,IF(AG994&lt;9.5,BMILMS!$D$22*AG994^3+BMILMS!$E$22*AG994^2+BMILMS!$F$22*AG994+BMILMS!$G$22,IF(AG994&lt;26.75,BMILMS!$D$23*AG994^3+BMILMS!$E$23*AG994^2+BMILMS!$F$23*AG994+BMILMS!$G$23,IF(AG994&lt;90,BMILMS!$D$24*AG994^3+BMILMS!$E$24*AG994^2+BMILMS!$F$24*AG994+BMILMS!$G$24,BMILMS!$D$25*AG994^3+BMILMS!$E$25*AG994^2+BMILMS!$F$25*AG994+BMILMS!$G$25))))),(IF(AG994&lt;2.5,BMILMS!$D$27*AG994^3+BMILMS!$E$27*AG994^2+BMILMS!$F$27*AG994+BMILMS!$G$27,IF(AG994&lt;9.5,BMILMS!$D$28*AG994^3+BMILMS!$E$28*AG994^2+BMILMS!$F$28*AG994+BMILMS!$G$28,IF(AG994&lt;26.75,BMILMS!$D$29*AG994^3+BMILMS!$E$29*AG994^2+BMILMS!$F$29*AG994+BMILMS!$G$29,IF(AG994&lt;90,BMILMS!$D$30*AG994^3+BMILMS!$E$30*AG994^2+BMILMS!$F$30*AG994+BMILMS!$G$30,IF(AG994&lt;150,BMILMS!$D$31*AG994^3+BMILMS!$E$31*AG994^2+BMILMS!$F$31*AG994+BMILMS!$G$31,BMILMS!$D$32*AG994^3+BMILMS!$E$32*AG994^2+BMILMS!$F$32*AG994+BMILMS!$G$32)))))))</f>
        <v>12.568967990000001</v>
      </c>
      <c r="AF994" s="24">
        <f>IF(D994="M",(IF(AG994&lt;90,BMILMS!$D$14*AG994^3+BMILMS!$E$14*AG994^2+BMILMS!$F$14*AG994+BMILMS!$G$14,BMILMS!$D$15*AG994^3+BMILMS!$E$15*AG994^2+BMILMS!$F$15*AG994+BMILMS!$G$15)),(IF(AG994&lt;90,BMILMS!$D$17*AG994^3+BMILMS!$E$17*AG994^2+BMILMS!$F$17*AG994+BMILMS!$G$17,BMILMS!$D$18*AG994^3+BMILMS!$E$18*AG994^2+BMILMS!$F$18*AG994+BMILMS!$G$18)))</f>
        <v>8.8969350000000003E-2</v>
      </c>
      <c r="AG994" s="24">
        <f t="shared" si="256"/>
        <v>0</v>
      </c>
      <c r="AI994" s="38">
        <f>IF(D994="M",WeightSDS!P$5*$AG994^7+WeightSDS!Q$5*$AG994^6+WeightSDS!R$5*$AG994^5+WeightSDS!S$5*$AG994^4+WeightSDS!T$5*$AG994^3+WeightSDS!U$5*$AG994^2+WeightSDS!V$5*$AG994+WeightSDS!W$5,IF($AG994&lt;186,WeightSDS!P$8*$AG994^7+WeightSDS!Q$8*$AG994^6+WeightSDS!R$8*$AG994^5+WeightSDS!S$8*$AG994^4+WeightSDS!T$8*$AG994^3+WeightSDS!U$8*$AG994^2+WeightSDS!V$8*$AG994+WeightSDS!W$8,WeightSDS!$U$9-WeightSDS!$V$9*($AG994-WeightSDS!$W$9)))</f>
        <v>0.75407122999999998</v>
      </c>
      <c r="AJ994" s="24">
        <f>IF(D994="M",IF($AG994&lt;45,WeightSDS!M$23*$AG994^10+WeightSDS!N$23*$AG994^9+WeightSDS!O$23*$AG994^8+WeightSDS!P$23*$AG994^7+WeightSDS!Q$23*$AG994^6+WeightSDS!R$23*$AG994^5+WeightSDS!S$23*$AG994^4+WeightSDS!T$23*$AG994^3+WeightSDS!U$23*$AG994^2+WeightSDS!V$23*$AG994+WeightSDS!W$23,IF($AG994&lt;153,WeightSDS!M$25*$AG994^10+WeightSDS!N$25*$AG994^9+WeightSDS!O$25*$AG994^8+WeightSDS!P$25*$AG994^7+WeightSDS!Q$25*$AG994^6+WeightSDS!R$25*$AG994^5+WeightSDS!S$25*$AG994^4+WeightSDS!T$25*$AG994^3+WeightSDS!U$25*$AG994^2+WeightSDS!V$25*$AG994+WeightSDS!W$25,WeightSDS!M$27+WeightSDS!N$27/(1+EXP(WeightSDS!O$27+WeightSDS!P$27*$AG994)))),IF($AG994&lt;43.8,WeightSDS!M$29*$AG994^10+WeightSDS!N$29*$AG994^9+WeightSDS!O$29*$AG994^8+WeightSDS!P$29*$AG994^7+WeightSDS!Q$29*$AG994^6+WeightSDS!R$29*$AG994^5+WeightSDS!S$29*$AG994^4+WeightSDS!T$29*$AG994^3+WeightSDS!U$29*$AG994^2+WeightSDS!V$29*$AG994+WeightSDS!W$29-0.010431*(1-$AG994/210),IF($AG994&lt;123,WeightSDS!M$30*$AG994^10+WeightSDS!N$30*$AG994^9+WeightSDS!O$30*$AG994^8+WeightSDS!P$30*$AG994^7+WeightSDS!Q$30*$AG994^6+WeightSDS!R$30*$AG994^5+WeightSDS!S$30*$AG994^4+WeightSDS!T$30*$AG994^3+WeightSDS!U$30*$AG994^2+WeightSDS!V$30*$AG994+WeightSDS!W$30-0.010431*(1-1/$AG994),WeightSDS!M$32+WeightSDS!N$32/(1+EXP(WeightSDS!O$32+WeightSDS!P$32*$AG994))-0.010431*(1-$AG994/210))))</f>
        <v>2.9500001032655536</v>
      </c>
      <c r="AK994" s="24">
        <f>IF(D994="M",IF($AG994&lt;162,WeightSDS!P$12*$AG994^7+WeightSDS!Q$12*$AG994^6+WeightSDS!R$12*$AG994^5+WeightSDS!S$12*$AG994^4+WeightSDS!T$12*$AG994^3+WeightSDS!U$12*$AG994^2+WeightSDS!V$12*$AG994+WeightSDS!W$12,WeightSDS!P$14*$AG994^7+WeightSDS!Q$14*$AG994^6+WeightSDS!R$14*$AG994^5+WeightSDS!S$14*$AG994^4+WeightSDS!T$14*$AG994^3+WeightSDS!U$14*$AG994^2+WeightSDS!V$14*$AG994+WeightSDS!W$14),IF($AG994&lt;156,WeightSDS!O$17*$AG994^8+WeightSDS!P$17*$AG994^7+WeightSDS!Q$17*$AG994^6+WeightSDS!R$17*$AG994^5+WeightSDS!S$17*$AG994^4+WeightSDS!T$17*$AG994^3+WeightSDS!U$17*$AG994^2+WeightSDS!V$17*$AG994+WeightSDS!W$17,IF($AG994&lt;186,WeightSDS!$U$18+(WeightSDS!$V$18-WeightSDS!$U$18)/24*($AG994-186)+WeightSDS!$W$18*(-$AG994+186)^2-0.005,WeightSDS!$U$18+(WeightSDS!$V$18-WeightSDS!$U$18)/24*($AG994-186)-0.005)))</f>
        <v>0.14604529399999999</v>
      </c>
    </row>
    <row r="995" spans="1:37">
      <c r="A995" s="4"/>
      <c r="B995" s="21"/>
      <c r="C995" s="21"/>
      <c r="D995" s="21"/>
      <c r="E995" s="22"/>
      <c r="F995" s="22"/>
      <c r="G995" s="23"/>
      <c r="H995" s="23"/>
      <c r="I995" s="8" t="str">
        <f t="shared" si="242"/>
        <v/>
      </c>
      <c r="J995" s="2" t="str">
        <f t="shared" si="247"/>
        <v/>
      </c>
      <c r="K995" s="2" t="str">
        <f t="shared" si="243"/>
        <v/>
      </c>
      <c r="L995" s="2" t="str">
        <f t="shared" si="248"/>
        <v/>
      </c>
      <c r="M995" s="2" t="str">
        <f t="shared" si="255"/>
        <v/>
      </c>
      <c r="N995" s="2" t="str">
        <f t="shared" si="249"/>
        <v/>
      </c>
      <c r="O995" s="8" t="str">
        <f t="shared" si="250"/>
        <v/>
      </c>
      <c r="P995" s="8" t="str">
        <f t="shared" si="251"/>
        <v/>
      </c>
      <c r="Q995" s="40" t="str">
        <f t="shared" si="244"/>
        <v/>
      </c>
      <c r="R995" s="48" t="str">
        <f t="shared" si="252"/>
        <v/>
      </c>
      <c r="S995" s="8"/>
      <c r="U995" s="35">
        <f t="shared" si="253"/>
        <v>0</v>
      </c>
      <c r="V995" s="24">
        <f t="shared" si="254"/>
        <v>0</v>
      </c>
      <c r="W995" s="41">
        <f t="shared" si="257"/>
        <v>0</v>
      </c>
      <c r="X995" s="31"/>
      <c r="Y995" s="31"/>
      <c r="Z995" s="31"/>
      <c r="AA995" s="25">
        <f t="shared" si="245"/>
        <v>9.0359999999999996</v>
      </c>
      <c r="AB995" s="25">
        <f t="shared" si="246"/>
        <v>-184.49199999999999</v>
      </c>
      <c r="AD995" s="24">
        <f>IF(D995="M",IF(AG995&lt;78,BMILMS!$D$5*AG995^3+BMILMS!$E$5*AG995^2+BMILMS!$F$5*AG995+BMILMS!$G$5,IF(AG995&lt;150,BMILMS!$D$6*AG995^3+BMILMS!$E$6*AG995^2+BMILMS!$F$6*AG995+BMILMS!$G$6,BMILMS!$D$7*AG995^3+BMILMS!$E$7*AG995^2+BMILMS!$F$7*AG995+BMILMS!$G$7)),IF(AG995&lt;69,BMILMS!$D$9*AG995^3+BMILMS!$E$9*AG995^2+BMILMS!$F$9*AG995+BMILMS!$G$9,IF(AG995&lt;150,BMILMS!$D$10*AG995^3+BMILMS!$E$10*AG995^2+BMILMS!$F$10*AG995+BMILMS!$G$10,BMILMS!$D$11*AG995^3+BMILMS!$E$11*AG995^2+BMILMS!$F$11*AG995+BMILMS!$G$11)))</f>
        <v>0.79584630099999998</v>
      </c>
      <c r="AE995" s="24">
        <f>IF(D995="M",(IF(AG995&lt;2.5,BMILMS!$D$21*AG995^3+BMILMS!$E$21*AG995^2+BMILMS!$F$21*AG995+BMILMS!$G$21,IF(AG995&lt;9.5,BMILMS!$D$22*AG995^3+BMILMS!$E$22*AG995^2+BMILMS!$F$22*AG995+BMILMS!$G$22,IF(AG995&lt;26.75,BMILMS!$D$23*AG995^3+BMILMS!$E$23*AG995^2+BMILMS!$F$23*AG995+BMILMS!$G$23,IF(AG995&lt;90,BMILMS!$D$24*AG995^3+BMILMS!$E$24*AG995^2+BMILMS!$F$24*AG995+BMILMS!$G$24,BMILMS!$D$25*AG995^3+BMILMS!$E$25*AG995^2+BMILMS!$F$25*AG995+BMILMS!$G$25))))),(IF(AG995&lt;2.5,BMILMS!$D$27*AG995^3+BMILMS!$E$27*AG995^2+BMILMS!$F$27*AG995+BMILMS!$G$27,IF(AG995&lt;9.5,BMILMS!$D$28*AG995^3+BMILMS!$E$28*AG995^2+BMILMS!$F$28*AG995+BMILMS!$G$28,IF(AG995&lt;26.75,BMILMS!$D$29*AG995^3+BMILMS!$E$29*AG995^2+BMILMS!$F$29*AG995+BMILMS!$G$29,IF(AG995&lt;90,BMILMS!$D$30*AG995^3+BMILMS!$E$30*AG995^2+BMILMS!$F$30*AG995+BMILMS!$G$30,IF(AG995&lt;150,BMILMS!$D$31*AG995^3+BMILMS!$E$31*AG995^2+BMILMS!$F$31*AG995+BMILMS!$G$31,BMILMS!$D$32*AG995^3+BMILMS!$E$32*AG995^2+BMILMS!$F$32*AG995+BMILMS!$G$32)))))))</f>
        <v>12.568967990000001</v>
      </c>
      <c r="AF995" s="24">
        <f>IF(D995="M",(IF(AG995&lt;90,BMILMS!$D$14*AG995^3+BMILMS!$E$14*AG995^2+BMILMS!$F$14*AG995+BMILMS!$G$14,BMILMS!$D$15*AG995^3+BMILMS!$E$15*AG995^2+BMILMS!$F$15*AG995+BMILMS!$G$15)),(IF(AG995&lt;90,BMILMS!$D$17*AG995^3+BMILMS!$E$17*AG995^2+BMILMS!$F$17*AG995+BMILMS!$G$17,BMILMS!$D$18*AG995^3+BMILMS!$E$18*AG995^2+BMILMS!$F$18*AG995+BMILMS!$G$18)))</f>
        <v>8.8969350000000003E-2</v>
      </c>
      <c r="AG995" s="24">
        <f t="shared" si="256"/>
        <v>0</v>
      </c>
      <c r="AI995" s="38">
        <f>IF(D995="M",WeightSDS!P$5*$AG995^7+WeightSDS!Q$5*$AG995^6+WeightSDS!R$5*$AG995^5+WeightSDS!S$5*$AG995^4+WeightSDS!T$5*$AG995^3+WeightSDS!U$5*$AG995^2+WeightSDS!V$5*$AG995+WeightSDS!W$5,IF($AG995&lt;186,WeightSDS!P$8*$AG995^7+WeightSDS!Q$8*$AG995^6+WeightSDS!R$8*$AG995^5+WeightSDS!S$8*$AG995^4+WeightSDS!T$8*$AG995^3+WeightSDS!U$8*$AG995^2+WeightSDS!V$8*$AG995+WeightSDS!W$8,WeightSDS!$U$9-WeightSDS!$V$9*($AG995-WeightSDS!$W$9)))</f>
        <v>0.75407122999999998</v>
      </c>
      <c r="AJ995" s="24">
        <f>IF(D995="M",IF($AG995&lt;45,WeightSDS!M$23*$AG995^10+WeightSDS!N$23*$AG995^9+WeightSDS!O$23*$AG995^8+WeightSDS!P$23*$AG995^7+WeightSDS!Q$23*$AG995^6+WeightSDS!R$23*$AG995^5+WeightSDS!S$23*$AG995^4+WeightSDS!T$23*$AG995^3+WeightSDS!U$23*$AG995^2+WeightSDS!V$23*$AG995+WeightSDS!W$23,IF($AG995&lt;153,WeightSDS!M$25*$AG995^10+WeightSDS!N$25*$AG995^9+WeightSDS!O$25*$AG995^8+WeightSDS!P$25*$AG995^7+WeightSDS!Q$25*$AG995^6+WeightSDS!R$25*$AG995^5+WeightSDS!S$25*$AG995^4+WeightSDS!T$25*$AG995^3+WeightSDS!U$25*$AG995^2+WeightSDS!V$25*$AG995+WeightSDS!W$25,WeightSDS!M$27+WeightSDS!N$27/(1+EXP(WeightSDS!O$27+WeightSDS!P$27*$AG995)))),IF($AG995&lt;43.8,WeightSDS!M$29*$AG995^10+WeightSDS!N$29*$AG995^9+WeightSDS!O$29*$AG995^8+WeightSDS!P$29*$AG995^7+WeightSDS!Q$29*$AG995^6+WeightSDS!R$29*$AG995^5+WeightSDS!S$29*$AG995^4+WeightSDS!T$29*$AG995^3+WeightSDS!U$29*$AG995^2+WeightSDS!V$29*$AG995+WeightSDS!W$29-0.010431*(1-$AG995/210),IF($AG995&lt;123,WeightSDS!M$30*$AG995^10+WeightSDS!N$30*$AG995^9+WeightSDS!O$30*$AG995^8+WeightSDS!P$30*$AG995^7+WeightSDS!Q$30*$AG995^6+WeightSDS!R$30*$AG995^5+WeightSDS!S$30*$AG995^4+WeightSDS!T$30*$AG995^3+WeightSDS!U$30*$AG995^2+WeightSDS!V$30*$AG995+WeightSDS!W$30-0.010431*(1-1/$AG995),WeightSDS!M$32+WeightSDS!N$32/(1+EXP(WeightSDS!O$32+WeightSDS!P$32*$AG995))-0.010431*(1-$AG995/210))))</f>
        <v>2.9500001032655536</v>
      </c>
      <c r="AK995" s="24">
        <f>IF(D995="M",IF($AG995&lt;162,WeightSDS!P$12*$AG995^7+WeightSDS!Q$12*$AG995^6+WeightSDS!R$12*$AG995^5+WeightSDS!S$12*$AG995^4+WeightSDS!T$12*$AG995^3+WeightSDS!U$12*$AG995^2+WeightSDS!V$12*$AG995+WeightSDS!W$12,WeightSDS!P$14*$AG995^7+WeightSDS!Q$14*$AG995^6+WeightSDS!R$14*$AG995^5+WeightSDS!S$14*$AG995^4+WeightSDS!T$14*$AG995^3+WeightSDS!U$14*$AG995^2+WeightSDS!V$14*$AG995+WeightSDS!W$14),IF($AG995&lt;156,WeightSDS!O$17*$AG995^8+WeightSDS!P$17*$AG995^7+WeightSDS!Q$17*$AG995^6+WeightSDS!R$17*$AG995^5+WeightSDS!S$17*$AG995^4+WeightSDS!T$17*$AG995^3+WeightSDS!U$17*$AG995^2+WeightSDS!V$17*$AG995+WeightSDS!W$17,IF($AG995&lt;186,WeightSDS!$U$18+(WeightSDS!$V$18-WeightSDS!$U$18)/24*($AG995-186)+WeightSDS!$W$18*(-$AG995+186)^2-0.005,WeightSDS!$U$18+(WeightSDS!$V$18-WeightSDS!$U$18)/24*($AG995-186)-0.005)))</f>
        <v>0.14604529399999999</v>
      </c>
    </row>
    <row r="996" spans="1:37">
      <c r="A996" s="4"/>
      <c r="B996" s="21"/>
      <c r="C996" s="21"/>
      <c r="D996" s="21"/>
      <c r="E996" s="22"/>
      <c r="F996" s="22"/>
      <c r="G996" s="23"/>
      <c r="H996" s="23"/>
      <c r="I996" s="8" t="str">
        <f t="shared" si="242"/>
        <v/>
      </c>
      <c r="J996" s="2" t="str">
        <f t="shared" si="247"/>
        <v/>
      </c>
      <c r="K996" s="2" t="str">
        <f t="shared" si="243"/>
        <v/>
      </c>
      <c r="L996" s="2" t="str">
        <f t="shared" si="248"/>
        <v/>
      </c>
      <c r="M996" s="2" t="str">
        <f t="shared" si="255"/>
        <v/>
      </c>
      <c r="N996" s="2" t="str">
        <f t="shared" si="249"/>
        <v/>
      </c>
      <c r="O996" s="8" t="str">
        <f t="shared" si="250"/>
        <v/>
      </c>
      <c r="P996" s="8" t="str">
        <f t="shared" si="251"/>
        <v/>
      </c>
      <c r="Q996" s="40" t="str">
        <f t="shared" si="244"/>
        <v/>
      </c>
      <c r="R996" s="48" t="str">
        <f t="shared" si="252"/>
        <v/>
      </c>
      <c r="S996" s="8"/>
      <c r="U996" s="35">
        <f t="shared" si="253"/>
        <v>0</v>
      </c>
      <c r="V996" s="24">
        <f t="shared" si="254"/>
        <v>0</v>
      </c>
      <c r="W996" s="41">
        <f t="shared" si="257"/>
        <v>0</v>
      </c>
      <c r="X996" s="31"/>
      <c r="Y996" s="31"/>
      <c r="Z996" s="31"/>
      <c r="AA996" s="25">
        <f t="shared" si="245"/>
        <v>9.0359999999999996</v>
      </c>
      <c r="AB996" s="25">
        <f t="shared" si="246"/>
        <v>-184.49199999999999</v>
      </c>
      <c r="AD996" s="24">
        <f>IF(D996="M",IF(AG996&lt;78,BMILMS!$D$5*AG996^3+BMILMS!$E$5*AG996^2+BMILMS!$F$5*AG996+BMILMS!$G$5,IF(AG996&lt;150,BMILMS!$D$6*AG996^3+BMILMS!$E$6*AG996^2+BMILMS!$F$6*AG996+BMILMS!$G$6,BMILMS!$D$7*AG996^3+BMILMS!$E$7*AG996^2+BMILMS!$F$7*AG996+BMILMS!$G$7)),IF(AG996&lt;69,BMILMS!$D$9*AG996^3+BMILMS!$E$9*AG996^2+BMILMS!$F$9*AG996+BMILMS!$G$9,IF(AG996&lt;150,BMILMS!$D$10*AG996^3+BMILMS!$E$10*AG996^2+BMILMS!$F$10*AG996+BMILMS!$G$10,BMILMS!$D$11*AG996^3+BMILMS!$E$11*AG996^2+BMILMS!$F$11*AG996+BMILMS!$G$11)))</f>
        <v>0.79584630099999998</v>
      </c>
      <c r="AE996" s="24">
        <f>IF(D996="M",(IF(AG996&lt;2.5,BMILMS!$D$21*AG996^3+BMILMS!$E$21*AG996^2+BMILMS!$F$21*AG996+BMILMS!$G$21,IF(AG996&lt;9.5,BMILMS!$D$22*AG996^3+BMILMS!$E$22*AG996^2+BMILMS!$F$22*AG996+BMILMS!$G$22,IF(AG996&lt;26.75,BMILMS!$D$23*AG996^3+BMILMS!$E$23*AG996^2+BMILMS!$F$23*AG996+BMILMS!$G$23,IF(AG996&lt;90,BMILMS!$D$24*AG996^3+BMILMS!$E$24*AG996^2+BMILMS!$F$24*AG996+BMILMS!$G$24,BMILMS!$D$25*AG996^3+BMILMS!$E$25*AG996^2+BMILMS!$F$25*AG996+BMILMS!$G$25))))),(IF(AG996&lt;2.5,BMILMS!$D$27*AG996^3+BMILMS!$E$27*AG996^2+BMILMS!$F$27*AG996+BMILMS!$G$27,IF(AG996&lt;9.5,BMILMS!$D$28*AG996^3+BMILMS!$E$28*AG996^2+BMILMS!$F$28*AG996+BMILMS!$G$28,IF(AG996&lt;26.75,BMILMS!$D$29*AG996^3+BMILMS!$E$29*AG996^2+BMILMS!$F$29*AG996+BMILMS!$G$29,IF(AG996&lt;90,BMILMS!$D$30*AG996^3+BMILMS!$E$30*AG996^2+BMILMS!$F$30*AG996+BMILMS!$G$30,IF(AG996&lt;150,BMILMS!$D$31*AG996^3+BMILMS!$E$31*AG996^2+BMILMS!$F$31*AG996+BMILMS!$G$31,BMILMS!$D$32*AG996^3+BMILMS!$E$32*AG996^2+BMILMS!$F$32*AG996+BMILMS!$G$32)))))))</f>
        <v>12.568967990000001</v>
      </c>
      <c r="AF996" s="24">
        <f>IF(D996="M",(IF(AG996&lt;90,BMILMS!$D$14*AG996^3+BMILMS!$E$14*AG996^2+BMILMS!$F$14*AG996+BMILMS!$G$14,BMILMS!$D$15*AG996^3+BMILMS!$E$15*AG996^2+BMILMS!$F$15*AG996+BMILMS!$G$15)),(IF(AG996&lt;90,BMILMS!$D$17*AG996^3+BMILMS!$E$17*AG996^2+BMILMS!$F$17*AG996+BMILMS!$G$17,BMILMS!$D$18*AG996^3+BMILMS!$E$18*AG996^2+BMILMS!$F$18*AG996+BMILMS!$G$18)))</f>
        <v>8.8969350000000003E-2</v>
      </c>
      <c r="AG996" s="24">
        <f t="shared" si="256"/>
        <v>0</v>
      </c>
      <c r="AI996" s="38">
        <f>IF(D996="M",WeightSDS!P$5*$AG996^7+WeightSDS!Q$5*$AG996^6+WeightSDS!R$5*$AG996^5+WeightSDS!S$5*$AG996^4+WeightSDS!T$5*$AG996^3+WeightSDS!U$5*$AG996^2+WeightSDS!V$5*$AG996+WeightSDS!W$5,IF($AG996&lt;186,WeightSDS!P$8*$AG996^7+WeightSDS!Q$8*$AG996^6+WeightSDS!R$8*$AG996^5+WeightSDS!S$8*$AG996^4+WeightSDS!T$8*$AG996^3+WeightSDS!U$8*$AG996^2+WeightSDS!V$8*$AG996+WeightSDS!W$8,WeightSDS!$U$9-WeightSDS!$V$9*($AG996-WeightSDS!$W$9)))</f>
        <v>0.75407122999999998</v>
      </c>
      <c r="AJ996" s="24">
        <f>IF(D996="M",IF($AG996&lt;45,WeightSDS!M$23*$AG996^10+WeightSDS!N$23*$AG996^9+WeightSDS!O$23*$AG996^8+WeightSDS!P$23*$AG996^7+WeightSDS!Q$23*$AG996^6+WeightSDS!R$23*$AG996^5+WeightSDS!S$23*$AG996^4+WeightSDS!T$23*$AG996^3+WeightSDS!U$23*$AG996^2+WeightSDS!V$23*$AG996+WeightSDS!W$23,IF($AG996&lt;153,WeightSDS!M$25*$AG996^10+WeightSDS!N$25*$AG996^9+WeightSDS!O$25*$AG996^8+WeightSDS!P$25*$AG996^7+WeightSDS!Q$25*$AG996^6+WeightSDS!R$25*$AG996^5+WeightSDS!S$25*$AG996^4+WeightSDS!T$25*$AG996^3+WeightSDS!U$25*$AG996^2+WeightSDS!V$25*$AG996+WeightSDS!W$25,WeightSDS!M$27+WeightSDS!N$27/(1+EXP(WeightSDS!O$27+WeightSDS!P$27*$AG996)))),IF($AG996&lt;43.8,WeightSDS!M$29*$AG996^10+WeightSDS!N$29*$AG996^9+WeightSDS!O$29*$AG996^8+WeightSDS!P$29*$AG996^7+WeightSDS!Q$29*$AG996^6+WeightSDS!R$29*$AG996^5+WeightSDS!S$29*$AG996^4+WeightSDS!T$29*$AG996^3+WeightSDS!U$29*$AG996^2+WeightSDS!V$29*$AG996+WeightSDS!W$29-0.010431*(1-$AG996/210),IF($AG996&lt;123,WeightSDS!M$30*$AG996^10+WeightSDS!N$30*$AG996^9+WeightSDS!O$30*$AG996^8+WeightSDS!P$30*$AG996^7+WeightSDS!Q$30*$AG996^6+WeightSDS!R$30*$AG996^5+WeightSDS!S$30*$AG996^4+WeightSDS!T$30*$AG996^3+WeightSDS!U$30*$AG996^2+WeightSDS!V$30*$AG996+WeightSDS!W$30-0.010431*(1-1/$AG996),WeightSDS!M$32+WeightSDS!N$32/(1+EXP(WeightSDS!O$32+WeightSDS!P$32*$AG996))-0.010431*(1-$AG996/210))))</f>
        <v>2.9500001032655536</v>
      </c>
      <c r="AK996" s="24">
        <f>IF(D996="M",IF($AG996&lt;162,WeightSDS!P$12*$AG996^7+WeightSDS!Q$12*$AG996^6+WeightSDS!R$12*$AG996^5+WeightSDS!S$12*$AG996^4+WeightSDS!T$12*$AG996^3+WeightSDS!U$12*$AG996^2+WeightSDS!V$12*$AG996+WeightSDS!W$12,WeightSDS!P$14*$AG996^7+WeightSDS!Q$14*$AG996^6+WeightSDS!R$14*$AG996^5+WeightSDS!S$14*$AG996^4+WeightSDS!T$14*$AG996^3+WeightSDS!U$14*$AG996^2+WeightSDS!V$14*$AG996+WeightSDS!W$14),IF($AG996&lt;156,WeightSDS!O$17*$AG996^8+WeightSDS!P$17*$AG996^7+WeightSDS!Q$17*$AG996^6+WeightSDS!R$17*$AG996^5+WeightSDS!S$17*$AG996^4+WeightSDS!T$17*$AG996^3+WeightSDS!U$17*$AG996^2+WeightSDS!V$17*$AG996+WeightSDS!W$17,IF($AG996&lt;186,WeightSDS!$U$18+(WeightSDS!$V$18-WeightSDS!$U$18)/24*($AG996-186)+WeightSDS!$W$18*(-$AG996+186)^2-0.005,WeightSDS!$U$18+(WeightSDS!$V$18-WeightSDS!$U$18)/24*($AG996-186)-0.005)))</f>
        <v>0.14604529399999999</v>
      </c>
    </row>
    <row r="997" spans="1:37">
      <c r="A997" s="4"/>
      <c r="B997" s="21"/>
      <c r="C997" s="21"/>
      <c r="D997" s="21"/>
      <c r="E997" s="22"/>
      <c r="F997" s="22"/>
      <c r="G997" s="23"/>
      <c r="H997" s="23"/>
      <c r="I997" s="8" t="str">
        <f t="shared" si="242"/>
        <v/>
      </c>
      <c r="J997" s="2" t="str">
        <f t="shared" si="247"/>
        <v/>
      </c>
      <c r="K997" s="2" t="str">
        <f t="shared" si="243"/>
        <v/>
      </c>
      <c r="L997" s="2" t="str">
        <f t="shared" si="248"/>
        <v/>
      </c>
      <c r="M997" s="2" t="str">
        <f t="shared" si="255"/>
        <v/>
      </c>
      <c r="N997" s="2" t="str">
        <f t="shared" si="249"/>
        <v/>
      </c>
      <c r="O997" s="8" t="str">
        <f t="shared" si="250"/>
        <v/>
      </c>
      <c r="P997" s="8" t="str">
        <f t="shared" si="251"/>
        <v/>
      </c>
      <c r="Q997" s="40" t="str">
        <f t="shared" si="244"/>
        <v/>
      </c>
      <c r="R997" s="48" t="str">
        <f t="shared" si="252"/>
        <v/>
      </c>
      <c r="S997" s="8"/>
      <c r="U997" s="35">
        <f t="shared" si="253"/>
        <v>0</v>
      </c>
      <c r="V997" s="24">
        <f t="shared" si="254"/>
        <v>0</v>
      </c>
      <c r="W997" s="41">
        <f t="shared" si="257"/>
        <v>0</v>
      </c>
      <c r="X997" s="31"/>
      <c r="Y997" s="31"/>
      <c r="Z997" s="31"/>
      <c r="AA997" s="25">
        <f t="shared" si="245"/>
        <v>9.0359999999999996</v>
      </c>
      <c r="AB997" s="25">
        <f t="shared" si="246"/>
        <v>-184.49199999999999</v>
      </c>
      <c r="AD997" s="24">
        <f>IF(D997="M",IF(AG997&lt;78,BMILMS!$D$5*AG997^3+BMILMS!$E$5*AG997^2+BMILMS!$F$5*AG997+BMILMS!$G$5,IF(AG997&lt;150,BMILMS!$D$6*AG997^3+BMILMS!$E$6*AG997^2+BMILMS!$F$6*AG997+BMILMS!$G$6,BMILMS!$D$7*AG997^3+BMILMS!$E$7*AG997^2+BMILMS!$F$7*AG997+BMILMS!$G$7)),IF(AG997&lt;69,BMILMS!$D$9*AG997^3+BMILMS!$E$9*AG997^2+BMILMS!$F$9*AG997+BMILMS!$G$9,IF(AG997&lt;150,BMILMS!$D$10*AG997^3+BMILMS!$E$10*AG997^2+BMILMS!$F$10*AG997+BMILMS!$G$10,BMILMS!$D$11*AG997^3+BMILMS!$E$11*AG997^2+BMILMS!$F$11*AG997+BMILMS!$G$11)))</f>
        <v>0.79584630099999998</v>
      </c>
      <c r="AE997" s="24">
        <f>IF(D997="M",(IF(AG997&lt;2.5,BMILMS!$D$21*AG997^3+BMILMS!$E$21*AG997^2+BMILMS!$F$21*AG997+BMILMS!$G$21,IF(AG997&lt;9.5,BMILMS!$D$22*AG997^3+BMILMS!$E$22*AG997^2+BMILMS!$F$22*AG997+BMILMS!$G$22,IF(AG997&lt;26.75,BMILMS!$D$23*AG997^3+BMILMS!$E$23*AG997^2+BMILMS!$F$23*AG997+BMILMS!$G$23,IF(AG997&lt;90,BMILMS!$D$24*AG997^3+BMILMS!$E$24*AG997^2+BMILMS!$F$24*AG997+BMILMS!$G$24,BMILMS!$D$25*AG997^3+BMILMS!$E$25*AG997^2+BMILMS!$F$25*AG997+BMILMS!$G$25))))),(IF(AG997&lt;2.5,BMILMS!$D$27*AG997^3+BMILMS!$E$27*AG997^2+BMILMS!$F$27*AG997+BMILMS!$G$27,IF(AG997&lt;9.5,BMILMS!$D$28*AG997^3+BMILMS!$E$28*AG997^2+BMILMS!$F$28*AG997+BMILMS!$G$28,IF(AG997&lt;26.75,BMILMS!$D$29*AG997^3+BMILMS!$E$29*AG997^2+BMILMS!$F$29*AG997+BMILMS!$G$29,IF(AG997&lt;90,BMILMS!$D$30*AG997^3+BMILMS!$E$30*AG997^2+BMILMS!$F$30*AG997+BMILMS!$G$30,IF(AG997&lt;150,BMILMS!$D$31*AG997^3+BMILMS!$E$31*AG997^2+BMILMS!$F$31*AG997+BMILMS!$G$31,BMILMS!$D$32*AG997^3+BMILMS!$E$32*AG997^2+BMILMS!$F$32*AG997+BMILMS!$G$32)))))))</f>
        <v>12.568967990000001</v>
      </c>
      <c r="AF997" s="24">
        <f>IF(D997="M",(IF(AG997&lt;90,BMILMS!$D$14*AG997^3+BMILMS!$E$14*AG997^2+BMILMS!$F$14*AG997+BMILMS!$G$14,BMILMS!$D$15*AG997^3+BMILMS!$E$15*AG997^2+BMILMS!$F$15*AG997+BMILMS!$G$15)),(IF(AG997&lt;90,BMILMS!$D$17*AG997^3+BMILMS!$E$17*AG997^2+BMILMS!$F$17*AG997+BMILMS!$G$17,BMILMS!$D$18*AG997^3+BMILMS!$E$18*AG997^2+BMILMS!$F$18*AG997+BMILMS!$G$18)))</f>
        <v>8.8969350000000003E-2</v>
      </c>
      <c r="AG997" s="24">
        <f t="shared" si="256"/>
        <v>0</v>
      </c>
      <c r="AI997" s="38">
        <f>IF(D997="M",WeightSDS!P$5*$AG997^7+WeightSDS!Q$5*$AG997^6+WeightSDS!R$5*$AG997^5+WeightSDS!S$5*$AG997^4+WeightSDS!T$5*$AG997^3+WeightSDS!U$5*$AG997^2+WeightSDS!V$5*$AG997+WeightSDS!W$5,IF($AG997&lt;186,WeightSDS!P$8*$AG997^7+WeightSDS!Q$8*$AG997^6+WeightSDS!R$8*$AG997^5+WeightSDS!S$8*$AG997^4+WeightSDS!T$8*$AG997^3+WeightSDS!U$8*$AG997^2+WeightSDS!V$8*$AG997+WeightSDS!W$8,WeightSDS!$U$9-WeightSDS!$V$9*($AG997-WeightSDS!$W$9)))</f>
        <v>0.75407122999999998</v>
      </c>
      <c r="AJ997" s="24">
        <f>IF(D997="M",IF($AG997&lt;45,WeightSDS!M$23*$AG997^10+WeightSDS!N$23*$AG997^9+WeightSDS!O$23*$AG997^8+WeightSDS!P$23*$AG997^7+WeightSDS!Q$23*$AG997^6+WeightSDS!R$23*$AG997^5+WeightSDS!S$23*$AG997^4+WeightSDS!T$23*$AG997^3+WeightSDS!U$23*$AG997^2+WeightSDS!V$23*$AG997+WeightSDS!W$23,IF($AG997&lt;153,WeightSDS!M$25*$AG997^10+WeightSDS!N$25*$AG997^9+WeightSDS!O$25*$AG997^8+WeightSDS!P$25*$AG997^7+WeightSDS!Q$25*$AG997^6+WeightSDS!R$25*$AG997^5+WeightSDS!S$25*$AG997^4+WeightSDS!T$25*$AG997^3+WeightSDS!U$25*$AG997^2+WeightSDS!V$25*$AG997+WeightSDS!W$25,WeightSDS!M$27+WeightSDS!N$27/(1+EXP(WeightSDS!O$27+WeightSDS!P$27*$AG997)))),IF($AG997&lt;43.8,WeightSDS!M$29*$AG997^10+WeightSDS!N$29*$AG997^9+WeightSDS!O$29*$AG997^8+WeightSDS!P$29*$AG997^7+WeightSDS!Q$29*$AG997^6+WeightSDS!R$29*$AG997^5+WeightSDS!S$29*$AG997^4+WeightSDS!T$29*$AG997^3+WeightSDS!U$29*$AG997^2+WeightSDS!V$29*$AG997+WeightSDS!W$29-0.010431*(1-$AG997/210),IF($AG997&lt;123,WeightSDS!M$30*$AG997^10+WeightSDS!N$30*$AG997^9+WeightSDS!O$30*$AG997^8+WeightSDS!P$30*$AG997^7+WeightSDS!Q$30*$AG997^6+WeightSDS!R$30*$AG997^5+WeightSDS!S$30*$AG997^4+WeightSDS!T$30*$AG997^3+WeightSDS!U$30*$AG997^2+WeightSDS!V$30*$AG997+WeightSDS!W$30-0.010431*(1-1/$AG997),WeightSDS!M$32+WeightSDS!N$32/(1+EXP(WeightSDS!O$32+WeightSDS!P$32*$AG997))-0.010431*(1-$AG997/210))))</f>
        <v>2.9500001032655536</v>
      </c>
      <c r="AK997" s="24">
        <f>IF(D997="M",IF($AG997&lt;162,WeightSDS!P$12*$AG997^7+WeightSDS!Q$12*$AG997^6+WeightSDS!R$12*$AG997^5+WeightSDS!S$12*$AG997^4+WeightSDS!T$12*$AG997^3+WeightSDS!U$12*$AG997^2+WeightSDS!V$12*$AG997+WeightSDS!W$12,WeightSDS!P$14*$AG997^7+WeightSDS!Q$14*$AG997^6+WeightSDS!R$14*$AG997^5+WeightSDS!S$14*$AG997^4+WeightSDS!T$14*$AG997^3+WeightSDS!U$14*$AG997^2+WeightSDS!V$14*$AG997+WeightSDS!W$14),IF($AG997&lt;156,WeightSDS!O$17*$AG997^8+WeightSDS!P$17*$AG997^7+WeightSDS!Q$17*$AG997^6+WeightSDS!R$17*$AG997^5+WeightSDS!S$17*$AG997^4+WeightSDS!T$17*$AG997^3+WeightSDS!U$17*$AG997^2+WeightSDS!V$17*$AG997+WeightSDS!W$17,IF($AG997&lt;186,WeightSDS!$U$18+(WeightSDS!$V$18-WeightSDS!$U$18)/24*($AG997-186)+WeightSDS!$W$18*(-$AG997+186)^2-0.005,WeightSDS!$U$18+(WeightSDS!$V$18-WeightSDS!$U$18)/24*($AG997-186)-0.005)))</f>
        <v>0.14604529399999999</v>
      </c>
    </row>
    <row r="998" spans="1:37">
      <c r="A998" s="4"/>
      <c r="B998" s="21"/>
      <c r="C998" s="21"/>
      <c r="D998" s="21"/>
      <c r="E998" s="22"/>
      <c r="F998" s="22"/>
      <c r="G998" s="23"/>
      <c r="H998" s="23"/>
      <c r="I998" s="8" t="str">
        <f t="shared" si="242"/>
        <v/>
      </c>
      <c r="J998" s="2" t="str">
        <f t="shared" si="247"/>
        <v/>
      </c>
      <c r="K998" s="2" t="str">
        <f t="shared" si="243"/>
        <v/>
      </c>
      <c r="L998" s="2" t="str">
        <f t="shared" si="248"/>
        <v/>
      </c>
      <c r="M998" s="2" t="str">
        <f t="shared" si="255"/>
        <v/>
      </c>
      <c r="N998" s="2" t="str">
        <f t="shared" si="249"/>
        <v/>
      </c>
      <c r="O998" s="8" t="str">
        <f t="shared" si="250"/>
        <v/>
      </c>
      <c r="P998" s="8" t="str">
        <f t="shared" si="251"/>
        <v/>
      </c>
      <c r="Q998" s="40" t="str">
        <f t="shared" si="244"/>
        <v/>
      </c>
      <c r="R998" s="48" t="str">
        <f t="shared" si="252"/>
        <v/>
      </c>
      <c r="S998" s="8"/>
      <c r="U998" s="35">
        <f t="shared" si="253"/>
        <v>0</v>
      </c>
      <c r="V998" s="24">
        <f t="shared" si="254"/>
        <v>0</v>
      </c>
      <c r="W998" s="41">
        <f t="shared" si="257"/>
        <v>0</v>
      </c>
      <c r="X998" s="31"/>
      <c r="Y998" s="31"/>
      <c r="Z998" s="31"/>
      <c r="AA998" s="25">
        <f t="shared" si="245"/>
        <v>9.0359999999999996</v>
      </c>
      <c r="AB998" s="25">
        <f t="shared" si="246"/>
        <v>-184.49199999999999</v>
      </c>
      <c r="AD998" s="24">
        <f>IF(D998="M",IF(AG998&lt;78,BMILMS!$D$5*AG998^3+BMILMS!$E$5*AG998^2+BMILMS!$F$5*AG998+BMILMS!$G$5,IF(AG998&lt;150,BMILMS!$D$6*AG998^3+BMILMS!$E$6*AG998^2+BMILMS!$F$6*AG998+BMILMS!$G$6,BMILMS!$D$7*AG998^3+BMILMS!$E$7*AG998^2+BMILMS!$F$7*AG998+BMILMS!$G$7)),IF(AG998&lt;69,BMILMS!$D$9*AG998^3+BMILMS!$E$9*AG998^2+BMILMS!$F$9*AG998+BMILMS!$G$9,IF(AG998&lt;150,BMILMS!$D$10*AG998^3+BMILMS!$E$10*AG998^2+BMILMS!$F$10*AG998+BMILMS!$G$10,BMILMS!$D$11*AG998^3+BMILMS!$E$11*AG998^2+BMILMS!$F$11*AG998+BMILMS!$G$11)))</f>
        <v>0.79584630099999998</v>
      </c>
      <c r="AE998" s="24">
        <f>IF(D998="M",(IF(AG998&lt;2.5,BMILMS!$D$21*AG998^3+BMILMS!$E$21*AG998^2+BMILMS!$F$21*AG998+BMILMS!$G$21,IF(AG998&lt;9.5,BMILMS!$D$22*AG998^3+BMILMS!$E$22*AG998^2+BMILMS!$F$22*AG998+BMILMS!$G$22,IF(AG998&lt;26.75,BMILMS!$D$23*AG998^3+BMILMS!$E$23*AG998^2+BMILMS!$F$23*AG998+BMILMS!$G$23,IF(AG998&lt;90,BMILMS!$D$24*AG998^3+BMILMS!$E$24*AG998^2+BMILMS!$F$24*AG998+BMILMS!$G$24,BMILMS!$D$25*AG998^3+BMILMS!$E$25*AG998^2+BMILMS!$F$25*AG998+BMILMS!$G$25))))),(IF(AG998&lt;2.5,BMILMS!$D$27*AG998^3+BMILMS!$E$27*AG998^2+BMILMS!$F$27*AG998+BMILMS!$G$27,IF(AG998&lt;9.5,BMILMS!$D$28*AG998^3+BMILMS!$E$28*AG998^2+BMILMS!$F$28*AG998+BMILMS!$G$28,IF(AG998&lt;26.75,BMILMS!$D$29*AG998^3+BMILMS!$E$29*AG998^2+BMILMS!$F$29*AG998+BMILMS!$G$29,IF(AG998&lt;90,BMILMS!$D$30*AG998^3+BMILMS!$E$30*AG998^2+BMILMS!$F$30*AG998+BMILMS!$G$30,IF(AG998&lt;150,BMILMS!$D$31*AG998^3+BMILMS!$E$31*AG998^2+BMILMS!$F$31*AG998+BMILMS!$G$31,BMILMS!$D$32*AG998^3+BMILMS!$E$32*AG998^2+BMILMS!$F$32*AG998+BMILMS!$G$32)))))))</f>
        <v>12.568967990000001</v>
      </c>
      <c r="AF998" s="24">
        <f>IF(D998="M",(IF(AG998&lt;90,BMILMS!$D$14*AG998^3+BMILMS!$E$14*AG998^2+BMILMS!$F$14*AG998+BMILMS!$G$14,BMILMS!$D$15*AG998^3+BMILMS!$E$15*AG998^2+BMILMS!$F$15*AG998+BMILMS!$G$15)),(IF(AG998&lt;90,BMILMS!$D$17*AG998^3+BMILMS!$E$17*AG998^2+BMILMS!$F$17*AG998+BMILMS!$G$17,BMILMS!$D$18*AG998^3+BMILMS!$E$18*AG998^2+BMILMS!$F$18*AG998+BMILMS!$G$18)))</f>
        <v>8.8969350000000003E-2</v>
      </c>
      <c r="AG998" s="24">
        <f t="shared" si="256"/>
        <v>0</v>
      </c>
      <c r="AI998" s="38">
        <f>IF(D998="M",WeightSDS!P$5*$AG998^7+WeightSDS!Q$5*$AG998^6+WeightSDS!R$5*$AG998^5+WeightSDS!S$5*$AG998^4+WeightSDS!T$5*$AG998^3+WeightSDS!U$5*$AG998^2+WeightSDS!V$5*$AG998+WeightSDS!W$5,IF($AG998&lt;186,WeightSDS!P$8*$AG998^7+WeightSDS!Q$8*$AG998^6+WeightSDS!R$8*$AG998^5+WeightSDS!S$8*$AG998^4+WeightSDS!T$8*$AG998^3+WeightSDS!U$8*$AG998^2+WeightSDS!V$8*$AG998+WeightSDS!W$8,WeightSDS!$U$9-WeightSDS!$V$9*($AG998-WeightSDS!$W$9)))</f>
        <v>0.75407122999999998</v>
      </c>
      <c r="AJ998" s="24">
        <f>IF(D998="M",IF($AG998&lt;45,WeightSDS!M$23*$AG998^10+WeightSDS!N$23*$AG998^9+WeightSDS!O$23*$AG998^8+WeightSDS!P$23*$AG998^7+WeightSDS!Q$23*$AG998^6+WeightSDS!R$23*$AG998^5+WeightSDS!S$23*$AG998^4+WeightSDS!T$23*$AG998^3+WeightSDS!U$23*$AG998^2+WeightSDS!V$23*$AG998+WeightSDS!W$23,IF($AG998&lt;153,WeightSDS!M$25*$AG998^10+WeightSDS!N$25*$AG998^9+WeightSDS!O$25*$AG998^8+WeightSDS!P$25*$AG998^7+WeightSDS!Q$25*$AG998^6+WeightSDS!R$25*$AG998^5+WeightSDS!S$25*$AG998^4+WeightSDS!T$25*$AG998^3+WeightSDS!U$25*$AG998^2+WeightSDS!V$25*$AG998+WeightSDS!W$25,WeightSDS!M$27+WeightSDS!N$27/(1+EXP(WeightSDS!O$27+WeightSDS!P$27*$AG998)))),IF($AG998&lt;43.8,WeightSDS!M$29*$AG998^10+WeightSDS!N$29*$AG998^9+WeightSDS!O$29*$AG998^8+WeightSDS!P$29*$AG998^7+WeightSDS!Q$29*$AG998^6+WeightSDS!R$29*$AG998^5+WeightSDS!S$29*$AG998^4+WeightSDS!T$29*$AG998^3+WeightSDS!U$29*$AG998^2+WeightSDS!V$29*$AG998+WeightSDS!W$29-0.010431*(1-$AG998/210),IF($AG998&lt;123,WeightSDS!M$30*$AG998^10+WeightSDS!N$30*$AG998^9+WeightSDS!O$30*$AG998^8+WeightSDS!P$30*$AG998^7+WeightSDS!Q$30*$AG998^6+WeightSDS!R$30*$AG998^5+WeightSDS!S$30*$AG998^4+WeightSDS!T$30*$AG998^3+WeightSDS!U$30*$AG998^2+WeightSDS!V$30*$AG998+WeightSDS!W$30-0.010431*(1-1/$AG998),WeightSDS!M$32+WeightSDS!N$32/(1+EXP(WeightSDS!O$32+WeightSDS!P$32*$AG998))-0.010431*(1-$AG998/210))))</f>
        <v>2.9500001032655536</v>
      </c>
      <c r="AK998" s="24">
        <f>IF(D998="M",IF($AG998&lt;162,WeightSDS!P$12*$AG998^7+WeightSDS!Q$12*$AG998^6+WeightSDS!R$12*$AG998^5+WeightSDS!S$12*$AG998^4+WeightSDS!T$12*$AG998^3+WeightSDS!U$12*$AG998^2+WeightSDS!V$12*$AG998+WeightSDS!W$12,WeightSDS!P$14*$AG998^7+WeightSDS!Q$14*$AG998^6+WeightSDS!R$14*$AG998^5+WeightSDS!S$14*$AG998^4+WeightSDS!T$14*$AG998^3+WeightSDS!U$14*$AG998^2+WeightSDS!V$14*$AG998+WeightSDS!W$14),IF($AG998&lt;156,WeightSDS!O$17*$AG998^8+WeightSDS!P$17*$AG998^7+WeightSDS!Q$17*$AG998^6+WeightSDS!R$17*$AG998^5+WeightSDS!S$17*$AG998^4+WeightSDS!T$17*$AG998^3+WeightSDS!U$17*$AG998^2+WeightSDS!V$17*$AG998+WeightSDS!W$17,IF($AG998&lt;186,WeightSDS!$U$18+(WeightSDS!$V$18-WeightSDS!$U$18)/24*($AG998-186)+WeightSDS!$W$18*(-$AG998+186)^2-0.005,WeightSDS!$U$18+(WeightSDS!$V$18-WeightSDS!$U$18)/24*($AG998-186)-0.005)))</f>
        <v>0.14604529399999999</v>
      </c>
    </row>
    <row r="999" spans="1:37">
      <c r="A999" s="4"/>
      <c r="B999" s="21"/>
      <c r="C999" s="21"/>
      <c r="D999" s="21"/>
      <c r="E999" s="22"/>
      <c r="F999" s="22"/>
      <c r="G999" s="23"/>
      <c r="H999" s="23"/>
      <c r="I999" s="8" t="str">
        <f t="shared" si="242"/>
        <v/>
      </c>
      <c r="J999" s="2" t="str">
        <f t="shared" si="247"/>
        <v/>
      </c>
      <c r="K999" s="2" t="str">
        <f t="shared" si="243"/>
        <v/>
      </c>
      <c r="L999" s="2" t="str">
        <f t="shared" si="248"/>
        <v/>
      </c>
      <c r="M999" s="2" t="str">
        <f t="shared" si="255"/>
        <v/>
      </c>
      <c r="N999" s="2" t="str">
        <f t="shared" si="249"/>
        <v/>
      </c>
      <c r="O999" s="8" t="str">
        <f t="shared" si="250"/>
        <v/>
      </c>
      <c r="P999" s="8" t="str">
        <f t="shared" si="251"/>
        <v/>
      </c>
      <c r="Q999" s="40" t="str">
        <f t="shared" si="244"/>
        <v/>
      </c>
      <c r="R999" s="48" t="str">
        <f t="shared" si="252"/>
        <v/>
      </c>
      <c r="S999" s="8"/>
      <c r="U999" s="35">
        <f t="shared" si="253"/>
        <v>0</v>
      </c>
      <c r="V999" s="24">
        <f t="shared" si="254"/>
        <v>0</v>
      </c>
      <c r="W999" s="41">
        <f t="shared" si="257"/>
        <v>0</v>
      </c>
      <c r="X999" s="31"/>
      <c r="Y999" s="31"/>
      <c r="Z999" s="31"/>
      <c r="AA999" s="25">
        <f t="shared" ref="AA999:AA1002" si="258">IF(D999="M",2.06*10^-3*G999^2-0.1166*G999+6.5273,2.49*10^-3*G999^2-0.1858*G999+9.036)</f>
        <v>9.0359999999999996</v>
      </c>
      <c r="AB999" s="25">
        <f t="shared" ref="AB999:AB1002" si="259">((G999/100)^3*INDEX(itoOI,IF(D999="M",0,3)+IF(G999&lt;140,1,IF(G999&lt;=149,2,3)),1)+(G999/100)^2*INDEX(itoOI,IF(D999="M",0,3)+IF(G999&lt;140,1,IF(G999&lt;=149,2,3)),2)+(G999/100)*INDEX(itoOI,IF(D999="M",0,3)+IF(G999&lt;140,1,IF(G999&lt;=149,2,3)),3)+INDEX(itoOI,IF(D999="M",0,3)+IF(G999&lt;140,1,IF(G999&lt;=149,2,3)),4))</f>
        <v>-184.49199999999999</v>
      </c>
      <c r="AD999" s="24">
        <f>IF(D999="M",IF(AG999&lt;78,BMILMS!$D$5*AG999^3+BMILMS!$E$5*AG999^2+BMILMS!$F$5*AG999+BMILMS!$G$5,IF(AG999&lt;150,BMILMS!$D$6*AG999^3+BMILMS!$E$6*AG999^2+BMILMS!$F$6*AG999+BMILMS!$G$6,BMILMS!$D$7*AG999^3+BMILMS!$E$7*AG999^2+BMILMS!$F$7*AG999+BMILMS!$G$7)),IF(AG999&lt;69,BMILMS!$D$9*AG999^3+BMILMS!$E$9*AG999^2+BMILMS!$F$9*AG999+BMILMS!$G$9,IF(AG999&lt;150,BMILMS!$D$10*AG999^3+BMILMS!$E$10*AG999^2+BMILMS!$F$10*AG999+BMILMS!$G$10,BMILMS!$D$11*AG999^3+BMILMS!$E$11*AG999^2+BMILMS!$F$11*AG999+BMILMS!$G$11)))</f>
        <v>0.79584630099999998</v>
      </c>
      <c r="AE999" s="24">
        <f>IF(D999="M",(IF(AG999&lt;2.5,BMILMS!$D$21*AG999^3+BMILMS!$E$21*AG999^2+BMILMS!$F$21*AG999+BMILMS!$G$21,IF(AG999&lt;9.5,BMILMS!$D$22*AG999^3+BMILMS!$E$22*AG999^2+BMILMS!$F$22*AG999+BMILMS!$G$22,IF(AG999&lt;26.75,BMILMS!$D$23*AG999^3+BMILMS!$E$23*AG999^2+BMILMS!$F$23*AG999+BMILMS!$G$23,IF(AG999&lt;90,BMILMS!$D$24*AG999^3+BMILMS!$E$24*AG999^2+BMILMS!$F$24*AG999+BMILMS!$G$24,BMILMS!$D$25*AG999^3+BMILMS!$E$25*AG999^2+BMILMS!$F$25*AG999+BMILMS!$G$25))))),(IF(AG999&lt;2.5,BMILMS!$D$27*AG999^3+BMILMS!$E$27*AG999^2+BMILMS!$F$27*AG999+BMILMS!$G$27,IF(AG999&lt;9.5,BMILMS!$D$28*AG999^3+BMILMS!$E$28*AG999^2+BMILMS!$F$28*AG999+BMILMS!$G$28,IF(AG999&lt;26.75,BMILMS!$D$29*AG999^3+BMILMS!$E$29*AG999^2+BMILMS!$F$29*AG999+BMILMS!$G$29,IF(AG999&lt;90,BMILMS!$D$30*AG999^3+BMILMS!$E$30*AG999^2+BMILMS!$F$30*AG999+BMILMS!$G$30,IF(AG999&lt;150,BMILMS!$D$31*AG999^3+BMILMS!$E$31*AG999^2+BMILMS!$F$31*AG999+BMILMS!$G$31,BMILMS!$D$32*AG999^3+BMILMS!$E$32*AG999^2+BMILMS!$F$32*AG999+BMILMS!$G$32)))))))</f>
        <v>12.568967990000001</v>
      </c>
      <c r="AF999" s="24">
        <f>IF(D999="M",(IF(AG999&lt;90,BMILMS!$D$14*AG999^3+BMILMS!$E$14*AG999^2+BMILMS!$F$14*AG999+BMILMS!$G$14,BMILMS!$D$15*AG999^3+BMILMS!$E$15*AG999^2+BMILMS!$F$15*AG999+BMILMS!$G$15)),(IF(AG999&lt;90,BMILMS!$D$17*AG999^3+BMILMS!$E$17*AG999^2+BMILMS!$F$17*AG999+BMILMS!$G$17,BMILMS!$D$18*AG999^3+BMILMS!$E$18*AG999^2+BMILMS!$F$18*AG999+BMILMS!$G$18)))</f>
        <v>8.8969350000000003E-2</v>
      </c>
      <c r="AG999" s="24">
        <f t="shared" si="256"/>
        <v>0</v>
      </c>
      <c r="AI999" s="38">
        <f>IF(D999="M",WeightSDS!P$5*$AG999^7+WeightSDS!Q$5*$AG999^6+WeightSDS!R$5*$AG999^5+WeightSDS!S$5*$AG999^4+WeightSDS!T$5*$AG999^3+WeightSDS!U$5*$AG999^2+WeightSDS!V$5*$AG999+WeightSDS!W$5,IF($AG999&lt;186,WeightSDS!P$8*$AG999^7+WeightSDS!Q$8*$AG999^6+WeightSDS!R$8*$AG999^5+WeightSDS!S$8*$AG999^4+WeightSDS!T$8*$AG999^3+WeightSDS!U$8*$AG999^2+WeightSDS!V$8*$AG999+WeightSDS!W$8,WeightSDS!$U$9-WeightSDS!$V$9*($AG999-WeightSDS!$W$9)))</f>
        <v>0.75407122999999998</v>
      </c>
      <c r="AJ999" s="24">
        <f>IF(D999="M",IF($AG999&lt;45,WeightSDS!M$23*$AG999^10+WeightSDS!N$23*$AG999^9+WeightSDS!O$23*$AG999^8+WeightSDS!P$23*$AG999^7+WeightSDS!Q$23*$AG999^6+WeightSDS!R$23*$AG999^5+WeightSDS!S$23*$AG999^4+WeightSDS!T$23*$AG999^3+WeightSDS!U$23*$AG999^2+WeightSDS!V$23*$AG999+WeightSDS!W$23,IF($AG999&lt;153,WeightSDS!M$25*$AG999^10+WeightSDS!N$25*$AG999^9+WeightSDS!O$25*$AG999^8+WeightSDS!P$25*$AG999^7+WeightSDS!Q$25*$AG999^6+WeightSDS!R$25*$AG999^5+WeightSDS!S$25*$AG999^4+WeightSDS!T$25*$AG999^3+WeightSDS!U$25*$AG999^2+WeightSDS!V$25*$AG999+WeightSDS!W$25,WeightSDS!M$27+WeightSDS!N$27/(1+EXP(WeightSDS!O$27+WeightSDS!P$27*$AG999)))),IF($AG999&lt;43.8,WeightSDS!M$29*$AG999^10+WeightSDS!N$29*$AG999^9+WeightSDS!O$29*$AG999^8+WeightSDS!P$29*$AG999^7+WeightSDS!Q$29*$AG999^6+WeightSDS!R$29*$AG999^5+WeightSDS!S$29*$AG999^4+WeightSDS!T$29*$AG999^3+WeightSDS!U$29*$AG999^2+WeightSDS!V$29*$AG999+WeightSDS!W$29-0.010431*(1-$AG999/210),IF($AG999&lt;123,WeightSDS!M$30*$AG999^10+WeightSDS!N$30*$AG999^9+WeightSDS!O$30*$AG999^8+WeightSDS!P$30*$AG999^7+WeightSDS!Q$30*$AG999^6+WeightSDS!R$30*$AG999^5+WeightSDS!S$30*$AG999^4+WeightSDS!T$30*$AG999^3+WeightSDS!U$30*$AG999^2+WeightSDS!V$30*$AG999+WeightSDS!W$30-0.010431*(1-1/$AG999),WeightSDS!M$32+WeightSDS!N$32/(1+EXP(WeightSDS!O$32+WeightSDS!P$32*$AG999))-0.010431*(1-$AG999/210))))</f>
        <v>2.9500001032655536</v>
      </c>
      <c r="AK999" s="24">
        <f>IF(D999="M",IF($AG999&lt;162,WeightSDS!P$12*$AG999^7+WeightSDS!Q$12*$AG999^6+WeightSDS!R$12*$AG999^5+WeightSDS!S$12*$AG999^4+WeightSDS!T$12*$AG999^3+WeightSDS!U$12*$AG999^2+WeightSDS!V$12*$AG999+WeightSDS!W$12,WeightSDS!P$14*$AG999^7+WeightSDS!Q$14*$AG999^6+WeightSDS!R$14*$AG999^5+WeightSDS!S$14*$AG999^4+WeightSDS!T$14*$AG999^3+WeightSDS!U$14*$AG999^2+WeightSDS!V$14*$AG999+WeightSDS!W$14),IF($AG999&lt;156,WeightSDS!O$17*$AG999^8+WeightSDS!P$17*$AG999^7+WeightSDS!Q$17*$AG999^6+WeightSDS!R$17*$AG999^5+WeightSDS!S$17*$AG999^4+WeightSDS!T$17*$AG999^3+WeightSDS!U$17*$AG999^2+WeightSDS!V$17*$AG999+WeightSDS!W$17,IF($AG999&lt;186,WeightSDS!$U$18+(WeightSDS!$V$18-WeightSDS!$U$18)/24*($AG999-186)+WeightSDS!$W$18*(-$AG999+186)^2-0.005,WeightSDS!$U$18+(WeightSDS!$V$18-WeightSDS!$U$18)/24*($AG999-186)-0.005)))</f>
        <v>0.14604529399999999</v>
      </c>
    </row>
    <row r="1000" spans="1:37">
      <c r="A1000" s="4"/>
      <c r="B1000" s="21"/>
      <c r="C1000" s="21"/>
      <c r="D1000" s="21"/>
      <c r="E1000" s="22"/>
      <c r="F1000" s="22"/>
      <c r="G1000" s="23"/>
      <c r="H1000" s="23"/>
      <c r="I1000" s="8" t="str">
        <f t="shared" si="242"/>
        <v/>
      </c>
      <c r="J1000" s="2" t="str">
        <f t="shared" si="247"/>
        <v/>
      </c>
      <c r="K1000" s="2" t="str">
        <f t="shared" si="243"/>
        <v/>
      </c>
      <c r="L1000" s="2" t="str">
        <f t="shared" si="248"/>
        <v/>
      </c>
      <c r="M1000" s="2" t="str">
        <f t="shared" si="255"/>
        <v/>
      </c>
      <c r="N1000" s="2" t="str">
        <f t="shared" si="249"/>
        <v/>
      </c>
      <c r="O1000" s="8" t="str">
        <f t="shared" si="250"/>
        <v/>
      </c>
      <c r="P1000" s="8" t="str">
        <f t="shared" si="251"/>
        <v/>
      </c>
      <c r="Q1000" s="40" t="str">
        <f t="shared" si="244"/>
        <v/>
      </c>
      <c r="R1000" s="48" t="str">
        <f t="shared" si="252"/>
        <v/>
      </c>
      <c r="S1000" s="8"/>
      <c r="U1000" s="35">
        <f t="shared" si="253"/>
        <v>0</v>
      </c>
      <c r="V1000" s="24">
        <f t="shared" si="254"/>
        <v>0</v>
      </c>
      <c r="W1000" s="41">
        <f t="shared" si="257"/>
        <v>0</v>
      </c>
      <c r="X1000" s="31"/>
      <c r="Y1000" s="31"/>
      <c r="Z1000" s="31"/>
      <c r="AA1000" s="25">
        <f t="shared" si="258"/>
        <v>9.0359999999999996</v>
      </c>
      <c r="AB1000" s="25">
        <f t="shared" si="259"/>
        <v>-184.49199999999999</v>
      </c>
      <c r="AD1000" s="24">
        <f>IF(D1000="M",IF(AG1000&lt;78,BMILMS!$D$5*AG1000^3+BMILMS!$E$5*AG1000^2+BMILMS!$F$5*AG1000+BMILMS!$G$5,IF(AG1000&lt;150,BMILMS!$D$6*AG1000^3+BMILMS!$E$6*AG1000^2+BMILMS!$F$6*AG1000+BMILMS!$G$6,BMILMS!$D$7*AG1000^3+BMILMS!$E$7*AG1000^2+BMILMS!$F$7*AG1000+BMILMS!$G$7)),IF(AG1000&lt;69,BMILMS!$D$9*AG1000^3+BMILMS!$E$9*AG1000^2+BMILMS!$F$9*AG1000+BMILMS!$G$9,IF(AG1000&lt;150,BMILMS!$D$10*AG1000^3+BMILMS!$E$10*AG1000^2+BMILMS!$F$10*AG1000+BMILMS!$G$10,BMILMS!$D$11*AG1000^3+BMILMS!$E$11*AG1000^2+BMILMS!$F$11*AG1000+BMILMS!$G$11)))</f>
        <v>0.79584630099999998</v>
      </c>
      <c r="AE1000" s="24">
        <f>IF(D1000="M",(IF(AG1000&lt;2.5,BMILMS!$D$21*AG1000^3+BMILMS!$E$21*AG1000^2+BMILMS!$F$21*AG1000+BMILMS!$G$21,IF(AG1000&lt;9.5,BMILMS!$D$22*AG1000^3+BMILMS!$E$22*AG1000^2+BMILMS!$F$22*AG1000+BMILMS!$G$22,IF(AG1000&lt;26.75,BMILMS!$D$23*AG1000^3+BMILMS!$E$23*AG1000^2+BMILMS!$F$23*AG1000+BMILMS!$G$23,IF(AG1000&lt;90,BMILMS!$D$24*AG1000^3+BMILMS!$E$24*AG1000^2+BMILMS!$F$24*AG1000+BMILMS!$G$24,BMILMS!$D$25*AG1000^3+BMILMS!$E$25*AG1000^2+BMILMS!$F$25*AG1000+BMILMS!$G$25))))),(IF(AG1000&lt;2.5,BMILMS!$D$27*AG1000^3+BMILMS!$E$27*AG1000^2+BMILMS!$F$27*AG1000+BMILMS!$G$27,IF(AG1000&lt;9.5,BMILMS!$D$28*AG1000^3+BMILMS!$E$28*AG1000^2+BMILMS!$F$28*AG1000+BMILMS!$G$28,IF(AG1000&lt;26.75,BMILMS!$D$29*AG1000^3+BMILMS!$E$29*AG1000^2+BMILMS!$F$29*AG1000+BMILMS!$G$29,IF(AG1000&lt;90,BMILMS!$D$30*AG1000^3+BMILMS!$E$30*AG1000^2+BMILMS!$F$30*AG1000+BMILMS!$G$30,IF(AG1000&lt;150,BMILMS!$D$31*AG1000^3+BMILMS!$E$31*AG1000^2+BMILMS!$F$31*AG1000+BMILMS!$G$31,BMILMS!$D$32*AG1000^3+BMILMS!$E$32*AG1000^2+BMILMS!$F$32*AG1000+BMILMS!$G$32)))))))</f>
        <v>12.568967990000001</v>
      </c>
      <c r="AF1000" s="24">
        <f>IF(D1000="M",(IF(AG1000&lt;90,BMILMS!$D$14*AG1000^3+BMILMS!$E$14*AG1000^2+BMILMS!$F$14*AG1000+BMILMS!$G$14,BMILMS!$D$15*AG1000^3+BMILMS!$E$15*AG1000^2+BMILMS!$F$15*AG1000+BMILMS!$G$15)),(IF(AG1000&lt;90,BMILMS!$D$17*AG1000^3+BMILMS!$E$17*AG1000^2+BMILMS!$F$17*AG1000+BMILMS!$G$17,BMILMS!$D$18*AG1000^3+BMILMS!$E$18*AG1000^2+BMILMS!$F$18*AG1000+BMILMS!$G$18)))</f>
        <v>8.8969350000000003E-2</v>
      </c>
      <c r="AG1000" s="24">
        <f t="shared" si="256"/>
        <v>0</v>
      </c>
      <c r="AI1000" s="38">
        <f>IF(D1000="M",WeightSDS!P$5*$AG1000^7+WeightSDS!Q$5*$AG1000^6+WeightSDS!R$5*$AG1000^5+WeightSDS!S$5*$AG1000^4+WeightSDS!T$5*$AG1000^3+WeightSDS!U$5*$AG1000^2+WeightSDS!V$5*$AG1000+WeightSDS!W$5,IF($AG1000&lt;186,WeightSDS!P$8*$AG1000^7+WeightSDS!Q$8*$AG1000^6+WeightSDS!R$8*$AG1000^5+WeightSDS!S$8*$AG1000^4+WeightSDS!T$8*$AG1000^3+WeightSDS!U$8*$AG1000^2+WeightSDS!V$8*$AG1000+WeightSDS!W$8,WeightSDS!$U$9-WeightSDS!$V$9*($AG1000-WeightSDS!$W$9)))</f>
        <v>0.75407122999999998</v>
      </c>
      <c r="AJ1000" s="24">
        <f>IF(D1000="M",IF($AG1000&lt;45,WeightSDS!M$23*$AG1000^10+WeightSDS!N$23*$AG1000^9+WeightSDS!O$23*$AG1000^8+WeightSDS!P$23*$AG1000^7+WeightSDS!Q$23*$AG1000^6+WeightSDS!R$23*$AG1000^5+WeightSDS!S$23*$AG1000^4+WeightSDS!T$23*$AG1000^3+WeightSDS!U$23*$AG1000^2+WeightSDS!V$23*$AG1000+WeightSDS!W$23,IF($AG1000&lt;153,WeightSDS!M$25*$AG1000^10+WeightSDS!N$25*$AG1000^9+WeightSDS!O$25*$AG1000^8+WeightSDS!P$25*$AG1000^7+WeightSDS!Q$25*$AG1000^6+WeightSDS!R$25*$AG1000^5+WeightSDS!S$25*$AG1000^4+WeightSDS!T$25*$AG1000^3+WeightSDS!U$25*$AG1000^2+WeightSDS!V$25*$AG1000+WeightSDS!W$25,WeightSDS!M$27+WeightSDS!N$27/(1+EXP(WeightSDS!O$27+WeightSDS!P$27*$AG1000)))),IF($AG1000&lt;43.8,WeightSDS!M$29*$AG1000^10+WeightSDS!N$29*$AG1000^9+WeightSDS!O$29*$AG1000^8+WeightSDS!P$29*$AG1000^7+WeightSDS!Q$29*$AG1000^6+WeightSDS!R$29*$AG1000^5+WeightSDS!S$29*$AG1000^4+WeightSDS!T$29*$AG1000^3+WeightSDS!U$29*$AG1000^2+WeightSDS!V$29*$AG1000+WeightSDS!W$29-0.010431*(1-$AG1000/210),IF($AG1000&lt;123,WeightSDS!M$30*$AG1000^10+WeightSDS!N$30*$AG1000^9+WeightSDS!O$30*$AG1000^8+WeightSDS!P$30*$AG1000^7+WeightSDS!Q$30*$AG1000^6+WeightSDS!R$30*$AG1000^5+WeightSDS!S$30*$AG1000^4+WeightSDS!T$30*$AG1000^3+WeightSDS!U$30*$AG1000^2+WeightSDS!V$30*$AG1000+WeightSDS!W$30-0.010431*(1-1/$AG1000),WeightSDS!M$32+WeightSDS!N$32/(1+EXP(WeightSDS!O$32+WeightSDS!P$32*$AG1000))-0.010431*(1-$AG1000/210))))</f>
        <v>2.9500001032655536</v>
      </c>
      <c r="AK1000" s="24">
        <f>IF(D1000="M",IF($AG1000&lt;162,WeightSDS!P$12*$AG1000^7+WeightSDS!Q$12*$AG1000^6+WeightSDS!R$12*$AG1000^5+WeightSDS!S$12*$AG1000^4+WeightSDS!T$12*$AG1000^3+WeightSDS!U$12*$AG1000^2+WeightSDS!V$12*$AG1000+WeightSDS!W$12,WeightSDS!P$14*$AG1000^7+WeightSDS!Q$14*$AG1000^6+WeightSDS!R$14*$AG1000^5+WeightSDS!S$14*$AG1000^4+WeightSDS!T$14*$AG1000^3+WeightSDS!U$14*$AG1000^2+WeightSDS!V$14*$AG1000+WeightSDS!W$14),IF($AG1000&lt;156,WeightSDS!O$17*$AG1000^8+WeightSDS!P$17*$AG1000^7+WeightSDS!Q$17*$AG1000^6+WeightSDS!R$17*$AG1000^5+WeightSDS!S$17*$AG1000^4+WeightSDS!T$17*$AG1000^3+WeightSDS!U$17*$AG1000^2+WeightSDS!V$17*$AG1000+WeightSDS!W$17,IF($AG1000&lt;186,WeightSDS!$U$18+(WeightSDS!$V$18-WeightSDS!$U$18)/24*($AG1000-186)+WeightSDS!$W$18*(-$AG1000+186)^2-0.005,WeightSDS!$U$18+(WeightSDS!$V$18-WeightSDS!$U$18)/24*($AG1000-186)-0.005)))</f>
        <v>0.14604529399999999</v>
      </c>
    </row>
    <row r="1001" spans="1:37">
      <c r="A1001" s="4"/>
      <c r="B1001" s="21"/>
      <c r="C1001" s="21"/>
      <c r="D1001" s="21"/>
      <c r="E1001" s="22"/>
      <c r="F1001" s="22"/>
      <c r="G1001" s="23"/>
      <c r="H1001" s="23"/>
      <c r="I1001" s="8" t="str">
        <f t="shared" si="242"/>
        <v/>
      </c>
      <c r="J1001" s="2" t="str">
        <f t="shared" si="247"/>
        <v/>
      </c>
      <c r="K1001" s="2" t="str">
        <f t="shared" si="243"/>
        <v/>
      </c>
      <c r="L1001" s="2" t="str">
        <f t="shared" si="248"/>
        <v/>
      </c>
      <c r="M1001" s="2" t="str">
        <f t="shared" si="255"/>
        <v/>
      </c>
      <c r="N1001" s="2" t="str">
        <f t="shared" si="249"/>
        <v/>
      </c>
      <c r="O1001" s="8" t="str">
        <f t="shared" si="250"/>
        <v/>
      </c>
      <c r="P1001" s="8" t="str">
        <f t="shared" si="251"/>
        <v/>
      </c>
      <c r="Q1001" s="40" t="str">
        <f t="shared" si="244"/>
        <v/>
      </c>
      <c r="R1001" s="48" t="str">
        <f t="shared" si="252"/>
        <v/>
      </c>
      <c r="S1001" s="8"/>
      <c r="U1001" s="35">
        <f t="shared" si="253"/>
        <v>0</v>
      </c>
      <c r="V1001" s="24">
        <f t="shared" si="254"/>
        <v>0</v>
      </c>
      <c r="W1001" s="41">
        <f t="shared" si="257"/>
        <v>0</v>
      </c>
      <c r="X1001" s="31"/>
      <c r="Y1001" s="31"/>
      <c r="Z1001" s="31"/>
      <c r="AA1001" s="25">
        <f t="shared" si="258"/>
        <v>9.0359999999999996</v>
      </c>
      <c r="AB1001" s="25">
        <f t="shared" si="259"/>
        <v>-184.49199999999999</v>
      </c>
      <c r="AD1001" s="24">
        <f>IF(D1001="M",IF(AG1001&lt;78,BMILMS!$D$5*AG1001^3+BMILMS!$E$5*AG1001^2+BMILMS!$F$5*AG1001+BMILMS!$G$5,IF(AG1001&lt;150,BMILMS!$D$6*AG1001^3+BMILMS!$E$6*AG1001^2+BMILMS!$F$6*AG1001+BMILMS!$G$6,BMILMS!$D$7*AG1001^3+BMILMS!$E$7*AG1001^2+BMILMS!$F$7*AG1001+BMILMS!$G$7)),IF(AG1001&lt;69,BMILMS!$D$9*AG1001^3+BMILMS!$E$9*AG1001^2+BMILMS!$F$9*AG1001+BMILMS!$G$9,IF(AG1001&lt;150,BMILMS!$D$10*AG1001^3+BMILMS!$E$10*AG1001^2+BMILMS!$F$10*AG1001+BMILMS!$G$10,BMILMS!$D$11*AG1001^3+BMILMS!$E$11*AG1001^2+BMILMS!$F$11*AG1001+BMILMS!$G$11)))</f>
        <v>0.79584630099999998</v>
      </c>
      <c r="AE1001" s="24">
        <f>IF(D1001="M",(IF(AG1001&lt;2.5,BMILMS!$D$21*AG1001^3+BMILMS!$E$21*AG1001^2+BMILMS!$F$21*AG1001+BMILMS!$G$21,IF(AG1001&lt;9.5,BMILMS!$D$22*AG1001^3+BMILMS!$E$22*AG1001^2+BMILMS!$F$22*AG1001+BMILMS!$G$22,IF(AG1001&lt;26.75,BMILMS!$D$23*AG1001^3+BMILMS!$E$23*AG1001^2+BMILMS!$F$23*AG1001+BMILMS!$G$23,IF(AG1001&lt;90,BMILMS!$D$24*AG1001^3+BMILMS!$E$24*AG1001^2+BMILMS!$F$24*AG1001+BMILMS!$G$24,BMILMS!$D$25*AG1001^3+BMILMS!$E$25*AG1001^2+BMILMS!$F$25*AG1001+BMILMS!$G$25))))),(IF(AG1001&lt;2.5,BMILMS!$D$27*AG1001^3+BMILMS!$E$27*AG1001^2+BMILMS!$F$27*AG1001+BMILMS!$G$27,IF(AG1001&lt;9.5,BMILMS!$D$28*AG1001^3+BMILMS!$E$28*AG1001^2+BMILMS!$F$28*AG1001+BMILMS!$G$28,IF(AG1001&lt;26.75,BMILMS!$D$29*AG1001^3+BMILMS!$E$29*AG1001^2+BMILMS!$F$29*AG1001+BMILMS!$G$29,IF(AG1001&lt;90,BMILMS!$D$30*AG1001^3+BMILMS!$E$30*AG1001^2+BMILMS!$F$30*AG1001+BMILMS!$G$30,IF(AG1001&lt;150,BMILMS!$D$31*AG1001^3+BMILMS!$E$31*AG1001^2+BMILMS!$F$31*AG1001+BMILMS!$G$31,BMILMS!$D$32*AG1001^3+BMILMS!$E$32*AG1001^2+BMILMS!$F$32*AG1001+BMILMS!$G$32)))))))</f>
        <v>12.568967990000001</v>
      </c>
      <c r="AF1001" s="24">
        <f>IF(D1001="M",(IF(AG1001&lt;90,BMILMS!$D$14*AG1001^3+BMILMS!$E$14*AG1001^2+BMILMS!$F$14*AG1001+BMILMS!$G$14,BMILMS!$D$15*AG1001^3+BMILMS!$E$15*AG1001^2+BMILMS!$F$15*AG1001+BMILMS!$G$15)),(IF(AG1001&lt;90,BMILMS!$D$17*AG1001^3+BMILMS!$E$17*AG1001^2+BMILMS!$F$17*AG1001+BMILMS!$G$17,BMILMS!$D$18*AG1001^3+BMILMS!$E$18*AG1001^2+BMILMS!$F$18*AG1001+BMILMS!$G$18)))</f>
        <v>8.8969350000000003E-2</v>
      </c>
      <c r="AG1001" s="24">
        <f t="shared" si="256"/>
        <v>0</v>
      </c>
      <c r="AI1001" s="38">
        <f>IF(D1001="M",WeightSDS!P$5*$AG1001^7+WeightSDS!Q$5*$AG1001^6+WeightSDS!R$5*$AG1001^5+WeightSDS!S$5*$AG1001^4+WeightSDS!T$5*$AG1001^3+WeightSDS!U$5*$AG1001^2+WeightSDS!V$5*$AG1001+WeightSDS!W$5,IF($AG1001&lt;186,WeightSDS!P$8*$AG1001^7+WeightSDS!Q$8*$AG1001^6+WeightSDS!R$8*$AG1001^5+WeightSDS!S$8*$AG1001^4+WeightSDS!T$8*$AG1001^3+WeightSDS!U$8*$AG1001^2+WeightSDS!V$8*$AG1001+WeightSDS!W$8,WeightSDS!$U$9-WeightSDS!$V$9*($AG1001-WeightSDS!$W$9)))</f>
        <v>0.75407122999999998</v>
      </c>
      <c r="AJ1001" s="24">
        <f>IF(D1001="M",IF($AG1001&lt;45,WeightSDS!M$23*$AG1001^10+WeightSDS!N$23*$AG1001^9+WeightSDS!O$23*$AG1001^8+WeightSDS!P$23*$AG1001^7+WeightSDS!Q$23*$AG1001^6+WeightSDS!R$23*$AG1001^5+WeightSDS!S$23*$AG1001^4+WeightSDS!T$23*$AG1001^3+WeightSDS!U$23*$AG1001^2+WeightSDS!V$23*$AG1001+WeightSDS!W$23,IF($AG1001&lt;153,WeightSDS!M$25*$AG1001^10+WeightSDS!N$25*$AG1001^9+WeightSDS!O$25*$AG1001^8+WeightSDS!P$25*$AG1001^7+WeightSDS!Q$25*$AG1001^6+WeightSDS!R$25*$AG1001^5+WeightSDS!S$25*$AG1001^4+WeightSDS!T$25*$AG1001^3+WeightSDS!U$25*$AG1001^2+WeightSDS!V$25*$AG1001+WeightSDS!W$25,WeightSDS!M$27+WeightSDS!N$27/(1+EXP(WeightSDS!O$27+WeightSDS!P$27*$AG1001)))),IF($AG1001&lt;43.8,WeightSDS!M$29*$AG1001^10+WeightSDS!N$29*$AG1001^9+WeightSDS!O$29*$AG1001^8+WeightSDS!P$29*$AG1001^7+WeightSDS!Q$29*$AG1001^6+WeightSDS!R$29*$AG1001^5+WeightSDS!S$29*$AG1001^4+WeightSDS!T$29*$AG1001^3+WeightSDS!U$29*$AG1001^2+WeightSDS!V$29*$AG1001+WeightSDS!W$29-0.010431*(1-$AG1001/210),IF($AG1001&lt;123,WeightSDS!M$30*$AG1001^10+WeightSDS!N$30*$AG1001^9+WeightSDS!O$30*$AG1001^8+WeightSDS!P$30*$AG1001^7+WeightSDS!Q$30*$AG1001^6+WeightSDS!R$30*$AG1001^5+WeightSDS!S$30*$AG1001^4+WeightSDS!T$30*$AG1001^3+WeightSDS!U$30*$AG1001^2+WeightSDS!V$30*$AG1001+WeightSDS!W$30-0.010431*(1-1/$AG1001),WeightSDS!M$32+WeightSDS!N$32/(1+EXP(WeightSDS!O$32+WeightSDS!P$32*$AG1001))-0.010431*(1-$AG1001/210))))</f>
        <v>2.9500001032655536</v>
      </c>
      <c r="AK1001" s="24">
        <f>IF(D1001="M",IF($AG1001&lt;162,WeightSDS!P$12*$AG1001^7+WeightSDS!Q$12*$AG1001^6+WeightSDS!R$12*$AG1001^5+WeightSDS!S$12*$AG1001^4+WeightSDS!T$12*$AG1001^3+WeightSDS!U$12*$AG1001^2+WeightSDS!V$12*$AG1001+WeightSDS!W$12,WeightSDS!P$14*$AG1001^7+WeightSDS!Q$14*$AG1001^6+WeightSDS!R$14*$AG1001^5+WeightSDS!S$14*$AG1001^4+WeightSDS!T$14*$AG1001^3+WeightSDS!U$14*$AG1001^2+WeightSDS!V$14*$AG1001+WeightSDS!W$14),IF($AG1001&lt;156,WeightSDS!O$17*$AG1001^8+WeightSDS!P$17*$AG1001^7+WeightSDS!Q$17*$AG1001^6+WeightSDS!R$17*$AG1001^5+WeightSDS!S$17*$AG1001^4+WeightSDS!T$17*$AG1001^3+WeightSDS!U$17*$AG1001^2+WeightSDS!V$17*$AG1001+WeightSDS!W$17,IF($AG1001&lt;186,WeightSDS!$U$18+(WeightSDS!$V$18-WeightSDS!$U$18)/24*($AG1001-186)+WeightSDS!$W$18*(-$AG1001+186)^2-0.005,WeightSDS!$U$18+(WeightSDS!$V$18-WeightSDS!$U$18)/24*($AG1001-186)-0.005)))</f>
        <v>0.14604529399999999</v>
      </c>
    </row>
    <row r="1002" spans="1:37">
      <c r="A1002" s="4"/>
      <c r="B1002" s="21"/>
      <c r="C1002" s="21"/>
      <c r="D1002" s="21"/>
      <c r="E1002" s="22"/>
      <c r="F1002" s="22"/>
      <c r="G1002" s="23"/>
      <c r="H1002" s="23"/>
      <c r="I1002" s="8" t="str">
        <f t="shared" si="242"/>
        <v/>
      </c>
      <c r="J1002" s="2" t="str">
        <f t="shared" si="247"/>
        <v/>
      </c>
      <c r="K1002" s="2" t="str">
        <f t="shared" si="243"/>
        <v/>
      </c>
      <c r="L1002" s="2" t="str">
        <f t="shared" si="248"/>
        <v/>
      </c>
      <c r="M1002" s="2" t="str">
        <f t="shared" si="255"/>
        <v/>
      </c>
      <c r="N1002" s="2" t="str">
        <f t="shared" si="249"/>
        <v/>
      </c>
      <c r="O1002" s="8" t="str">
        <f t="shared" si="250"/>
        <v/>
      </c>
      <c r="P1002" s="8" t="str">
        <f t="shared" si="251"/>
        <v/>
      </c>
      <c r="Q1002" s="40" t="str">
        <f t="shared" si="244"/>
        <v/>
      </c>
      <c r="R1002" s="48" t="str">
        <f t="shared" si="252"/>
        <v/>
      </c>
      <c r="S1002" s="8"/>
      <c r="U1002" s="35">
        <f t="shared" si="253"/>
        <v>0</v>
      </c>
      <c r="V1002" s="24">
        <f t="shared" si="254"/>
        <v>0</v>
      </c>
      <c r="W1002" s="41">
        <f t="shared" si="257"/>
        <v>0</v>
      </c>
      <c r="X1002" s="31"/>
      <c r="Y1002" s="31"/>
      <c r="Z1002" s="31"/>
      <c r="AA1002" s="25">
        <f t="shared" si="258"/>
        <v>9.0359999999999996</v>
      </c>
      <c r="AB1002" s="25">
        <f t="shared" si="259"/>
        <v>-184.49199999999999</v>
      </c>
      <c r="AD1002" s="24">
        <f>IF(D1002="M",IF(AG1002&lt;78,BMILMS!$D$5*AG1002^3+BMILMS!$E$5*AG1002^2+BMILMS!$F$5*AG1002+BMILMS!$G$5,IF(AG1002&lt;150,BMILMS!$D$6*AG1002^3+BMILMS!$E$6*AG1002^2+BMILMS!$F$6*AG1002+BMILMS!$G$6,BMILMS!$D$7*AG1002^3+BMILMS!$E$7*AG1002^2+BMILMS!$F$7*AG1002+BMILMS!$G$7)),IF(AG1002&lt;69,BMILMS!$D$9*AG1002^3+BMILMS!$E$9*AG1002^2+BMILMS!$F$9*AG1002+BMILMS!$G$9,IF(AG1002&lt;150,BMILMS!$D$10*AG1002^3+BMILMS!$E$10*AG1002^2+BMILMS!$F$10*AG1002+BMILMS!$G$10,BMILMS!$D$11*AG1002^3+BMILMS!$E$11*AG1002^2+BMILMS!$F$11*AG1002+BMILMS!$G$11)))</f>
        <v>0.79584630099999998</v>
      </c>
      <c r="AE1002" s="24">
        <f>IF(D1002="M",(IF(AG1002&lt;2.5,BMILMS!$D$21*AG1002^3+BMILMS!$E$21*AG1002^2+BMILMS!$F$21*AG1002+BMILMS!$G$21,IF(AG1002&lt;9.5,BMILMS!$D$22*AG1002^3+BMILMS!$E$22*AG1002^2+BMILMS!$F$22*AG1002+BMILMS!$G$22,IF(AG1002&lt;26.75,BMILMS!$D$23*AG1002^3+BMILMS!$E$23*AG1002^2+BMILMS!$F$23*AG1002+BMILMS!$G$23,IF(AG1002&lt;90,BMILMS!$D$24*AG1002^3+BMILMS!$E$24*AG1002^2+BMILMS!$F$24*AG1002+BMILMS!$G$24,BMILMS!$D$25*AG1002^3+BMILMS!$E$25*AG1002^2+BMILMS!$F$25*AG1002+BMILMS!$G$25))))),(IF(AG1002&lt;2.5,BMILMS!$D$27*AG1002^3+BMILMS!$E$27*AG1002^2+BMILMS!$F$27*AG1002+BMILMS!$G$27,IF(AG1002&lt;9.5,BMILMS!$D$28*AG1002^3+BMILMS!$E$28*AG1002^2+BMILMS!$F$28*AG1002+BMILMS!$G$28,IF(AG1002&lt;26.75,BMILMS!$D$29*AG1002^3+BMILMS!$E$29*AG1002^2+BMILMS!$F$29*AG1002+BMILMS!$G$29,IF(AG1002&lt;90,BMILMS!$D$30*AG1002^3+BMILMS!$E$30*AG1002^2+BMILMS!$F$30*AG1002+BMILMS!$G$30,IF(AG1002&lt;150,BMILMS!$D$31*AG1002^3+BMILMS!$E$31*AG1002^2+BMILMS!$F$31*AG1002+BMILMS!$G$31,BMILMS!$D$32*AG1002^3+BMILMS!$E$32*AG1002^2+BMILMS!$F$32*AG1002+BMILMS!$G$32)))))))</f>
        <v>12.568967990000001</v>
      </c>
      <c r="AF1002" s="24">
        <f>IF(D1002="M",(IF(AG1002&lt;90,BMILMS!$D$14*AG1002^3+BMILMS!$E$14*AG1002^2+BMILMS!$F$14*AG1002+BMILMS!$G$14,BMILMS!$D$15*AG1002^3+BMILMS!$E$15*AG1002^2+BMILMS!$F$15*AG1002+BMILMS!$G$15)),(IF(AG1002&lt;90,BMILMS!$D$17*AG1002^3+BMILMS!$E$17*AG1002^2+BMILMS!$F$17*AG1002+BMILMS!$G$17,BMILMS!$D$18*AG1002^3+BMILMS!$E$18*AG1002^2+BMILMS!$F$18*AG1002+BMILMS!$G$18)))</f>
        <v>8.8969350000000003E-2</v>
      </c>
      <c r="AG1002" s="24">
        <f t="shared" si="256"/>
        <v>0</v>
      </c>
      <c r="AI1002" s="38">
        <f>IF(D1002="M",WeightSDS!P$5*$AG1002^7+WeightSDS!Q$5*$AG1002^6+WeightSDS!R$5*$AG1002^5+WeightSDS!S$5*$AG1002^4+WeightSDS!T$5*$AG1002^3+WeightSDS!U$5*$AG1002^2+WeightSDS!V$5*$AG1002+WeightSDS!W$5,IF($AG1002&lt;186,WeightSDS!P$8*$AG1002^7+WeightSDS!Q$8*$AG1002^6+WeightSDS!R$8*$AG1002^5+WeightSDS!S$8*$AG1002^4+WeightSDS!T$8*$AG1002^3+WeightSDS!U$8*$AG1002^2+WeightSDS!V$8*$AG1002+WeightSDS!W$8,WeightSDS!$U$9-WeightSDS!$V$9*($AG1002-WeightSDS!$W$9)))</f>
        <v>0.75407122999999998</v>
      </c>
      <c r="AJ1002" s="24">
        <f>IF(D1002="M",IF($AG1002&lt;45,WeightSDS!M$23*$AG1002^10+WeightSDS!N$23*$AG1002^9+WeightSDS!O$23*$AG1002^8+WeightSDS!P$23*$AG1002^7+WeightSDS!Q$23*$AG1002^6+WeightSDS!R$23*$AG1002^5+WeightSDS!S$23*$AG1002^4+WeightSDS!T$23*$AG1002^3+WeightSDS!U$23*$AG1002^2+WeightSDS!V$23*$AG1002+WeightSDS!W$23,IF($AG1002&lt;153,WeightSDS!M$25*$AG1002^10+WeightSDS!N$25*$AG1002^9+WeightSDS!O$25*$AG1002^8+WeightSDS!P$25*$AG1002^7+WeightSDS!Q$25*$AG1002^6+WeightSDS!R$25*$AG1002^5+WeightSDS!S$25*$AG1002^4+WeightSDS!T$25*$AG1002^3+WeightSDS!U$25*$AG1002^2+WeightSDS!V$25*$AG1002+WeightSDS!W$25,WeightSDS!M$27+WeightSDS!N$27/(1+EXP(WeightSDS!O$27+WeightSDS!P$27*$AG1002)))),IF($AG1002&lt;43.8,WeightSDS!M$29*$AG1002^10+WeightSDS!N$29*$AG1002^9+WeightSDS!O$29*$AG1002^8+WeightSDS!P$29*$AG1002^7+WeightSDS!Q$29*$AG1002^6+WeightSDS!R$29*$AG1002^5+WeightSDS!S$29*$AG1002^4+WeightSDS!T$29*$AG1002^3+WeightSDS!U$29*$AG1002^2+WeightSDS!V$29*$AG1002+WeightSDS!W$29-0.010431*(1-$AG1002/210),IF($AG1002&lt;123,WeightSDS!M$30*$AG1002^10+WeightSDS!N$30*$AG1002^9+WeightSDS!O$30*$AG1002^8+WeightSDS!P$30*$AG1002^7+WeightSDS!Q$30*$AG1002^6+WeightSDS!R$30*$AG1002^5+WeightSDS!S$30*$AG1002^4+WeightSDS!T$30*$AG1002^3+WeightSDS!U$30*$AG1002^2+WeightSDS!V$30*$AG1002+WeightSDS!W$30-0.010431*(1-1/$AG1002),WeightSDS!M$32+WeightSDS!N$32/(1+EXP(WeightSDS!O$32+WeightSDS!P$32*$AG1002))-0.010431*(1-$AG1002/210))))</f>
        <v>2.9500001032655536</v>
      </c>
      <c r="AK1002" s="24">
        <f>IF(D1002="M",IF($AG1002&lt;162,WeightSDS!P$12*$AG1002^7+WeightSDS!Q$12*$AG1002^6+WeightSDS!R$12*$AG1002^5+WeightSDS!S$12*$AG1002^4+WeightSDS!T$12*$AG1002^3+WeightSDS!U$12*$AG1002^2+WeightSDS!V$12*$AG1002+WeightSDS!W$12,WeightSDS!P$14*$AG1002^7+WeightSDS!Q$14*$AG1002^6+WeightSDS!R$14*$AG1002^5+WeightSDS!S$14*$AG1002^4+WeightSDS!T$14*$AG1002^3+WeightSDS!U$14*$AG1002^2+WeightSDS!V$14*$AG1002+WeightSDS!W$14),IF($AG1002&lt;156,WeightSDS!O$17*$AG1002^8+WeightSDS!P$17*$AG1002^7+WeightSDS!Q$17*$AG1002^6+WeightSDS!R$17*$AG1002^5+WeightSDS!S$17*$AG1002^4+WeightSDS!T$17*$AG1002^3+WeightSDS!U$17*$AG1002^2+WeightSDS!V$17*$AG1002+WeightSDS!W$17,IF($AG1002&lt;186,WeightSDS!$U$18+(WeightSDS!$V$18-WeightSDS!$U$18)/24*($AG1002-186)+WeightSDS!$W$18*(-$AG1002+186)^2-0.005,WeightSDS!$U$18+(WeightSDS!$V$18-WeightSDS!$U$18)/24*($AG1002-186)-0.005)))</f>
        <v>0.14604529399999999</v>
      </c>
    </row>
  </sheetData>
  <sheetProtection password="8E09" sheet="1" objects="1" scenarios="1" formatCells="0" formatColumns="0" formatRows="0" insertColumns="0" insertRows="0"/>
  <mergeCells count="1">
    <mergeCell ref="K1:L1"/>
  </mergeCells>
  <phoneticPr fontId="1"/>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52"/>
  <sheetViews>
    <sheetView tabSelected="1" workbookViewId="0"/>
  </sheetViews>
  <sheetFormatPr defaultRowHeight="13.5"/>
  <cols>
    <col min="1" max="1" width="21" customWidth="1"/>
    <col min="2" max="2" width="82" customWidth="1"/>
  </cols>
  <sheetData>
    <row r="1" spans="1:2">
      <c r="A1" s="4" t="s">
        <v>61</v>
      </c>
      <c r="B1" s="49" t="s">
        <v>262</v>
      </c>
    </row>
    <row r="2" spans="1:2">
      <c r="A2" s="4" t="s">
        <v>87</v>
      </c>
      <c r="B2" s="50" t="s">
        <v>192</v>
      </c>
    </row>
    <row r="3" spans="1:2">
      <c r="A3" s="4"/>
      <c r="B3" s="51" t="s">
        <v>194</v>
      </c>
    </row>
    <row r="4" spans="1:2">
      <c r="A4" s="4"/>
      <c r="B4" s="51" t="s">
        <v>195</v>
      </c>
    </row>
    <row r="5" spans="1:2">
      <c r="A5" s="4"/>
      <c r="B5" s="50" t="s">
        <v>193</v>
      </c>
    </row>
    <row r="6" spans="1:2" ht="67.5">
      <c r="A6" s="4"/>
      <c r="B6" s="50" t="s">
        <v>263</v>
      </c>
    </row>
    <row r="7" spans="1:2">
      <c r="A7" s="4"/>
      <c r="B7" s="50"/>
    </row>
    <row r="8" spans="1:2">
      <c r="A8" s="4"/>
      <c r="B8" t="s">
        <v>265</v>
      </c>
    </row>
    <row r="9" spans="1:2">
      <c r="A9" s="4"/>
      <c r="B9" s="50" t="s">
        <v>63</v>
      </c>
    </row>
    <row r="10" spans="1:2">
      <c r="A10" s="4"/>
      <c r="B10" s="50" t="s">
        <v>82</v>
      </c>
    </row>
    <row r="11" spans="1:2">
      <c r="A11" s="4"/>
      <c r="B11" s="50" t="s">
        <v>86</v>
      </c>
    </row>
    <row r="12" spans="1:2">
      <c r="A12" s="4"/>
      <c r="B12" s="50" t="s">
        <v>259</v>
      </c>
    </row>
    <row r="13" spans="1:2">
      <c r="A13" s="4"/>
      <c r="B13" s="50" t="s">
        <v>260</v>
      </c>
    </row>
    <row r="14" spans="1:2">
      <c r="A14" s="4"/>
      <c r="B14" s="50" t="s">
        <v>261</v>
      </c>
    </row>
    <row r="15" spans="1:2">
      <c r="A15" s="4"/>
      <c r="B15" s="50"/>
    </row>
    <row r="16" spans="1:2">
      <c r="A16" s="29" t="s">
        <v>88</v>
      </c>
      <c r="B16" s="50" t="s">
        <v>89</v>
      </c>
    </row>
    <row r="17" spans="1:2">
      <c r="A17" s="30" t="s">
        <v>90</v>
      </c>
      <c r="B17" s="50" t="s">
        <v>91</v>
      </c>
    </row>
    <row r="18" spans="1:2">
      <c r="A18" s="4"/>
      <c r="B18" s="50" t="s">
        <v>92</v>
      </c>
    </row>
    <row r="19" spans="1:2" ht="27">
      <c r="A19" s="4"/>
      <c r="B19" s="50" t="s">
        <v>196</v>
      </c>
    </row>
    <row r="20" spans="1:2">
      <c r="A20" s="4"/>
      <c r="B20" s="50"/>
    </row>
    <row r="21" spans="1:2">
      <c r="A21" s="4"/>
      <c r="B21" s="50" t="s">
        <v>62</v>
      </c>
    </row>
    <row r="22" spans="1:2" ht="27">
      <c r="A22" s="28" t="s">
        <v>65</v>
      </c>
      <c r="B22" s="51" t="s">
        <v>64</v>
      </c>
    </row>
    <row r="23" spans="1:2" ht="27">
      <c r="A23" s="28" t="s">
        <v>66</v>
      </c>
      <c r="B23" s="51" t="s">
        <v>97</v>
      </c>
    </row>
    <row r="24" spans="1:2" ht="27">
      <c r="A24" s="28" t="s">
        <v>67</v>
      </c>
      <c r="B24" s="51" t="s">
        <v>96</v>
      </c>
    </row>
    <row r="25" spans="1:2">
      <c r="A25" s="28" t="s">
        <v>68</v>
      </c>
      <c r="B25" s="51" t="s">
        <v>69</v>
      </c>
    </row>
    <row r="26" spans="1:2" ht="27">
      <c r="A26" s="28" t="s">
        <v>70</v>
      </c>
      <c r="B26" s="51" t="s">
        <v>191</v>
      </c>
    </row>
    <row r="27" spans="1:2" ht="54">
      <c r="A27" s="28" t="s">
        <v>71</v>
      </c>
      <c r="B27" s="51" t="s">
        <v>208</v>
      </c>
    </row>
    <row r="28" spans="1:2" ht="40.5">
      <c r="A28" s="28" t="s">
        <v>55</v>
      </c>
      <c r="B28" s="51" t="s">
        <v>206</v>
      </c>
    </row>
    <row r="29" spans="1:2" ht="57.75" customHeight="1">
      <c r="A29" s="28" t="s">
        <v>249</v>
      </c>
      <c r="B29" s="51" t="s">
        <v>266</v>
      </c>
    </row>
    <row r="30" spans="1:2" ht="31.5" customHeight="1">
      <c r="A30" s="28"/>
      <c r="B30" s="51"/>
    </row>
    <row r="31" spans="1:2">
      <c r="A31" s="4" t="s">
        <v>72</v>
      </c>
      <c r="B31" s="51"/>
    </row>
    <row r="32" spans="1:2" ht="40.5">
      <c r="A32" s="28" t="s">
        <v>74</v>
      </c>
      <c r="B32" s="51" t="s">
        <v>73</v>
      </c>
    </row>
    <row r="33" spans="1:2" ht="30" customHeight="1">
      <c r="A33" s="28" t="s">
        <v>207</v>
      </c>
      <c r="B33" s="51" t="s">
        <v>75</v>
      </c>
    </row>
    <row r="34" spans="1:2" ht="27">
      <c r="A34" s="28" t="s">
        <v>209</v>
      </c>
      <c r="B34" s="51" t="s">
        <v>258</v>
      </c>
    </row>
    <row r="35" spans="1:2" ht="32.25" customHeight="1">
      <c r="A35" s="28"/>
      <c r="B35" s="51"/>
    </row>
    <row r="36" spans="1:2" ht="30.75" customHeight="1">
      <c r="A36" s="28" t="s">
        <v>93</v>
      </c>
      <c r="B36" s="51" t="s">
        <v>94</v>
      </c>
    </row>
    <row r="37" spans="1:2" ht="40.5">
      <c r="A37" s="28" t="s">
        <v>76</v>
      </c>
      <c r="B37" s="51" t="s">
        <v>77</v>
      </c>
    </row>
    <row r="38" spans="1:2">
      <c r="A38" s="4"/>
      <c r="B38" s="51"/>
    </row>
    <row r="39" spans="1:2" ht="46.5" customHeight="1">
      <c r="A39" s="28" t="s">
        <v>78</v>
      </c>
      <c r="B39" s="51" t="s">
        <v>84</v>
      </c>
    </row>
    <row r="40" spans="1:2" ht="40.5">
      <c r="A40" s="28" t="s">
        <v>80</v>
      </c>
      <c r="B40" s="51" t="s">
        <v>85</v>
      </c>
    </row>
    <row r="41" spans="1:2">
      <c r="A41" s="4"/>
      <c r="B41" s="50"/>
    </row>
    <row r="42" spans="1:2">
      <c r="A42" s="28" t="s">
        <v>79</v>
      </c>
      <c r="B42" s="52" t="s">
        <v>95</v>
      </c>
    </row>
    <row r="43" spans="1:2" ht="27">
      <c r="A43" s="28"/>
      <c r="B43" s="50" t="s">
        <v>250</v>
      </c>
    </row>
    <row r="44" spans="1:2">
      <c r="A44" s="28"/>
      <c r="B44" s="50"/>
    </row>
    <row r="45" spans="1:2">
      <c r="A45" s="28" t="s">
        <v>81</v>
      </c>
      <c r="B45" s="51" t="s">
        <v>83</v>
      </c>
    </row>
    <row r="46" spans="1:2">
      <c r="A46" s="4"/>
      <c r="B46" s="20"/>
    </row>
    <row r="47" spans="1:2">
      <c r="A47" s="4"/>
      <c r="B47" s="4"/>
    </row>
    <row r="48" spans="1:2">
      <c r="A48" s="4"/>
      <c r="B48" s="4"/>
    </row>
    <row r="49" spans="1:2">
      <c r="A49" s="4"/>
      <c r="B49" s="4"/>
    </row>
    <row r="50" spans="1:2">
      <c r="A50" s="4"/>
      <c r="B50" s="4"/>
    </row>
    <row r="51" spans="1:2">
      <c r="A51" s="4"/>
      <c r="B51" s="4"/>
    </row>
    <row r="52" spans="1:2">
      <c r="A52" s="4"/>
      <c r="B52" s="4"/>
    </row>
  </sheetData>
  <sheetProtection sheet="1" objects="1" scenarios="1" selectLockedCells="1" selectUnlockedCells="1"/>
  <sortState ref="G24:G28">
    <sortCondition ref="G24:G28"/>
  </sortState>
  <phoneticPr fontId="1"/>
  <pageMargins left="0.25" right="0.25"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vt:i4>
      </vt:variant>
    </vt:vector>
  </HeadingPairs>
  <TitlesOfParts>
    <vt:vector size="25" baseType="lpstr">
      <vt:lpstr>Height</vt:lpstr>
      <vt:lpstr>StdBW</vt:lpstr>
      <vt:lpstr>BMILMS</vt:lpstr>
      <vt:lpstr>WeightSDS</vt:lpstr>
      <vt:lpstr>IGF-LMS</vt:lpstr>
      <vt:lpstr>小児慢性疾病意見書記載項目計算</vt:lpstr>
      <vt:lpstr>縦断解析成長率計算</vt:lpstr>
      <vt:lpstr>data sheet</vt:lpstr>
      <vt:lpstr>readme</vt:lpstr>
      <vt:lpstr>HV</vt:lpstr>
      <vt:lpstr>FHVaverage</vt:lpstr>
      <vt:lpstr>FHVstd</vt:lpstr>
      <vt:lpstr>Hfemalemean</vt:lpstr>
      <vt:lpstr>Hfemalesd</vt:lpstr>
      <vt:lpstr>Hmalemean</vt:lpstr>
      <vt:lpstr>Hmalesd</vt:lpstr>
      <vt:lpstr>HVcalc</vt:lpstr>
      <vt:lpstr>IGFfemale</vt:lpstr>
      <vt:lpstr>IGFmale</vt:lpstr>
      <vt:lpstr>itoOI</vt:lpstr>
      <vt:lpstr>MHVaverage</vt:lpstr>
      <vt:lpstr>MHVstd</vt:lpstr>
      <vt:lpstr>muratafemale</vt:lpstr>
      <vt:lpstr>muratamale</vt:lpstr>
      <vt:lpstr>sex</vt:lpstr>
    </vt:vector>
  </TitlesOfParts>
  <Company>北見赤十字病院</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order-d</dc:creator>
  <cp:lastModifiedBy>ysyit</cp:lastModifiedBy>
  <cp:lastPrinted>2016-04-13T01:08:58Z</cp:lastPrinted>
  <dcterms:created xsi:type="dcterms:W3CDTF">2009-09-28T05:43:30Z</dcterms:created>
  <dcterms:modified xsi:type="dcterms:W3CDTF">2016-05-05T11:59:30Z</dcterms:modified>
</cp:coreProperties>
</file>